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9.xml" ContentType="application/vnd.openxmlformats-officedocument.drawing+xml"/>
  <Override PartName="/xl/comments15.xml" ContentType="application/vnd.openxmlformats-officedocument.spreadsheetml.comments+xml"/>
  <Override PartName="/xl/drawings/drawing10.xml" ContentType="application/vnd.openxmlformats-officedocument.drawing+xml"/>
  <Override PartName="/xl/comments16.xml" ContentType="application/vnd.openxmlformats-officedocument.spreadsheetml.comments+xml"/>
  <Override PartName="/xl/drawings/drawing1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2.xml" ContentType="application/vnd.openxmlformats-officedocument.drawing+xml"/>
  <Override PartName="/xl/comments19.xml" ContentType="application/vnd.openxmlformats-officedocument.spreadsheetml.comments+xml"/>
  <Override PartName="/xl/drawings/drawing13.xml" ContentType="application/vnd.openxmlformats-officedocument.drawing+xml"/>
  <Override PartName="/xl/comments20.xml" ContentType="application/vnd.openxmlformats-officedocument.spreadsheetml.comments+xml"/>
  <Override PartName="/xl/drawings/drawing14.xml" ContentType="application/vnd.openxmlformats-officedocument.drawing+xml"/>
  <Override PartName="/xl/comments21.xml" ContentType="application/vnd.openxmlformats-officedocument.spreadsheetml.comments+xml"/>
  <Override PartName="/xl/drawings/drawing15.xml" ContentType="application/vnd.openxmlformats-officedocument.drawing+xml"/>
  <Override PartName="/xl/comments22.xml" ContentType="application/vnd.openxmlformats-officedocument.spreadsheetml.comments+xml"/>
  <Override PartName="/xl/drawings/drawing16.xml" ContentType="application/vnd.openxmlformats-officedocument.drawing+xml"/>
  <Override PartName="/xl/comments23.xml" ContentType="application/vnd.openxmlformats-officedocument.spreadsheetml.comments+xml"/>
  <Override PartName="/xl/drawings/drawing17.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8.xml" ContentType="application/vnd.openxmlformats-officedocument.drawing+xml"/>
  <Override PartName="/xl/comments27.xml" ContentType="application/vnd.openxmlformats-officedocument.spreadsheetml.comments+xml"/>
  <Override PartName="/xl/drawings/drawing19.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drawings/drawing20.xml" ContentType="application/vnd.openxmlformats-officedocument.drawing+xml"/>
  <Override PartName="/xl/comments30.xml" ContentType="application/vnd.openxmlformats-officedocument.spreadsheetml.comments+xml"/>
  <Override PartName="/xl/drawings/drawing21.xml" ContentType="application/vnd.openxmlformats-officedocument.drawing+xml"/>
  <Override PartName="/xl/comments31.xml" ContentType="application/vnd.openxmlformats-officedocument.spreadsheetml.comments+xml"/>
  <Override PartName="/xl/drawings/drawing22.xml" ContentType="application/vnd.openxmlformats-officedocument.drawing+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635" windowWidth="12120" windowHeight="3585" tabRatio="841"/>
  </bookViews>
  <sheets>
    <sheet name="DTAF" sheetId="542" r:id="rId1"/>
    <sheet name="DTAI" sheetId="550" r:id="rId2"/>
    <sheet name="DTAV" sheetId="552" r:id="rId3"/>
    <sheet name="DTC" sheetId="553" r:id="rId4"/>
    <sheet name="DTD" sheetId="554" r:id="rId5"/>
    <sheet name="DTDP" sheetId="555" r:id="rId6"/>
    <sheet name="DTE" sheetId="556" r:id="rId7"/>
    <sheet name="DTGC" sheetId="557" r:id="rId8"/>
    <sheet name="DTGJ" sheetId="558" r:id="rId9"/>
    <sheet name="DTM" sheetId="559" r:id="rId10"/>
    <sheet name="DTP" sheetId="560" r:id="rId11"/>
    <sheet name="DTPS" sheetId="561" r:id="rId12"/>
    <sheet name="OAC" sheetId="562" r:id="rId13"/>
    <sheet name="OAP" sheetId="563" r:id="rId14"/>
    <sheet name="OCD" sheetId="564" r:id="rId15"/>
    <sheet name="OCI" sheetId="565" r:id="rId16"/>
    <sheet name="OTC" sheetId="566" r:id="rId17"/>
    <sheet name="SGDU" sheetId="567" r:id="rId18"/>
    <sheet name="SGGC" sheetId="568" r:id="rId19"/>
    <sheet name="SGI" sheetId="569" r:id="rId20"/>
    <sheet name="SGJ" sheetId="571" r:id="rId21"/>
    <sheet name="STEST" sheetId="572" r:id="rId22"/>
    <sheet name="STESV" sheetId="573" r:id="rId23"/>
    <sheet name="STJEF" sheetId="574" r:id="rId24"/>
    <sheet name="STMST" sheetId="575" r:id="rId25"/>
    <sheet name="STMSV" sheetId="576" r:id="rId26"/>
    <sheet name="STOP" sheetId="577" r:id="rId27"/>
    <sheet name="STPC" sheetId="578" r:id="rId28"/>
    <sheet name="STRF" sheetId="579" r:id="rId29"/>
    <sheet name="STRH" sheetId="580" r:id="rId30"/>
    <sheet name="STRT" sheetId="581" r:id="rId31"/>
    <sheet name="STTR" sheetId="582"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are1">#REF!</definedName>
    <definedName name="_are2">#REF!</definedName>
    <definedName name="_xlnm._FilterDatabase" localSheetId="20" hidden="1">SGJ!$B$6:$CW$23</definedName>
    <definedName name="_xlnm._FilterDatabase" localSheetId="22" hidden="1">STESV!$C$4:$BY$59</definedName>
    <definedName name="_xlnm._FilterDatabase" localSheetId="30" hidden="1">STRT!$A$7:$CW$25</definedName>
    <definedName name="aca" localSheetId="2">[4]param!$C$2:$C$43</definedName>
    <definedName name="aca" localSheetId="4">[7]param!$C$2:$C$43</definedName>
    <definedName name="aca" localSheetId="5">#REF!</definedName>
    <definedName name="aca" localSheetId="7">[7]param!$C$2:$C$43</definedName>
    <definedName name="aca" localSheetId="10">[15]param!$C$2:$C$43</definedName>
    <definedName name="aca" localSheetId="17">[7]param!$C$2:$C$43</definedName>
    <definedName name="aca" localSheetId="20">[22]param!$C$2:$C$43</definedName>
    <definedName name="aca" localSheetId="22">[24]param!$C$2:$C$43</definedName>
    <definedName name="aca">[1]param!$C$2:$C$43</definedName>
    <definedName name="acaw">#REF!</definedName>
    <definedName name="aja">#REF!</definedName>
    <definedName name="AMARILLO">[2]Cuadro_semaforo!$C$5</definedName>
    <definedName name="AREA">[9]parametros!$D$6:$D$38</definedName>
    <definedName name="_xlnm.Print_Area" localSheetId="0">DTAF!$A$1:$CW$30</definedName>
    <definedName name="_xlnm.Print_Area" localSheetId="2">DTAV!$A:$CV</definedName>
    <definedName name="_xlnm.Print_Area" localSheetId="3">DTC!$A$1:$CY$82</definedName>
    <definedName name="_xlnm.Print_Area" localSheetId="4">DTD!$A$1:$CW$29</definedName>
    <definedName name="_xlnm.Print_Area" localSheetId="5">DTDP!$A$1:$CW$27</definedName>
    <definedName name="_xlnm.Print_Area" localSheetId="7">DTGC!$A$1:$CW$25</definedName>
    <definedName name="_xlnm.Print_Area" localSheetId="10">DTP!$A$1:$V$37</definedName>
    <definedName name="_xlnm.Print_Area" localSheetId="11">DTPS!$A$1:$CW$23</definedName>
    <definedName name="_xlnm.Print_Area" localSheetId="13">OAP!$A$1:$CW$24</definedName>
    <definedName name="_xlnm.Print_Area" localSheetId="15">OCI!$A$1:$CW$22</definedName>
    <definedName name="_xlnm.Print_Area" localSheetId="16">OTC!$A$1:$CW$30</definedName>
    <definedName name="_xlnm.Print_Area" localSheetId="17">SGDU!$B$3:$DB$24</definedName>
    <definedName name="_xlnm.Print_Area" localSheetId="18">SGGC!$B$1:$CW$22</definedName>
    <definedName name="_xlnm.Print_Area" localSheetId="19">SGI!$A$1:$CW$27</definedName>
    <definedName name="_xlnm.Print_Area" localSheetId="20">SGJ!$B$1:$CW$29</definedName>
    <definedName name="_xlnm.Print_Area" localSheetId="21">STEST!$A$1:$CX$52</definedName>
    <definedName name="_xlnm.Print_Area" localSheetId="22">STESV!$A$1:$DI$67</definedName>
    <definedName name="_xlnm.Print_Area" localSheetId="23">STJEF!$A$1:$CW$24</definedName>
    <definedName name="_xlnm.Print_Area" localSheetId="26">STOP!$B$1:$BM$28</definedName>
    <definedName name="_xlnm.Print_Area" localSheetId="27">STPC!$A$1:$AL$20</definedName>
    <definedName name="_xlnm.Print_Area" localSheetId="30">STRT!$A$1:$CW$29</definedName>
    <definedName name="_xlnm.Print_Area" localSheetId="31">STTR!$A$1:$CW$31</definedName>
    <definedName name="coca">#REF!</definedName>
    <definedName name="Decision" localSheetId="5">#REF!</definedName>
    <definedName name="Decision" localSheetId="18">#REF!</definedName>
    <definedName name="Decision">#REF!</definedName>
    <definedName name="diana">#REF!</definedName>
    <definedName name="equis">[9]parametros!$B$8:$B$9</definedName>
    <definedName name="esc">'[10]mision-visión-objetivos'!$E$21:$E$23</definedName>
    <definedName name="esv">'[10]mision-visión-objetivos'!$F$21:$F$23</definedName>
    <definedName name="GER">#REF!</definedName>
    <definedName name="GEREN">[9]parametros!$C$6:$C$38</definedName>
    <definedName name="INI" localSheetId="8">[12]Instrucciones!#REF!</definedName>
    <definedName name="INI" localSheetId="18">[20]Instrucciones!#REF!</definedName>
    <definedName name="INI" localSheetId="27">[26]Instrucciones!#REF!</definedName>
    <definedName name="INI" localSheetId="30">[28]Instrucciones!#REF!</definedName>
    <definedName name="INI">#REF!</definedName>
    <definedName name="INICIATIVAS">#REF!</definedName>
    <definedName name="lineass">[9]parametros!$G$7:$G$26</definedName>
    <definedName name="METAS">#REF!</definedName>
    <definedName name="MetasE" localSheetId="5">[11]Metas!$B$4:$B$45</definedName>
    <definedName name="MetasE" localSheetId="11">[16]Metas!$B$4:$B$45</definedName>
    <definedName name="MetasE" localSheetId="20">[23]Metas!$B$4:$B$45</definedName>
    <definedName name="MetasE" localSheetId="29">[27]Metas!$B$4:$B$45</definedName>
    <definedName name="MetasE">[5]Metas!$B$4:$B$45</definedName>
    <definedName name="MT">#REF!</definedName>
    <definedName name="OBJETIVOS">#REF!</definedName>
    <definedName name="oe">#REF!</definedName>
    <definedName name="PR">#REF!</definedName>
    <definedName name="procesos">#REF!</definedName>
    <definedName name="ROJO">[2]Cuadro_semaforo!$C$4</definedName>
    <definedName name="SUP">#REF!</definedName>
    <definedName name="SUPERIOR">#REF!</definedName>
    <definedName name="_xlnm.Print_Titles" localSheetId="0">DTAF!$A:$H,DTAF!$1:$7</definedName>
    <definedName name="_xlnm.Print_Titles" localSheetId="1">DTAI!$A:$H,DTAI!$1:$7</definedName>
    <definedName name="_xlnm.Print_Titles" localSheetId="2">DTAV!$A:$G,DTAV!$1:$7</definedName>
    <definedName name="_xlnm.Print_Titles" localSheetId="3">DTC!$A:$H,DTC!$1:$7</definedName>
    <definedName name="_xlnm.Print_Titles" localSheetId="4">DTD!$A:$H,DTD!$1:$7</definedName>
    <definedName name="_xlnm.Print_Titles" localSheetId="5">DTDP!$6:$7</definedName>
    <definedName name="_xlnm.Print_Titles" localSheetId="7">DTGC!$A:$H,DTGC!$1:$7</definedName>
    <definedName name="_xlnm.Print_Titles" localSheetId="8">DTGJ!$1:$7</definedName>
    <definedName name="_xlnm.Print_Titles" localSheetId="10">DTP!$1:$7</definedName>
    <definedName name="_xlnm.Print_Titles" localSheetId="11">DTPS!$A:$H,DTPS!$1:$7</definedName>
    <definedName name="_xlnm.Print_Titles" localSheetId="13">OAP!$A:$H,OAP!$1:$7</definedName>
    <definedName name="_xlnm.Print_Titles" localSheetId="14">OCD!$1:$7</definedName>
    <definedName name="_xlnm.Print_Titles" localSheetId="15">OCI!$1:$7</definedName>
    <definedName name="_xlnm.Print_Titles" localSheetId="16">OTC!$A:$H,OTC!$1:$7</definedName>
    <definedName name="_xlnm.Print_Titles" localSheetId="17">SGDU!$A:$H,SGDU!$1:$7</definedName>
    <definedName name="_xlnm.Print_Titles" localSheetId="18">SGGC!$A:$H,SGGC!$1:$7</definedName>
    <definedName name="_xlnm.Print_Titles" localSheetId="19">SGI!$1:$6</definedName>
    <definedName name="_xlnm.Print_Titles" localSheetId="20">SGJ!$A:$H,SGJ!$1:$7</definedName>
    <definedName name="_xlnm.Print_Titles" localSheetId="21">STEST!$A:$H,STEST!$1:$7</definedName>
    <definedName name="_xlnm.Print_Titles" localSheetId="22">STESV!$1:$7</definedName>
    <definedName name="_xlnm.Print_Titles" localSheetId="23">STJEF!$A:$H,STJEF!$1:$7</definedName>
    <definedName name="_xlnm.Print_Titles" localSheetId="26">STOP!$B:$H,STOP!$1:$7</definedName>
    <definedName name="_xlnm.Print_Titles" localSheetId="27">STPC!$1:$7</definedName>
    <definedName name="_xlnm.Print_Titles" localSheetId="29">STRH!$A:$H,STRH!$1:$7</definedName>
    <definedName name="_xlnm.Print_Titles" localSheetId="30">STRT!$A:$J,STRT!$1:$7</definedName>
    <definedName name="_xlnm.Print_Titles" localSheetId="31">STTR!$A:$H,STTR!$1:$7</definedName>
    <definedName name="TODO">[9]parametros!$C$6:$D$38</definedName>
    <definedName name="Valoracion" localSheetId="5">#REF!</definedName>
    <definedName name="Valoracion" localSheetId="18">#REF!</definedName>
    <definedName name="Valoracion">#REF!</definedName>
    <definedName name="VALORACIÓN" localSheetId="5">#REF!</definedName>
    <definedName name="VALORACIÓN" localSheetId="18">#REF!</definedName>
    <definedName name="VALORACIÓN">#REF!</definedName>
  </definedNames>
  <calcPr calcId="145621" fullCalcOnLoad="1"/>
</workbook>
</file>

<file path=xl/calcChain.xml><?xml version="1.0" encoding="utf-8"?>
<calcChain xmlns="http://schemas.openxmlformats.org/spreadsheetml/2006/main">
  <c r="CT19" i="582" l="1"/>
  <c r="CV19" i="582"/>
  <c r="CN19" i="582"/>
  <c r="CP19" i="582"/>
  <c r="CJ19" i="582"/>
  <c r="CH19" i="582"/>
  <c r="CD19" i="582"/>
  <c r="CB19" i="582"/>
  <c r="BV19" i="582"/>
  <c r="BX19" i="582"/>
  <c r="BR19" i="582"/>
  <c r="BP19" i="582"/>
  <c r="BL19" i="582"/>
  <c r="BJ19" i="582"/>
  <c r="BD19" i="582"/>
  <c r="BF19" i="582"/>
  <c r="AZ19" i="582"/>
  <c r="AX19" i="582"/>
  <c r="AT19" i="582"/>
  <c r="AR19" i="582"/>
  <c r="AL19" i="582"/>
  <c r="AN19" i="582"/>
  <c r="AH19" i="582"/>
  <c r="AF19" i="582"/>
  <c r="CT18" i="582"/>
  <c r="CP18" i="582"/>
  <c r="CN18" i="582"/>
  <c r="CJ18" i="582"/>
  <c r="CH18" i="582"/>
  <c r="CD18" i="582"/>
  <c r="CB18" i="582"/>
  <c r="BX18" i="582"/>
  <c r="BV18" i="582"/>
  <c r="BR18" i="582"/>
  <c r="BL18" i="582"/>
  <c r="BJ18" i="582"/>
  <c r="BF18" i="582"/>
  <c r="BD18" i="582"/>
  <c r="AZ18" i="582"/>
  <c r="AX18" i="582"/>
  <c r="AT18" i="582"/>
  <c r="AR18" i="582"/>
  <c r="AN18" i="582"/>
  <c r="AL18" i="582"/>
  <c r="AH18" i="582"/>
  <c r="CV18" i="582"/>
  <c r="AF18" i="582"/>
  <c r="AB18" i="582"/>
  <c r="Z18" i="582"/>
  <c r="CR17" i="582"/>
  <c r="CT17" i="582"/>
  <c r="CV17" i="582"/>
  <c r="CN17" i="582"/>
  <c r="CP17" i="582"/>
  <c r="CL17" i="582"/>
  <c r="CJ17" i="582"/>
  <c r="CH17" i="582"/>
  <c r="CD17" i="582"/>
  <c r="CB17" i="582"/>
  <c r="BX17" i="582"/>
  <c r="BV17" i="582"/>
  <c r="BR17" i="582"/>
  <c r="BP17" i="582"/>
  <c r="BL17" i="582"/>
  <c r="BJ17" i="582"/>
  <c r="AZ17" i="582"/>
  <c r="AX17" i="582"/>
  <c r="AT17" i="582"/>
  <c r="AR17" i="582"/>
  <c r="AN17" i="582"/>
  <c r="AL17" i="582"/>
  <c r="AH17" i="582"/>
  <c r="AF17" i="582"/>
  <c r="AB17" i="582"/>
  <c r="Z17" i="582"/>
  <c r="CV16" i="582"/>
  <c r="CT16" i="582"/>
  <c r="CP16" i="582"/>
  <c r="CN16" i="582"/>
  <c r="CJ16" i="582"/>
  <c r="CH16" i="582"/>
  <c r="CD16" i="582"/>
  <c r="CB16" i="582"/>
  <c r="BX16" i="582"/>
  <c r="BV16" i="582"/>
  <c r="BR16" i="582"/>
  <c r="BP16" i="582"/>
  <c r="BL16" i="582"/>
  <c r="BJ16" i="582"/>
  <c r="BF16" i="582"/>
  <c r="BD16" i="582"/>
  <c r="AZ16" i="582"/>
  <c r="AX16" i="582"/>
  <c r="AT16" i="582"/>
  <c r="AR16" i="582"/>
  <c r="AN16" i="582"/>
  <c r="AL16" i="582"/>
  <c r="AH16" i="582"/>
  <c r="AF16" i="582"/>
  <c r="AB16" i="582"/>
  <c r="Z16" i="582"/>
  <c r="CS14" i="582"/>
  <c r="CT14" i="582"/>
  <c r="CV14" i="582"/>
  <c r="CR14" i="582"/>
  <c r="CP14" i="582"/>
  <c r="CN14" i="582"/>
  <c r="CJ14" i="582"/>
  <c r="CH14" i="582"/>
  <c r="CD14" i="582"/>
  <c r="CB14" i="582"/>
  <c r="BX14" i="582"/>
  <c r="BV14" i="582"/>
  <c r="BR14" i="582"/>
  <c r="BP14" i="582"/>
  <c r="BL14" i="582"/>
  <c r="BJ14" i="582"/>
  <c r="BF14" i="582"/>
  <c r="BD14" i="582"/>
  <c r="AZ14" i="582"/>
  <c r="AX14" i="582"/>
  <c r="AT14" i="582"/>
  <c r="AR14" i="582"/>
  <c r="AN14" i="582"/>
  <c r="AL14" i="582"/>
  <c r="AH14" i="582"/>
  <c r="AF14" i="582"/>
  <c r="AB14" i="582"/>
  <c r="Z14" i="582"/>
  <c r="CS13" i="582"/>
  <c r="CT13" i="582"/>
  <c r="CV13" i="582"/>
  <c r="CR13" i="582"/>
  <c r="CP13" i="582"/>
  <c r="CN13" i="582"/>
  <c r="CJ13" i="582"/>
  <c r="CH13" i="582"/>
  <c r="CD13" i="582"/>
  <c r="CB13" i="582"/>
  <c r="BX13" i="582"/>
  <c r="BV13" i="582"/>
  <c r="BR13" i="582"/>
  <c r="BP13" i="582"/>
  <c r="BL13" i="582"/>
  <c r="BJ13" i="582"/>
  <c r="BF13" i="582"/>
  <c r="BD13" i="582"/>
  <c r="AZ13" i="582"/>
  <c r="AX13" i="582"/>
  <c r="AT13" i="582"/>
  <c r="AR13" i="582"/>
  <c r="AN13" i="582"/>
  <c r="AL13" i="582"/>
  <c r="AH13" i="582"/>
  <c r="AF13" i="582"/>
  <c r="AB13" i="582"/>
  <c r="Z13" i="582"/>
  <c r="CS12" i="582"/>
  <c r="CT12" i="582"/>
  <c r="CV12" i="582"/>
  <c r="CR12" i="582"/>
  <c r="CP12" i="582"/>
  <c r="CN12" i="582"/>
  <c r="CJ12" i="582"/>
  <c r="CH12" i="582"/>
  <c r="CD12" i="582"/>
  <c r="CB12" i="582"/>
  <c r="BX12" i="582"/>
  <c r="BV12" i="582"/>
  <c r="BR12" i="582"/>
  <c r="BP12" i="582"/>
  <c r="BL12" i="582"/>
  <c r="BJ12" i="582"/>
  <c r="BF12" i="582"/>
  <c r="BD12" i="582"/>
  <c r="AZ12" i="582"/>
  <c r="AX12" i="582"/>
  <c r="AT12" i="582"/>
  <c r="AR12" i="582"/>
  <c r="AN12" i="582"/>
  <c r="AL12" i="582"/>
  <c r="AH12" i="582"/>
  <c r="AF12" i="582"/>
  <c r="AB12" i="582"/>
  <c r="Z12" i="582"/>
  <c r="CS11" i="582"/>
  <c r="CT11" i="582"/>
  <c r="CV11" i="582"/>
  <c r="CR11" i="582"/>
  <c r="CP11" i="582"/>
  <c r="CN11" i="582"/>
  <c r="CJ11" i="582"/>
  <c r="CH11" i="582"/>
  <c r="CD11" i="582"/>
  <c r="CB11" i="582"/>
  <c r="BX11" i="582"/>
  <c r="BV11" i="582"/>
  <c r="BR11" i="582"/>
  <c r="BP11" i="582"/>
  <c r="BL11" i="582"/>
  <c r="BJ11" i="582"/>
  <c r="BF11" i="582"/>
  <c r="BD11" i="582"/>
  <c r="AZ11" i="582"/>
  <c r="AX11" i="582"/>
  <c r="AT11" i="582"/>
  <c r="AR11" i="582"/>
  <c r="AN11" i="582"/>
  <c r="AL11" i="582"/>
  <c r="AH11" i="582"/>
  <c r="AF11" i="582"/>
  <c r="AA11" i="582"/>
  <c r="Z11" i="582"/>
  <c r="AB11" i="582"/>
  <c r="Y11" i="582"/>
  <c r="CS10" i="582"/>
  <c r="CP10" i="582"/>
  <c r="CN10" i="582"/>
  <c r="CJ10" i="582"/>
  <c r="CH10" i="582"/>
  <c r="CD10" i="582"/>
  <c r="CB10" i="582"/>
  <c r="BX10" i="582"/>
  <c r="BV10" i="582"/>
  <c r="BR10" i="582"/>
  <c r="BP10" i="582"/>
  <c r="BL10" i="582"/>
  <c r="BJ10" i="582"/>
  <c r="BF10" i="582"/>
  <c r="BD10" i="582"/>
  <c r="AZ10" i="582"/>
  <c r="AX10" i="582"/>
  <c r="AT10" i="582"/>
  <c r="AR10" i="582"/>
  <c r="AN10" i="582"/>
  <c r="AL10" i="582"/>
  <c r="AH10" i="582"/>
  <c r="AF10" i="582"/>
  <c r="AA10" i="582"/>
  <c r="Y10" i="582"/>
  <c r="X10" i="582"/>
  <c r="CR10" i="582"/>
  <c r="CR9" i="582"/>
  <c r="CN9" i="582"/>
  <c r="CP9" i="582"/>
  <c r="CH9" i="582"/>
  <c r="CJ9" i="582"/>
  <c r="CB9" i="582"/>
  <c r="CD9" i="582"/>
  <c r="BV9" i="582"/>
  <c r="BX9" i="582"/>
  <c r="BP9" i="582"/>
  <c r="BR9" i="582"/>
  <c r="BJ9" i="582"/>
  <c r="BL9" i="582"/>
  <c r="BD9" i="582"/>
  <c r="BF9" i="582"/>
  <c r="AX9" i="582"/>
  <c r="AZ9" i="582"/>
  <c r="AR9" i="582"/>
  <c r="AT9" i="582"/>
  <c r="AL9" i="582"/>
  <c r="AN9" i="582"/>
  <c r="AF9" i="582"/>
  <c r="AH9" i="582"/>
  <c r="AA9" i="582"/>
  <c r="Y9" i="582"/>
  <c r="CS9" i="582"/>
  <c r="X9" i="582"/>
  <c r="CS8" i="582"/>
  <c r="CT8" i="582"/>
  <c r="CV8" i="582"/>
  <c r="CR8" i="582"/>
  <c r="CP8" i="582"/>
  <c r="CN8" i="582"/>
  <c r="CJ8" i="582"/>
  <c r="CH8" i="582"/>
  <c r="CD8" i="582"/>
  <c r="CB8" i="582"/>
  <c r="BX8" i="582"/>
  <c r="BV8" i="582"/>
  <c r="BR8" i="582"/>
  <c r="BP8" i="582"/>
  <c r="BL8" i="582"/>
  <c r="BJ8" i="582"/>
  <c r="BF8" i="582"/>
  <c r="BD8" i="582"/>
  <c r="AZ8" i="582"/>
  <c r="AX8" i="582"/>
  <c r="AT8" i="582"/>
  <c r="AR8" i="582"/>
  <c r="AN8" i="582"/>
  <c r="AL8" i="582"/>
  <c r="AH8" i="582"/>
  <c r="AF8" i="582"/>
  <c r="AB8" i="582"/>
  <c r="Z8" i="582"/>
  <c r="CU24" i="581"/>
  <c r="CT24" i="581"/>
  <c r="CV24" i="581"/>
  <c r="CO24" i="581"/>
  <c r="CN24" i="581"/>
  <c r="CP24" i="581"/>
  <c r="CJ24" i="581"/>
  <c r="CH24" i="581"/>
  <c r="CD24" i="581"/>
  <c r="CB24" i="581"/>
  <c r="BX24" i="581"/>
  <c r="BW24" i="581"/>
  <c r="BV24" i="581"/>
  <c r="BR24" i="581"/>
  <c r="BP24" i="581"/>
  <c r="BL24" i="581"/>
  <c r="BJ24" i="581"/>
  <c r="BF24" i="581"/>
  <c r="BD24" i="581"/>
  <c r="AZ24" i="581"/>
  <c r="AX24" i="581"/>
  <c r="AT24" i="581"/>
  <c r="AR24" i="581"/>
  <c r="AM24" i="581"/>
  <c r="AL24" i="581"/>
  <c r="AN24" i="581"/>
  <c r="AH24" i="581"/>
  <c r="AF24" i="581"/>
  <c r="AB24" i="581"/>
  <c r="Z24" i="581"/>
  <c r="CV23" i="581"/>
  <c r="CT23" i="581"/>
  <c r="CP23" i="581"/>
  <c r="CN23" i="581"/>
  <c r="CK23" i="581"/>
  <c r="CQ23" i="581"/>
  <c r="CJ23" i="581"/>
  <c r="CH23" i="581"/>
  <c r="CD23" i="581"/>
  <c r="CC23" i="581"/>
  <c r="CB23" i="581"/>
  <c r="BX23" i="581"/>
  <c r="BV23" i="581"/>
  <c r="BR23" i="581"/>
  <c r="BP23" i="581"/>
  <c r="BL23" i="581"/>
  <c r="BJ23" i="581"/>
  <c r="BF23" i="581"/>
  <c r="BD23" i="581"/>
  <c r="AZ23" i="581"/>
  <c r="AX23" i="581"/>
  <c r="AT23" i="581"/>
  <c r="AR23" i="581"/>
  <c r="AN23" i="581"/>
  <c r="AL23" i="581"/>
  <c r="AH23" i="581"/>
  <c r="AF23" i="581"/>
  <c r="AB23" i="581"/>
  <c r="Z23" i="581"/>
  <c r="CV22" i="581"/>
  <c r="CT22" i="581"/>
  <c r="CQ22" i="581"/>
  <c r="CP22" i="581"/>
  <c r="CN22" i="581"/>
  <c r="CK22" i="581"/>
  <c r="CJ22" i="581"/>
  <c r="CH22" i="581"/>
  <c r="CD22" i="581"/>
  <c r="CC22" i="581"/>
  <c r="CB22" i="581"/>
  <c r="BX22" i="581"/>
  <c r="BV22" i="581"/>
  <c r="BR22" i="581"/>
  <c r="BP22" i="581"/>
  <c r="BL22" i="581"/>
  <c r="BJ22" i="581"/>
  <c r="BF22" i="581"/>
  <c r="BD22" i="581"/>
  <c r="AZ22" i="581"/>
  <c r="AX22" i="581"/>
  <c r="AT22" i="581"/>
  <c r="AR22" i="581"/>
  <c r="AN22" i="581"/>
  <c r="AL22" i="581"/>
  <c r="AH22" i="581"/>
  <c r="AF22" i="581"/>
  <c r="AB22" i="581"/>
  <c r="Z22" i="581"/>
  <c r="CT21" i="581"/>
  <c r="CV21" i="581"/>
  <c r="CP21" i="581"/>
  <c r="CN21" i="581"/>
  <c r="CJ21" i="581"/>
  <c r="CH21" i="581"/>
  <c r="CD21" i="581"/>
  <c r="CB21" i="581"/>
  <c r="BV21" i="581"/>
  <c r="BX21" i="581"/>
  <c r="BP21" i="581"/>
  <c r="BR21" i="581"/>
  <c r="BK21" i="581"/>
  <c r="BJ21" i="581"/>
  <c r="BL21" i="581"/>
  <c r="BF21" i="581"/>
  <c r="BD21" i="581"/>
  <c r="AZ21" i="581"/>
  <c r="AX21" i="581"/>
  <c r="AS21" i="581"/>
  <c r="AR21" i="581"/>
  <c r="AT21" i="581"/>
  <c r="AM21" i="581"/>
  <c r="AL21" i="581"/>
  <c r="AN21" i="581"/>
  <c r="AG21" i="581"/>
  <c r="AF21" i="581"/>
  <c r="AH21" i="581"/>
  <c r="AB21" i="581"/>
  <c r="Z21" i="581"/>
  <c r="CT20" i="581"/>
  <c r="CV20" i="581"/>
  <c r="CP20" i="581"/>
  <c r="CN20" i="581"/>
  <c r="CJ20" i="581"/>
  <c r="CH20" i="581"/>
  <c r="CD20" i="581"/>
  <c r="CB20" i="581"/>
  <c r="BX20" i="581"/>
  <c r="BW20" i="581"/>
  <c r="BV20" i="581"/>
  <c r="BR20" i="581"/>
  <c r="BP20" i="581"/>
  <c r="BL20" i="581"/>
  <c r="BJ20" i="581"/>
  <c r="BF20" i="581"/>
  <c r="BD20" i="581"/>
  <c r="AZ20" i="581"/>
  <c r="AX20" i="581"/>
  <c r="AT20" i="581"/>
  <c r="AS20" i="581"/>
  <c r="AR20" i="581"/>
  <c r="AN20" i="581"/>
  <c r="AL20" i="581"/>
  <c r="AG20" i="581"/>
  <c r="AH20" i="581"/>
  <c r="AF20" i="581"/>
  <c r="AB20" i="581"/>
  <c r="AA20" i="581"/>
  <c r="Z20" i="581"/>
  <c r="CU19" i="581"/>
  <c r="CT19" i="581"/>
  <c r="CV19" i="581"/>
  <c r="CO19" i="581"/>
  <c r="CN19" i="581"/>
  <c r="CP19" i="581"/>
  <c r="CJ19" i="581"/>
  <c r="CH19" i="581"/>
  <c r="CD19" i="581"/>
  <c r="CB19" i="581"/>
  <c r="BX19" i="581"/>
  <c r="BW19" i="581"/>
  <c r="BV19" i="581"/>
  <c r="BR19" i="581"/>
  <c r="BP19" i="581"/>
  <c r="BL19" i="581"/>
  <c r="BJ19" i="581"/>
  <c r="BF19" i="581"/>
  <c r="BD19" i="581"/>
  <c r="AZ19" i="581"/>
  <c r="AX19" i="581"/>
  <c r="AT19" i="581"/>
  <c r="AR19" i="581"/>
  <c r="AN19" i="581"/>
  <c r="AL19" i="581"/>
  <c r="AF19" i="581"/>
  <c r="AB19" i="581"/>
  <c r="Z19" i="581"/>
  <c r="CU18" i="581"/>
  <c r="CT18" i="581"/>
  <c r="CV18" i="581"/>
  <c r="CO18" i="581"/>
  <c r="CN18" i="581"/>
  <c r="CP18" i="581"/>
  <c r="CJ18" i="581"/>
  <c r="CH18" i="581"/>
  <c r="CD18" i="581"/>
  <c r="CB18" i="581"/>
  <c r="BW18" i="581"/>
  <c r="BX18" i="581"/>
  <c r="BV18" i="581"/>
  <c r="BR18" i="581"/>
  <c r="BP18" i="581"/>
  <c r="BL18" i="581"/>
  <c r="BJ18" i="581"/>
  <c r="BF18" i="581"/>
  <c r="BD18" i="581"/>
  <c r="AZ18" i="581"/>
  <c r="AX18" i="581"/>
  <c r="AT18" i="581"/>
  <c r="AR18" i="581"/>
  <c r="AN18" i="581"/>
  <c r="AL18" i="581"/>
  <c r="AH18" i="581"/>
  <c r="AF18" i="581"/>
  <c r="AB18" i="581"/>
  <c r="Z18" i="581"/>
  <c r="CT17" i="581"/>
  <c r="CO17" i="581"/>
  <c r="CU17" i="581"/>
  <c r="CV17" i="581"/>
  <c r="CN17" i="581"/>
  <c r="CP17" i="581"/>
  <c r="CJ17" i="581"/>
  <c r="CH17" i="581"/>
  <c r="CD17" i="581"/>
  <c r="CB17" i="581"/>
  <c r="BW17" i="581"/>
  <c r="BV17" i="581"/>
  <c r="BX17" i="581"/>
  <c r="BR17" i="581"/>
  <c r="BP17" i="581"/>
  <c r="BL17" i="581"/>
  <c r="BJ17" i="581"/>
  <c r="BF17" i="581"/>
  <c r="BD17" i="581"/>
  <c r="AZ17" i="581"/>
  <c r="AX17" i="581"/>
  <c r="AT17" i="581"/>
  <c r="AR17" i="581"/>
  <c r="AN17" i="581"/>
  <c r="AL17" i="581"/>
  <c r="AH17" i="581"/>
  <c r="AF17" i="581"/>
  <c r="AB17" i="581"/>
  <c r="Z17" i="581"/>
  <c r="CU15" i="581"/>
  <c r="CV15" i="581"/>
  <c r="CT15" i="581"/>
  <c r="CP15" i="581"/>
  <c r="CO15" i="581"/>
  <c r="CN15" i="581"/>
  <c r="CJ15" i="581"/>
  <c r="CH15" i="581"/>
  <c r="CD15" i="581"/>
  <c r="CB15" i="581"/>
  <c r="BW15" i="581"/>
  <c r="BV15" i="581"/>
  <c r="BX15" i="581"/>
  <c r="BR15" i="581"/>
  <c r="BP15" i="581"/>
  <c r="BL15" i="581"/>
  <c r="BJ15" i="581"/>
  <c r="BF15" i="581"/>
  <c r="BD15" i="581"/>
  <c r="AZ15" i="581"/>
  <c r="AX15" i="581"/>
  <c r="AT15" i="581"/>
  <c r="AR15" i="581"/>
  <c r="AN15" i="581"/>
  <c r="AL15" i="581"/>
  <c r="AH15" i="581"/>
  <c r="AF15" i="581"/>
  <c r="AB15" i="581"/>
  <c r="Z15" i="581"/>
  <c r="CT14" i="581"/>
  <c r="CV14" i="581"/>
  <c r="CO14" i="581"/>
  <c r="CU14" i="581"/>
  <c r="CN14" i="581"/>
  <c r="CJ14" i="581"/>
  <c r="CH14" i="581"/>
  <c r="CD14" i="581"/>
  <c r="CB14" i="581"/>
  <c r="BX14" i="581"/>
  <c r="BW14" i="581"/>
  <c r="BV14" i="581"/>
  <c r="BR14" i="581"/>
  <c r="BP14" i="581"/>
  <c r="BL14" i="581"/>
  <c r="BF14" i="581"/>
  <c r="BD14" i="581"/>
  <c r="AZ14" i="581"/>
  <c r="AX14" i="581"/>
  <c r="AT14" i="581"/>
  <c r="AR14" i="581"/>
  <c r="AN14" i="581"/>
  <c r="AL14" i="581"/>
  <c r="AH14" i="581"/>
  <c r="AF14" i="581"/>
  <c r="AB14" i="581"/>
  <c r="Z14" i="581"/>
  <c r="CT13" i="581"/>
  <c r="CV13" i="581"/>
  <c r="CO13" i="581"/>
  <c r="CU13" i="581"/>
  <c r="CN13" i="581"/>
  <c r="BX13" i="581"/>
  <c r="BW13" i="581"/>
  <c r="BV13" i="581"/>
  <c r="BD13" i="581"/>
  <c r="BF13" i="581"/>
  <c r="AH13" i="581"/>
  <c r="AF13" i="581"/>
  <c r="CU12" i="581"/>
  <c r="CT12" i="581"/>
  <c r="CV12" i="581"/>
  <c r="CO12" i="581"/>
  <c r="CN12" i="581"/>
  <c r="CP12" i="581"/>
  <c r="CJ12" i="581"/>
  <c r="CH12" i="581"/>
  <c r="CD12" i="581"/>
  <c r="CB12" i="581"/>
  <c r="BW12" i="581"/>
  <c r="BX12" i="581"/>
  <c r="BV12" i="581"/>
  <c r="BR12" i="581"/>
  <c r="BP12" i="581"/>
  <c r="BL12" i="581"/>
  <c r="BJ12" i="581"/>
  <c r="BF12" i="581"/>
  <c r="BD12" i="581"/>
  <c r="AZ12" i="581"/>
  <c r="AX12" i="581"/>
  <c r="AT12" i="581"/>
  <c r="AR12" i="581"/>
  <c r="AN12" i="581"/>
  <c r="AL12" i="581"/>
  <c r="AH12" i="581"/>
  <c r="AF12" i="581"/>
  <c r="AB12" i="581"/>
  <c r="Z12" i="581"/>
  <c r="CT11" i="581"/>
  <c r="CO11" i="581"/>
  <c r="CU11" i="581"/>
  <c r="CV11" i="581"/>
  <c r="CN11" i="581"/>
  <c r="CP11" i="581"/>
  <c r="BW11" i="581"/>
  <c r="BD11" i="581"/>
  <c r="BF11" i="581"/>
  <c r="AH11" i="581"/>
  <c r="AF11" i="581"/>
  <c r="CU10" i="581"/>
  <c r="CT10" i="581"/>
  <c r="CV10" i="581"/>
  <c r="CO10" i="581"/>
  <c r="CN10" i="581"/>
  <c r="CP10" i="581"/>
  <c r="CJ10" i="581"/>
  <c r="CH10" i="581"/>
  <c r="CD10" i="581"/>
  <c r="CB10" i="581"/>
  <c r="BX10" i="581"/>
  <c r="BW10" i="581"/>
  <c r="BV10" i="581"/>
  <c r="BR10" i="581"/>
  <c r="BP10" i="581"/>
  <c r="BL10" i="581"/>
  <c r="BJ10" i="581"/>
  <c r="BF10" i="581"/>
  <c r="BD10" i="581"/>
  <c r="AZ10" i="581"/>
  <c r="AX10" i="581"/>
  <c r="AT10" i="581"/>
  <c r="AR10" i="581"/>
  <c r="AN10" i="581"/>
  <c r="AL10" i="581"/>
  <c r="AH10" i="581"/>
  <c r="AF10" i="581"/>
  <c r="AB10" i="581"/>
  <c r="Z10" i="581"/>
  <c r="CS9" i="581"/>
  <c r="CR9" i="581"/>
  <c r="CT9" i="581"/>
  <c r="CO9" i="581"/>
  <c r="CU9" i="581"/>
  <c r="CN9" i="581"/>
  <c r="CP9" i="581"/>
  <c r="BX9" i="581"/>
  <c r="BW9" i="581"/>
  <c r="BV9" i="581"/>
  <c r="BD9" i="581"/>
  <c r="BF9" i="581"/>
  <c r="AL9" i="581"/>
  <c r="AN9" i="581"/>
  <c r="AH9" i="581"/>
  <c r="AF9" i="581"/>
  <c r="CU8" i="581"/>
  <c r="CT8" i="581"/>
  <c r="CV8" i="581"/>
  <c r="CP8" i="581"/>
  <c r="CO8" i="581"/>
  <c r="CN8" i="581"/>
  <c r="CJ8" i="581"/>
  <c r="CH8" i="581"/>
  <c r="CD8" i="581"/>
  <c r="CB8" i="581"/>
  <c r="BW8" i="581"/>
  <c r="BX8" i="581"/>
  <c r="BV8" i="581"/>
  <c r="BR8" i="581"/>
  <c r="BP8" i="581"/>
  <c r="BL8" i="581"/>
  <c r="BJ8" i="581"/>
  <c r="BF8" i="581"/>
  <c r="BD8" i="581"/>
  <c r="AZ8" i="581"/>
  <c r="AX8" i="581"/>
  <c r="AT8" i="581"/>
  <c r="AR8" i="581"/>
  <c r="AN8" i="581"/>
  <c r="AL8" i="581"/>
  <c r="AH8" i="581"/>
  <c r="AF8" i="581"/>
  <c r="AB8" i="581"/>
  <c r="Z8" i="581"/>
  <c r="CP24" i="580"/>
  <c r="CN24" i="580"/>
  <c r="CJ24" i="580"/>
  <c r="CH24" i="580"/>
  <c r="CD24" i="580"/>
  <c r="CB24" i="580"/>
  <c r="BX24" i="580"/>
  <c r="BV24" i="580"/>
  <c r="BR24" i="580"/>
  <c r="BP24" i="580"/>
  <c r="BL24" i="580"/>
  <c r="BJ24" i="580"/>
  <c r="BF24" i="580"/>
  <c r="BD24" i="580"/>
  <c r="AZ24" i="580"/>
  <c r="AX24" i="580"/>
  <c r="AT24" i="580"/>
  <c r="AR24" i="580"/>
  <c r="AN24" i="580"/>
  <c r="CR24" i="580"/>
  <c r="CT24" i="580"/>
  <c r="CV24" i="580"/>
  <c r="AL24" i="580"/>
  <c r="AH24" i="580"/>
  <c r="AF24" i="580"/>
  <c r="AB24" i="580"/>
  <c r="Z24" i="580"/>
  <c r="CS23" i="580"/>
  <c r="CT23" i="580"/>
  <c r="CR23" i="580"/>
  <c r="CP23" i="580"/>
  <c r="CN23" i="580"/>
  <c r="CJ23" i="580"/>
  <c r="CH23" i="580"/>
  <c r="CD23" i="580"/>
  <c r="CB23" i="580"/>
  <c r="BX23" i="580"/>
  <c r="BV23" i="580"/>
  <c r="BR23" i="580"/>
  <c r="BP23" i="580"/>
  <c r="BL23" i="580"/>
  <c r="BJ23" i="580"/>
  <c r="BF23" i="580"/>
  <c r="BD23" i="580"/>
  <c r="AZ23" i="580"/>
  <c r="AX23" i="580"/>
  <c r="AT23" i="580"/>
  <c r="AR23" i="580"/>
  <c r="AN23" i="580"/>
  <c r="AL23" i="580"/>
  <c r="AH23" i="580"/>
  <c r="AF23" i="580"/>
  <c r="AB23" i="580"/>
  <c r="Z23" i="580"/>
  <c r="CS22" i="580"/>
  <c r="CT22" i="580"/>
  <c r="CR22" i="580"/>
  <c r="CP22" i="580"/>
  <c r="CN22" i="580"/>
  <c r="CJ22" i="580"/>
  <c r="CH22" i="580"/>
  <c r="CD22" i="580"/>
  <c r="CB22" i="580"/>
  <c r="BX22" i="580"/>
  <c r="BV22" i="580"/>
  <c r="BR22" i="580"/>
  <c r="BP22" i="580"/>
  <c r="BL22" i="580"/>
  <c r="BJ22" i="580"/>
  <c r="BF22" i="580"/>
  <c r="BD22" i="580"/>
  <c r="AZ22" i="580"/>
  <c r="AX22" i="580"/>
  <c r="AT22" i="580"/>
  <c r="AR22" i="580"/>
  <c r="AN22" i="580"/>
  <c r="AL22" i="580"/>
  <c r="AH22" i="580"/>
  <c r="AF22" i="580"/>
  <c r="AB22" i="580"/>
  <c r="Z22" i="580"/>
  <c r="CT21" i="580"/>
  <c r="CV21" i="580"/>
  <c r="CR21" i="580"/>
  <c r="CP21" i="580"/>
  <c r="CO21" i="580"/>
  <c r="CN21" i="580"/>
  <c r="CJ21" i="580"/>
  <c r="CI21" i="580"/>
  <c r="CH21" i="580"/>
  <c r="CD21" i="580"/>
  <c r="CC21" i="580"/>
  <c r="CB21" i="580"/>
  <c r="BW21" i="580"/>
  <c r="BX21" i="580"/>
  <c r="BV21" i="580"/>
  <c r="BQ21" i="580"/>
  <c r="BP21" i="580"/>
  <c r="BR21" i="580"/>
  <c r="BK21" i="580"/>
  <c r="BJ21" i="580"/>
  <c r="BL21" i="580"/>
  <c r="BF21" i="580"/>
  <c r="BE21" i="580"/>
  <c r="BD21" i="580"/>
  <c r="AY21" i="580"/>
  <c r="AZ21" i="580"/>
  <c r="AX21" i="580"/>
  <c r="AS21" i="580"/>
  <c r="AR21" i="580"/>
  <c r="AT21" i="580"/>
  <c r="AM21" i="580"/>
  <c r="AL21" i="580"/>
  <c r="AN21" i="580"/>
  <c r="AH21" i="580"/>
  <c r="AG21" i="580"/>
  <c r="AF21" i="580"/>
  <c r="AA21" i="580"/>
  <c r="CU21" i="580"/>
  <c r="Z21" i="580"/>
  <c r="CT20" i="580"/>
  <c r="CR20" i="580"/>
  <c r="CP20" i="580"/>
  <c r="CO20" i="580"/>
  <c r="CN20" i="580"/>
  <c r="CJ20" i="580"/>
  <c r="CI20" i="580"/>
  <c r="CH20" i="580"/>
  <c r="CD20" i="580"/>
  <c r="CC20" i="580"/>
  <c r="CB20" i="580"/>
  <c r="BX20" i="580"/>
  <c r="BV20" i="580"/>
  <c r="BR20" i="580"/>
  <c r="BP20" i="580"/>
  <c r="BL20" i="580"/>
  <c r="BJ20" i="580"/>
  <c r="BE20" i="580"/>
  <c r="BD20" i="580"/>
  <c r="BF20" i="580"/>
  <c r="AZ20" i="580"/>
  <c r="AY20" i="580"/>
  <c r="AX20" i="580"/>
  <c r="AT20" i="580"/>
  <c r="AS20" i="580"/>
  <c r="AR20" i="580"/>
  <c r="AM20" i="580"/>
  <c r="AL20" i="580"/>
  <c r="AN20" i="580"/>
  <c r="AH20" i="580"/>
  <c r="AG20" i="580"/>
  <c r="CU20" i="580"/>
  <c r="AF20" i="580"/>
  <c r="AB20" i="580"/>
  <c r="AA20" i="580"/>
  <c r="Z20" i="580"/>
  <c r="CT19" i="580"/>
  <c r="CV19" i="580"/>
  <c r="CP19" i="580"/>
  <c r="CN19" i="580"/>
  <c r="CJ19" i="580"/>
  <c r="CH19" i="580"/>
  <c r="CD19" i="580"/>
  <c r="CB19" i="580"/>
  <c r="BX19" i="580"/>
  <c r="BV19" i="580"/>
  <c r="BR19" i="580"/>
  <c r="BP19" i="580"/>
  <c r="BL19" i="580"/>
  <c r="BJ19" i="580"/>
  <c r="BD19" i="580"/>
  <c r="BF19" i="580"/>
  <c r="AZ19" i="580"/>
  <c r="AX19" i="580"/>
  <c r="AT19" i="580"/>
  <c r="AR19" i="580"/>
  <c r="AN19" i="580"/>
  <c r="AL19" i="580"/>
  <c r="AH19" i="580"/>
  <c r="AF19" i="580"/>
  <c r="AB19" i="580"/>
  <c r="Z19" i="580"/>
  <c r="CT18" i="580"/>
  <c r="CV18" i="580"/>
  <c r="CR18" i="580"/>
  <c r="CP18" i="580"/>
  <c r="CN18" i="580"/>
  <c r="CJ18" i="580"/>
  <c r="CH18" i="580"/>
  <c r="CD18" i="580"/>
  <c r="CB18" i="580"/>
  <c r="BR18" i="580"/>
  <c r="BP18" i="580"/>
  <c r="BL18" i="580"/>
  <c r="BJ18" i="580"/>
  <c r="BF18" i="580"/>
  <c r="BD18" i="580"/>
  <c r="AZ18" i="580"/>
  <c r="AX18" i="580"/>
  <c r="AT18" i="580"/>
  <c r="AR18" i="580"/>
  <c r="AH18" i="580"/>
  <c r="AF18" i="580"/>
  <c r="AB18" i="580"/>
  <c r="Z18" i="580"/>
  <c r="CV17" i="580"/>
  <c r="CT17" i="580"/>
  <c r="CP17" i="580"/>
  <c r="CN17" i="580"/>
  <c r="CJ17" i="580"/>
  <c r="CH17" i="580"/>
  <c r="CD17" i="580"/>
  <c r="CB17" i="580"/>
  <c r="BX17" i="580"/>
  <c r="BV17" i="580"/>
  <c r="BR17" i="580"/>
  <c r="BP17" i="580"/>
  <c r="BL17" i="580"/>
  <c r="BJ17" i="580"/>
  <c r="BF17" i="580"/>
  <c r="BD17" i="580"/>
  <c r="AZ17" i="580"/>
  <c r="AX17" i="580"/>
  <c r="AT17" i="580"/>
  <c r="AR17" i="580"/>
  <c r="AN17" i="580"/>
  <c r="AL17" i="580"/>
  <c r="AH17" i="580"/>
  <c r="AF17" i="580"/>
  <c r="AB17" i="580"/>
  <c r="Z17" i="580"/>
  <c r="CV15" i="580"/>
  <c r="CT15" i="580"/>
  <c r="CP15" i="580"/>
  <c r="CN15" i="580"/>
  <c r="CJ15" i="580"/>
  <c r="CH15" i="580"/>
  <c r="CD15" i="580"/>
  <c r="CB15" i="580"/>
  <c r="BX15" i="580"/>
  <c r="BV15" i="580"/>
  <c r="BR15" i="580"/>
  <c r="BP15" i="580"/>
  <c r="BL15" i="580"/>
  <c r="BJ15" i="580"/>
  <c r="BF15" i="580"/>
  <c r="BD15" i="580"/>
  <c r="AZ15" i="580"/>
  <c r="AX15" i="580"/>
  <c r="AT15" i="580"/>
  <c r="AR15" i="580"/>
  <c r="AN15" i="580"/>
  <c r="AL15" i="580"/>
  <c r="AH15" i="580"/>
  <c r="AF15" i="580"/>
  <c r="AB15" i="580"/>
  <c r="Z15" i="580"/>
  <c r="CV14" i="580"/>
  <c r="CT14" i="580"/>
  <c r="CP14" i="580"/>
  <c r="CN14" i="580"/>
  <c r="CJ14" i="580"/>
  <c r="CH14" i="580"/>
  <c r="CD14" i="580"/>
  <c r="CB14" i="580"/>
  <c r="BX14" i="580"/>
  <c r="BV14" i="580"/>
  <c r="BR14" i="580"/>
  <c r="BP14" i="580"/>
  <c r="BL14" i="580"/>
  <c r="BJ14" i="580"/>
  <c r="BF14" i="580"/>
  <c r="BD14" i="580"/>
  <c r="AZ14" i="580"/>
  <c r="AX14" i="580"/>
  <c r="AT14" i="580"/>
  <c r="AR14" i="580"/>
  <c r="AN14" i="580"/>
  <c r="AL14" i="580"/>
  <c r="AH14" i="580"/>
  <c r="AF14" i="580"/>
  <c r="AB14" i="580"/>
  <c r="Z14" i="580"/>
  <c r="CS13" i="580"/>
  <c r="CT13" i="580"/>
  <c r="CR13" i="580"/>
  <c r="CO13" i="580"/>
  <c r="CN13" i="580"/>
  <c r="CP13" i="580"/>
  <c r="CH13" i="580"/>
  <c r="CJ13" i="580"/>
  <c r="CB13" i="580"/>
  <c r="CD13" i="580"/>
  <c r="BV13" i="580"/>
  <c r="BX13" i="580"/>
  <c r="BP13" i="580"/>
  <c r="BR13" i="580"/>
  <c r="BJ13" i="580"/>
  <c r="BL13" i="580"/>
  <c r="BD13" i="580"/>
  <c r="BF13" i="580"/>
  <c r="AX13" i="580"/>
  <c r="AZ13" i="580"/>
  <c r="AR13" i="580"/>
  <c r="AT13" i="580"/>
  <c r="AL13" i="580"/>
  <c r="AN13" i="580"/>
  <c r="AF13" i="580"/>
  <c r="AH13" i="580"/>
  <c r="AB13" i="580"/>
  <c r="Z13" i="580"/>
  <c r="CT12" i="580"/>
  <c r="CV12" i="580"/>
  <c r="CS12" i="580"/>
  <c r="CR12" i="580"/>
  <c r="CO12" i="580"/>
  <c r="CP12" i="580"/>
  <c r="CH12" i="580"/>
  <c r="CJ12" i="580"/>
  <c r="CB12" i="580"/>
  <c r="CD12" i="580"/>
  <c r="BV12" i="580"/>
  <c r="BX12" i="580"/>
  <c r="BP12" i="580"/>
  <c r="BR12" i="580"/>
  <c r="BJ12" i="580"/>
  <c r="BL12" i="580"/>
  <c r="BD12" i="580"/>
  <c r="BF12" i="580"/>
  <c r="AX12" i="580"/>
  <c r="AT12" i="580"/>
  <c r="AR12" i="580"/>
  <c r="AL12" i="580"/>
  <c r="AF12" i="580"/>
  <c r="AH12" i="580"/>
  <c r="AB12" i="580"/>
  <c r="Z12" i="580"/>
  <c r="CS11" i="580"/>
  <c r="CR11" i="580"/>
  <c r="CT11" i="580"/>
  <c r="CO11" i="580"/>
  <c r="CN11" i="580"/>
  <c r="CP11" i="580"/>
  <c r="CJ11" i="580"/>
  <c r="CH11" i="580"/>
  <c r="CD11" i="580"/>
  <c r="CB11" i="580"/>
  <c r="BX11" i="580"/>
  <c r="BV11" i="580"/>
  <c r="BR11" i="580"/>
  <c r="BP11" i="580"/>
  <c r="BL11" i="580"/>
  <c r="BJ11" i="580"/>
  <c r="BF11" i="580"/>
  <c r="BD11" i="580"/>
  <c r="AZ11" i="580"/>
  <c r="AX11" i="580"/>
  <c r="AT11" i="580"/>
  <c r="AR11" i="580"/>
  <c r="AN11" i="580"/>
  <c r="AL11" i="580"/>
  <c r="AH11" i="580"/>
  <c r="AF11" i="580"/>
  <c r="CV10" i="580"/>
  <c r="CT10" i="580"/>
  <c r="CO10" i="580"/>
  <c r="CN10" i="580"/>
  <c r="CP10" i="580"/>
  <c r="CH10" i="580"/>
  <c r="CJ10" i="580"/>
  <c r="CB10" i="580"/>
  <c r="CD10" i="580"/>
  <c r="BV10" i="580"/>
  <c r="BX10" i="580"/>
  <c r="BP10" i="580"/>
  <c r="BR10" i="580"/>
  <c r="BJ10" i="580"/>
  <c r="BL10" i="580"/>
  <c r="BD10" i="580"/>
  <c r="BF10" i="580"/>
  <c r="AX10" i="580"/>
  <c r="AZ10" i="580"/>
  <c r="AR10" i="580"/>
  <c r="AT10" i="580"/>
  <c r="AL10" i="580"/>
  <c r="AN10" i="580"/>
  <c r="AF10" i="580"/>
  <c r="AH10" i="580"/>
  <c r="AB10" i="580"/>
  <c r="Z10" i="580"/>
  <c r="CT9" i="580"/>
  <c r="CV9" i="580"/>
  <c r="CS9" i="580"/>
  <c r="CP9" i="580"/>
  <c r="CO9" i="580"/>
  <c r="CJ9" i="580"/>
  <c r="CH9" i="580"/>
  <c r="CD9" i="580"/>
  <c r="CB9" i="580"/>
  <c r="BX9" i="580"/>
  <c r="BV9" i="580"/>
  <c r="BR9" i="580"/>
  <c r="BP9" i="580"/>
  <c r="BI9" i="580"/>
  <c r="BJ9" i="580"/>
  <c r="BL9" i="580"/>
  <c r="BH9" i="580"/>
  <c r="BF9" i="580"/>
  <c r="BD9" i="580"/>
  <c r="AZ9" i="580"/>
  <c r="AX9" i="580"/>
  <c r="AT9" i="580"/>
  <c r="AR9" i="580"/>
  <c r="AN9" i="580"/>
  <c r="AL9" i="580"/>
  <c r="AH9" i="580"/>
  <c r="AF9" i="580"/>
  <c r="AB9" i="580"/>
  <c r="Z9" i="580"/>
  <c r="CS8" i="580"/>
  <c r="CT8" i="580"/>
  <c r="CV8" i="580"/>
  <c r="CR8" i="580"/>
  <c r="CP8" i="580"/>
  <c r="CO8" i="580"/>
  <c r="CN8" i="580"/>
  <c r="CH8" i="580"/>
  <c r="CJ8" i="580"/>
  <c r="CB8" i="580"/>
  <c r="CD8" i="580"/>
  <c r="BV8" i="580"/>
  <c r="BX8" i="580"/>
  <c r="BP8" i="580"/>
  <c r="BR8" i="580"/>
  <c r="BJ8" i="580"/>
  <c r="BL8" i="580"/>
  <c r="BD8" i="580"/>
  <c r="BF8" i="580"/>
  <c r="AZ8" i="580"/>
  <c r="AX8" i="580"/>
  <c r="AT8" i="580"/>
  <c r="AR8" i="580"/>
  <c r="AL8" i="580"/>
  <c r="AN8" i="580"/>
  <c r="AH8" i="580"/>
  <c r="AF8" i="580"/>
  <c r="AB8" i="580"/>
  <c r="Z8" i="580"/>
  <c r="CP29" i="579"/>
  <c r="CN29" i="579"/>
  <c r="CJ29" i="579"/>
  <c r="CH29" i="579"/>
  <c r="CD29" i="579"/>
  <c r="CB29" i="579"/>
  <c r="BX29" i="579"/>
  <c r="CR29" i="579"/>
  <c r="CT29" i="579"/>
  <c r="CV29" i="579"/>
  <c r="BV29" i="579"/>
  <c r="BR29" i="579"/>
  <c r="BP29" i="579"/>
  <c r="BL29" i="579"/>
  <c r="BJ29" i="579"/>
  <c r="BF29" i="579"/>
  <c r="BD29" i="579"/>
  <c r="AT29" i="579"/>
  <c r="AR29" i="579"/>
  <c r="AN29" i="579"/>
  <c r="AL29" i="579"/>
  <c r="AH29" i="579"/>
  <c r="AF29" i="579"/>
  <c r="AB29" i="579"/>
  <c r="Z29" i="579"/>
  <c r="CP28" i="579"/>
  <c r="CO28" i="579"/>
  <c r="CN28" i="579"/>
  <c r="CH28" i="579"/>
  <c r="CJ28" i="579"/>
  <c r="CB28" i="579"/>
  <c r="CA28" i="579"/>
  <c r="CD28" i="579"/>
  <c r="BU28" i="579"/>
  <c r="BV28" i="579"/>
  <c r="BX28" i="579"/>
  <c r="BP28" i="579"/>
  <c r="BR28" i="579"/>
  <c r="BE28" i="579"/>
  <c r="BD28" i="579"/>
  <c r="BF28" i="579"/>
  <c r="AZ28" i="579"/>
  <c r="AR28" i="579"/>
  <c r="AQ28" i="579"/>
  <c r="AT28" i="579"/>
  <c r="AN28" i="579"/>
  <c r="AL28" i="579"/>
  <c r="AH28" i="579"/>
  <c r="AG28" i="579"/>
  <c r="AF28" i="579"/>
  <c r="AB28" i="579"/>
  <c r="AA28" i="579"/>
  <c r="Z28" i="579"/>
  <c r="CP27" i="579"/>
  <c r="CO27" i="579"/>
  <c r="CN27" i="579"/>
  <c r="CJ27" i="579"/>
  <c r="CH27" i="579"/>
  <c r="CB27" i="579"/>
  <c r="CA27" i="579"/>
  <c r="CD27" i="579"/>
  <c r="BU27" i="579"/>
  <c r="BV27" i="579"/>
  <c r="BX27" i="579"/>
  <c r="BP27" i="579"/>
  <c r="BR27" i="579"/>
  <c r="BL27" i="579"/>
  <c r="BE27" i="579"/>
  <c r="BD27" i="579"/>
  <c r="BF27" i="579"/>
  <c r="AZ27" i="579"/>
  <c r="AQ27" i="579"/>
  <c r="AR27" i="579"/>
  <c r="AL27" i="579"/>
  <c r="AN27" i="579"/>
  <c r="AH27" i="579"/>
  <c r="AG27" i="579"/>
  <c r="AF27" i="579"/>
  <c r="AB27" i="579"/>
  <c r="AA27" i="579"/>
  <c r="Z27" i="579"/>
  <c r="CT26" i="579"/>
  <c r="CP26" i="579"/>
  <c r="CN26" i="579"/>
  <c r="CJ26" i="579"/>
  <c r="CH26" i="579"/>
  <c r="CD26" i="579"/>
  <c r="CB26" i="579"/>
  <c r="BX26" i="579"/>
  <c r="BV26" i="579"/>
  <c r="BR26" i="579"/>
  <c r="BP26" i="579"/>
  <c r="BL26" i="579"/>
  <c r="BJ26" i="579"/>
  <c r="BE26" i="579"/>
  <c r="BD26" i="579"/>
  <c r="BF26" i="579"/>
  <c r="AZ26" i="579"/>
  <c r="AX26" i="579"/>
  <c r="AT26" i="579"/>
  <c r="AR26" i="579"/>
  <c r="AN26" i="579"/>
  <c r="AL26" i="579"/>
  <c r="AH26" i="579"/>
  <c r="AF26" i="579"/>
  <c r="AB26" i="579"/>
  <c r="Z26" i="579"/>
  <c r="CT25" i="579"/>
  <c r="CV25" i="579"/>
  <c r="CR25" i="579"/>
  <c r="CP25" i="579"/>
  <c r="CN25" i="579"/>
  <c r="CJ25" i="579"/>
  <c r="CH25" i="579"/>
  <c r="CD25" i="579"/>
  <c r="CB25" i="579"/>
  <c r="BX25" i="579"/>
  <c r="BV25" i="579"/>
  <c r="BR25" i="579"/>
  <c r="BP25" i="579"/>
  <c r="BL25" i="579"/>
  <c r="BJ25" i="579"/>
  <c r="AZ25" i="579"/>
  <c r="AX25" i="579"/>
  <c r="AT25" i="579"/>
  <c r="AR25" i="579"/>
  <c r="AH25" i="579"/>
  <c r="AF25" i="579"/>
  <c r="AB25" i="579"/>
  <c r="Z25" i="579"/>
  <c r="CV24" i="579"/>
  <c r="CT24" i="579"/>
  <c r="CP24" i="579"/>
  <c r="CN24" i="579"/>
  <c r="CJ24" i="579"/>
  <c r="CH24" i="579"/>
  <c r="CD24" i="579"/>
  <c r="CB24" i="579"/>
  <c r="BX24" i="579"/>
  <c r="BV24" i="579"/>
  <c r="BR24" i="579"/>
  <c r="BP24" i="579"/>
  <c r="BL24" i="579"/>
  <c r="BJ24" i="579"/>
  <c r="AZ24" i="579"/>
  <c r="AX24" i="579"/>
  <c r="AQ24" i="579"/>
  <c r="AR24" i="579"/>
  <c r="AP24" i="579"/>
  <c r="AN24" i="579"/>
  <c r="AL24" i="579"/>
  <c r="AH24" i="579"/>
  <c r="AF24" i="579"/>
  <c r="AB24" i="579"/>
  <c r="Z24" i="579"/>
  <c r="CT22" i="579"/>
  <c r="CN22" i="579"/>
  <c r="CP22" i="579"/>
  <c r="CJ22" i="579"/>
  <c r="CH22" i="579"/>
  <c r="CB22" i="579"/>
  <c r="CD22" i="579"/>
  <c r="BX22" i="579"/>
  <c r="BV22" i="579"/>
  <c r="BP22" i="579"/>
  <c r="BR22" i="579"/>
  <c r="BL22" i="579"/>
  <c r="BJ22" i="579"/>
  <c r="BF22" i="579"/>
  <c r="AZ22" i="579"/>
  <c r="AX22" i="579"/>
  <c r="AT22" i="579"/>
  <c r="AR22" i="579"/>
  <c r="AN22" i="579"/>
  <c r="AL22" i="579"/>
  <c r="AH22" i="579"/>
  <c r="AF22" i="579"/>
  <c r="AB22" i="579"/>
  <c r="Z22" i="579"/>
  <c r="CR21" i="579"/>
  <c r="CT21" i="579"/>
  <c r="CV21" i="579"/>
  <c r="CN21" i="579"/>
  <c r="CP21" i="579"/>
  <c r="CJ21" i="579"/>
  <c r="CH21" i="579"/>
  <c r="CD21" i="579"/>
  <c r="CB21" i="579"/>
  <c r="BV21" i="579"/>
  <c r="BX21" i="579"/>
  <c r="BR21" i="579"/>
  <c r="BP21" i="579"/>
  <c r="BL21" i="579"/>
  <c r="BJ21" i="579"/>
  <c r="BD21" i="579"/>
  <c r="BF21" i="579"/>
  <c r="AZ21" i="579"/>
  <c r="AX21" i="579"/>
  <c r="AT21" i="579"/>
  <c r="AR21" i="579"/>
  <c r="AL21" i="579"/>
  <c r="AN21" i="579"/>
  <c r="AH21" i="579"/>
  <c r="AF21" i="579"/>
  <c r="AB21" i="579"/>
  <c r="Z21" i="579"/>
  <c r="CP20" i="579"/>
  <c r="CN20" i="579"/>
  <c r="CH20" i="579"/>
  <c r="CJ20" i="579"/>
  <c r="CA20" i="579"/>
  <c r="BV20" i="579"/>
  <c r="BX20" i="579"/>
  <c r="BU20" i="579"/>
  <c r="BT20" i="579"/>
  <c r="BZ20" i="579"/>
  <c r="CB20" i="579"/>
  <c r="CD20" i="579"/>
  <c r="BP20" i="579"/>
  <c r="BR20" i="579"/>
  <c r="BL20" i="579"/>
  <c r="BF20" i="579"/>
  <c r="AX20" i="579"/>
  <c r="AZ20" i="579"/>
  <c r="AW20" i="579"/>
  <c r="AV20" i="579"/>
  <c r="AR20" i="579"/>
  <c r="AT20" i="579"/>
  <c r="AQ20" i="579"/>
  <c r="AP20" i="579"/>
  <c r="AL20" i="579"/>
  <c r="AN20" i="579"/>
  <c r="AH20" i="579"/>
  <c r="AF20" i="579"/>
  <c r="AB20" i="579"/>
  <c r="Z20" i="579"/>
  <c r="N20" i="579"/>
  <c r="O20" i="579"/>
  <c r="P20" i="579"/>
  <c r="Q20" i="579"/>
  <c r="R20" i="579"/>
  <c r="S20" i="579"/>
  <c r="M20" i="579"/>
  <c r="CP19" i="579"/>
  <c r="CN19" i="579"/>
  <c r="CJ19" i="579"/>
  <c r="CH19" i="579"/>
  <c r="CA19" i="579"/>
  <c r="CB19" i="579"/>
  <c r="CD19" i="579"/>
  <c r="BV19" i="579"/>
  <c r="BX19" i="579"/>
  <c r="BU19" i="579"/>
  <c r="BR19" i="579"/>
  <c r="BP19" i="579"/>
  <c r="BL19" i="579"/>
  <c r="BF19" i="579"/>
  <c r="AW19" i="579"/>
  <c r="AX19" i="579"/>
  <c r="AR19" i="579"/>
  <c r="AQ19" i="579"/>
  <c r="AT19" i="579"/>
  <c r="AN19" i="579"/>
  <c r="AL19" i="579"/>
  <c r="AH19" i="579"/>
  <c r="AF19" i="579"/>
  <c r="AB19" i="579"/>
  <c r="Z19" i="579"/>
  <c r="CP18" i="579"/>
  <c r="CN18" i="579"/>
  <c r="CA18" i="579"/>
  <c r="BV18" i="579"/>
  <c r="BX18" i="579"/>
  <c r="BU18" i="579"/>
  <c r="BT18" i="579"/>
  <c r="BZ18" i="579"/>
  <c r="BP18" i="579"/>
  <c r="BR18" i="579"/>
  <c r="BL18" i="579"/>
  <c r="BF18" i="579"/>
  <c r="AX18" i="579"/>
  <c r="AZ18" i="579"/>
  <c r="AW18" i="579"/>
  <c r="AV18" i="579"/>
  <c r="AR18" i="579"/>
  <c r="AT18" i="579"/>
  <c r="AQ18" i="579"/>
  <c r="AP18" i="579"/>
  <c r="AL18" i="579"/>
  <c r="AN18" i="579"/>
  <c r="AH18" i="579"/>
  <c r="AF18" i="579"/>
  <c r="AB18" i="579"/>
  <c r="Z18" i="579"/>
  <c r="M18" i="579"/>
  <c r="N18" i="579"/>
  <c r="O18" i="579"/>
  <c r="P18" i="579"/>
  <c r="Q18" i="579"/>
  <c r="R18" i="579"/>
  <c r="CP17" i="579"/>
  <c r="CN17" i="579"/>
  <c r="CJ17" i="579"/>
  <c r="CH17" i="579"/>
  <c r="CB17" i="579"/>
  <c r="CD17" i="579"/>
  <c r="CA17" i="579"/>
  <c r="BU17" i="579"/>
  <c r="BV17" i="579"/>
  <c r="BP17" i="579"/>
  <c r="BR17" i="579"/>
  <c r="BL17" i="579"/>
  <c r="BF17" i="579"/>
  <c r="AX17" i="579"/>
  <c r="AW17" i="579"/>
  <c r="AZ17" i="579"/>
  <c r="AQ17" i="579"/>
  <c r="AR17" i="579"/>
  <c r="AT17" i="579"/>
  <c r="AL17" i="579"/>
  <c r="AN17" i="579"/>
  <c r="AH17" i="579"/>
  <c r="AF17" i="579"/>
  <c r="AB17" i="579"/>
  <c r="Z17" i="579"/>
  <c r="CS16" i="579"/>
  <c r="CV16" i="579"/>
  <c r="CR16" i="579"/>
  <c r="CT16" i="579"/>
  <c r="CN16" i="579"/>
  <c r="CP16" i="579"/>
  <c r="CH16" i="579"/>
  <c r="CJ16" i="579"/>
  <c r="CB16" i="579"/>
  <c r="CD16" i="579"/>
  <c r="BV16" i="579"/>
  <c r="BX16" i="579"/>
  <c r="BP16" i="579"/>
  <c r="BR16" i="579"/>
  <c r="BJ16" i="579"/>
  <c r="BL16" i="579"/>
  <c r="BD16" i="579"/>
  <c r="BF16" i="579"/>
  <c r="AX16" i="579"/>
  <c r="AZ16" i="579"/>
  <c r="AR16" i="579"/>
  <c r="AT16" i="579"/>
  <c r="AL16" i="579"/>
  <c r="AN16" i="579"/>
  <c r="AF16" i="579"/>
  <c r="AH16" i="579"/>
  <c r="Z16" i="579"/>
  <c r="AB16" i="579"/>
  <c r="CT15" i="579"/>
  <c r="CV15" i="579"/>
  <c r="CN15" i="579"/>
  <c r="CP15" i="579"/>
  <c r="CJ15" i="579"/>
  <c r="CH15" i="579"/>
  <c r="CD15" i="579"/>
  <c r="CB15" i="579"/>
  <c r="BV15" i="579"/>
  <c r="BX15" i="579"/>
  <c r="BR15" i="579"/>
  <c r="BP15" i="579"/>
  <c r="BL15" i="579"/>
  <c r="BJ15" i="579"/>
  <c r="BD15" i="579"/>
  <c r="BF15" i="579"/>
  <c r="AZ15" i="579"/>
  <c r="AX15" i="579"/>
  <c r="AT15" i="579"/>
  <c r="AR15" i="579"/>
  <c r="AL15" i="579"/>
  <c r="AN15" i="579"/>
  <c r="AH15" i="579"/>
  <c r="AF15" i="579"/>
  <c r="AB15" i="579"/>
  <c r="Z15" i="579"/>
  <c r="CT14" i="579"/>
  <c r="CV14" i="579"/>
  <c r="CS14" i="579"/>
  <c r="CR14" i="579"/>
  <c r="CN14" i="579"/>
  <c r="CP14" i="579"/>
  <c r="CH14" i="579"/>
  <c r="CJ14" i="579"/>
  <c r="CB14" i="579"/>
  <c r="BR14" i="579"/>
  <c r="BP14" i="579"/>
  <c r="BL14" i="579"/>
  <c r="BJ14" i="579"/>
  <c r="BF14" i="579"/>
  <c r="BD14" i="579"/>
  <c r="AZ14" i="579"/>
  <c r="AX14" i="579"/>
  <c r="AT14" i="579"/>
  <c r="AR14" i="579"/>
  <c r="AN14" i="579"/>
  <c r="AL14" i="579"/>
  <c r="AH14" i="579"/>
  <c r="AF14" i="579"/>
  <c r="AB14" i="579"/>
  <c r="Z14" i="579"/>
  <c r="CS13" i="579"/>
  <c r="CP13" i="579"/>
  <c r="CN13" i="579"/>
  <c r="CF13" i="579"/>
  <c r="CR13" i="579"/>
  <c r="CB13" i="579"/>
  <c r="CD13" i="579"/>
  <c r="BV13" i="579"/>
  <c r="BX13" i="579"/>
  <c r="BT13" i="579"/>
  <c r="BR13" i="579"/>
  <c r="BP13" i="579"/>
  <c r="BL13" i="579"/>
  <c r="BJ13" i="579"/>
  <c r="BF13" i="579"/>
  <c r="AX13" i="579"/>
  <c r="AZ13" i="579"/>
  <c r="AR13" i="579"/>
  <c r="AT13" i="579"/>
  <c r="AL13" i="579"/>
  <c r="AN13" i="579"/>
  <c r="AF13" i="579"/>
  <c r="AH13" i="579"/>
  <c r="Z13" i="579"/>
  <c r="AB13" i="579"/>
  <c r="CS12" i="579"/>
  <c r="CR12" i="579"/>
  <c r="CT12" i="579"/>
  <c r="CN12" i="579"/>
  <c r="CP12" i="579"/>
  <c r="CH12" i="579"/>
  <c r="CJ12" i="579"/>
  <c r="CB12" i="579"/>
  <c r="CD12" i="579"/>
  <c r="BV12" i="579"/>
  <c r="BX12" i="579"/>
  <c r="BP12" i="579"/>
  <c r="BR12" i="579"/>
  <c r="BJ12" i="579"/>
  <c r="BL12" i="579"/>
  <c r="BH12" i="579"/>
  <c r="BF12" i="579"/>
  <c r="AX12" i="579"/>
  <c r="AZ12" i="579"/>
  <c r="AV12" i="579"/>
  <c r="AT12" i="579"/>
  <c r="AR12" i="579"/>
  <c r="AN12" i="579"/>
  <c r="AL12" i="579"/>
  <c r="AH12" i="579"/>
  <c r="AF12" i="579"/>
  <c r="AB12" i="579"/>
  <c r="Z12" i="579"/>
  <c r="CS11" i="579"/>
  <c r="CT11" i="579"/>
  <c r="CR11" i="579"/>
  <c r="CP11" i="579"/>
  <c r="CN11" i="579"/>
  <c r="CJ11" i="579"/>
  <c r="CH11" i="579"/>
  <c r="CD11" i="579"/>
  <c r="CB11" i="579"/>
  <c r="BX11" i="579"/>
  <c r="BV11" i="579"/>
  <c r="BR11" i="579"/>
  <c r="BP11" i="579"/>
  <c r="BL11" i="579"/>
  <c r="BJ11" i="579"/>
  <c r="BF11" i="579"/>
  <c r="AX11" i="579"/>
  <c r="AZ11" i="579"/>
  <c r="AR11" i="579"/>
  <c r="AT11" i="579"/>
  <c r="AL11" i="579"/>
  <c r="AN11" i="579"/>
  <c r="AF11" i="579"/>
  <c r="AH11" i="579"/>
  <c r="Z11" i="579"/>
  <c r="AB11" i="579"/>
  <c r="CT10" i="579"/>
  <c r="CV10" i="579"/>
  <c r="CN10" i="579"/>
  <c r="CP10" i="579"/>
  <c r="CH10" i="579"/>
  <c r="CJ10" i="579"/>
  <c r="CB10" i="579"/>
  <c r="CD10" i="579"/>
  <c r="BV10" i="579"/>
  <c r="BX10" i="579"/>
  <c r="BP10" i="579"/>
  <c r="BR10" i="579"/>
  <c r="BJ10" i="579"/>
  <c r="BL10" i="579"/>
  <c r="BD10" i="579"/>
  <c r="BF10" i="579"/>
  <c r="AX10" i="579"/>
  <c r="AZ10" i="579"/>
  <c r="AR10" i="579"/>
  <c r="AT10" i="579"/>
  <c r="AL10" i="579"/>
  <c r="AN10" i="579"/>
  <c r="AF10" i="579"/>
  <c r="AH10" i="579"/>
  <c r="Z10" i="579"/>
  <c r="AB10" i="579"/>
  <c r="CT9" i="579"/>
  <c r="CV9" i="579"/>
  <c r="CS9" i="579"/>
  <c r="CR9" i="579"/>
  <c r="CN9" i="579"/>
  <c r="CP9" i="579"/>
  <c r="CH9" i="579"/>
  <c r="CJ9" i="579"/>
  <c r="CB9" i="579"/>
  <c r="CD9" i="579"/>
  <c r="BV9" i="579"/>
  <c r="BX9" i="579"/>
  <c r="BR9" i="579"/>
  <c r="BP9" i="579"/>
  <c r="BL9" i="579"/>
  <c r="BJ9" i="579"/>
  <c r="BD9" i="579"/>
  <c r="BF9" i="579"/>
  <c r="AX9" i="579"/>
  <c r="AZ9" i="579"/>
  <c r="AR9" i="579"/>
  <c r="AT9" i="579"/>
  <c r="AN9" i="579"/>
  <c r="AL9" i="579"/>
  <c r="AF9" i="579"/>
  <c r="AH9" i="579"/>
  <c r="AB9" i="579"/>
  <c r="Z9" i="579"/>
  <c r="CT8" i="579"/>
  <c r="CV8" i="579"/>
  <c r="CS8" i="579"/>
  <c r="CR8" i="579"/>
  <c r="CN8" i="579"/>
  <c r="CP8" i="579"/>
  <c r="CJ8" i="579"/>
  <c r="CH8" i="579"/>
  <c r="CD8" i="579"/>
  <c r="CB8" i="579"/>
  <c r="BV8" i="579"/>
  <c r="BX8" i="579"/>
  <c r="BR8" i="579"/>
  <c r="BP8" i="579"/>
  <c r="BL8" i="579"/>
  <c r="BJ8" i="579"/>
  <c r="BD8" i="579"/>
  <c r="BF8" i="579"/>
  <c r="AZ8" i="579"/>
  <c r="AX8" i="579"/>
  <c r="AR8" i="579"/>
  <c r="AT8" i="579"/>
  <c r="AL8" i="579"/>
  <c r="AN8" i="579"/>
  <c r="AH8" i="579"/>
  <c r="AF8" i="579"/>
  <c r="AB8" i="579"/>
  <c r="Z8" i="579"/>
  <c r="CT10" i="582"/>
  <c r="CT9" i="582"/>
  <c r="CV9" i="582"/>
  <c r="Z10" i="582"/>
  <c r="AB10" i="582"/>
  <c r="CV10" i="582"/>
  <c r="Z9" i="582"/>
  <c r="AB9" i="582"/>
  <c r="CV9" i="581"/>
  <c r="CP13" i="581"/>
  <c r="CP14" i="581"/>
  <c r="CV20" i="580"/>
  <c r="CV11" i="580"/>
  <c r="CV13" i="580"/>
  <c r="CV22" i="580"/>
  <c r="CV23" i="580"/>
  <c r="AB21" i="580"/>
  <c r="CV12" i="579"/>
  <c r="CB18" i="579"/>
  <c r="CD18" i="579"/>
  <c r="CF18" i="579"/>
  <c r="CH18" i="579"/>
  <c r="CJ18" i="579"/>
  <c r="CT13" i="579"/>
  <c r="CV13" i="579"/>
  <c r="CV11" i="579"/>
  <c r="BX17" i="579"/>
  <c r="AZ19" i="579"/>
  <c r="AT24" i="579"/>
  <c r="AT27" i="579"/>
  <c r="CH13" i="579"/>
  <c r="CJ13" i="579"/>
  <c r="AF16" i="578"/>
  <c r="AD16" i="578"/>
  <c r="X16" i="578"/>
  <c r="Z16" i="578"/>
  <c r="AF15" i="578"/>
  <c r="AD15" i="578"/>
  <c r="X15" i="578"/>
  <c r="Z15" i="578"/>
  <c r="X14" i="578"/>
  <c r="Z14" i="578"/>
  <c r="BJ13" i="578"/>
  <c r="BH13" i="578"/>
  <c r="BD13" i="578"/>
  <c r="BB13" i="578"/>
  <c r="AX13" i="578"/>
  <c r="AV13" i="578"/>
  <c r="AR13" i="578"/>
  <c r="AP13" i="578"/>
  <c r="AL13" i="578"/>
  <c r="AJ13" i="578"/>
  <c r="AF13" i="578"/>
  <c r="AD13" i="578"/>
  <c r="X13" i="578"/>
  <c r="Z13" i="578"/>
  <c r="BJ11" i="578"/>
  <c r="BH11" i="578"/>
  <c r="BD11" i="578"/>
  <c r="BB11" i="578"/>
  <c r="AX11" i="578"/>
  <c r="AV11" i="578"/>
  <c r="AR11" i="578"/>
  <c r="AP11" i="578"/>
  <c r="AL11" i="578"/>
  <c r="AJ11" i="578"/>
  <c r="AF11" i="578"/>
  <c r="AD11" i="578"/>
  <c r="BJ10" i="578"/>
  <c r="BH10" i="578"/>
  <c r="BD10" i="578"/>
  <c r="BB10" i="578"/>
  <c r="AX10" i="578"/>
  <c r="AV10" i="578"/>
  <c r="AR10" i="578"/>
  <c r="AP10" i="578"/>
  <c r="AL10" i="578"/>
  <c r="AJ10" i="578"/>
  <c r="AD10" i="578"/>
  <c r="AF10" i="578"/>
  <c r="BJ9" i="578"/>
  <c r="BH9" i="578"/>
  <c r="BD9" i="578"/>
  <c r="BB9" i="578"/>
  <c r="AX9" i="578"/>
  <c r="AV9" i="578"/>
  <c r="AR9" i="578"/>
  <c r="AP9" i="578"/>
  <c r="AL9" i="578"/>
  <c r="AJ9" i="578"/>
  <c r="AD9" i="578"/>
  <c r="AF9" i="578"/>
  <c r="BJ8" i="578"/>
  <c r="BH8" i="578"/>
  <c r="BD8" i="578"/>
  <c r="BB8" i="578"/>
  <c r="AX8" i="578"/>
  <c r="AV8" i="578"/>
  <c r="AR8" i="578"/>
  <c r="AP8" i="578"/>
  <c r="AL8" i="578"/>
  <c r="AJ8" i="578"/>
  <c r="AD8" i="578"/>
  <c r="AF8" i="578"/>
  <c r="CV19" i="577"/>
  <c r="CT19" i="577"/>
  <c r="CP19" i="577"/>
  <c r="CN19" i="577"/>
  <c r="CJ19" i="577"/>
  <c r="CH19" i="577"/>
  <c r="CD19" i="577"/>
  <c r="CB19" i="577"/>
  <c r="BX19" i="577"/>
  <c r="BV19" i="577"/>
  <c r="BR19" i="577"/>
  <c r="BP19" i="577"/>
  <c r="BL19" i="577"/>
  <c r="BD19" i="577"/>
  <c r="BF19" i="577"/>
  <c r="AZ19" i="577"/>
  <c r="AX19" i="577"/>
  <c r="AR19" i="577"/>
  <c r="AT19" i="577"/>
  <c r="AN19" i="577"/>
  <c r="AL19" i="577"/>
  <c r="AF19" i="577"/>
  <c r="AH19" i="577"/>
  <c r="AB19" i="577"/>
  <c r="Z19" i="577"/>
  <c r="CV18" i="577"/>
  <c r="CT18" i="577"/>
  <c r="CP18" i="577"/>
  <c r="CN18" i="577"/>
  <c r="CJ18" i="577"/>
  <c r="CH18" i="577"/>
  <c r="CD18" i="577"/>
  <c r="CB18" i="577"/>
  <c r="BX18" i="577"/>
  <c r="BV18" i="577"/>
  <c r="BR18" i="577"/>
  <c r="BP18" i="577"/>
  <c r="BL18" i="577"/>
  <c r="BF18" i="577"/>
  <c r="AZ18" i="577"/>
  <c r="AX18" i="577"/>
  <c r="AT18" i="577"/>
  <c r="AR18" i="577"/>
  <c r="AN18" i="577"/>
  <c r="AL18" i="577"/>
  <c r="AF18" i="577"/>
  <c r="AH18" i="577"/>
  <c r="AB18" i="577"/>
  <c r="Z18" i="577"/>
  <c r="CV17" i="577"/>
  <c r="CT17" i="577"/>
  <c r="CP17" i="577"/>
  <c r="CN17" i="577"/>
  <c r="CJ17" i="577"/>
  <c r="CH17" i="577"/>
  <c r="CD17" i="577"/>
  <c r="CB17" i="577"/>
  <c r="BX17" i="577"/>
  <c r="BV17" i="577"/>
  <c r="BR17" i="577"/>
  <c r="BP17" i="577"/>
  <c r="BL17" i="577"/>
  <c r="BD17" i="577"/>
  <c r="BF17" i="577"/>
  <c r="AZ17" i="577"/>
  <c r="AX17" i="577"/>
  <c r="AR17" i="577"/>
  <c r="AT17" i="577"/>
  <c r="AN17" i="577"/>
  <c r="AL17" i="577"/>
  <c r="AH17" i="577"/>
  <c r="AB17" i="577"/>
  <c r="Z17" i="577"/>
  <c r="CV16" i="577"/>
  <c r="CT16" i="577"/>
  <c r="CP16" i="577"/>
  <c r="CN16" i="577"/>
  <c r="CJ16" i="577"/>
  <c r="CH16" i="577"/>
  <c r="CD16" i="577"/>
  <c r="CB16" i="577"/>
  <c r="BX16" i="577"/>
  <c r="BV16" i="577"/>
  <c r="BR16" i="577"/>
  <c r="BP16" i="577"/>
  <c r="BJ16" i="577"/>
  <c r="BL16" i="577"/>
  <c r="BF16" i="577"/>
  <c r="BD16" i="577"/>
  <c r="AZ16" i="577"/>
  <c r="AX16" i="577"/>
  <c r="AT16" i="577"/>
  <c r="AR16" i="577"/>
  <c r="AN16" i="577"/>
  <c r="AL16" i="577"/>
  <c r="AH16" i="577"/>
  <c r="AF16" i="577"/>
  <c r="Z16" i="577"/>
  <c r="AB16" i="577"/>
  <c r="CV14" i="577"/>
  <c r="CT14" i="577"/>
  <c r="CP14" i="577"/>
  <c r="CN14" i="577"/>
  <c r="CJ14" i="577"/>
  <c r="CH14" i="577"/>
  <c r="CD14" i="577"/>
  <c r="CB14" i="577"/>
  <c r="BX14" i="577"/>
  <c r="BV14" i="577"/>
  <c r="BR14" i="577"/>
  <c r="BP14" i="577"/>
  <c r="BL14" i="577"/>
  <c r="BJ14" i="577"/>
  <c r="BD14" i="577"/>
  <c r="BF14" i="577"/>
  <c r="AZ14" i="577"/>
  <c r="AX14" i="577"/>
  <c r="AT14" i="577"/>
  <c r="AR14" i="577"/>
  <c r="AN14" i="577"/>
  <c r="AL14" i="577"/>
  <c r="AF14" i="577"/>
  <c r="AH14" i="577"/>
  <c r="AB14" i="577"/>
  <c r="Z14" i="577"/>
  <c r="BL13" i="577"/>
  <c r="BD13" i="577"/>
  <c r="BF13" i="577"/>
  <c r="AT13" i="577"/>
  <c r="AR13" i="577"/>
  <c r="CV12" i="577"/>
  <c r="CT12" i="577"/>
  <c r="CP12" i="577"/>
  <c r="CN12" i="577"/>
  <c r="CJ12" i="577"/>
  <c r="CH12" i="577"/>
  <c r="CD12" i="577"/>
  <c r="CB12" i="577"/>
  <c r="BX12" i="577"/>
  <c r="BV12" i="577"/>
  <c r="BR12" i="577"/>
  <c r="BP12" i="577"/>
  <c r="BJ12" i="577"/>
  <c r="BL12" i="577"/>
  <c r="BI12" i="577"/>
  <c r="BH12" i="577"/>
  <c r="BD12" i="577"/>
  <c r="BF12" i="577"/>
  <c r="AZ12" i="577"/>
  <c r="AX12" i="577"/>
  <c r="AR12" i="577"/>
  <c r="AT12" i="577"/>
  <c r="AN12" i="577"/>
  <c r="AL12" i="577"/>
  <c r="AF12" i="577"/>
  <c r="AH12" i="577"/>
  <c r="Z12" i="577"/>
  <c r="AB12" i="577"/>
  <c r="CV11" i="577"/>
  <c r="CT11" i="577"/>
  <c r="CP11" i="577"/>
  <c r="CN11" i="577"/>
  <c r="CJ11" i="577"/>
  <c r="CH11" i="577"/>
  <c r="CD11" i="577"/>
  <c r="CB11" i="577"/>
  <c r="BX11" i="577"/>
  <c r="BV11" i="577"/>
  <c r="BR11" i="577"/>
  <c r="BP11" i="577"/>
  <c r="BJ11" i="577"/>
  <c r="BL11" i="577"/>
  <c r="BI11" i="577"/>
  <c r="BH11" i="577"/>
  <c r="BD11" i="577"/>
  <c r="BF11" i="577"/>
  <c r="AZ11" i="577"/>
  <c r="AX11" i="577"/>
  <c r="AR11" i="577"/>
  <c r="AT11" i="577"/>
  <c r="AN11" i="577"/>
  <c r="AL11" i="577"/>
  <c r="AF11" i="577"/>
  <c r="AH11" i="577"/>
  <c r="AB11" i="577"/>
  <c r="Z11" i="577"/>
  <c r="CV10" i="577"/>
  <c r="CT10" i="577"/>
  <c r="CP10" i="577"/>
  <c r="CN10" i="577"/>
  <c r="CJ10" i="577"/>
  <c r="CH10" i="577"/>
  <c r="CD10" i="577"/>
  <c r="CB10" i="577"/>
  <c r="BX10" i="577"/>
  <c r="BV10" i="577"/>
  <c r="BR10" i="577"/>
  <c r="BP10" i="577"/>
  <c r="BJ10" i="577"/>
  <c r="BL10" i="577"/>
  <c r="BH10" i="577"/>
  <c r="BD10" i="577"/>
  <c r="BF10" i="577"/>
  <c r="AZ10" i="577"/>
  <c r="AX10" i="577"/>
  <c r="AR10" i="577"/>
  <c r="AT10" i="577"/>
  <c r="AN10" i="577"/>
  <c r="AL10" i="577"/>
  <c r="AF10" i="577"/>
  <c r="AH10" i="577"/>
  <c r="AB10" i="577"/>
  <c r="Z10" i="577"/>
  <c r="CV9" i="577"/>
  <c r="CT9" i="577"/>
  <c r="CP9" i="577"/>
  <c r="CN9" i="577"/>
  <c r="CJ9" i="577"/>
  <c r="CH9" i="577"/>
  <c r="CD9" i="577"/>
  <c r="CB9" i="577"/>
  <c r="BX9" i="577"/>
  <c r="BV9" i="577"/>
  <c r="BR9" i="577"/>
  <c r="BP9" i="577"/>
  <c r="BH9" i="577"/>
  <c r="BJ9" i="577"/>
  <c r="BL9" i="577"/>
  <c r="BF9" i="577"/>
  <c r="BD9" i="577"/>
  <c r="AZ9" i="577"/>
  <c r="AX9" i="577"/>
  <c r="AT9" i="577"/>
  <c r="AR9" i="577"/>
  <c r="AN9" i="577"/>
  <c r="AL9" i="577"/>
  <c r="AH9" i="577"/>
  <c r="AF9" i="577"/>
  <c r="Z9" i="577"/>
  <c r="AB9" i="577"/>
  <c r="CV8" i="577"/>
  <c r="CT8" i="577"/>
  <c r="CP8" i="577"/>
  <c r="CN8" i="577"/>
  <c r="CJ8" i="577"/>
  <c r="CH8" i="577"/>
  <c r="CD8" i="577"/>
  <c r="CB8" i="577"/>
  <c r="BX8" i="577"/>
  <c r="BV8" i="577"/>
  <c r="BR8" i="577"/>
  <c r="BP8" i="577"/>
  <c r="BH8" i="577"/>
  <c r="BJ8" i="577"/>
  <c r="BL8" i="577"/>
  <c r="BF8" i="577"/>
  <c r="BD8" i="577"/>
  <c r="AZ8" i="577"/>
  <c r="AX8" i="577"/>
  <c r="AT8" i="577"/>
  <c r="AR8" i="577"/>
  <c r="AN8" i="577"/>
  <c r="AL8" i="577"/>
  <c r="AH8" i="577"/>
  <c r="AF8" i="577"/>
  <c r="Z8" i="577"/>
  <c r="AB8" i="577"/>
  <c r="CT21" i="576"/>
  <c r="CV21" i="576"/>
  <c r="BV21" i="576"/>
  <c r="BR21" i="576"/>
  <c r="BP21" i="576"/>
  <c r="BL21" i="576"/>
  <c r="BJ21" i="576"/>
  <c r="BE21" i="576"/>
  <c r="BD21" i="576"/>
  <c r="BF21" i="576"/>
  <c r="AZ21" i="576"/>
  <c r="AY21" i="576"/>
  <c r="AX21" i="576"/>
  <c r="AT21" i="576"/>
  <c r="AS21" i="576"/>
  <c r="AR21" i="576"/>
  <c r="AN21" i="576"/>
  <c r="AL21" i="576"/>
  <c r="AH21" i="576"/>
  <c r="AF21" i="576"/>
  <c r="AB21" i="576"/>
  <c r="Z21" i="576"/>
  <c r="CS20" i="576"/>
  <c r="CR20" i="576"/>
  <c r="BV20" i="576"/>
  <c r="BR20" i="576"/>
  <c r="BP20" i="576"/>
  <c r="BL20" i="576"/>
  <c r="BJ20" i="576"/>
  <c r="BE20" i="576"/>
  <c r="BD20" i="576"/>
  <c r="BF20" i="576"/>
  <c r="AZ20" i="576"/>
  <c r="AY20" i="576"/>
  <c r="AX20" i="576"/>
  <c r="AT20" i="576"/>
  <c r="AR20" i="576"/>
  <c r="AM20" i="576"/>
  <c r="AL20" i="576"/>
  <c r="AN20" i="576"/>
  <c r="AH20" i="576"/>
  <c r="AF20" i="576"/>
  <c r="AB20" i="576"/>
  <c r="Z20" i="576"/>
  <c r="CR19" i="576"/>
  <c r="BU19" i="576"/>
  <c r="CS19" i="576"/>
  <c r="BR19" i="576"/>
  <c r="BP19" i="576"/>
  <c r="BL19" i="576"/>
  <c r="BJ19" i="576"/>
  <c r="BF19" i="576"/>
  <c r="BE19" i="576"/>
  <c r="BD19" i="576"/>
  <c r="AZ19" i="576"/>
  <c r="AY19" i="576"/>
  <c r="AX19" i="576"/>
  <c r="AT19" i="576"/>
  <c r="AS19" i="576"/>
  <c r="AR19" i="576"/>
  <c r="AN19" i="576"/>
  <c r="AL19" i="576"/>
  <c r="AH19" i="576"/>
  <c r="AG19" i="576"/>
  <c r="AF19" i="576"/>
  <c r="AB19" i="576"/>
  <c r="Z19" i="576"/>
  <c r="CR18" i="576"/>
  <c r="BU18" i="576"/>
  <c r="BV18" i="576"/>
  <c r="BR18" i="576"/>
  <c r="BP18" i="576"/>
  <c r="BL18" i="576"/>
  <c r="BJ18" i="576"/>
  <c r="BD18" i="576"/>
  <c r="AZ18" i="576"/>
  <c r="AY18" i="576"/>
  <c r="AX18" i="576"/>
  <c r="AT18" i="576"/>
  <c r="AR18" i="576"/>
  <c r="AN18" i="576"/>
  <c r="AM18" i="576"/>
  <c r="AL18" i="576"/>
  <c r="AH18" i="576"/>
  <c r="AF18" i="576"/>
  <c r="AB18" i="576"/>
  <c r="Z18" i="576"/>
  <c r="AZ17" i="576"/>
  <c r="AX17" i="576"/>
  <c r="CU16" i="576"/>
  <c r="CR16" i="576"/>
  <c r="CG16" i="576"/>
  <c r="BU16" i="576"/>
  <c r="BV16" i="576"/>
  <c r="BO16" i="576"/>
  <c r="BI16" i="576"/>
  <c r="BC16" i="576"/>
  <c r="AW16" i="576"/>
  <c r="CS16" i="576"/>
  <c r="AR16" i="576"/>
  <c r="AQ16" i="576"/>
  <c r="AN16" i="576"/>
  <c r="AL16" i="576"/>
  <c r="AH16" i="576"/>
  <c r="AF16" i="576"/>
  <c r="AB16" i="576"/>
  <c r="Z16" i="576"/>
  <c r="CU15" i="576"/>
  <c r="CR15" i="576"/>
  <c r="CB15" i="576"/>
  <c r="BW15" i="576"/>
  <c r="BU15" i="576"/>
  <c r="BX15" i="576"/>
  <c r="BO15" i="576"/>
  <c r="BR15" i="576"/>
  <c r="BL15" i="576"/>
  <c r="BI15" i="576"/>
  <c r="BJ15" i="576"/>
  <c r="BF15" i="576"/>
  <c r="BE15" i="576"/>
  <c r="BC15" i="576"/>
  <c r="BD15" i="576"/>
  <c r="AZ15" i="576"/>
  <c r="AX15" i="576"/>
  <c r="AW15" i="576"/>
  <c r="AT15" i="576"/>
  <c r="AR15" i="576"/>
  <c r="AL15" i="576"/>
  <c r="AK15" i="576"/>
  <c r="AE15" i="576"/>
  <c r="CS15" i="576"/>
  <c r="CT15" i="576"/>
  <c r="AB15" i="576"/>
  <c r="Z15" i="576"/>
  <c r="CU14" i="576"/>
  <c r="CR14" i="576"/>
  <c r="CA14" i="576"/>
  <c r="CB14" i="576"/>
  <c r="BU14" i="576"/>
  <c r="BV14" i="576"/>
  <c r="BO14" i="576"/>
  <c r="BP14" i="576"/>
  <c r="BI14" i="576"/>
  <c r="BJ14" i="576"/>
  <c r="BC14" i="576"/>
  <c r="BD14" i="576"/>
  <c r="AW14" i="576"/>
  <c r="AX14" i="576"/>
  <c r="AT14" i="576"/>
  <c r="AR14" i="576"/>
  <c r="AQ14" i="576"/>
  <c r="AK14" i="576"/>
  <c r="AL14" i="576"/>
  <c r="AF14" i="576"/>
  <c r="AE14" i="576"/>
  <c r="Y14" i="576"/>
  <c r="Z14" i="576"/>
  <c r="CR13" i="576"/>
  <c r="CA13" i="576"/>
  <c r="CB13" i="576"/>
  <c r="BU13" i="576"/>
  <c r="BO13" i="576"/>
  <c r="BP13" i="576"/>
  <c r="BI13" i="576"/>
  <c r="BJ13" i="576"/>
  <c r="BL13" i="576"/>
  <c r="BL23" i="576"/>
  <c r="BC13" i="576"/>
  <c r="BD13" i="576"/>
  <c r="AW13" i="576"/>
  <c r="AX13" i="576"/>
  <c r="AT13" i="576"/>
  <c r="AR13" i="576"/>
  <c r="AQ13" i="576"/>
  <c r="AK13" i="576"/>
  <c r="AL13" i="576"/>
  <c r="AF13" i="576"/>
  <c r="AE13" i="576"/>
  <c r="Y13" i="576"/>
  <c r="CS13" i="576"/>
  <c r="CT13" i="576"/>
  <c r="CU12" i="576"/>
  <c r="CR12" i="576"/>
  <c r="CA12" i="576"/>
  <c r="BV12" i="576"/>
  <c r="BU12" i="576"/>
  <c r="BO12" i="576"/>
  <c r="BP12" i="576"/>
  <c r="BJ12" i="576"/>
  <c r="BI12" i="576"/>
  <c r="BC12" i="576"/>
  <c r="AW12" i="576"/>
  <c r="AR12" i="576"/>
  <c r="AQ12" i="576"/>
  <c r="AK12" i="576"/>
  <c r="AE12" i="576"/>
  <c r="Z12" i="576"/>
  <c r="Y12" i="576"/>
  <c r="CS12" i="576"/>
  <c r="CU11" i="576"/>
  <c r="CR11" i="576"/>
  <c r="CG11" i="576"/>
  <c r="CH11" i="576"/>
  <c r="CH22" i="576"/>
  <c r="CA11" i="576"/>
  <c r="CB11" i="576"/>
  <c r="BU11" i="576"/>
  <c r="BV11" i="576"/>
  <c r="BO11" i="576"/>
  <c r="BI11" i="576"/>
  <c r="BC11" i="576"/>
  <c r="AW11" i="576"/>
  <c r="AQ11" i="576"/>
  <c r="AR11" i="576"/>
  <c r="AK11" i="576"/>
  <c r="AF11" i="576"/>
  <c r="AE11" i="576"/>
  <c r="Y11" i="576"/>
  <c r="Z11" i="576"/>
  <c r="CR10" i="576"/>
  <c r="CC10" i="576"/>
  <c r="BV10" i="576"/>
  <c r="BJ10" i="576"/>
  <c r="BE10" i="576"/>
  <c r="BD10" i="576"/>
  <c r="AX10" i="576"/>
  <c r="AT10" i="576"/>
  <c r="AR10" i="576"/>
  <c r="AL10" i="576"/>
  <c r="AH10" i="576"/>
  <c r="AF10" i="576"/>
  <c r="AB10" i="576"/>
  <c r="Z10" i="576"/>
  <c r="V10" i="576"/>
  <c r="U10" i="576"/>
  <c r="T10" i="576"/>
  <c r="S10" i="576"/>
  <c r="BW10" i="576"/>
  <c r="R10" i="576"/>
  <c r="BO10" i="576"/>
  <c r="Q10" i="576"/>
  <c r="BK10" i="576"/>
  <c r="P10" i="576"/>
  <c r="O10" i="576"/>
  <c r="AY10" i="576"/>
  <c r="N10" i="576"/>
  <c r="AS10" i="576"/>
  <c r="M10" i="576"/>
  <c r="AM10" i="576"/>
  <c r="L10" i="576"/>
  <c r="K10" i="576"/>
  <c r="CU10" i="576"/>
  <c r="CS9" i="576"/>
  <c r="CT9" i="576"/>
  <c r="CR9" i="576"/>
  <c r="CH9" i="576"/>
  <c r="CB9" i="576"/>
  <c r="BV9" i="576"/>
  <c r="BP9" i="576"/>
  <c r="BJ9" i="576"/>
  <c r="BF9" i="576"/>
  <c r="BD9" i="576"/>
  <c r="AZ9" i="576"/>
  <c r="AX9" i="576"/>
  <c r="AR9" i="576"/>
  <c r="AR23" i="576"/>
  <c r="AL9" i="576"/>
  <c r="AG9" i="576"/>
  <c r="AF9" i="576"/>
  <c r="AB9" i="576"/>
  <c r="Z9" i="576"/>
  <c r="V9" i="576"/>
  <c r="U9" i="576"/>
  <c r="T9" i="576"/>
  <c r="S9" i="576"/>
  <c r="BW9" i="576"/>
  <c r="BX9" i="576"/>
  <c r="R9" i="576"/>
  <c r="BQ9" i="576"/>
  <c r="Q9" i="576"/>
  <c r="BK9" i="576"/>
  <c r="P9" i="576"/>
  <c r="BE9" i="576"/>
  <c r="O9" i="576"/>
  <c r="N9" i="576"/>
  <c r="AS9" i="576"/>
  <c r="M9" i="576"/>
  <c r="AM9" i="576"/>
  <c r="AN9" i="576"/>
  <c r="L9" i="576"/>
  <c r="K9" i="576"/>
  <c r="CR8" i="576"/>
  <c r="BR8" i="576"/>
  <c r="BP8" i="576"/>
  <c r="BL8" i="576"/>
  <c r="BJ8" i="576"/>
  <c r="BF8" i="576"/>
  <c r="BD8" i="576"/>
  <c r="AZ8" i="576"/>
  <c r="AX8" i="576"/>
  <c r="AT8" i="576"/>
  <c r="AR8" i="576"/>
  <c r="AN8" i="576"/>
  <c r="AL8" i="576"/>
  <c r="AG8" i="576"/>
  <c r="AF8" i="576"/>
  <c r="Z8" i="576"/>
  <c r="V8" i="576"/>
  <c r="U8" i="576"/>
  <c r="T8" i="576"/>
  <c r="S8" i="576"/>
  <c r="R8" i="576"/>
  <c r="BQ8" i="576"/>
  <c r="Q8" i="576"/>
  <c r="P8" i="576"/>
  <c r="O8" i="576"/>
  <c r="N8" i="576"/>
  <c r="M8" i="576"/>
  <c r="L8" i="576"/>
  <c r="K8" i="576"/>
  <c r="Z23" i="576"/>
  <c r="BV22" i="576"/>
  <c r="AX23" i="576"/>
  <c r="BX10" i="576"/>
  <c r="CV20" i="576"/>
  <c r="CS14" i="576"/>
  <c r="CT14" i="576"/>
  <c r="CS11" i="576"/>
  <c r="AA8" i="576"/>
  <c r="BQ10" i="576"/>
  <c r="AL11" i="576"/>
  <c r="AL23" i="576"/>
  <c r="Z13" i="576"/>
  <c r="CD14" i="576"/>
  <c r="CD22" i="576"/>
  <c r="AF15" i="576"/>
  <c r="AF23" i="576"/>
  <c r="BP15" i="576"/>
  <c r="CT20" i="576"/>
  <c r="BV15" i="576"/>
  <c r="AN11" i="576"/>
  <c r="BV21" i="575"/>
  <c r="BL21" i="575"/>
  <c r="CD20" i="575"/>
  <c r="CR19" i="575"/>
  <c r="CT19" i="575"/>
  <c r="CV19" i="575"/>
  <c r="BV19" i="575"/>
  <c r="BR19" i="575"/>
  <c r="BP19" i="575"/>
  <c r="BL19" i="575"/>
  <c r="BJ19" i="575"/>
  <c r="BE19" i="575"/>
  <c r="BD19" i="575"/>
  <c r="BF19" i="575"/>
  <c r="AW19" i="575"/>
  <c r="AZ19" i="575"/>
  <c r="AT19" i="575"/>
  <c r="AS19" i="575"/>
  <c r="AR19" i="575"/>
  <c r="AN19" i="575"/>
  <c r="AL19" i="575"/>
  <c r="AH19" i="575"/>
  <c r="AF19" i="575"/>
  <c r="AB19" i="575"/>
  <c r="Z19" i="575"/>
  <c r="CR18" i="575"/>
  <c r="BR18" i="575"/>
  <c r="BP18" i="575"/>
  <c r="BE18" i="575"/>
  <c r="BF18" i="575"/>
  <c r="BD18" i="575"/>
  <c r="AW18" i="575"/>
  <c r="AX18" i="575"/>
  <c r="AT18" i="575"/>
  <c r="AR18" i="575"/>
  <c r="AM18" i="575"/>
  <c r="AN18" i="575"/>
  <c r="AL18" i="575"/>
  <c r="AH18" i="575"/>
  <c r="AF18" i="575"/>
  <c r="AB18" i="575"/>
  <c r="Z18" i="575"/>
  <c r="CR17" i="575"/>
  <c r="BR17" i="575"/>
  <c r="BP17" i="575"/>
  <c r="BF17" i="575"/>
  <c r="BE17" i="575"/>
  <c r="BD17" i="575"/>
  <c r="AW17" i="575"/>
  <c r="AZ17" i="575"/>
  <c r="AT17" i="575"/>
  <c r="AS17" i="575"/>
  <c r="AR17" i="575"/>
  <c r="AN17" i="575"/>
  <c r="AL17" i="575"/>
  <c r="AH17" i="575"/>
  <c r="AG17" i="575"/>
  <c r="AF17" i="575"/>
  <c r="AB17" i="575"/>
  <c r="Z17" i="575"/>
  <c r="CR16" i="575"/>
  <c r="BR16" i="575"/>
  <c r="BP16" i="575"/>
  <c r="BF16" i="575"/>
  <c r="BE16" i="575"/>
  <c r="BD16" i="575"/>
  <c r="AW16" i="575"/>
  <c r="AZ16" i="575"/>
  <c r="AT16" i="575"/>
  <c r="AR16" i="575"/>
  <c r="AN16" i="575"/>
  <c r="AM16" i="575"/>
  <c r="AL16" i="575"/>
  <c r="AH16" i="575"/>
  <c r="AG16" i="575"/>
  <c r="AF16" i="575"/>
  <c r="AB16" i="575"/>
  <c r="Z16" i="575"/>
  <c r="AZ15" i="575"/>
  <c r="AX15" i="575"/>
  <c r="CU14" i="575"/>
  <c r="CR14" i="575"/>
  <c r="BR14" i="575"/>
  <c r="BP14" i="575"/>
  <c r="BO14" i="575"/>
  <c r="BL14" i="575"/>
  <c r="BJ14" i="575"/>
  <c r="BI14" i="575"/>
  <c r="BF14" i="575"/>
  <c r="BE14" i="575"/>
  <c r="BD14" i="575"/>
  <c r="AW14" i="575"/>
  <c r="AQ14" i="575"/>
  <c r="AR14" i="575"/>
  <c r="AN14" i="575"/>
  <c r="AL14" i="575"/>
  <c r="AK14" i="575"/>
  <c r="AH14" i="575"/>
  <c r="AG14" i="575"/>
  <c r="AF14" i="575"/>
  <c r="AE14" i="575"/>
  <c r="Y14" i="575"/>
  <c r="Z14" i="575"/>
  <c r="CU13" i="575"/>
  <c r="CR13" i="575"/>
  <c r="BU13" i="575"/>
  <c r="BO13" i="575"/>
  <c r="BI13" i="575"/>
  <c r="BC13" i="575"/>
  <c r="AW13" i="575"/>
  <c r="AQ13" i="575"/>
  <c r="AL13" i="575"/>
  <c r="AK13" i="575"/>
  <c r="AE13" i="575"/>
  <c r="AF13" i="575"/>
  <c r="Z13" i="575"/>
  <c r="Y13" i="575"/>
  <c r="CS13" i="575"/>
  <c r="CU12" i="575"/>
  <c r="CR12" i="575"/>
  <c r="BU12" i="575"/>
  <c r="BO12" i="575"/>
  <c r="BI12" i="575"/>
  <c r="BC12" i="575"/>
  <c r="AW12" i="575"/>
  <c r="AQ12" i="575"/>
  <c r="AK12" i="575"/>
  <c r="AE12" i="575"/>
  <c r="CS12" i="575"/>
  <c r="Y12" i="575"/>
  <c r="CU11" i="575"/>
  <c r="CR11" i="575"/>
  <c r="BU11" i="575"/>
  <c r="BO11" i="575"/>
  <c r="BP11" i="575"/>
  <c r="BL11" i="575"/>
  <c r="BJ11" i="575"/>
  <c r="BI11" i="575"/>
  <c r="BF11" i="575"/>
  <c r="BE11" i="575"/>
  <c r="BD11" i="575"/>
  <c r="BC11" i="575"/>
  <c r="AW11" i="575"/>
  <c r="AQ11" i="575"/>
  <c r="AK11" i="575"/>
  <c r="AE11" i="575"/>
  <c r="CS11" i="575"/>
  <c r="Z11" i="575"/>
  <c r="Y11" i="575"/>
  <c r="CR10" i="575"/>
  <c r="CT10" i="575"/>
  <c r="CV10" i="575"/>
  <c r="BO10" i="575"/>
  <c r="BR10" i="575"/>
  <c r="BL10" i="575"/>
  <c r="BJ10" i="575"/>
  <c r="BI10" i="575"/>
  <c r="BE10" i="575"/>
  <c r="BF10" i="575"/>
  <c r="BD10" i="575"/>
  <c r="AW10" i="575"/>
  <c r="AZ10" i="575"/>
  <c r="AT10" i="575"/>
  <c r="AR10" i="575"/>
  <c r="AM10" i="575"/>
  <c r="AN10" i="575"/>
  <c r="AL10" i="575"/>
  <c r="AH10" i="575"/>
  <c r="AG10" i="575"/>
  <c r="AF10" i="575"/>
  <c r="AB10" i="575"/>
  <c r="Z10" i="575"/>
  <c r="CS9" i="575"/>
  <c r="CT9" i="575"/>
  <c r="CR9" i="575"/>
  <c r="BQ9" i="575"/>
  <c r="BP9" i="575"/>
  <c r="BR9" i="575"/>
  <c r="BL9" i="575"/>
  <c r="BK9" i="575"/>
  <c r="BJ9" i="575"/>
  <c r="BF9" i="575"/>
  <c r="BD9" i="575"/>
  <c r="AY9" i="575"/>
  <c r="AX9" i="575"/>
  <c r="AW9" i="575"/>
  <c r="AZ9" i="575"/>
  <c r="AS9" i="575"/>
  <c r="AR9" i="575"/>
  <c r="AR21" i="575"/>
  <c r="AM9" i="575"/>
  <c r="AL9" i="575"/>
  <c r="AG9" i="575"/>
  <c r="AF9" i="575"/>
  <c r="AB9" i="575"/>
  <c r="Z9" i="575"/>
  <c r="CU8" i="575"/>
  <c r="CR8" i="575"/>
  <c r="CP8" i="575"/>
  <c r="CN8" i="575"/>
  <c r="BQ8" i="575"/>
  <c r="BP8" i="575"/>
  <c r="BO8" i="575"/>
  <c r="CS8" i="575"/>
  <c r="BL8" i="575"/>
  <c r="BJ8" i="575"/>
  <c r="BF8" i="575"/>
  <c r="BD8" i="575"/>
  <c r="AZ8" i="575"/>
  <c r="AX8" i="575"/>
  <c r="AT8" i="575"/>
  <c r="AR8" i="575"/>
  <c r="AN8" i="575"/>
  <c r="AL8" i="575"/>
  <c r="AL21" i="575"/>
  <c r="AH8" i="575"/>
  <c r="AG8" i="575"/>
  <c r="AF8" i="575"/>
  <c r="AB8" i="575"/>
  <c r="Z8" i="575"/>
  <c r="Z21" i="575"/>
  <c r="CT8" i="575"/>
  <c r="CV8" i="575"/>
  <c r="AF21" i="575"/>
  <c r="AX10" i="575"/>
  <c r="CS18" i="575"/>
  <c r="BR8" i="575"/>
  <c r="AT9" i="575"/>
  <c r="BP10" i="575"/>
  <c r="AF11" i="575"/>
  <c r="BP13" i="575"/>
  <c r="BR13" i="575"/>
  <c r="CS14" i="575"/>
  <c r="CT14" i="575"/>
  <c r="AX16" i="575"/>
  <c r="CS16" i="575"/>
  <c r="AX17" i="575"/>
  <c r="AX21" i="575"/>
  <c r="CS17" i="575"/>
  <c r="AZ18" i="575"/>
  <c r="AX19" i="575"/>
  <c r="CT18" i="575"/>
  <c r="CV18" i="575"/>
  <c r="CV20" i="575"/>
  <c r="CT17" i="574"/>
  <c r="CV17" i="574"/>
  <c r="CP17" i="574"/>
  <c r="CN17" i="574"/>
  <c r="CJ17" i="574"/>
  <c r="CH17" i="574"/>
  <c r="CD17" i="574"/>
  <c r="CB17" i="574"/>
  <c r="BX17" i="574"/>
  <c r="BV17" i="574"/>
  <c r="BR17" i="574"/>
  <c r="BP17" i="574"/>
  <c r="BL17" i="574"/>
  <c r="BJ17" i="574"/>
  <c r="AZ17" i="574"/>
  <c r="AX17" i="574"/>
  <c r="AT17" i="574"/>
  <c r="AR17" i="574"/>
  <c r="AL17" i="574"/>
  <c r="AN17" i="574"/>
  <c r="AF17" i="574"/>
  <c r="AH17" i="574"/>
  <c r="Z17" i="574"/>
  <c r="AB17" i="574"/>
  <c r="CV16" i="574"/>
  <c r="CT16" i="574"/>
  <c r="CP16" i="574"/>
  <c r="CN16" i="574"/>
  <c r="CJ16" i="574"/>
  <c r="CH16" i="574"/>
  <c r="CD16" i="574"/>
  <c r="CB16" i="574"/>
  <c r="BX16" i="574"/>
  <c r="BV16" i="574"/>
  <c r="BR16" i="574"/>
  <c r="BP16" i="574"/>
  <c r="BL16" i="574"/>
  <c r="BJ16" i="574"/>
  <c r="AZ16" i="574"/>
  <c r="AX16" i="574"/>
  <c r="AT16" i="574"/>
  <c r="AR16" i="574"/>
  <c r="AN16" i="574"/>
  <c r="AL16" i="574"/>
  <c r="AH16" i="574"/>
  <c r="AF16" i="574"/>
  <c r="AB16" i="574"/>
  <c r="Z16" i="574"/>
  <c r="CV15" i="574"/>
  <c r="CT15" i="574"/>
  <c r="CP15" i="574"/>
  <c r="CN15" i="574"/>
  <c r="CJ15" i="574"/>
  <c r="CH15" i="574"/>
  <c r="CD15" i="574"/>
  <c r="CB15" i="574"/>
  <c r="BX15" i="574"/>
  <c r="BV15" i="574"/>
  <c r="BR15" i="574"/>
  <c r="BP15" i="574"/>
  <c r="BL15" i="574"/>
  <c r="BJ15" i="574"/>
  <c r="AZ15" i="574"/>
  <c r="AX15" i="574"/>
  <c r="AT15" i="574"/>
  <c r="AR15" i="574"/>
  <c r="AL15" i="574"/>
  <c r="AN15" i="574"/>
  <c r="AH15" i="574"/>
  <c r="AF15" i="574"/>
  <c r="AB15" i="574"/>
  <c r="Z15" i="574"/>
  <c r="CT14" i="574"/>
  <c r="CV14" i="574"/>
  <c r="CP14" i="574"/>
  <c r="CN14" i="574"/>
  <c r="CJ14" i="574"/>
  <c r="CH14" i="574"/>
  <c r="CD14" i="574"/>
  <c r="CB14" i="574"/>
  <c r="BX14" i="574"/>
  <c r="BV14" i="574"/>
  <c r="BR14" i="574"/>
  <c r="BP14" i="574"/>
  <c r="BL14" i="574"/>
  <c r="BJ14" i="574"/>
  <c r="BD14" i="574"/>
  <c r="AZ14" i="574"/>
  <c r="AX14" i="574"/>
  <c r="AT14" i="574"/>
  <c r="AR14" i="574"/>
  <c r="AN14" i="574"/>
  <c r="AL14" i="574"/>
  <c r="AH14" i="574"/>
  <c r="AF14" i="574"/>
  <c r="AB14" i="574"/>
  <c r="Z14" i="574"/>
  <c r="CV12" i="574"/>
  <c r="CT12" i="574"/>
  <c r="CP12" i="574"/>
  <c r="CN12" i="574"/>
  <c r="CJ12" i="574"/>
  <c r="CH12" i="574"/>
  <c r="CD12" i="574"/>
  <c r="CB12" i="574"/>
  <c r="BX12" i="574"/>
  <c r="BV12" i="574"/>
  <c r="BR12" i="574"/>
  <c r="BP12" i="574"/>
  <c r="BL12" i="574"/>
  <c r="BJ12" i="574"/>
  <c r="BF12" i="574"/>
  <c r="BD12" i="574"/>
  <c r="AZ12" i="574"/>
  <c r="AX12" i="574"/>
  <c r="AT12" i="574"/>
  <c r="AR12" i="574"/>
  <c r="AN12" i="574"/>
  <c r="AL12" i="574"/>
  <c r="AH12" i="574"/>
  <c r="AF12" i="574"/>
  <c r="AB12" i="574"/>
  <c r="Z12" i="574"/>
  <c r="CV11" i="574"/>
  <c r="CT11" i="574"/>
  <c r="CP11" i="574"/>
  <c r="CN11" i="574"/>
  <c r="CJ11" i="574"/>
  <c r="CH11" i="574"/>
  <c r="CD11" i="574"/>
  <c r="CB11" i="574"/>
  <c r="BX11" i="574"/>
  <c r="BV11" i="574"/>
  <c r="BR11" i="574"/>
  <c r="BP11" i="574"/>
  <c r="BL11" i="574"/>
  <c r="BJ11" i="574"/>
  <c r="BF11" i="574"/>
  <c r="BD11" i="574"/>
  <c r="AZ11" i="574"/>
  <c r="AX11" i="574"/>
  <c r="AT11" i="574"/>
  <c r="AR11" i="574"/>
  <c r="AN11" i="574"/>
  <c r="AL11" i="574"/>
  <c r="AH11" i="574"/>
  <c r="AF11" i="574"/>
  <c r="AB11" i="574"/>
  <c r="Z11" i="574"/>
  <c r="CY10" i="574"/>
  <c r="CX10" i="574"/>
  <c r="CV10" i="574"/>
  <c r="CT10" i="574"/>
  <c r="CP10" i="574"/>
  <c r="CN10" i="574"/>
  <c r="CJ10" i="574"/>
  <c r="CH10" i="574"/>
  <c r="CD10" i="574"/>
  <c r="CB10" i="574"/>
  <c r="BX10" i="574"/>
  <c r="BV10" i="574"/>
  <c r="BR10" i="574"/>
  <c r="BP10" i="574"/>
  <c r="BL10" i="574"/>
  <c r="BJ10" i="574"/>
  <c r="BF10" i="574"/>
  <c r="BD10" i="574"/>
  <c r="AZ10" i="574"/>
  <c r="AX10" i="574"/>
  <c r="AT10" i="574"/>
  <c r="AR10" i="574"/>
  <c r="AN10" i="574"/>
  <c r="AL10" i="574"/>
  <c r="AH10" i="574"/>
  <c r="AF10" i="574"/>
  <c r="AB10" i="574"/>
  <c r="Z10" i="574"/>
  <c r="CY9" i="574"/>
  <c r="CX9" i="574"/>
  <c r="CW9" i="574"/>
  <c r="CV9" i="574"/>
  <c r="CT9" i="574"/>
  <c r="CP9" i="574"/>
  <c r="CN9" i="574"/>
  <c r="CJ9" i="574"/>
  <c r="CH9" i="574"/>
  <c r="CD9" i="574"/>
  <c r="CB9" i="574"/>
  <c r="BX9" i="574"/>
  <c r="BV9" i="574"/>
  <c r="BR9" i="574"/>
  <c r="BP9" i="574"/>
  <c r="BL9" i="574"/>
  <c r="BJ9" i="574"/>
  <c r="BD9" i="574"/>
  <c r="BF9" i="574"/>
  <c r="AZ9" i="574"/>
  <c r="AX9" i="574"/>
  <c r="AT9" i="574"/>
  <c r="AR9" i="574"/>
  <c r="AL9" i="574"/>
  <c r="AN9" i="574"/>
  <c r="AH9" i="574"/>
  <c r="AF9" i="574"/>
  <c r="AB9" i="574"/>
  <c r="Z9" i="574"/>
  <c r="CX8" i="574"/>
  <c r="CW8" i="574"/>
  <c r="CV8" i="574"/>
  <c r="CT8" i="574"/>
  <c r="CP8" i="574"/>
  <c r="CN8" i="574"/>
  <c r="CJ8" i="574"/>
  <c r="CH8" i="574"/>
  <c r="CD8" i="574"/>
  <c r="CB8" i="574"/>
  <c r="BX8" i="574"/>
  <c r="BV8" i="574"/>
  <c r="BR8" i="574"/>
  <c r="BP8" i="574"/>
  <c r="BL8" i="574"/>
  <c r="BJ8" i="574"/>
  <c r="BD8" i="574"/>
  <c r="BF8" i="574"/>
  <c r="AZ8" i="574"/>
  <c r="AX8" i="574"/>
  <c r="AT8" i="574"/>
  <c r="AR8" i="574"/>
  <c r="AL8" i="574"/>
  <c r="AN8" i="574"/>
  <c r="AH8" i="574"/>
  <c r="AF8" i="574"/>
  <c r="Z8" i="574"/>
  <c r="AB8" i="574"/>
  <c r="DL59" i="573"/>
  <c r="DN59" i="573"/>
  <c r="DF59" i="573"/>
  <c r="DH59" i="573"/>
  <c r="DB59" i="573"/>
  <c r="AZ59" i="573"/>
  <c r="CU48" i="573"/>
  <c r="CP48" i="573"/>
  <c r="CO48" i="573"/>
  <c r="BR48" i="573"/>
  <c r="T48" i="573"/>
  <c r="U48" i="573"/>
  <c r="V48" i="573"/>
  <c r="W48" i="573"/>
  <c r="M48" i="573"/>
  <c r="N48" i="573"/>
  <c r="O48" i="573"/>
  <c r="P48" i="573"/>
  <c r="Q48" i="573"/>
  <c r="R48" i="573"/>
  <c r="L48" i="573"/>
  <c r="DL47" i="573"/>
  <c r="DF47" i="573"/>
  <c r="CT47" i="573"/>
  <c r="CN47" i="573"/>
  <c r="CH47" i="573"/>
  <c r="CB47" i="573"/>
  <c r="DL46" i="573"/>
  <c r="DF46" i="573"/>
  <c r="CT46" i="573"/>
  <c r="CN46" i="573"/>
  <c r="CH46" i="573"/>
  <c r="CB46" i="573"/>
  <c r="CI45" i="573"/>
  <c r="CH45" i="573"/>
  <c r="CC45" i="573"/>
  <c r="CB45" i="573"/>
  <c r="CD45" i="573"/>
  <c r="BR45" i="573"/>
  <c r="M45" i="573"/>
  <c r="N45" i="573"/>
  <c r="O45" i="573"/>
  <c r="P45" i="573"/>
  <c r="Q45" i="573"/>
  <c r="R45" i="573"/>
  <c r="S45" i="573"/>
  <c r="T45" i="573"/>
  <c r="U45" i="573"/>
  <c r="V45" i="573"/>
  <c r="W45" i="573"/>
  <c r="L45" i="573"/>
  <c r="DN42" i="573"/>
  <c r="DH42" i="573"/>
  <c r="BX42" i="573"/>
  <c r="BR42" i="573"/>
  <c r="BL42" i="573"/>
  <c r="BF42" i="573"/>
  <c r="AZ42" i="573"/>
  <c r="AT42" i="573"/>
  <c r="AN42" i="573"/>
  <c r="AH42" i="573"/>
  <c r="M42" i="573"/>
  <c r="N42" i="573"/>
  <c r="O42" i="573"/>
  <c r="P42" i="573"/>
  <c r="Q42" i="573"/>
  <c r="R42" i="573"/>
  <c r="S42" i="573"/>
  <c r="T42" i="573"/>
  <c r="U42" i="573"/>
  <c r="V42" i="573"/>
  <c r="W42" i="573"/>
  <c r="L42" i="573"/>
  <c r="CH41" i="573"/>
  <c r="CB41" i="573"/>
  <c r="CH40" i="573"/>
  <c r="CB40" i="573"/>
  <c r="DN39" i="573"/>
  <c r="DH39" i="573"/>
  <c r="CI39" i="573"/>
  <c r="CC39" i="573"/>
  <c r="CD39" i="573"/>
  <c r="CB39" i="573"/>
  <c r="BR39" i="573"/>
  <c r="L39" i="573"/>
  <c r="M39" i="573"/>
  <c r="N39" i="573"/>
  <c r="O39" i="573"/>
  <c r="P39" i="573"/>
  <c r="Q39" i="573"/>
  <c r="R39" i="573"/>
  <c r="S39" i="573"/>
  <c r="T39" i="573"/>
  <c r="U39" i="573"/>
  <c r="V39" i="573"/>
  <c r="W39" i="573"/>
  <c r="DN36" i="573"/>
  <c r="DH36" i="573"/>
  <c r="BV36" i="573"/>
  <c r="BX36" i="573"/>
  <c r="BR36" i="573"/>
  <c r="BL36" i="573"/>
  <c r="BF36" i="573"/>
  <c r="AT36" i="573"/>
  <c r="AH36" i="573"/>
  <c r="U36" i="573"/>
  <c r="V36" i="573"/>
  <c r="W36" i="573"/>
  <c r="T36" i="573"/>
  <c r="L36" i="573"/>
  <c r="M36" i="573"/>
  <c r="N36" i="573"/>
  <c r="O36" i="573"/>
  <c r="P36" i="573"/>
  <c r="Q36" i="573"/>
  <c r="R36" i="573"/>
  <c r="DN34" i="573"/>
  <c r="DH34" i="573"/>
  <c r="BF34" i="573"/>
  <c r="AZ34" i="573"/>
  <c r="AT34" i="573"/>
  <c r="AH34" i="573"/>
  <c r="AB34" i="573"/>
  <c r="DF32" i="573"/>
  <c r="DL32" i="573"/>
  <c r="DB32" i="573"/>
  <c r="DA32" i="573"/>
  <c r="CV32" i="573"/>
  <c r="CU32" i="573"/>
  <c r="CR32" i="573"/>
  <c r="CO32" i="573"/>
  <c r="CP32" i="573"/>
  <c r="CL32" i="573"/>
  <c r="CJ32" i="573"/>
  <c r="CC32" i="573"/>
  <c r="CD32" i="573"/>
  <c r="BX32" i="573"/>
  <c r="BR32" i="573"/>
  <c r="BL32" i="573"/>
  <c r="BF32" i="573"/>
  <c r="AZ32" i="573"/>
  <c r="AT32" i="573"/>
  <c r="AH32" i="573"/>
  <c r="AB32" i="573"/>
  <c r="DL31" i="573"/>
  <c r="DN31" i="573"/>
  <c r="DF31" i="573"/>
  <c r="DH31" i="573"/>
  <c r="CN31" i="573"/>
  <c r="CL31" i="573"/>
  <c r="CC31" i="573"/>
  <c r="CD31" i="573"/>
  <c r="BX31" i="573"/>
  <c r="BR31" i="573"/>
  <c r="BL31" i="573"/>
  <c r="BF31" i="573"/>
  <c r="AZ31" i="573"/>
  <c r="AT31" i="573"/>
  <c r="AH31" i="573"/>
  <c r="DN30" i="573"/>
  <c r="DH30" i="573"/>
  <c r="DA30" i="573"/>
  <c r="CU30" i="573"/>
  <c r="CO30" i="573"/>
  <c r="BX30" i="573"/>
  <c r="BR30" i="573"/>
  <c r="DM29" i="573"/>
  <c r="DN29" i="573"/>
  <c r="DG29" i="573"/>
  <c r="DH29" i="573"/>
  <c r="DA29" i="573"/>
  <c r="DB29" i="573"/>
  <c r="CU29" i="573"/>
  <c r="CV29" i="573"/>
  <c r="CO29" i="573"/>
  <c r="CP29" i="573"/>
  <c r="DN28" i="573"/>
  <c r="DH28" i="573"/>
  <c r="CO28" i="573"/>
  <c r="CP28" i="573"/>
  <c r="CD28" i="573"/>
  <c r="DB27" i="573"/>
  <c r="CU27" i="573"/>
  <c r="CV27" i="573"/>
  <c r="CO27" i="573"/>
  <c r="CP27" i="573"/>
  <c r="CI27" i="573"/>
  <c r="CH27" i="573"/>
  <c r="DF27" i="573"/>
  <c r="CD27" i="573"/>
  <c r="CC27" i="573"/>
  <c r="CB27" i="573"/>
  <c r="BX27" i="573"/>
  <c r="BR27" i="573"/>
  <c r="BL27" i="573"/>
  <c r="BF27" i="573"/>
  <c r="AZ27" i="573"/>
  <c r="AT27" i="573"/>
  <c r="AH27" i="573"/>
  <c r="AB27" i="573"/>
  <c r="DB26" i="573"/>
  <c r="CX26" i="573"/>
  <c r="CU26" i="573"/>
  <c r="CV26" i="573"/>
  <c r="CR26" i="573"/>
  <c r="CP26" i="573"/>
  <c r="CO26" i="573"/>
  <c r="CL26" i="573"/>
  <c r="CI26" i="573"/>
  <c r="CH26" i="573"/>
  <c r="DF26" i="573"/>
  <c r="CD26" i="573"/>
  <c r="CC26" i="573"/>
  <c r="CB26" i="573"/>
  <c r="BX26" i="573"/>
  <c r="BR26" i="573"/>
  <c r="BL26" i="573"/>
  <c r="BF26" i="573"/>
  <c r="AZ26" i="573"/>
  <c r="AT26" i="573"/>
  <c r="AH26" i="573"/>
  <c r="AB26" i="573"/>
  <c r="V23" i="573"/>
  <c r="W23" i="573"/>
  <c r="U23" i="573"/>
  <c r="CH22" i="573"/>
  <c r="CH21" i="573"/>
  <c r="DN20" i="573"/>
  <c r="DH20" i="573"/>
  <c r="CO20" i="573"/>
  <c r="CI20" i="573"/>
  <c r="CJ20" i="573"/>
  <c r="BX20" i="573"/>
  <c r="BR20" i="573"/>
  <c r="BL20" i="573"/>
  <c r="M20" i="573"/>
  <c r="N20" i="573"/>
  <c r="O20" i="573"/>
  <c r="P20" i="573"/>
  <c r="Q20" i="573"/>
  <c r="R20" i="573"/>
  <c r="S20" i="573"/>
  <c r="T20" i="573"/>
  <c r="U20" i="573"/>
  <c r="V20" i="573"/>
  <c r="W20" i="573"/>
  <c r="L20" i="573"/>
  <c r="CH19" i="573"/>
  <c r="CB19" i="573"/>
  <c r="CH18" i="573"/>
  <c r="CB18" i="573"/>
  <c r="DN17" i="573"/>
  <c r="DH17" i="573"/>
  <c r="CV17" i="573"/>
  <c r="CU17" i="573"/>
  <c r="CO17" i="573"/>
  <c r="CI17" i="573"/>
  <c r="CH17" i="573"/>
  <c r="CC17" i="573"/>
  <c r="CD17" i="573"/>
  <c r="CB17" i="573"/>
  <c r="BR17" i="573"/>
  <c r="BF17" i="573"/>
  <c r="L17" i="573"/>
  <c r="M17" i="573"/>
  <c r="N17" i="573"/>
  <c r="O17" i="573"/>
  <c r="P17" i="573"/>
  <c r="Q17" i="573"/>
  <c r="R17" i="573"/>
  <c r="S17" i="573"/>
  <c r="T17" i="573"/>
  <c r="U17" i="573"/>
  <c r="V17" i="573"/>
  <c r="CB16" i="573"/>
  <c r="CB15" i="573"/>
  <c r="DN14" i="573"/>
  <c r="DH14" i="573"/>
  <c r="CB14" i="573"/>
  <c r="CD14" i="573"/>
  <c r="BX14" i="573"/>
  <c r="BR14" i="573"/>
  <c r="BL14" i="573"/>
  <c r="BF14" i="573"/>
  <c r="AZ14" i="573"/>
  <c r="AT14" i="573"/>
  <c r="AN14" i="573"/>
  <c r="AH14" i="573"/>
  <c r="T14" i="573"/>
  <c r="U14" i="573"/>
  <c r="V14" i="573"/>
  <c r="W14" i="573"/>
  <c r="M14" i="573"/>
  <c r="N14" i="573"/>
  <c r="O14" i="573"/>
  <c r="P14" i="573"/>
  <c r="Q14" i="573"/>
  <c r="R14" i="573"/>
  <c r="L14" i="573"/>
  <c r="CB13" i="573"/>
  <c r="CB12" i="573"/>
  <c r="DN11" i="573"/>
  <c r="DH11" i="573"/>
  <c r="DB11" i="573"/>
  <c r="DA11" i="573"/>
  <c r="CV11" i="573"/>
  <c r="CU11" i="573"/>
  <c r="CP11" i="573"/>
  <c r="CO11" i="573"/>
  <c r="CC11" i="573"/>
  <c r="CB11" i="573"/>
  <c r="CD11" i="573"/>
  <c r="V11" i="573"/>
  <c r="L11" i="573"/>
  <c r="M11" i="573"/>
  <c r="N11" i="573"/>
  <c r="DN8" i="573"/>
  <c r="DH8" i="573"/>
  <c r="AZ8" i="573"/>
  <c r="AT8" i="573"/>
  <c r="AN8" i="573"/>
  <c r="AH8" i="573"/>
  <c r="AB8" i="573"/>
  <c r="W8" i="573"/>
  <c r="T8" i="573"/>
  <c r="R8" i="573"/>
  <c r="M8" i="573"/>
  <c r="N8" i="573"/>
  <c r="O8" i="573"/>
  <c r="P8" i="573"/>
  <c r="L8" i="573"/>
  <c r="CV46" i="572"/>
  <c r="CW46" i="572"/>
  <c r="CU46" i="572"/>
  <c r="CQ46" i="572"/>
  <c r="CO46" i="572"/>
  <c r="CK46" i="572"/>
  <c r="CI46" i="572"/>
  <c r="CE46" i="572"/>
  <c r="CC46" i="572"/>
  <c r="BX46" i="572"/>
  <c r="BW46" i="572"/>
  <c r="BY46" i="572"/>
  <c r="BS46" i="572"/>
  <c r="BR46" i="572"/>
  <c r="BQ46" i="572"/>
  <c r="BM46" i="572"/>
  <c r="BK46" i="572"/>
  <c r="BF46" i="572"/>
  <c r="BE46" i="572"/>
  <c r="BG46" i="572"/>
  <c r="BA46" i="572"/>
  <c r="AY46" i="572"/>
  <c r="AU46" i="572"/>
  <c r="AS46" i="572"/>
  <c r="AO46" i="572"/>
  <c r="AM46" i="572"/>
  <c r="AI46" i="572"/>
  <c r="AG46" i="572"/>
  <c r="AC46" i="572"/>
  <c r="AA46" i="572"/>
  <c r="CW45" i="572"/>
  <c r="CU45" i="572"/>
  <c r="CQ45" i="572"/>
  <c r="CO45" i="572"/>
  <c r="CK45" i="572"/>
  <c r="CI45" i="572"/>
  <c r="CE45" i="572"/>
  <c r="CC45" i="572"/>
  <c r="BY45" i="572"/>
  <c r="BW45" i="572"/>
  <c r="BS45" i="572"/>
  <c r="BQ45" i="572"/>
  <c r="BM45" i="572"/>
  <c r="BK45" i="572"/>
  <c r="BG45" i="572"/>
  <c r="BE45" i="572"/>
  <c r="BB45" i="572"/>
  <c r="BA45" i="572"/>
  <c r="AY45" i="572"/>
  <c r="AU45" i="572"/>
  <c r="AS45" i="572"/>
  <c r="AO45" i="572"/>
  <c r="AM45" i="572"/>
  <c r="AI45" i="572"/>
  <c r="AG45" i="572"/>
  <c r="AD45" i="572"/>
  <c r="AC45" i="572"/>
  <c r="AA45" i="572"/>
  <c r="CW44" i="572"/>
  <c r="CU44" i="572"/>
  <c r="CQ44" i="572"/>
  <c r="CO44" i="572"/>
  <c r="CK44" i="572"/>
  <c r="CI44" i="572"/>
  <c r="CE44" i="572"/>
  <c r="CC44" i="572"/>
  <c r="BY44" i="572"/>
  <c r="BW44" i="572"/>
  <c r="BS44" i="572"/>
  <c r="BQ44" i="572"/>
  <c r="BM44" i="572"/>
  <c r="BK44" i="572"/>
  <c r="BG44" i="572"/>
  <c r="BE44" i="572"/>
  <c r="BB44" i="572"/>
  <c r="BA44" i="572"/>
  <c r="AY44" i="572"/>
  <c r="AU44" i="572"/>
  <c r="AS44" i="572"/>
  <c r="AO44" i="572"/>
  <c r="AM44" i="572"/>
  <c r="AI44" i="572"/>
  <c r="AG44" i="572"/>
  <c r="AD44" i="572"/>
  <c r="AC44" i="572"/>
  <c r="AA44" i="572"/>
  <c r="CW43" i="572"/>
  <c r="CU43" i="572"/>
  <c r="CQ43" i="572"/>
  <c r="CO43" i="572"/>
  <c r="CK43" i="572"/>
  <c r="CI43" i="572"/>
  <c r="CE43" i="572"/>
  <c r="CC43" i="572"/>
  <c r="BY43" i="572"/>
  <c r="BW43" i="572"/>
  <c r="BS43" i="572"/>
  <c r="BQ43" i="572"/>
  <c r="BM43" i="572"/>
  <c r="BK43" i="572"/>
  <c r="BG43" i="572"/>
  <c r="BE43" i="572"/>
  <c r="BB43" i="572"/>
  <c r="BA43" i="572"/>
  <c r="AY43" i="572"/>
  <c r="AU43" i="572"/>
  <c r="AS43" i="572"/>
  <c r="AO43" i="572"/>
  <c r="AM43" i="572"/>
  <c r="AI43" i="572"/>
  <c r="AG43" i="572"/>
  <c r="AD43" i="572"/>
  <c r="AC43" i="572"/>
  <c r="AA43" i="572"/>
  <c r="CW42" i="572"/>
  <c r="CU42" i="572"/>
  <c r="CQ42" i="572"/>
  <c r="CO42" i="572"/>
  <c r="CK42" i="572"/>
  <c r="CI42" i="572"/>
  <c r="CE42" i="572"/>
  <c r="CC42" i="572"/>
  <c r="BY42" i="572"/>
  <c r="BW42" i="572"/>
  <c r="BS42" i="572"/>
  <c r="BQ42" i="572"/>
  <c r="BM42" i="572"/>
  <c r="BK42" i="572"/>
  <c r="BG42" i="572"/>
  <c r="BE42" i="572"/>
  <c r="BB42" i="572"/>
  <c r="BA42" i="572"/>
  <c r="AY42" i="572"/>
  <c r="AU42" i="572"/>
  <c r="AS42" i="572"/>
  <c r="AO42" i="572"/>
  <c r="AM42" i="572"/>
  <c r="AI42" i="572"/>
  <c r="AG42" i="572"/>
  <c r="AD42" i="572"/>
  <c r="AC42" i="572"/>
  <c r="AA42" i="572"/>
  <c r="CV41" i="572"/>
  <c r="CS41" i="572"/>
  <c r="CU41" i="572"/>
  <c r="CW41" i="572"/>
  <c r="CP41" i="572"/>
  <c r="CO41" i="572"/>
  <c r="CQ41" i="572"/>
  <c r="CK41" i="572"/>
  <c r="CI41" i="572"/>
  <c r="CD41" i="572"/>
  <c r="CC41" i="572"/>
  <c r="CE41" i="572"/>
  <c r="BY41" i="572"/>
  <c r="BW41" i="572"/>
  <c r="BR41" i="572"/>
  <c r="BS41" i="572"/>
  <c r="BQ41" i="572"/>
  <c r="BM41" i="572"/>
  <c r="BK41" i="572"/>
  <c r="BF41" i="572"/>
  <c r="BE41" i="572"/>
  <c r="BG41" i="572"/>
  <c r="BA41" i="572"/>
  <c r="AY41" i="572"/>
  <c r="AT41" i="572"/>
  <c r="AS41" i="572"/>
  <c r="AU41" i="572"/>
  <c r="AO41" i="572"/>
  <c r="AM41" i="572"/>
  <c r="AI41" i="572"/>
  <c r="AG41" i="572"/>
  <c r="AC41" i="572"/>
  <c r="AA41" i="572"/>
  <c r="CV40" i="572"/>
  <c r="CU40" i="572"/>
  <c r="CW40" i="572"/>
  <c r="CS40" i="572"/>
  <c r="CP40" i="572"/>
  <c r="CO40" i="572"/>
  <c r="CQ40" i="572"/>
  <c r="CK40" i="572"/>
  <c r="CI40" i="572"/>
  <c r="CE40" i="572"/>
  <c r="CC40" i="572"/>
  <c r="BX40" i="572"/>
  <c r="BW40" i="572"/>
  <c r="BY40" i="572"/>
  <c r="BS40" i="572"/>
  <c r="BR40" i="572"/>
  <c r="BQ40" i="572"/>
  <c r="BM40" i="572"/>
  <c r="BK40" i="572"/>
  <c r="BF40" i="572"/>
  <c r="BE40" i="572"/>
  <c r="BG40" i="572"/>
  <c r="BA40" i="572"/>
  <c r="AY40" i="572"/>
  <c r="AU40" i="572"/>
  <c r="AS40" i="572"/>
  <c r="AO40" i="572"/>
  <c r="AM40" i="572"/>
  <c r="AI40" i="572"/>
  <c r="AG40" i="572"/>
  <c r="AC40" i="572"/>
  <c r="AA40" i="572"/>
  <c r="CW39" i="572"/>
  <c r="CU39" i="572"/>
  <c r="CQ39" i="572"/>
  <c r="CO39" i="572"/>
  <c r="CK39" i="572"/>
  <c r="CI39" i="572"/>
  <c r="CE39" i="572"/>
  <c r="CC39" i="572"/>
  <c r="BY39" i="572"/>
  <c r="BW39" i="572"/>
  <c r="BS39" i="572"/>
  <c r="BQ39" i="572"/>
  <c r="BM39" i="572"/>
  <c r="BK39" i="572"/>
  <c r="BG39" i="572"/>
  <c r="BE39" i="572"/>
  <c r="BB39" i="572"/>
  <c r="BA39" i="572"/>
  <c r="AY39" i="572"/>
  <c r="AU39" i="572"/>
  <c r="AS39" i="572"/>
  <c r="AO39" i="572"/>
  <c r="AM39" i="572"/>
  <c r="AI39" i="572"/>
  <c r="AG39" i="572"/>
  <c r="AC39" i="572"/>
  <c r="AA39" i="572"/>
  <c r="BA37" i="572"/>
  <c r="AY37" i="572"/>
  <c r="W37" i="572"/>
  <c r="CS36" i="572"/>
  <c r="CU36" i="572"/>
  <c r="CW36" i="572"/>
  <c r="CO36" i="572"/>
  <c r="CQ36" i="572"/>
  <c r="CK36" i="572"/>
  <c r="CJ36" i="572"/>
  <c r="CI36" i="572"/>
  <c r="CD36" i="572"/>
  <c r="CC36" i="572"/>
  <c r="CE36" i="572"/>
  <c r="BY36" i="572"/>
  <c r="BW36" i="572"/>
  <c r="BS36" i="572"/>
  <c r="BQ36" i="572"/>
  <c r="BM36" i="572"/>
  <c r="BL36" i="572"/>
  <c r="BK36" i="572"/>
  <c r="BF36" i="572"/>
  <c r="BE36" i="572"/>
  <c r="BG36" i="572"/>
  <c r="BA36" i="572"/>
  <c r="AZ36" i="572"/>
  <c r="AY36" i="572"/>
  <c r="AT36" i="572"/>
  <c r="AS36" i="572"/>
  <c r="AO36" i="572"/>
  <c r="AN36" i="572"/>
  <c r="AM36" i="572"/>
  <c r="AI36" i="572"/>
  <c r="AH36" i="572"/>
  <c r="BX36" i="572"/>
  <c r="AG36" i="572"/>
  <c r="AC36" i="572"/>
  <c r="AB36" i="572"/>
  <c r="BR36" i="572"/>
  <c r="AA36" i="572"/>
  <c r="BA35" i="572"/>
  <c r="AY35" i="572"/>
  <c r="W35" i="572"/>
  <c r="CW34" i="572"/>
  <c r="CU34" i="572"/>
  <c r="CQ34" i="572"/>
  <c r="CP34" i="572"/>
  <c r="CO34" i="572"/>
  <c r="CK34" i="572"/>
  <c r="CJ34" i="572"/>
  <c r="CI34" i="572"/>
  <c r="CE34" i="572"/>
  <c r="CC34" i="572"/>
  <c r="BY34" i="572"/>
  <c r="BW34" i="572"/>
  <c r="BS34" i="572"/>
  <c r="BR34" i="572"/>
  <c r="BQ34" i="572"/>
  <c r="BM34" i="572"/>
  <c r="BL34" i="572"/>
  <c r="BK34" i="572"/>
  <c r="BE34" i="572"/>
  <c r="BG34" i="572"/>
  <c r="BA34" i="572"/>
  <c r="AZ34" i="572"/>
  <c r="AY34" i="572"/>
  <c r="AT34" i="572"/>
  <c r="AS34" i="572"/>
  <c r="AO34" i="572"/>
  <c r="AN34" i="572"/>
  <c r="AM34" i="572"/>
  <c r="AI34" i="572"/>
  <c r="AH34" i="572"/>
  <c r="BX34" i="572"/>
  <c r="AG34" i="572"/>
  <c r="AC34" i="572"/>
  <c r="AB34" i="572"/>
  <c r="AA34" i="572"/>
  <c r="W33" i="572"/>
  <c r="CV32" i="572"/>
  <c r="CU32" i="572"/>
  <c r="CW32" i="572"/>
  <c r="CS32" i="572"/>
  <c r="CQ32" i="572"/>
  <c r="CP32" i="572"/>
  <c r="CO32" i="572"/>
  <c r="CK32" i="572"/>
  <c r="CJ32" i="572"/>
  <c r="CI32" i="572"/>
  <c r="CE32" i="572"/>
  <c r="CC32" i="572"/>
  <c r="BY32" i="572"/>
  <c r="BW32" i="572"/>
  <c r="BS32" i="572"/>
  <c r="BR32" i="572"/>
  <c r="BQ32" i="572"/>
  <c r="BM32" i="572"/>
  <c r="BL32" i="572"/>
  <c r="BK32" i="572"/>
  <c r="BF32" i="572"/>
  <c r="BE32" i="572"/>
  <c r="AZ32" i="572"/>
  <c r="AY32" i="572"/>
  <c r="AT32" i="572"/>
  <c r="AS32" i="572"/>
  <c r="AM32" i="572"/>
  <c r="AO32" i="572"/>
  <c r="AI32" i="572"/>
  <c r="AH32" i="572"/>
  <c r="BX32" i="572"/>
  <c r="AG32" i="572"/>
  <c r="AC32" i="572"/>
  <c r="AB32" i="572"/>
  <c r="AA32" i="572"/>
  <c r="CW31" i="572"/>
  <c r="CU31" i="572"/>
  <c r="CS31" i="572"/>
  <c r="CQ31" i="572"/>
  <c r="CP31" i="572"/>
  <c r="CO31" i="572"/>
  <c r="CK31" i="572"/>
  <c r="CJ31" i="572"/>
  <c r="CI31" i="572"/>
  <c r="CE31" i="572"/>
  <c r="CD31" i="572"/>
  <c r="CC31" i="572"/>
  <c r="BY31" i="572"/>
  <c r="BW31" i="572"/>
  <c r="BS31" i="572"/>
  <c r="BQ31" i="572"/>
  <c r="BM31" i="572"/>
  <c r="BL31" i="572"/>
  <c r="BK31" i="572"/>
  <c r="BF31" i="572"/>
  <c r="BE31" i="572"/>
  <c r="AZ31" i="572"/>
  <c r="AY31" i="572"/>
  <c r="AT31" i="572"/>
  <c r="AS31" i="572"/>
  <c r="AO31" i="572"/>
  <c r="AN31" i="572"/>
  <c r="AM31" i="572"/>
  <c r="AI31" i="572"/>
  <c r="AH31" i="572"/>
  <c r="BX31" i="572"/>
  <c r="AG31" i="572"/>
  <c r="AC31" i="572"/>
  <c r="AB31" i="572"/>
  <c r="BR31" i="572"/>
  <c r="AA31" i="572"/>
  <c r="W31" i="572"/>
  <c r="CV31" i="572"/>
  <c r="CS30" i="572"/>
  <c r="CU30" i="572"/>
  <c r="CW30" i="572"/>
  <c r="CQ30" i="572"/>
  <c r="CP30" i="572"/>
  <c r="CO30" i="572"/>
  <c r="CJ30" i="572"/>
  <c r="CI30" i="572"/>
  <c r="CE30" i="572"/>
  <c r="CD30" i="572"/>
  <c r="CC30" i="572"/>
  <c r="BY30" i="572"/>
  <c r="BX30" i="572"/>
  <c r="BW30" i="572"/>
  <c r="BS30" i="572"/>
  <c r="BQ30" i="572"/>
  <c r="BM30" i="572"/>
  <c r="BL30" i="572"/>
  <c r="BK30" i="572"/>
  <c r="BG30" i="572"/>
  <c r="BF30" i="572"/>
  <c r="BE30" i="572"/>
  <c r="AZ30" i="572"/>
  <c r="AY30" i="572"/>
  <c r="AT30" i="572"/>
  <c r="AS30" i="572"/>
  <c r="AO30" i="572"/>
  <c r="AN30" i="572"/>
  <c r="AM30" i="572"/>
  <c r="AI30" i="572"/>
  <c r="AH30" i="572"/>
  <c r="AG30" i="572"/>
  <c r="AC30" i="572"/>
  <c r="AB30" i="572"/>
  <c r="BR30" i="572"/>
  <c r="AA30" i="572"/>
  <c r="W30" i="572"/>
  <c r="CV30" i="572"/>
  <c r="CS29" i="572"/>
  <c r="CU29" i="572"/>
  <c r="CW29" i="572"/>
  <c r="CQ29" i="572"/>
  <c r="CP29" i="572"/>
  <c r="CO29" i="572"/>
  <c r="CJ29" i="572"/>
  <c r="CI29" i="572"/>
  <c r="CD29" i="572"/>
  <c r="CC29" i="572"/>
  <c r="CE29" i="572"/>
  <c r="BY29" i="572"/>
  <c r="BX29" i="572"/>
  <c r="BW29" i="572"/>
  <c r="BS29" i="572"/>
  <c r="BQ29" i="572"/>
  <c r="BM29" i="572"/>
  <c r="BL29" i="572"/>
  <c r="BK29" i="572"/>
  <c r="BF29" i="572"/>
  <c r="BE29" i="572"/>
  <c r="BG29" i="572"/>
  <c r="AZ29" i="572"/>
  <c r="AY29" i="572"/>
  <c r="AT29" i="572"/>
  <c r="AS29" i="572"/>
  <c r="AO29" i="572"/>
  <c r="AN29" i="572"/>
  <c r="AM29" i="572"/>
  <c r="AI29" i="572"/>
  <c r="AH29" i="572"/>
  <c r="AG29" i="572"/>
  <c r="AC29" i="572"/>
  <c r="AB29" i="572"/>
  <c r="BR29" i="572"/>
  <c r="AA29" i="572"/>
  <c r="W29" i="572"/>
  <c r="CV29" i="572"/>
  <c r="CV28" i="572"/>
  <c r="CS28" i="572"/>
  <c r="CU28" i="572"/>
  <c r="CW28" i="572"/>
  <c r="CQ28" i="572"/>
  <c r="CP28" i="572"/>
  <c r="CO28" i="572"/>
  <c r="CJ28" i="572"/>
  <c r="CI28" i="572"/>
  <c r="CE28" i="572"/>
  <c r="CD28" i="572"/>
  <c r="CC28" i="572"/>
  <c r="BY28" i="572"/>
  <c r="BW28" i="572"/>
  <c r="BS28" i="572"/>
  <c r="BQ28" i="572"/>
  <c r="BM28" i="572"/>
  <c r="BL28" i="572"/>
  <c r="BK28" i="572"/>
  <c r="BG28" i="572"/>
  <c r="BF28" i="572"/>
  <c r="BE28" i="572"/>
  <c r="AZ28" i="572"/>
  <c r="AY28" i="572"/>
  <c r="BA28" i="572"/>
  <c r="AT28" i="572"/>
  <c r="AS28" i="572"/>
  <c r="AO28" i="572"/>
  <c r="AN28" i="572"/>
  <c r="AM28" i="572"/>
  <c r="AI28" i="572"/>
  <c r="AH28" i="572"/>
  <c r="BX28" i="572"/>
  <c r="AG28" i="572"/>
  <c r="AC28" i="572"/>
  <c r="AB28" i="572"/>
  <c r="BR28" i="572"/>
  <c r="AA28" i="572"/>
  <c r="W28" i="572"/>
  <c r="CU27" i="572"/>
  <c r="CS27" i="572"/>
  <c r="CQ27" i="572"/>
  <c r="CP27" i="572"/>
  <c r="CO27" i="572"/>
  <c r="CK27" i="572"/>
  <c r="CJ27" i="572"/>
  <c r="CI27" i="572"/>
  <c r="CE27" i="572"/>
  <c r="CD27" i="572"/>
  <c r="CC27" i="572"/>
  <c r="BY27" i="572"/>
  <c r="BX27" i="572"/>
  <c r="BW27" i="572"/>
  <c r="BS27" i="572"/>
  <c r="BR27" i="572"/>
  <c r="BQ27" i="572"/>
  <c r="BM27" i="572"/>
  <c r="BL27" i="572"/>
  <c r="BK27" i="572"/>
  <c r="BE27" i="572"/>
  <c r="AZ27" i="572"/>
  <c r="AY27" i="572"/>
  <c r="AT27" i="572"/>
  <c r="AS27" i="572"/>
  <c r="AN27" i="572"/>
  <c r="AO27" i="572"/>
  <c r="AM27" i="572"/>
  <c r="AI27" i="572"/>
  <c r="AH27" i="572"/>
  <c r="AG27" i="572"/>
  <c r="AB27" i="572"/>
  <c r="AA27" i="572"/>
  <c r="AC27" i="572"/>
  <c r="W27" i="572"/>
  <c r="CV27" i="572"/>
  <c r="CV26" i="572"/>
  <c r="CS26" i="572"/>
  <c r="CU26" i="572"/>
  <c r="CW26" i="572"/>
  <c r="CO26" i="572"/>
  <c r="CQ26" i="572"/>
  <c r="CK26" i="572"/>
  <c r="CJ26" i="572"/>
  <c r="CI26" i="572"/>
  <c r="CE26" i="572"/>
  <c r="CD26" i="572"/>
  <c r="CC26" i="572"/>
  <c r="BY26" i="572"/>
  <c r="BW26" i="572"/>
  <c r="BS26" i="572"/>
  <c r="BQ26" i="572"/>
  <c r="BM26" i="572"/>
  <c r="BL26" i="572"/>
  <c r="BK26" i="572"/>
  <c r="BF26" i="572"/>
  <c r="BE26" i="572"/>
  <c r="AZ26" i="572"/>
  <c r="AY26" i="572"/>
  <c r="AT26" i="572"/>
  <c r="AS26" i="572"/>
  <c r="AN26" i="572"/>
  <c r="AM26" i="572"/>
  <c r="AO26" i="572"/>
  <c r="AH26" i="572"/>
  <c r="AI26" i="572"/>
  <c r="AG26" i="572"/>
  <c r="AC26" i="572"/>
  <c r="AB26" i="572"/>
  <c r="BR26" i="572"/>
  <c r="AA26" i="572"/>
  <c r="W26" i="572"/>
  <c r="CU25" i="572"/>
  <c r="CS25" i="572"/>
  <c r="CQ25" i="572"/>
  <c r="CP25" i="572"/>
  <c r="CO25" i="572"/>
  <c r="CI25" i="572"/>
  <c r="CK25" i="572"/>
  <c r="CC25" i="572"/>
  <c r="CE25" i="572"/>
  <c r="BW25" i="572"/>
  <c r="BY25" i="572"/>
  <c r="BQ25" i="572"/>
  <c r="BS25" i="572"/>
  <c r="BM25" i="572"/>
  <c r="BL25" i="572"/>
  <c r="BK25" i="572"/>
  <c r="BF25" i="572"/>
  <c r="BE25" i="572"/>
  <c r="BG25" i="572"/>
  <c r="AZ25" i="572"/>
  <c r="BA25" i="572"/>
  <c r="AY25" i="572"/>
  <c r="AU25" i="572"/>
  <c r="AT25" i="572"/>
  <c r="AS25" i="572"/>
  <c r="AN25" i="572"/>
  <c r="AM25" i="572"/>
  <c r="AO25" i="572"/>
  <c r="AI25" i="572"/>
  <c r="AH25" i="572"/>
  <c r="AG25" i="572"/>
  <c r="AC25" i="572"/>
  <c r="AB25" i="572"/>
  <c r="AA25" i="572"/>
  <c r="W25" i="572"/>
  <c r="CV25" i="572"/>
  <c r="CW25" i="572"/>
  <c r="CV24" i="572"/>
  <c r="CS24" i="572"/>
  <c r="CU24" i="572"/>
  <c r="CW24" i="572"/>
  <c r="CP24" i="572"/>
  <c r="CQ24" i="572"/>
  <c r="CO24" i="572"/>
  <c r="CK24" i="572"/>
  <c r="CJ24" i="572"/>
  <c r="CI24" i="572"/>
  <c r="CD24" i="572"/>
  <c r="CC24" i="572"/>
  <c r="CE24" i="572"/>
  <c r="BX24" i="572"/>
  <c r="BW24" i="572"/>
  <c r="BY24" i="572"/>
  <c r="BR24" i="572"/>
  <c r="BS24" i="572"/>
  <c r="BQ24" i="572"/>
  <c r="BM24" i="572"/>
  <c r="BL24" i="572"/>
  <c r="BK24" i="572"/>
  <c r="BF24" i="572"/>
  <c r="BE24" i="572"/>
  <c r="BG24" i="572"/>
  <c r="AZ24" i="572"/>
  <c r="AY24" i="572"/>
  <c r="BA24" i="572"/>
  <c r="AT24" i="572"/>
  <c r="AU24" i="572"/>
  <c r="AS24" i="572"/>
  <c r="AO24" i="572"/>
  <c r="AN24" i="572"/>
  <c r="AM24" i="572"/>
  <c r="AH24" i="572"/>
  <c r="AG24" i="572"/>
  <c r="AI24" i="572"/>
  <c r="AB24" i="572"/>
  <c r="AA24" i="572"/>
  <c r="AC24" i="572"/>
  <c r="W24" i="572"/>
  <c r="CU23" i="572"/>
  <c r="CS23" i="572"/>
  <c r="CP23" i="572"/>
  <c r="CO23" i="572"/>
  <c r="CQ23" i="572"/>
  <c r="CK23" i="572"/>
  <c r="CJ23" i="572"/>
  <c r="CI23" i="572"/>
  <c r="CE23" i="572"/>
  <c r="CC23" i="572"/>
  <c r="BY23" i="572"/>
  <c r="BX23" i="572"/>
  <c r="BW23" i="572"/>
  <c r="BM23" i="572"/>
  <c r="BL23" i="572"/>
  <c r="BK23" i="572"/>
  <c r="BG23" i="572"/>
  <c r="BF23" i="572"/>
  <c r="BE23" i="572"/>
  <c r="BA23" i="572"/>
  <c r="AY23" i="572"/>
  <c r="AU23" i="572"/>
  <c r="AS23" i="572"/>
  <c r="AO23" i="572"/>
  <c r="AN23" i="572"/>
  <c r="CD23" i="572"/>
  <c r="AM23" i="572"/>
  <c r="AC23" i="572"/>
  <c r="AB23" i="572"/>
  <c r="AA23" i="572"/>
  <c r="W23" i="572"/>
  <c r="CV23" i="572"/>
  <c r="CV22" i="572"/>
  <c r="CS22" i="572"/>
  <c r="CU22" i="572"/>
  <c r="CW22" i="572"/>
  <c r="CP22" i="572"/>
  <c r="CO22" i="572"/>
  <c r="CQ22" i="572"/>
  <c r="CK22" i="572"/>
  <c r="CJ22" i="572"/>
  <c r="CI22" i="572"/>
  <c r="CE22" i="572"/>
  <c r="CD22" i="572"/>
  <c r="CC22" i="572"/>
  <c r="BY22" i="572"/>
  <c r="BW22" i="572"/>
  <c r="BS22" i="572"/>
  <c r="BR22" i="572"/>
  <c r="BQ22" i="572"/>
  <c r="BM22" i="572"/>
  <c r="BL22" i="572"/>
  <c r="BK22" i="572"/>
  <c r="BG22" i="572"/>
  <c r="BF22" i="572"/>
  <c r="BE22" i="572"/>
  <c r="BA22" i="572"/>
  <c r="AZ22" i="572"/>
  <c r="AY22" i="572"/>
  <c r="AU22" i="572"/>
  <c r="AT22" i="572"/>
  <c r="AS22" i="572"/>
  <c r="AO22" i="572"/>
  <c r="AN22" i="572"/>
  <c r="AM22" i="572"/>
  <c r="AI22" i="572"/>
  <c r="AH22" i="572"/>
  <c r="BX22" i="572"/>
  <c r="AG22" i="572"/>
  <c r="AC22" i="572"/>
  <c r="AB22" i="572"/>
  <c r="AA22" i="572"/>
  <c r="W22" i="572"/>
  <c r="BA21" i="572"/>
  <c r="AY21" i="572"/>
  <c r="AU21" i="572"/>
  <c r="AS21" i="572"/>
  <c r="W21" i="572"/>
  <c r="CV20" i="572"/>
  <c r="CS20" i="572"/>
  <c r="CU20" i="572"/>
  <c r="CW20" i="572"/>
  <c r="CO20" i="572"/>
  <c r="CQ20" i="572"/>
  <c r="CI20" i="572"/>
  <c r="CK20" i="572"/>
  <c r="CD20" i="572"/>
  <c r="CE20" i="572"/>
  <c r="CC20" i="572"/>
  <c r="BY20" i="572"/>
  <c r="BW20" i="572"/>
  <c r="BS20" i="572"/>
  <c r="BR20" i="572"/>
  <c r="BQ20" i="572"/>
  <c r="BM20" i="572"/>
  <c r="BL20" i="572"/>
  <c r="BK20" i="572"/>
  <c r="BG20" i="572"/>
  <c r="BF20" i="572"/>
  <c r="BE20" i="572"/>
  <c r="BA20" i="572"/>
  <c r="AZ20" i="572"/>
  <c r="AY20" i="572"/>
  <c r="AU20" i="572"/>
  <c r="AT20" i="572"/>
  <c r="AS20" i="572"/>
  <c r="AO20" i="572"/>
  <c r="AN20" i="572"/>
  <c r="AM20" i="572"/>
  <c r="AI20" i="572"/>
  <c r="AH20" i="572"/>
  <c r="BX20" i="572"/>
  <c r="AG20" i="572"/>
  <c r="AC20" i="572"/>
  <c r="AB20" i="572"/>
  <c r="AA20" i="572"/>
  <c r="BA19" i="572"/>
  <c r="AY19" i="572"/>
  <c r="W19" i="572"/>
  <c r="CW18" i="572"/>
  <c r="CU18" i="572"/>
  <c r="CQ18" i="572"/>
  <c r="CO18" i="572"/>
  <c r="CK18" i="572"/>
  <c r="CJ18" i="572"/>
  <c r="CI18" i="572"/>
  <c r="CD18" i="572"/>
  <c r="CE18" i="572"/>
  <c r="CC18" i="572"/>
  <c r="BY18" i="572"/>
  <c r="BW18" i="572"/>
  <c r="BS18" i="572"/>
  <c r="BQ18" i="572"/>
  <c r="BM18" i="572"/>
  <c r="BL18" i="572"/>
  <c r="BK18" i="572"/>
  <c r="BE18" i="572"/>
  <c r="BG18" i="572"/>
  <c r="BA18" i="572"/>
  <c r="AZ18" i="572"/>
  <c r="AY18" i="572"/>
  <c r="AT18" i="572"/>
  <c r="AS18" i="572"/>
  <c r="AU18" i="572"/>
  <c r="AO18" i="572"/>
  <c r="AN18" i="572"/>
  <c r="AM18" i="572"/>
  <c r="AI18" i="572"/>
  <c r="AH18" i="572"/>
  <c r="BX18" i="572"/>
  <c r="AG18" i="572"/>
  <c r="AC18" i="572"/>
  <c r="AB18" i="572"/>
  <c r="BR18" i="572"/>
  <c r="AA18" i="572"/>
  <c r="BA17" i="572"/>
  <c r="AY17" i="572"/>
  <c r="W17" i="572"/>
  <c r="CV16" i="572"/>
  <c r="CW16" i="572"/>
  <c r="CU16" i="572"/>
  <c r="CQ16" i="572"/>
  <c r="CP16" i="572"/>
  <c r="CO16" i="572"/>
  <c r="CI16" i="572"/>
  <c r="CK16" i="572"/>
  <c r="CD16" i="572"/>
  <c r="CE16" i="572"/>
  <c r="CC16" i="572"/>
  <c r="BY16" i="572"/>
  <c r="BW16" i="572"/>
  <c r="BS16" i="572"/>
  <c r="BR16" i="572"/>
  <c r="BQ16" i="572"/>
  <c r="BM16" i="572"/>
  <c r="BL16" i="572"/>
  <c r="BK16" i="572"/>
  <c r="BG16" i="572"/>
  <c r="BF16" i="572"/>
  <c r="BE16" i="572"/>
  <c r="BA16" i="572"/>
  <c r="AZ16" i="572"/>
  <c r="AY16" i="572"/>
  <c r="AT16" i="572"/>
  <c r="AS16" i="572"/>
  <c r="AU16" i="572"/>
  <c r="AO16" i="572"/>
  <c r="AN16" i="572"/>
  <c r="AM16" i="572"/>
  <c r="AI16" i="572"/>
  <c r="AH16" i="572"/>
  <c r="BX16" i="572"/>
  <c r="AG16" i="572"/>
  <c r="AC16" i="572"/>
  <c r="AB16" i="572"/>
  <c r="AA16" i="572"/>
  <c r="W16" i="572"/>
  <c r="BA15" i="572"/>
  <c r="AY15" i="572"/>
  <c r="AU15" i="572"/>
  <c r="AS15" i="572"/>
  <c r="AO15" i="572"/>
  <c r="AM15" i="572"/>
  <c r="AI15" i="572"/>
  <c r="AG15" i="572"/>
  <c r="W15" i="572"/>
  <c r="CV14" i="572"/>
  <c r="CW14" i="572"/>
  <c r="CU14" i="572"/>
  <c r="CQ14" i="572"/>
  <c r="CP14" i="572"/>
  <c r="CO14" i="572"/>
  <c r="CK14" i="572"/>
  <c r="CJ14" i="572"/>
  <c r="CI14" i="572"/>
  <c r="CE14" i="572"/>
  <c r="CD14" i="572"/>
  <c r="CC14" i="572"/>
  <c r="BY14" i="572"/>
  <c r="BX14" i="572"/>
  <c r="BW14" i="572"/>
  <c r="BS14" i="572"/>
  <c r="BQ14" i="572"/>
  <c r="BM14" i="572"/>
  <c r="BL14" i="572"/>
  <c r="BK14" i="572"/>
  <c r="BG14" i="572"/>
  <c r="BF14" i="572"/>
  <c r="BE14" i="572"/>
  <c r="BA14" i="572"/>
  <c r="AZ14" i="572"/>
  <c r="AY14" i="572"/>
  <c r="AU14" i="572"/>
  <c r="AT14" i="572"/>
  <c r="AS14" i="572"/>
  <c r="AN14" i="572"/>
  <c r="AM14" i="572"/>
  <c r="AO14" i="572"/>
  <c r="AH14" i="572"/>
  <c r="AG14" i="572"/>
  <c r="AI14" i="572"/>
  <c r="AC14" i="572"/>
  <c r="AB14" i="572"/>
  <c r="BR14" i="572"/>
  <c r="AA14" i="572"/>
  <c r="BA13" i="572"/>
  <c r="AY13" i="572"/>
  <c r="AU13" i="572"/>
  <c r="AS13" i="572"/>
  <c r="AO13" i="572"/>
  <c r="W13" i="572"/>
  <c r="CV12" i="572"/>
  <c r="CU12" i="572"/>
  <c r="CW12" i="572"/>
  <c r="CQ12" i="572"/>
  <c r="CP12" i="572"/>
  <c r="CO12" i="572"/>
  <c r="CK12" i="572"/>
  <c r="CJ12" i="572"/>
  <c r="CI12" i="572"/>
  <c r="CC12" i="572"/>
  <c r="CE12" i="572"/>
  <c r="BY12" i="572"/>
  <c r="BW12" i="572"/>
  <c r="BS12" i="572"/>
  <c r="BQ12" i="572"/>
  <c r="BM12" i="572"/>
  <c r="BL12" i="572"/>
  <c r="BK12" i="572"/>
  <c r="BG12" i="572"/>
  <c r="BF12" i="572"/>
  <c r="BE12" i="572"/>
  <c r="BA12" i="572"/>
  <c r="AZ12" i="572"/>
  <c r="AY12" i="572"/>
  <c r="AU12" i="572"/>
  <c r="AT12" i="572"/>
  <c r="AS12" i="572"/>
  <c r="AM12" i="572"/>
  <c r="AO12" i="572"/>
  <c r="AI12" i="572"/>
  <c r="AH12" i="572"/>
  <c r="BX12" i="572"/>
  <c r="AG12" i="572"/>
  <c r="AC12" i="572"/>
  <c r="AB12" i="572"/>
  <c r="BR12" i="572"/>
  <c r="AA12" i="572"/>
  <c r="BE11" i="572"/>
  <c r="BG11" i="572"/>
  <c r="BA11" i="572"/>
  <c r="AY11" i="572"/>
  <c r="AU11" i="572"/>
  <c r="AS11" i="572"/>
  <c r="AM11" i="572"/>
  <c r="AO11" i="572"/>
  <c r="AG11" i="572"/>
  <c r="AI11" i="572"/>
  <c r="W11" i="572"/>
  <c r="CV10" i="572"/>
  <c r="CU10" i="572"/>
  <c r="CW10" i="572"/>
  <c r="CQ10" i="572"/>
  <c r="CP10" i="572"/>
  <c r="CO10" i="572"/>
  <c r="CK10" i="572"/>
  <c r="CJ10" i="572"/>
  <c r="CI10" i="572"/>
  <c r="CC10" i="572"/>
  <c r="CE10" i="572"/>
  <c r="BY10" i="572"/>
  <c r="BX10" i="572"/>
  <c r="BW10" i="572"/>
  <c r="BS10" i="572"/>
  <c r="BQ10" i="572"/>
  <c r="BM10" i="572"/>
  <c r="BL10" i="572"/>
  <c r="BK10" i="572"/>
  <c r="BG10" i="572"/>
  <c r="BE10" i="572"/>
  <c r="BA10" i="572"/>
  <c r="AZ10" i="572"/>
  <c r="AY10" i="572"/>
  <c r="AU10" i="572"/>
  <c r="AT10" i="572"/>
  <c r="AS10" i="572"/>
  <c r="AN10" i="572"/>
  <c r="AM10" i="572"/>
  <c r="AO10" i="572"/>
  <c r="AG10" i="572"/>
  <c r="AI10" i="572"/>
  <c r="AC10" i="572"/>
  <c r="AB10" i="572"/>
  <c r="BR10" i="572"/>
  <c r="AA10" i="572"/>
  <c r="CW9" i="572"/>
  <c r="CU9" i="572"/>
  <c r="CQ9" i="572"/>
  <c r="CO9" i="572"/>
  <c r="CK9" i="572"/>
  <c r="CI9" i="572"/>
  <c r="CE9" i="572"/>
  <c r="CC9" i="572"/>
  <c r="BY9" i="572"/>
  <c r="BW9" i="572"/>
  <c r="BS9" i="572"/>
  <c r="BQ9" i="572"/>
  <c r="BM9" i="572"/>
  <c r="BK9" i="572"/>
  <c r="BG9" i="572"/>
  <c r="BE9" i="572"/>
  <c r="BA9" i="572"/>
  <c r="AY9" i="572"/>
  <c r="AU9" i="572"/>
  <c r="AS9" i="572"/>
  <c r="AO9" i="572"/>
  <c r="AM9" i="572"/>
  <c r="AI9" i="572"/>
  <c r="AG9" i="572"/>
  <c r="AC9" i="572"/>
  <c r="W9" i="572"/>
  <c r="CW8" i="572"/>
  <c r="CV8" i="572"/>
  <c r="CS8" i="572"/>
  <c r="CQ8" i="572"/>
  <c r="CP8" i="572"/>
  <c r="CO8" i="572"/>
  <c r="CK8" i="572"/>
  <c r="CJ8" i="572"/>
  <c r="CI8" i="572"/>
  <c r="CE8" i="572"/>
  <c r="CD8" i="572"/>
  <c r="CC8" i="572"/>
  <c r="BY8" i="572"/>
  <c r="BW8" i="572"/>
  <c r="BS8" i="572"/>
  <c r="BR8" i="572"/>
  <c r="BQ8" i="572"/>
  <c r="BM8" i="572"/>
  <c r="BL8" i="572"/>
  <c r="BK8" i="572"/>
  <c r="BG8" i="572"/>
  <c r="BF8" i="572"/>
  <c r="BE8" i="572"/>
  <c r="BA8" i="572"/>
  <c r="AZ8" i="572"/>
  <c r="AY8" i="572"/>
  <c r="AU8" i="572"/>
  <c r="AT8" i="572"/>
  <c r="AS8" i="572"/>
  <c r="AO8" i="572"/>
  <c r="AN8" i="572"/>
  <c r="AM8" i="572"/>
  <c r="AI8" i="572"/>
  <c r="AH8" i="572"/>
  <c r="BX8" i="572"/>
  <c r="AG8" i="572"/>
  <c r="AC8" i="572"/>
  <c r="AB8" i="572"/>
  <c r="AA8" i="572"/>
  <c r="CT22" i="571"/>
  <c r="CV22" i="571"/>
  <c r="CP22" i="571"/>
  <c r="CJ22" i="571"/>
  <c r="CH22" i="571"/>
  <c r="CD22" i="571"/>
  <c r="BV22" i="571"/>
  <c r="BX22" i="571"/>
  <c r="BP22" i="571"/>
  <c r="BR22" i="571"/>
  <c r="BJ22" i="571"/>
  <c r="BL22" i="571"/>
  <c r="BD22" i="571"/>
  <c r="BF22" i="571"/>
  <c r="AX22" i="571"/>
  <c r="AZ22" i="571"/>
  <c r="AR22" i="571"/>
  <c r="AT22" i="571"/>
  <c r="AL22" i="571"/>
  <c r="AN22" i="571"/>
  <c r="AF22" i="571"/>
  <c r="AH22" i="571"/>
  <c r="AB22" i="571"/>
  <c r="CV21" i="571"/>
  <c r="CT21" i="571"/>
  <c r="CN21" i="571"/>
  <c r="CP21" i="571"/>
  <c r="CJ21" i="571"/>
  <c r="CH21" i="571"/>
  <c r="CB21" i="571"/>
  <c r="CD21" i="571"/>
  <c r="BX21" i="571"/>
  <c r="BV21" i="571"/>
  <c r="BJ21" i="571"/>
  <c r="BL21" i="571"/>
  <c r="BF21" i="571"/>
  <c r="BE21" i="571"/>
  <c r="BD21" i="571"/>
  <c r="AZ21" i="571"/>
  <c r="AX21" i="571"/>
  <c r="AT21" i="571"/>
  <c r="AN21" i="571"/>
  <c r="AH21" i="571"/>
  <c r="AB21" i="571"/>
  <c r="CT20" i="571"/>
  <c r="CV20" i="571"/>
  <c r="CO20" i="571"/>
  <c r="CP20" i="571"/>
  <c r="CN20" i="571"/>
  <c r="CH20" i="571"/>
  <c r="CJ20" i="571"/>
  <c r="BR20" i="571"/>
  <c r="BP20" i="571"/>
  <c r="BK20" i="571"/>
  <c r="BJ20" i="571"/>
  <c r="BL20" i="571"/>
  <c r="BE20" i="571"/>
  <c r="BD20" i="571"/>
  <c r="BF20" i="571"/>
  <c r="AZ20" i="571"/>
  <c r="AY20" i="571"/>
  <c r="AX20" i="571"/>
  <c r="AR20" i="571"/>
  <c r="AT20" i="571"/>
  <c r="AM20" i="571"/>
  <c r="AL20" i="571"/>
  <c r="AN20" i="571"/>
  <c r="AB20" i="571"/>
  <c r="CT19" i="571"/>
  <c r="CV19" i="571"/>
  <c r="CH19" i="571"/>
  <c r="CJ19" i="571"/>
  <c r="CC19" i="571"/>
  <c r="CB19" i="571"/>
  <c r="CD19" i="571"/>
  <c r="BR19" i="571"/>
  <c r="BP19" i="571"/>
  <c r="BK19" i="571"/>
  <c r="BJ19" i="571"/>
  <c r="BL19" i="571"/>
  <c r="BE19" i="571"/>
  <c r="BD19" i="571"/>
  <c r="AY19" i="571"/>
  <c r="AZ19" i="571"/>
  <c r="AX19" i="571"/>
  <c r="AH19" i="571"/>
  <c r="CJ18" i="571"/>
  <c r="CH18" i="571"/>
  <c r="CD18" i="571"/>
  <c r="CB18" i="571"/>
  <c r="BL18" i="571"/>
  <c r="BJ18" i="571"/>
  <c r="BD18" i="571"/>
  <c r="BF18" i="571"/>
  <c r="AZ18" i="571"/>
  <c r="AX18" i="571"/>
  <c r="AT18" i="571"/>
  <c r="AR18" i="571"/>
  <c r="AN18" i="571"/>
  <c r="AL18" i="571"/>
  <c r="AH18" i="571"/>
  <c r="AF18" i="571"/>
  <c r="AB18" i="571"/>
  <c r="Z18" i="571"/>
  <c r="CV17" i="571"/>
  <c r="BX17" i="571"/>
  <c r="BD17" i="571"/>
  <c r="BF17" i="571"/>
  <c r="CV16" i="571"/>
  <c r="CN16" i="571"/>
  <c r="CP16" i="571"/>
  <c r="CJ16" i="571"/>
  <c r="CH16" i="571"/>
  <c r="CD16" i="571"/>
  <c r="CB16" i="571"/>
  <c r="AZ16" i="571"/>
  <c r="AX16" i="571"/>
  <c r="AT16" i="571"/>
  <c r="AR16" i="571"/>
  <c r="AH16" i="571"/>
  <c r="AF16" i="571"/>
  <c r="AB16" i="571"/>
  <c r="Z16" i="571"/>
  <c r="CV15" i="571"/>
  <c r="CT15" i="571"/>
  <c r="CN15" i="571"/>
  <c r="CP15" i="571"/>
  <c r="CJ15" i="571"/>
  <c r="CH15" i="571"/>
  <c r="CD15" i="571"/>
  <c r="CB15" i="571"/>
  <c r="BX15" i="571"/>
  <c r="BV15" i="571"/>
  <c r="BP15" i="571"/>
  <c r="BL15" i="571"/>
  <c r="BJ15" i="571"/>
  <c r="BD15" i="571"/>
  <c r="BF15" i="571"/>
  <c r="AZ15" i="571"/>
  <c r="AX15" i="571"/>
  <c r="AQ15" i="571"/>
  <c r="AP15" i="571"/>
  <c r="AH15" i="571"/>
  <c r="AF15" i="571"/>
  <c r="AB15" i="571"/>
  <c r="Z15" i="571"/>
  <c r="CT13" i="571"/>
  <c r="CV13" i="571"/>
  <c r="CH13" i="571"/>
  <c r="CD13" i="571"/>
  <c r="BP13" i="571"/>
  <c r="BR13" i="571"/>
  <c r="BJ13" i="571"/>
  <c r="BL13" i="571"/>
  <c r="BD13" i="571"/>
  <c r="BF13" i="571"/>
  <c r="AX13" i="571"/>
  <c r="AZ13" i="571"/>
  <c r="AR13" i="571"/>
  <c r="AT13" i="571"/>
  <c r="AN13" i="571"/>
  <c r="AL13" i="571"/>
  <c r="AH13" i="571"/>
  <c r="AF13" i="571"/>
  <c r="Z13" i="571"/>
  <c r="CV12" i="571"/>
  <c r="CT12" i="571"/>
  <c r="CP12" i="571"/>
  <c r="CJ12" i="571"/>
  <c r="CH12" i="571"/>
  <c r="CD12" i="571"/>
  <c r="CB12" i="571"/>
  <c r="BX12" i="571"/>
  <c r="BV12" i="571"/>
  <c r="BP12" i="571"/>
  <c r="BL12" i="571"/>
  <c r="BJ12" i="571"/>
  <c r="BF12" i="571"/>
  <c r="BD12" i="571"/>
  <c r="AZ12" i="571"/>
  <c r="AX12" i="571"/>
  <c r="AT12" i="571"/>
  <c r="AR12" i="571"/>
  <c r="AN12" i="571"/>
  <c r="AL12" i="571"/>
  <c r="AH12" i="571"/>
  <c r="AF12" i="571"/>
  <c r="AB12" i="571"/>
  <c r="Z12" i="571"/>
  <c r="CV11" i="571"/>
  <c r="CT11" i="571"/>
  <c r="CN11" i="571"/>
  <c r="CP11" i="571"/>
  <c r="CJ11" i="571"/>
  <c r="CH11" i="571"/>
  <c r="CB11" i="571"/>
  <c r="CD11" i="571"/>
  <c r="BX11" i="571"/>
  <c r="BV11" i="571"/>
  <c r="BP11" i="571"/>
  <c r="BR11" i="571"/>
  <c r="BL11" i="571"/>
  <c r="BJ11" i="571"/>
  <c r="BD11" i="571"/>
  <c r="BF11" i="571"/>
  <c r="AZ11" i="571"/>
  <c r="AX11" i="571"/>
  <c r="AR11" i="571"/>
  <c r="AT11" i="571"/>
  <c r="AN11" i="571"/>
  <c r="AL11" i="571"/>
  <c r="AF11" i="571"/>
  <c r="AH11" i="571"/>
  <c r="AB11" i="571"/>
  <c r="Z11" i="571"/>
  <c r="CT10" i="571"/>
  <c r="CV10" i="571"/>
  <c r="CP10" i="571"/>
  <c r="CN10" i="571"/>
  <c r="CH10" i="571"/>
  <c r="CJ10" i="571"/>
  <c r="CD10" i="571"/>
  <c r="CB10" i="571"/>
  <c r="BV10" i="571"/>
  <c r="BX10" i="571"/>
  <c r="BR10" i="571"/>
  <c r="BP10" i="571"/>
  <c r="BJ10" i="571"/>
  <c r="BL10" i="571"/>
  <c r="BF10" i="571"/>
  <c r="BD10" i="571"/>
  <c r="AX10" i="571"/>
  <c r="AZ10" i="571"/>
  <c r="AT10" i="571"/>
  <c r="AR10" i="571"/>
  <c r="AL10" i="571"/>
  <c r="AN10" i="571"/>
  <c r="AH10" i="571"/>
  <c r="AF10" i="571"/>
  <c r="Z10" i="571"/>
  <c r="AB10" i="571"/>
  <c r="CV9" i="571"/>
  <c r="CT9" i="571"/>
  <c r="CN9" i="571"/>
  <c r="CP9" i="571"/>
  <c r="CJ9" i="571"/>
  <c r="CH9" i="571"/>
  <c r="CB9" i="571"/>
  <c r="CD9" i="571"/>
  <c r="BX9" i="571"/>
  <c r="BV9" i="571"/>
  <c r="BP9" i="571"/>
  <c r="BR9" i="571"/>
  <c r="BL9" i="571"/>
  <c r="BJ9" i="571"/>
  <c r="BD9" i="571"/>
  <c r="BF9" i="571"/>
  <c r="AZ9" i="571"/>
  <c r="AX9" i="571"/>
  <c r="AR9" i="571"/>
  <c r="AT9" i="571"/>
  <c r="AN9" i="571"/>
  <c r="AH9" i="571"/>
  <c r="AB9" i="571"/>
  <c r="CV8" i="571"/>
  <c r="CN8" i="571"/>
  <c r="CJ8" i="571"/>
  <c r="CH8" i="571"/>
  <c r="CD8" i="571"/>
  <c r="BX8" i="571"/>
  <c r="BV8" i="571"/>
  <c r="BR8" i="571"/>
  <c r="BP8" i="571"/>
  <c r="BL8" i="571"/>
  <c r="BJ8" i="571"/>
  <c r="BF8" i="571"/>
  <c r="BD8" i="571"/>
  <c r="AZ8" i="571"/>
  <c r="AX8" i="571"/>
  <c r="AT8" i="571"/>
  <c r="AN8" i="571"/>
  <c r="AL8" i="571"/>
  <c r="AH8" i="571"/>
  <c r="AF8" i="571"/>
  <c r="AB8" i="571"/>
  <c r="CS24" i="569"/>
  <c r="CR24" i="569"/>
  <c r="CN23" i="569"/>
  <c r="CP23" i="569"/>
  <c r="BU23" i="569"/>
  <c r="BO23" i="569"/>
  <c r="BC23" i="569"/>
  <c r="AW23" i="569"/>
  <c r="AQ23" i="569"/>
  <c r="BO22" i="569"/>
  <c r="BC22" i="569"/>
  <c r="AW22" i="569"/>
  <c r="AQ22" i="569"/>
  <c r="CR21" i="569"/>
  <c r="BU21" i="569"/>
  <c r="CS21" i="569"/>
  <c r="CT21" i="569"/>
  <c r="CV21" i="569"/>
  <c r="BO21" i="569"/>
  <c r="BC21" i="569"/>
  <c r="AW21" i="569"/>
  <c r="AQ21" i="569"/>
  <c r="CR20" i="569"/>
  <c r="BO20" i="569"/>
  <c r="BF20" i="569"/>
  <c r="BD20" i="569"/>
  <c r="AW20" i="569"/>
  <c r="CS20" i="569"/>
  <c r="CT20" i="569"/>
  <c r="CV20" i="569"/>
  <c r="AQ20" i="569"/>
  <c r="AN20" i="569"/>
  <c r="AL20" i="569"/>
  <c r="AH20" i="569"/>
  <c r="AF20" i="569"/>
  <c r="AB20" i="569"/>
  <c r="Z20" i="569"/>
  <c r="CV19" i="569"/>
  <c r="CT19" i="569"/>
  <c r="CD19" i="569"/>
  <c r="CB19" i="569"/>
  <c r="BU19" i="569"/>
  <c r="BV19" i="569"/>
  <c r="BX19" i="569"/>
  <c r="BP19" i="569"/>
  <c r="BR19" i="569"/>
  <c r="BO19" i="569"/>
  <c r="BL19" i="569"/>
  <c r="BJ19" i="569"/>
  <c r="BC19" i="569"/>
  <c r="AX19" i="569"/>
  <c r="AW19" i="569"/>
  <c r="AZ19" i="569"/>
  <c r="AQ19" i="569"/>
  <c r="AR19" i="569"/>
  <c r="AT19" i="569"/>
  <c r="AL19" i="569"/>
  <c r="AN19" i="569"/>
  <c r="AF19" i="569"/>
  <c r="AH19" i="569"/>
  <c r="Z19" i="569"/>
  <c r="AB19" i="569"/>
  <c r="CR18" i="569"/>
  <c r="BU18" i="569"/>
  <c r="BO18" i="569"/>
  <c r="CS18" i="569"/>
  <c r="CT18" i="569"/>
  <c r="CV18" i="569"/>
  <c r="BC18" i="569"/>
  <c r="AW18" i="569"/>
  <c r="AQ18" i="569"/>
  <c r="CR17" i="569"/>
  <c r="CT17" i="569"/>
  <c r="CV17" i="569"/>
  <c r="CN17" i="569"/>
  <c r="CP17" i="569"/>
  <c r="CB17" i="569"/>
  <c r="CD17" i="569"/>
  <c r="BU17" i="569"/>
  <c r="BX17" i="569"/>
  <c r="BO17" i="569"/>
  <c r="BR17" i="569"/>
  <c r="BJ17" i="569"/>
  <c r="BL17" i="569"/>
  <c r="AL17" i="569"/>
  <c r="AN17" i="569"/>
  <c r="AF17" i="569"/>
  <c r="AH17" i="569"/>
  <c r="AB17" i="569"/>
  <c r="Z17" i="569"/>
  <c r="CT16" i="569"/>
  <c r="CV16" i="569"/>
  <c r="CR16" i="569"/>
  <c r="CP16" i="569"/>
  <c r="CO16" i="569"/>
  <c r="CN16" i="569"/>
  <c r="CI16" i="569"/>
  <c r="CG16" i="569"/>
  <c r="CD16" i="569"/>
  <c r="CB16" i="569"/>
  <c r="BX16" i="569"/>
  <c r="BV16" i="569"/>
  <c r="BU16" i="569"/>
  <c r="BO16" i="569"/>
  <c r="BP16" i="569"/>
  <c r="BL16" i="569"/>
  <c r="BC16" i="569"/>
  <c r="AZ16" i="569"/>
  <c r="AX16" i="569"/>
  <c r="AW16" i="569"/>
  <c r="AQ16" i="569"/>
  <c r="AR16" i="569"/>
  <c r="AN16" i="569"/>
  <c r="AL16" i="569"/>
  <c r="AH16" i="569"/>
  <c r="AF16" i="569"/>
  <c r="AB16" i="569"/>
  <c r="Z16" i="569"/>
  <c r="CR15" i="569"/>
  <c r="BU15" i="569"/>
  <c r="CS15" i="569"/>
  <c r="CT15" i="569"/>
  <c r="CV15" i="569"/>
  <c r="BO15" i="569"/>
  <c r="BI15" i="569"/>
  <c r="BJ15" i="569"/>
  <c r="BC15" i="569"/>
  <c r="BD15" i="569"/>
  <c r="AW15" i="569"/>
  <c r="AX15" i="569"/>
  <c r="AT15" i="569"/>
  <c r="AR15" i="569"/>
  <c r="AQ15" i="569"/>
  <c r="AL15" i="569"/>
  <c r="AK15" i="569"/>
  <c r="AF15" i="569"/>
  <c r="AE15" i="569"/>
  <c r="Z15" i="569"/>
  <c r="Y15" i="569"/>
  <c r="CR14" i="569"/>
  <c r="BU14" i="569"/>
  <c r="CS14" i="569"/>
  <c r="BO14" i="569"/>
  <c r="BJ14" i="569"/>
  <c r="BI14" i="569"/>
  <c r="BD14" i="569"/>
  <c r="BC14" i="569"/>
  <c r="AX14" i="569"/>
  <c r="AW14" i="569"/>
  <c r="AQ14" i="569"/>
  <c r="AK14" i="569"/>
  <c r="AL14" i="569"/>
  <c r="AE14" i="569"/>
  <c r="AF14" i="569"/>
  <c r="Y14" i="569"/>
  <c r="Z14" i="569"/>
  <c r="CR13" i="569"/>
  <c r="BU13" i="569"/>
  <c r="BO13" i="569"/>
  <c r="CS13" i="569"/>
  <c r="BI13" i="569"/>
  <c r="BC13" i="569"/>
  <c r="AW13" i="569"/>
  <c r="AR13" i="569"/>
  <c r="AQ13" i="569"/>
  <c r="AK13" i="569"/>
  <c r="AE13" i="569"/>
  <c r="AF13" i="569"/>
  <c r="Y13" i="569"/>
  <c r="BU12" i="569"/>
  <c r="BC12" i="569"/>
  <c r="AW12" i="569"/>
  <c r="AQ12" i="569"/>
  <c r="AK12" i="569"/>
  <c r="AE12" i="569"/>
  <c r="Y12" i="569"/>
  <c r="BU11" i="569"/>
  <c r="BO11" i="569"/>
  <c r="BC11" i="569"/>
  <c r="AW11" i="569"/>
  <c r="AQ11" i="569"/>
  <c r="AK11" i="569"/>
  <c r="AE11" i="569"/>
  <c r="Y11" i="569"/>
  <c r="CV10" i="569"/>
  <c r="BU10" i="569"/>
  <c r="BO10" i="569"/>
  <c r="CV9" i="569"/>
  <c r="BU9" i="569"/>
  <c r="BO9" i="569"/>
  <c r="CS8" i="569"/>
  <c r="CR8" i="569"/>
  <c r="CT8" i="569"/>
  <c r="CV8" i="569"/>
  <c r="BO8" i="569"/>
  <c r="CS7" i="569"/>
  <c r="CT7" i="569"/>
  <c r="CV7" i="569"/>
  <c r="CR7" i="569"/>
  <c r="BL7" i="569"/>
  <c r="CT22" i="568"/>
  <c r="CV22" i="568"/>
  <c r="CN22" i="568"/>
  <c r="CP22" i="568"/>
  <c r="CJ22" i="568"/>
  <c r="CH22" i="568"/>
  <c r="CD22" i="568"/>
  <c r="CB22" i="568"/>
  <c r="BV22" i="568"/>
  <c r="BX22" i="568"/>
  <c r="BP22" i="568"/>
  <c r="BR22" i="568"/>
  <c r="BL22" i="568"/>
  <c r="BJ22" i="568"/>
  <c r="BD22" i="568"/>
  <c r="BF22" i="568"/>
  <c r="AZ22" i="568"/>
  <c r="AX22" i="568"/>
  <c r="AT22" i="568"/>
  <c r="AR22" i="568"/>
  <c r="AL22" i="568"/>
  <c r="AN22" i="568"/>
  <c r="AH22" i="568"/>
  <c r="AF22" i="568"/>
  <c r="AB22" i="568"/>
  <c r="Z22" i="568"/>
  <c r="CT21" i="568"/>
  <c r="CV21" i="568"/>
  <c r="CN21" i="568"/>
  <c r="CP21" i="568"/>
  <c r="CH21" i="568"/>
  <c r="CJ21" i="568"/>
  <c r="CB21" i="568"/>
  <c r="CD21" i="568"/>
  <c r="BV21" i="568"/>
  <c r="BX21" i="568"/>
  <c r="BR21" i="568"/>
  <c r="BP21" i="568"/>
  <c r="BJ21" i="568"/>
  <c r="BL21" i="568"/>
  <c r="BD21" i="568"/>
  <c r="BF21" i="568"/>
  <c r="AZ21" i="568"/>
  <c r="AX21" i="568"/>
  <c r="AR21" i="568"/>
  <c r="AT21" i="568"/>
  <c r="AL21" i="568"/>
  <c r="AN21" i="568"/>
  <c r="AH21" i="568"/>
  <c r="AF21" i="568"/>
  <c r="AB21" i="568"/>
  <c r="Z21" i="568"/>
  <c r="CT20" i="568"/>
  <c r="CV20" i="568"/>
  <c r="CN20" i="568"/>
  <c r="CP20" i="568"/>
  <c r="CJ20" i="568"/>
  <c r="CH20" i="568"/>
  <c r="CD20" i="568"/>
  <c r="CB20" i="568"/>
  <c r="BX20" i="568"/>
  <c r="BV20" i="568"/>
  <c r="BR20" i="568"/>
  <c r="BP20" i="568"/>
  <c r="BL20" i="568"/>
  <c r="BJ20" i="568"/>
  <c r="BF20" i="568"/>
  <c r="BD20" i="568"/>
  <c r="AZ20" i="568"/>
  <c r="AX20" i="568"/>
  <c r="AT20" i="568"/>
  <c r="AR20" i="568"/>
  <c r="AN20" i="568"/>
  <c r="AL20" i="568"/>
  <c r="AH20" i="568"/>
  <c r="AF20" i="568"/>
  <c r="AB20" i="568"/>
  <c r="Z20" i="568"/>
  <c r="CT19" i="568"/>
  <c r="CV19" i="568"/>
  <c r="CN19" i="568"/>
  <c r="CP19" i="568"/>
  <c r="CJ19" i="568"/>
  <c r="CH19" i="568"/>
  <c r="CD19" i="568"/>
  <c r="CB19" i="568"/>
  <c r="BX19" i="568"/>
  <c r="BV19" i="568"/>
  <c r="BP19" i="568"/>
  <c r="BR19" i="568"/>
  <c r="BL19" i="568"/>
  <c r="BJ19" i="568"/>
  <c r="BF19" i="568"/>
  <c r="BD19" i="568"/>
  <c r="AZ19" i="568"/>
  <c r="AX19" i="568"/>
  <c r="AT19" i="568"/>
  <c r="AR19" i="568"/>
  <c r="AN19" i="568"/>
  <c r="AL19" i="568"/>
  <c r="AH19" i="568"/>
  <c r="AF19" i="568"/>
  <c r="AB19" i="568"/>
  <c r="Z19" i="568"/>
  <c r="CT18" i="568"/>
  <c r="CV18" i="568"/>
  <c r="CN18" i="568"/>
  <c r="CP18" i="568"/>
  <c r="CJ18" i="568"/>
  <c r="CH18" i="568"/>
  <c r="CD18" i="568"/>
  <c r="CB18" i="568"/>
  <c r="BV18" i="568"/>
  <c r="BX18" i="568"/>
  <c r="BP18" i="568"/>
  <c r="BR18" i="568"/>
  <c r="BL18" i="568"/>
  <c r="BJ18" i="568"/>
  <c r="BF18" i="568"/>
  <c r="BD18" i="568"/>
  <c r="AZ18" i="568"/>
  <c r="AX18" i="568"/>
  <c r="AT18" i="568"/>
  <c r="AR18" i="568"/>
  <c r="AF18" i="568"/>
  <c r="CV17" i="568"/>
  <c r="CT17" i="568"/>
  <c r="CM17" i="568"/>
  <c r="CN17" i="568"/>
  <c r="CL17" i="568"/>
  <c r="CJ17" i="568"/>
  <c r="CH17" i="568"/>
  <c r="CD17" i="568"/>
  <c r="CB17" i="568"/>
  <c r="BX17" i="568"/>
  <c r="BV17" i="568"/>
  <c r="BR17" i="568"/>
  <c r="BP17" i="568"/>
  <c r="BL17" i="568"/>
  <c r="BJ17" i="568"/>
  <c r="BF17" i="568"/>
  <c r="BD17" i="568"/>
  <c r="AZ17" i="568"/>
  <c r="AX17" i="568"/>
  <c r="AT17" i="568"/>
  <c r="AR17" i="568"/>
  <c r="AN17" i="568"/>
  <c r="AL17" i="568"/>
  <c r="AH17" i="568"/>
  <c r="AF17" i="568"/>
  <c r="AB17" i="568"/>
  <c r="Z17" i="568"/>
  <c r="CV15" i="568"/>
  <c r="CT15" i="568"/>
  <c r="CP15" i="568"/>
  <c r="CN15" i="568"/>
  <c r="CJ15" i="568"/>
  <c r="CH15" i="568"/>
  <c r="CD15" i="568"/>
  <c r="CB15" i="568"/>
  <c r="BX15" i="568"/>
  <c r="BV15" i="568"/>
  <c r="BR15" i="568"/>
  <c r="BP15" i="568"/>
  <c r="BL15" i="568"/>
  <c r="BJ15" i="568"/>
  <c r="BF15" i="568"/>
  <c r="BD15" i="568"/>
  <c r="AZ15" i="568"/>
  <c r="AX15" i="568"/>
  <c r="AT15" i="568"/>
  <c r="AR15" i="568"/>
  <c r="AN15" i="568"/>
  <c r="AL15" i="568"/>
  <c r="AH15" i="568"/>
  <c r="AF15" i="568"/>
  <c r="AB15" i="568"/>
  <c r="Z15" i="568"/>
  <c r="N15" i="568"/>
  <c r="CT14" i="568"/>
  <c r="CV14" i="568"/>
  <c r="BF14" i="568"/>
  <c r="BD14" i="568"/>
  <c r="CT13" i="568"/>
  <c r="CV13" i="568"/>
  <c r="CN13" i="568"/>
  <c r="CP13" i="568"/>
  <c r="BD13" i="568"/>
  <c r="BF13" i="568"/>
  <c r="V13" i="568"/>
  <c r="P13" i="568"/>
  <c r="CT12" i="568"/>
  <c r="CV12" i="568"/>
  <c r="CN12" i="568"/>
  <c r="CP12" i="568"/>
  <c r="CD12" i="568"/>
  <c r="CB12" i="568"/>
  <c r="BX12" i="568"/>
  <c r="BV12" i="568"/>
  <c r="BR12" i="568"/>
  <c r="BP12" i="568"/>
  <c r="BF12" i="568"/>
  <c r="BD12" i="568"/>
  <c r="V12" i="568"/>
  <c r="R12" i="568"/>
  <c r="CT11" i="568"/>
  <c r="CV11" i="568"/>
  <c r="CN11" i="568"/>
  <c r="CP11" i="568"/>
  <c r="CD11" i="568"/>
  <c r="CB11" i="568"/>
  <c r="BX11" i="568"/>
  <c r="BV11" i="568"/>
  <c r="BR11" i="568"/>
  <c r="BP11" i="568"/>
  <c r="BF11" i="568"/>
  <c r="BD11" i="568"/>
  <c r="V11" i="568"/>
  <c r="R11" i="568"/>
  <c r="N11" i="568"/>
  <c r="CV10" i="568"/>
  <c r="CT10" i="568"/>
  <c r="CP10" i="568"/>
  <c r="CN10" i="568"/>
  <c r="CJ10" i="568"/>
  <c r="CH10" i="568"/>
  <c r="CD10" i="568"/>
  <c r="CB10" i="568"/>
  <c r="BX10" i="568"/>
  <c r="BV10" i="568"/>
  <c r="BR10" i="568"/>
  <c r="BP10" i="568"/>
  <c r="BL10" i="568"/>
  <c r="BJ10" i="568"/>
  <c r="BF10" i="568"/>
  <c r="BD10" i="568"/>
  <c r="AZ10" i="568"/>
  <c r="AX10" i="568"/>
  <c r="AT10" i="568"/>
  <c r="AR10" i="568"/>
  <c r="AN10" i="568"/>
  <c r="AL10" i="568"/>
  <c r="AH10" i="568"/>
  <c r="AF10" i="568"/>
  <c r="AB10" i="568"/>
  <c r="Z10" i="568"/>
  <c r="V10" i="568"/>
  <c r="R10" i="568"/>
  <c r="N10" i="568"/>
  <c r="CT9" i="568"/>
  <c r="CV9" i="568"/>
  <c r="CP9" i="568"/>
  <c r="CN9" i="568"/>
  <c r="CJ9" i="568"/>
  <c r="CH9" i="568"/>
  <c r="CD9" i="568"/>
  <c r="CB9" i="568"/>
  <c r="BX9" i="568"/>
  <c r="BV9" i="568"/>
  <c r="BR9" i="568"/>
  <c r="BP9" i="568"/>
  <c r="BL9" i="568"/>
  <c r="BJ9" i="568"/>
  <c r="BF9" i="568"/>
  <c r="BD9" i="568"/>
  <c r="AZ9" i="568"/>
  <c r="AX9" i="568"/>
  <c r="AT9" i="568"/>
  <c r="AR9" i="568"/>
  <c r="AN9" i="568"/>
  <c r="AL9" i="568"/>
  <c r="AH9" i="568"/>
  <c r="AF9" i="568"/>
  <c r="AB9" i="568"/>
  <c r="Z9" i="568"/>
  <c r="R9" i="568"/>
  <c r="O9" i="568"/>
  <c r="CT8" i="568"/>
  <c r="CV8" i="568"/>
  <c r="CP8" i="568"/>
  <c r="CN8" i="568"/>
  <c r="CJ8" i="568"/>
  <c r="CH8" i="568"/>
  <c r="CD8" i="568"/>
  <c r="CB8" i="568"/>
  <c r="BX8" i="568"/>
  <c r="BV8" i="568"/>
  <c r="BR8" i="568"/>
  <c r="BP8" i="568"/>
  <c r="BL8" i="568"/>
  <c r="BJ8" i="568"/>
  <c r="BF8" i="568"/>
  <c r="BD8" i="568"/>
  <c r="AZ8" i="568"/>
  <c r="AX8" i="568"/>
  <c r="AT8" i="568"/>
  <c r="AR8" i="568"/>
  <c r="AN8" i="568"/>
  <c r="AL8" i="568"/>
  <c r="AH8" i="568"/>
  <c r="AF8" i="568"/>
  <c r="AB8" i="568"/>
  <c r="Z8" i="568"/>
  <c r="CP20" i="567"/>
  <c r="CN20" i="567"/>
  <c r="CJ20" i="567"/>
  <c r="CH20" i="567"/>
  <c r="CD20" i="567"/>
  <c r="CB20" i="567"/>
  <c r="BX20" i="567"/>
  <c r="CT20" i="567"/>
  <c r="CV20" i="567"/>
  <c r="CX20" i="567"/>
  <c r="BV20" i="567"/>
  <c r="BR20" i="567"/>
  <c r="BP20" i="567"/>
  <c r="BL20" i="567"/>
  <c r="BJ20" i="567"/>
  <c r="BF20" i="567"/>
  <c r="BD20" i="567"/>
  <c r="AZ20" i="567"/>
  <c r="AX20" i="567"/>
  <c r="AT20" i="567"/>
  <c r="AR20" i="567"/>
  <c r="AN20" i="567"/>
  <c r="AL20" i="567"/>
  <c r="AH20" i="567"/>
  <c r="AF20" i="567"/>
  <c r="AB20" i="567"/>
  <c r="Z20" i="567"/>
  <c r="CX19" i="567"/>
  <c r="CV19" i="567"/>
  <c r="CP19" i="567"/>
  <c r="CN19" i="567"/>
  <c r="CJ19" i="567"/>
  <c r="CH19" i="567"/>
  <c r="CD19" i="567"/>
  <c r="CB19" i="567"/>
  <c r="BX19" i="567"/>
  <c r="BV19" i="567"/>
  <c r="BR19" i="567"/>
  <c r="BP19" i="567"/>
  <c r="BL19" i="567"/>
  <c r="BJ19" i="567"/>
  <c r="BF19" i="567"/>
  <c r="BD19" i="567"/>
  <c r="AZ19" i="567"/>
  <c r="AX19" i="567"/>
  <c r="AT19" i="567"/>
  <c r="AR19" i="567"/>
  <c r="AN19" i="567"/>
  <c r="AL19" i="567"/>
  <c r="AH19" i="567"/>
  <c r="AF19" i="567"/>
  <c r="AB19" i="567"/>
  <c r="Z19" i="567"/>
  <c r="CX18" i="567"/>
  <c r="CV18" i="567"/>
  <c r="CP18" i="567"/>
  <c r="CN18" i="567"/>
  <c r="CJ18" i="567"/>
  <c r="CH18" i="567"/>
  <c r="CD18" i="567"/>
  <c r="CB18" i="567"/>
  <c r="BX18" i="567"/>
  <c r="BV18" i="567"/>
  <c r="BR18" i="567"/>
  <c r="BP18" i="567"/>
  <c r="BL18" i="567"/>
  <c r="BJ18" i="567"/>
  <c r="BF18" i="567"/>
  <c r="BD18" i="567"/>
  <c r="AZ18" i="567"/>
  <c r="AX18" i="567"/>
  <c r="AT18" i="567"/>
  <c r="AR18" i="567"/>
  <c r="AN18" i="567"/>
  <c r="AL18" i="567"/>
  <c r="AH18" i="567"/>
  <c r="AF18" i="567"/>
  <c r="AB18" i="567"/>
  <c r="Z18" i="567"/>
  <c r="CX17" i="567"/>
  <c r="CV17" i="567"/>
  <c r="CP17" i="567"/>
  <c r="CN17" i="567"/>
  <c r="CJ17" i="567"/>
  <c r="CH17" i="567"/>
  <c r="CD17" i="567"/>
  <c r="CB17" i="567"/>
  <c r="BX17" i="567"/>
  <c r="BV17" i="567"/>
  <c r="BR17" i="567"/>
  <c r="BP17" i="567"/>
  <c r="BL17" i="567"/>
  <c r="BJ17" i="567"/>
  <c r="BF17" i="567"/>
  <c r="BD17" i="567"/>
  <c r="AZ17" i="567"/>
  <c r="AX17" i="567"/>
  <c r="AT17" i="567"/>
  <c r="AR17" i="567"/>
  <c r="AN17" i="567"/>
  <c r="AL17" i="567"/>
  <c r="AH17" i="567"/>
  <c r="AF17" i="567"/>
  <c r="AB17" i="567"/>
  <c r="Z17" i="567"/>
  <c r="CX16" i="567"/>
  <c r="CV16" i="567"/>
  <c r="CP16" i="567"/>
  <c r="CN16" i="567"/>
  <c r="CJ16" i="567"/>
  <c r="CH16" i="567"/>
  <c r="CD16" i="567"/>
  <c r="CB16" i="567"/>
  <c r="BX16" i="567"/>
  <c r="BV16" i="567"/>
  <c r="BR16" i="567"/>
  <c r="BP16" i="567"/>
  <c r="BL16" i="567"/>
  <c r="BJ16" i="567"/>
  <c r="BF16" i="567"/>
  <c r="BD16" i="567"/>
  <c r="AZ16" i="567"/>
  <c r="AX16" i="567"/>
  <c r="AT16" i="567"/>
  <c r="AR16" i="567"/>
  <c r="AN16" i="567"/>
  <c r="AL16" i="567"/>
  <c r="AH16" i="567"/>
  <c r="AF16" i="567"/>
  <c r="AB16" i="567"/>
  <c r="Z16" i="567"/>
  <c r="CJ15" i="567"/>
  <c r="CH15" i="567"/>
  <c r="CD15" i="567"/>
  <c r="CB15" i="567"/>
  <c r="BX15" i="567"/>
  <c r="BV15" i="567"/>
  <c r="BR15" i="567"/>
  <c r="BP15" i="567"/>
  <c r="BL15" i="567"/>
  <c r="BJ15" i="567"/>
  <c r="BF15" i="567"/>
  <c r="BD15" i="567"/>
  <c r="AZ15" i="567"/>
  <c r="AX15" i="567"/>
  <c r="AT15" i="567"/>
  <c r="AR15" i="567"/>
  <c r="AN15" i="567"/>
  <c r="AL15" i="567"/>
  <c r="AH15" i="567"/>
  <c r="AF15" i="567"/>
  <c r="AB15" i="567"/>
  <c r="Z15" i="567"/>
  <c r="AN14" i="567"/>
  <c r="AL14" i="567"/>
  <c r="AH14" i="567"/>
  <c r="AF14" i="567"/>
  <c r="AB14" i="567"/>
  <c r="Z14" i="567"/>
  <c r="CX13" i="567"/>
  <c r="CV13" i="567"/>
  <c r="CP13" i="567"/>
  <c r="CN13" i="567"/>
  <c r="BX13" i="567"/>
  <c r="BV13" i="567"/>
  <c r="BR13" i="567"/>
  <c r="BP13" i="567"/>
  <c r="BL13" i="567"/>
  <c r="BJ13" i="567"/>
  <c r="BF13" i="567"/>
  <c r="BD13" i="567"/>
  <c r="AZ13" i="567"/>
  <c r="AX13" i="567"/>
  <c r="AT13" i="567"/>
  <c r="AR13" i="567"/>
  <c r="AN13" i="567"/>
  <c r="AL13" i="567"/>
  <c r="AH13" i="567"/>
  <c r="AF13" i="567"/>
  <c r="AB13" i="567"/>
  <c r="Z13" i="567"/>
  <c r="CX12" i="567"/>
  <c r="CV12" i="567"/>
  <c r="CP12" i="567"/>
  <c r="CN12" i="567"/>
  <c r="CJ12" i="567"/>
  <c r="CH12" i="567"/>
  <c r="CD12" i="567"/>
  <c r="CB12" i="567"/>
  <c r="BX12" i="567"/>
  <c r="BV12" i="567"/>
  <c r="BR12" i="567"/>
  <c r="BP12" i="567"/>
  <c r="BL12" i="567"/>
  <c r="BJ12" i="567"/>
  <c r="BF12" i="567"/>
  <c r="BD12" i="567"/>
  <c r="AZ12" i="567"/>
  <c r="AX12" i="567"/>
  <c r="AT12" i="567"/>
  <c r="AR12" i="567"/>
  <c r="AN12" i="567"/>
  <c r="AL12" i="567"/>
  <c r="AH12" i="567"/>
  <c r="AF12" i="567"/>
  <c r="AB12" i="567"/>
  <c r="Z12" i="567"/>
  <c r="CV11" i="567"/>
  <c r="CN11" i="567"/>
  <c r="CH11" i="567"/>
  <c r="CB11" i="567"/>
  <c r="BV11" i="567"/>
  <c r="BP11" i="567"/>
  <c r="BJ11" i="567"/>
  <c r="BD11" i="567"/>
  <c r="AX11" i="567"/>
  <c r="AR11" i="567"/>
  <c r="AL11" i="567"/>
  <c r="AF11" i="567"/>
  <c r="Z11" i="567"/>
  <c r="CV10" i="567"/>
  <c r="CX10" i="567"/>
  <c r="CN10" i="567"/>
  <c r="CP10" i="567"/>
  <c r="BD10" i="567"/>
  <c r="BF10" i="567"/>
  <c r="AZ10" i="567"/>
  <c r="AX10" i="567"/>
  <c r="AT10" i="567"/>
  <c r="AR10" i="567"/>
  <c r="AN10" i="567"/>
  <c r="AL10" i="567"/>
  <c r="AH10" i="567"/>
  <c r="AF10" i="567"/>
  <c r="AB10" i="567"/>
  <c r="Z10" i="567"/>
  <c r="CV9" i="567"/>
  <c r="CX9" i="567"/>
  <c r="CN9" i="567"/>
  <c r="CP9" i="567"/>
  <c r="BD9" i="567"/>
  <c r="BF9" i="567"/>
  <c r="AZ9" i="567"/>
  <c r="AX9" i="567"/>
  <c r="AT9" i="567"/>
  <c r="AR9" i="567"/>
  <c r="AN9" i="567"/>
  <c r="AL9" i="567"/>
  <c r="AH9" i="567"/>
  <c r="AF9" i="567"/>
  <c r="AB9" i="567"/>
  <c r="Z9" i="567"/>
  <c r="CV8" i="567"/>
  <c r="CX8" i="567"/>
  <c r="CN8" i="567"/>
  <c r="CP8" i="567"/>
  <c r="BD8" i="567"/>
  <c r="BF8" i="567"/>
  <c r="AZ8" i="567"/>
  <c r="AX8" i="567"/>
  <c r="AT8" i="567"/>
  <c r="AR8" i="567"/>
  <c r="AN8" i="567"/>
  <c r="AL8" i="567"/>
  <c r="AH8" i="567"/>
  <c r="AF8" i="567"/>
  <c r="AB8" i="567"/>
  <c r="Z8" i="567"/>
  <c r="CS21" i="566"/>
  <c r="CT21" i="566"/>
  <c r="CV21" i="566"/>
  <c r="CR21" i="566"/>
  <c r="CP21" i="566"/>
  <c r="CN21" i="566"/>
  <c r="CJ21" i="566"/>
  <c r="CH21" i="566"/>
  <c r="CD21" i="566"/>
  <c r="CB21" i="566"/>
  <c r="BX21" i="566"/>
  <c r="BV21" i="566"/>
  <c r="BR21" i="566"/>
  <c r="BP21" i="566"/>
  <c r="BL21" i="566"/>
  <c r="BJ21" i="566"/>
  <c r="BF21" i="566"/>
  <c r="BD21" i="566"/>
  <c r="AZ21" i="566"/>
  <c r="AX21" i="566"/>
  <c r="AT21" i="566"/>
  <c r="AR21" i="566"/>
  <c r="AN21" i="566"/>
  <c r="AL21" i="566"/>
  <c r="AH21" i="566"/>
  <c r="AF21" i="566"/>
  <c r="AB21" i="566"/>
  <c r="Z21" i="566"/>
  <c r="CV20" i="566"/>
  <c r="CS20" i="566"/>
  <c r="CT20" i="566"/>
  <c r="CR20" i="566"/>
  <c r="CP20" i="566"/>
  <c r="CN20" i="566"/>
  <c r="CJ20" i="566"/>
  <c r="CH20" i="566"/>
  <c r="CD20" i="566"/>
  <c r="CB20" i="566"/>
  <c r="BX20" i="566"/>
  <c r="BV20" i="566"/>
  <c r="BR20" i="566"/>
  <c r="BP20" i="566"/>
  <c r="BL20" i="566"/>
  <c r="BJ20" i="566"/>
  <c r="BF20" i="566"/>
  <c r="BD20" i="566"/>
  <c r="AZ20" i="566"/>
  <c r="AX20" i="566"/>
  <c r="AT20" i="566"/>
  <c r="AR20" i="566"/>
  <c r="AN20" i="566"/>
  <c r="AL20" i="566"/>
  <c r="AH20" i="566"/>
  <c r="AF20" i="566"/>
  <c r="AB20" i="566"/>
  <c r="Z20" i="566"/>
  <c r="CS19" i="566"/>
  <c r="CT19" i="566"/>
  <c r="CV19" i="566"/>
  <c r="CR19" i="566"/>
  <c r="CP19" i="566"/>
  <c r="CN19" i="566"/>
  <c r="CJ19" i="566"/>
  <c r="CH19" i="566"/>
  <c r="CD19" i="566"/>
  <c r="CB19" i="566"/>
  <c r="BX19" i="566"/>
  <c r="BV19" i="566"/>
  <c r="BR19" i="566"/>
  <c r="BP19" i="566"/>
  <c r="BL19" i="566"/>
  <c r="BJ19" i="566"/>
  <c r="BF19" i="566"/>
  <c r="BD19" i="566"/>
  <c r="AZ19" i="566"/>
  <c r="AX19" i="566"/>
  <c r="AT19" i="566"/>
  <c r="AR19" i="566"/>
  <c r="AN19" i="566"/>
  <c r="AL19" i="566"/>
  <c r="AH19" i="566"/>
  <c r="AF19" i="566"/>
  <c r="AB19" i="566"/>
  <c r="Z19" i="566"/>
  <c r="CV18" i="566"/>
  <c r="CS18" i="566"/>
  <c r="CT18" i="566"/>
  <c r="CR18" i="566"/>
  <c r="CP18" i="566"/>
  <c r="CN18" i="566"/>
  <c r="CJ18" i="566"/>
  <c r="CH18" i="566"/>
  <c r="CD18" i="566"/>
  <c r="CB18" i="566"/>
  <c r="BX18" i="566"/>
  <c r="BV18" i="566"/>
  <c r="BR18" i="566"/>
  <c r="BP18" i="566"/>
  <c r="BL18" i="566"/>
  <c r="BJ18" i="566"/>
  <c r="BF18" i="566"/>
  <c r="BD18" i="566"/>
  <c r="AZ18" i="566"/>
  <c r="AX18" i="566"/>
  <c r="AT18" i="566"/>
  <c r="AR18" i="566"/>
  <c r="AN18" i="566"/>
  <c r="AL18" i="566"/>
  <c r="AH18" i="566"/>
  <c r="AF18" i="566"/>
  <c r="AB18" i="566"/>
  <c r="Z18" i="566"/>
  <c r="CV17" i="566"/>
  <c r="CS17" i="566"/>
  <c r="CT17" i="566"/>
  <c r="CR17" i="566"/>
  <c r="CP17" i="566"/>
  <c r="CN17" i="566"/>
  <c r="CJ17" i="566"/>
  <c r="CH17" i="566"/>
  <c r="CD17" i="566"/>
  <c r="CB17" i="566"/>
  <c r="BX17" i="566"/>
  <c r="BV17" i="566"/>
  <c r="BR17" i="566"/>
  <c r="BP17" i="566"/>
  <c r="BL17" i="566"/>
  <c r="BJ17" i="566"/>
  <c r="BF17" i="566"/>
  <c r="BD17" i="566"/>
  <c r="AZ17" i="566"/>
  <c r="AX17" i="566"/>
  <c r="AT17" i="566"/>
  <c r="AR17" i="566"/>
  <c r="AN17" i="566"/>
  <c r="AL17" i="566"/>
  <c r="AH17" i="566"/>
  <c r="AF17" i="566"/>
  <c r="AB17" i="566"/>
  <c r="Z17" i="566"/>
  <c r="CV16" i="566"/>
  <c r="CS16" i="566"/>
  <c r="CT16" i="566"/>
  <c r="CR16" i="566"/>
  <c r="CP16" i="566"/>
  <c r="CN16" i="566"/>
  <c r="CJ16" i="566"/>
  <c r="CH16" i="566"/>
  <c r="CD16" i="566"/>
  <c r="CB16" i="566"/>
  <c r="BX16" i="566"/>
  <c r="BV16" i="566"/>
  <c r="BR16" i="566"/>
  <c r="BP16" i="566"/>
  <c r="BL16" i="566"/>
  <c r="BJ16" i="566"/>
  <c r="BF16" i="566"/>
  <c r="BD16" i="566"/>
  <c r="AZ16" i="566"/>
  <c r="AX16" i="566"/>
  <c r="AT16" i="566"/>
  <c r="AR16" i="566"/>
  <c r="AN16" i="566"/>
  <c r="AL16" i="566"/>
  <c r="AH16" i="566"/>
  <c r="AF16" i="566"/>
  <c r="AB16" i="566"/>
  <c r="Z16" i="566"/>
  <c r="CS15" i="566"/>
  <c r="CV15" i="566"/>
  <c r="CR15" i="566"/>
  <c r="CP15" i="566"/>
  <c r="CN15" i="566"/>
  <c r="CJ15" i="566"/>
  <c r="CH15" i="566"/>
  <c r="CD15" i="566"/>
  <c r="CB15" i="566"/>
  <c r="BX15" i="566"/>
  <c r="BV15" i="566"/>
  <c r="BR15" i="566"/>
  <c r="BP15" i="566"/>
  <c r="BL15" i="566"/>
  <c r="BJ15" i="566"/>
  <c r="BF15" i="566"/>
  <c r="BD15" i="566"/>
  <c r="AZ15" i="566"/>
  <c r="AX15" i="566"/>
  <c r="AT15" i="566"/>
  <c r="AR15" i="566"/>
  <c r="AN15" i="566"/>
  <c r="AL15" i="566"/>
  <c r="AH15" i="566"/>
  <c r="AF15" i="566"/>
  <c r="AB15" i="566"/>
  <c r="Z15" i="566"/>
  <c r="CS14" i="566"/>
  <c r="CR14" i="566"/>
  <c r="CP14" i="566"/>
  <c r="CN14" i="566"/>
  <c r="CJ14" i="566"/>
  <c r="CH14" i="566"/>
  <c r="CD14" i="566"/>
  <c r="CB14" i="566"/>
  <c r="BX14" i="566"/>
  <c r="BV14" i="566"/>
  <c r="BR14" i="566"/>
  <c r="BP14" i="566"/>
  <c r="BL14" i="566"/>
  <c r="BJ14" i="566"/>
  <c r="BF14" i="566"/>
  <c r="BD14" i="566"/>
  <c r="AZ14" i="566"/>
  <c r="AX14" i="566"/>
  <c r="AT14" i="566"/>
  <c r="AR14" i="566"/>
  <c r="AN14" i="566"/>
  <c r="AL14" i="566"/>
  <c r="AH14" i="566"/>
  <c r="AF14" i="566"/>
  <c r="AB14" i="566"/>
  <c r="Z14" i="566"/>
  <c r="CS12" i="566"/>
  <c r="CR12" i="566"/>
  <c r="CP12" i="566"/>
  <c r="CN12" i="566"/>
  <c r="CJ12" i="566"/>
  <c r="CH12" i="566"/>
  <c r="CD12" i="566"/>
  <c r="CB12" i="566"/>
  <c r="BX12" i="566"/>
  <c r="BV12" i="566"/>
  <c r="BR12" i="566"/>
  <c r="BP12" i="566"/>
  <c r="BL12" i="566"/>
  <c r="BJ12" i="566"/>
  <c r="BF12" i="566"/>
  <c r="BD12" i="566"/>
  <c r="AZ12" i="566"/>
  <c r="AX12" i="566"/>
  <c r="AT12" i="566"/>
  <c r="AR12" i="566"/>
  <c r="AN12" i="566"/>
  <c r="AL12" i="566"/>
  <c r="AH12" i="566"/>
  <c r="AF12" i="566"/>
  <c r="AB12" i="566"/>
  <c r="Z12" i="566"/>
  <c r="CS11" i="566"/>
  <c r="CR11" i="566"/>
  <c r="CN11" i="566"/>
  <c r="CP11" i="566"/>
  <c r="CJ11" i="566"/>
  <c r="CH11" i="566"/>
  <c r="CD11" i="566"/>
  <c r="CB11" i="566"/>
  <c r="BV11" i="566"/>
  <c r="BX11" i="566"/>
  <c r="BR11" i="566"/>
  <c r="BP11" i="566"/>
  <c r="BL11" i="566"/>
  <c r="BJ11" i="566"/>
  <c r="BD11" i="566"/>
  <c r="BF11" i="566"/>
  <c r="AZ11" i="566"/>
  <c r="AX11" i="566"/>
  <c r="AL11" i="566"/>
  <c r="AN11" i="566"/>
  <c r="AH11" i="566"/>
  <c r="AF11" i="566"/>
  <c r="AB11" i="566"/>
  <c r="Z11" i="566"/>
  <c r="CT10" i="566"/>
  <c r="CV10" i="566"/>
  <c r="CS10" i="566"/>
  <c r="CR10" i="566"/>
  <c r="CN10" i="566"/>
  <c r="CP10" i="566"/>
  <c r="CJ10" i="566"/>
  <c r="CH10" i="566"/>
  <c r="CD10" i="566"/>
  <c r="CB10" i="566"/>
  <c r="BX10" i="566"/>
  <c r="BV10" i="566"/>
  <c r="BR10" i="566"/>
  <c r="BP10" i="566"/>
  <c r="BL10" i="566"/>
  <c r="BJ10" i="566"/>
  <c r="BF10" i="566"/>
  <c r="BD10" i="566"/>
  <c r="AZ10" i="566"/>
  <c r="AX10" i="566"/>
  <c r="AT10" i="566"/>
  <c r="AR10" i="566"/>
  <c r="AN10" i="566"/>
  <c r="AL10" i="566"/>
  <c r="AH10" i="566"/>
  <c r="AF10" i="566"/>
  <c r="AB10" i="566"/>
  <c r="Z10" i="566"/>
  <c r="CT9" i="566"/>
  <c r="CV9" i="566"/>
  <c r="CS9" i="566"/>
  <c r="CR9" i="566"/>
  <c r="CN9" i="566"/>
  <c r="CP9" i="566"/>
  <c r="CJ9" i="566"/>
  <c r="CH9" i="566"/>
  <c r="CD9" i="566"/>
  <c r="CB9" i="566"/>
  <c r="BX9" i="566"/>
  <c r="BV9" i="566"/>
  <c r="BR9" i="566"/>
  <c r="BP9" i="566"/>
  <c r="BL9" i="566"/>
  <c r="BJ9" i="566"/>
  <c r="BF9" i="566"/>
  <c r="BD9" i="566"/>
  <c r="AZ9" i="566"/>
  <c r="AX9" i="566"/>
  <c r="AT9" i="566"/>
  <c r="AR9" i="566"/>
  <c r="AN9" i="566"/>
  <c r="AL9" i="566"/>
  <c r="AH9" i="566"/>
  <c r="AF9" i="566"/>
  <c r="AB9" i="566"/>
  <c r="Z9" i="566"/>
  <c r="CT8" i="566"/>
  <c r="CV8" i="566"/>
  <c r="CS8" i="566"/>
  <c r="CR8" i="566"/>
  <c r="CN8" i="566"/>
  <c r="CP8" i="566"/>
  <c r="CJ8" i="566"/>
  <c r="CH8" i="566"/>
  <c r="CD8" i="566"/>
  <c r="CB8" i="566"/>
  <c r="BX8" i="566"/>
  <c r="BV8" i="566"/>
  <c r="BR8" i="566"/>
  <c r="BP8" i="566"/>
  <c r="BL8" i="566"/>
  <c r="BJ8" i="566"/>
  <c r="BF8" i="566"/>
  <c r="BD8" i="566"/>
  <c r="AZ8" i="566"/>
  <c r="AX8" i="566"/>
  <c r="AT8" i="566"/>
  <c r="AR8" i="566"/>
  <c r="AN8" i="566"/>
  <c r="AL8" i="566"/>
  <c r="AH8" i="566"/>
  <c r="AF8" i="566"/>
  <c r="AB8" i="566"/>
  <c r="Z8" i="566"/>
  <c r="CV17" i="565"/>
  <c r="CT17" i="565"/>
  <c r="CP17" i="565"/>
  <c r="CN17" i="565"/>
  <c r="CJ17" i="565"/>
  <c r="CH17" i="565"/>
  <c r="CD17" i="565"/>
  <c r="CB17" i="565"/>
  <c r="BX17" i="565"/>
  <c r="BV17" i="565"/>
  <c r="BR17" i="565"/>
  <c r="BP17" i="565"/>
  <c r="BL17" i="565"/>
  <c r="BJ17" i="565"/>
  <c r="BF17" i="565"/>
  <c r="BD17" i="565"/>
  <c r="AZ17" i="565"/>
  <c r="AX17" i="565"/>
  <c r="AT17" i="565"/>
  <c r="AR17" i="565"/>
  <c r="AN17" i="565"/>
  <c r="AL17" i="565"/>
  <c r="AH17" i="565"/>
  <c r="AF17" i="565"/>
  <c r="AB17" i="565"/>
  <c r="Z17" i="565"/>
  <c r="CV16" i="565"/>
  <c r="CT16" i="565"/>
  <c r="CP16" i="565"/>
  <c r="CN16" i="565"/>
  <c r="CJ16" i="565"/>
  <c r="CH16" i="565"/>
  <c r="CD16" i="565"/>
  <c r="CB16" i="565"/>
  <c r="BX16" i="565"/>
  <c r="BV16" i="565"/>
  <c r="BR16" i="565"/>
  <c r="BP16" i="565"/>
  <c r="BL16" i="565"/>
  <c r="BJ16" i="565"/>
  <c r="BF16" i="565"/>
  <c r="BD16" i="565"/>
  <c r="AZ16" i="565"/>
  <c r="AX16" i="565"/>
  <c r="AT16" i="565"/>
  <c r="AR16" i="565"/>
  <c r="AN16" i="565"/>
  <c r="AL16" i="565"/>
  <c r="AH16" i="565"/>
  <c r="AF16" i="565"/>
  <c r="AB16" i="565"/>
  <c r="Z16" i="565"/>
  <c r="CT15" i="565"/>
  <c r="CV15" i="565"/>
  <c r="CN15" i="565"/>
  <c r="CP15" i="565"/>
  <c r="BW15" i="565"/>
  <c r="BX15" i="565"/>
  <c r="BV15" i="565"/>
  <c r="BE15" i="565"/>
  <c r="BD15" i="565"/>
  <c r="BF15" i="565"/>
  <c r="AL15" i="565"/>
  <c r="AN15" i="565"/>
  <c r="CT14" i="565"/>
  <c r="CV14" i="565"/>
  <c r="CN14" i="565"/>
  <c r="CP14" i="565"/>
  <c r="BW14" i="565"/>
  <c r="BX14" i="565"/>
  <c r="BV14" i="565"/>
  <c r="BE14" i="565"/>
  <c r="BD14" i="565"/>
  <c r="BF14" i="565"/>
  <c r="AR14" i="565"/>
  <c r="AT14" i="565"/>
  <c r="CT12" i="565"/>
  <c r="CV12" i="565"/>
  <c r="CN12" i="565"/>
  <c r="CP12" i="565"/>
  <c r="CJ12" i="565"/>
  <c r="CH12" i="565"/>
  <c r="CD12" i="565"/>
  <c r="CB12" i="565"/>
  <c r="BW12" i="565"/>
  <c r="BX12" i="565"/>
  <c r="BV12" i="565"/>
  <c r="BR12" i="565"/>
  <c r="BP12" i="565"/>
  <c r="BL12" i="565"/>
  <c r="BJ12" i="565"/>
  <c r="BE12" i="565"/>
  <c r="BD12" i="565"/>
  <c r="BF12" i="565"/>
  <c r="AZ12" i="565"/>
  <c r="AX12" i="565"/>
  <c r="AT12" i="565"/>
  <c r="AR12" i="565"/>
  <c r="AL12" i="565"/>
  <c r="AN12" i="565"/>
  <c r="AH12" i="565"/>
  <c r="AF12" i="565"/>
  <c r="AB12" i="565"/>
  <c r="Z12" i="565"/>
  <c r="CT11" i="565"/>
  <c r="CV11" i="565"/>
  <c r="CR11" i="565"/>
  <c r="BX11" i="565"/>
  <c r="BV11" i="565"/>
  <c r="BL11" i="565"/>
  <c r="BK11" i="565"/>
  <c r="BJ11" i="565"/>
  <c r="BE11" i="565"/>
  <c r="CR10" i="565"/>
  <c r="CT10" i="565"/>
  <c r="CV10" i="565"/>
  <c r="CN10" i="565"/>
  <c r="CJ10" i="565"/>
  <c r="CI10" i="565"/>
  <c r="CH10" i="565"/>
  <c r="CD10" i="565"/>
  <c r="CB10" i="565"/>
  <c r="BW10" i="565"/>
  <c r="BV10" i="565"/>
  <c r="BX10" i="565"/>
  <c r="BR10" i="565"/>
  <c r="BP10" i="565"/>
  <c r="BK10" i="565"/>
  <c r="BJ10" i="565"/>
  <c r="BL10" i="565"/>
  <c r="BF10" i="565"/>
  <c r="BE10" i="565"/>
  <c r="BD10" i="565"/>
  <c r="AZ10" i="565"/>
  <c r="AY10" i="565"/>
  <c r="AX10" i="565"/>
  <c r="AT10" i="565"/>
  <c r="AR10" i="565"/>
  <c r="AM10" i="565"/>
  <c r="AL10" i="565"/>
  <c r="AN10" i="565"/>
  <c r="AH10" i="565"/>
  <c r="AF10" i="565"/>
  <c r="AA10" i="565"/>
  <c r="Z10" i="565"/>
  <c r="AB10" i="565"/>
  <c r="CT9" i="565"/>
  <c r="CV9" i="565"/>
  <c r="CR9" i="565"/>
  <c r="CP9" i="565"/>
  <c r="CN9" i="565"/>
  <c r="CJ9" i="565"/>
  <c r="CH9" i="565"/>
  <c r="CD9" i="565"/>
  <c r="CB9" i="565"/>
  <c r="BW9" i="565"/>
  <c r="BV9" i="565"/>
  <c r="BX9" i="565"/>
  <c r="BR9" i="565"/>
  <c r="BP9" i="565"/>
  <c r="BL9" i="565"/>
  <c r="BJ9" i="565"/>
  <c r="BE9" i="565"/>
  <c r="BD9" i="565"/>
  <c r="BF9" i="565"/>
  <c r="AZ9" i="565"/>
  <c r="AX9" i="565"/>
  <c r="AT9" i="565"/>
  <c r="AR9" i="565"/>
  <c r="AN9" i="565"/>
  <c r="AL9" i="565"/>
  <c r="AH9" i="565"/>
  <c r="AF9" i="565"/>
  <c r="AB9" i="565"/>
  <c r="Z9" i="565"/>
  <c r="CR8" i="565"/>
  <c r="CT8" i="565"/>
  <c r="CV8" i="565"/>
  <c r="CN8" i="565"/>
  <c r="CP8" i="565"/>
  <c r="CL8" i="565"/>
  <c r="CJ8" i="565"/>
  <c r="CH8" i="565"/>
  <c r="CD8" i="565"/>
  <c r="CB8" i="565"/>
  <c r="BX8" i="565"/>
  <c r="BW8" i="565"/>
  <c r="BV8" i="565"/>
  <c r="BR8" i="565"/>
  <c r="BP8" i="565"/>
  <c r="BL8" i="565"/>
  <c r="BJ8" i="565"/>
  <c r="BE8" i="565"/>
  <c r="BF8" i="565"/>
  <c r="BD8" i="565"/>
  <c r="AZ8" i="565"/>
  <c r="AX8" i="565"/>
  <c r="AT8" i="565"/>
  <c r="AR8" i="565"/>
  <c r="AN8" i="565"/>
  <c r="AL8" i="565"/>
  <c r="AH8" i="565"/>
  <c r="AF8" i="565"/>
  <c r="AB8" i="565"/>
  <c r="Z8" i="565"/>
  <c r="CV16" i="564"/>
  <c r="CT16" i="564"/>
  <c r="CP16" i="564"/>
  <c r="BX16" i="564"/>
  <c r="BV16" i="564"/>
  <c r="BR16" i="564"/>
  <c r="BP16" i="564"/>
  <c r="BL16" i="564"/>
  <c r="BJ16" i="564"/>
  <c r="BF16" i="564"/>
  <c r="BD16" i="564"/>
  <c r="AZ16" i="564"/>
  <c r="AX16" i="564"/>
  <c r="AT16" i="564"/>
  <c r="AR16" i="564"/>
  <c r="AN16" i="564"/>
  <c r="AL16" i="564"/>
  <c r="AH16" i="564"/>
  <c r="AF16" i="564"/>
  <c r="AB16" i="564"/>
  <c r="Z16" i="564"/>
  <c r="CV15" i="564"/>
  <c r="CT15" i="564"/>
  <c r="CP15" i="564"/>
  <c r="CJ15" i="564"/>
  <c r="CH15" i="564"/>
  <c r="CD15" i="564"/>
  <c r="CB15" i="564"/>
  <c r="BX15" i="564"/>
  <c r="BV15" i="564"/>
  <c r="BR15" i="564"/>
  <c r="BP15" i="564"/>
  <c r="BL15" i="564"/>
  <c r="BJ15" i="564"/>
  <c r="BF15" i="564"/>
  <c r="BD15" i="564"/>
  <c r="AZ15" i="564"/>
  <c r="AX15" i="564"/>
  <c r="AT15" i="564"/>
  <c r="AR15" i="564"/>
  <c r="AN15" i="564"/>
  <c r="AL15" i="564"/>
  <c r="AH15" i="564"/>
  <c r="AF15" i="564"/>
  <c r="AB15" i="564"/>
  <c r="Z15" i="564"/>
  <c r="AB14" i="564"/>
  <c r="Z14" i="564"/>
  <c r="CV13" i="564"/>
  <c r="CT13" i="564"/>
  <c r="CP13" i="564"/>
  <c r="CN13" i="564"/>
  <c r="CD13" i="564"/>
  <c r="AF12" i="564"/>
  <c r="Z12" i="564"/>
  <c r="AB12" i="564"/>
  <c r="BP11" i="564"/>
  <c r="BD11" i="564"/>
  <c r="AX11" i="564"/>
  <c r="AL11" i="564"/>
  <c r="BV10" i="564"/>
  <c r="BX10" i="564"/>
  <c r="BP10" i="564"/>
  <c r="BR10" i="564"/>
  <c r="BJ10" i="564"/>
  <c r="BL10" i="564"/>
  <c r="BD10" i="564"/>
  <c r="BF10" i="564"/>
  <c r="AX10" i="564"/>
  <c r="AZ10" i="564"/>
  <c r="AR10" i="564"/>
  <c r="AT10" i="564"/>
  <c r="AM10" i="564"/>
  <c r="AN10" i="564"/>
  <c r="AL10" i="564"/>
  <c r="AH10" i="564"/>
  <c r="AF10" i="564"/>
  <c r="AB10" i="564"/>
  <c r="Z10" i="564"/>
  <c r="CP9" i="564"/>
  <c r="CN9" i="564"/>
  <c r="CJ9" i="564"/>
  <c r="CH9" i="564"/>
  <c r="CB9" i="564"/>
  <c r="AF9" i="564"/>
  <c r="AH9" i="564"/>
  <c r="AE9" i="564"/>
  <c r="AK9" i="564"/>
  <c r="AD9" i="564"/>
  <c r="AJ9" i="564"/>
  <c r="AP9" i="564"/>
  <c r="AV9" i="564"/>
  <c r="BB9" i="564"/>
  <c r="BH9" i="564"/>
  <c r="BN9" i="564"/>
  <c r="BT9" i="564"/>
  <c r="Z9" i="564"/>
  <c r="AB9" i="564"/>
  <c r="CN8" i="564"/>
  <c r="CP8" i="564"/>
  <c r="CH8" i="564"/>
  <c r="CJ8" i="564"/>
  <c r="CB8" i="564"/>
  <c r="CD8" i="564"/>
  <c r="BV8" i="564"/>
  <c r="BX8" i="564"/>
  <c r="BP8" i="564"/>
  <c r="BR8" i="564"/>
  <c r="BJ8" i="564"/>
  <c r="BL8" i="564"/>
  <c r="BD8" i="564"/>
  <c r="BF8" i="564"/>
  <c r="AX8" i="564"/>
  <c r="AZ8" i="564"/>
  <c r="AR8" i="564"/>
  <c r="AT8" i="564"/>
  <c r="AL8" i="564"/>
  <c r="AN8" i="564"/>
  <c r="AF8" i="564"/>
  <c r="AH8" i="564"/>
  <c r="Z8" i="564"/>
  <c r="AB8" i="564"/>
  <c r="CN20" i="563"/>
  <c r="CP20" i="563"/>
  <c r="CR20" i="563"/>
  <c r="CT20" i="563"/>
  <c r="CJ20" i="563"/>
  <c r="CH20" i="563"/>
  <c r="CD20" i="563"/>
  <c r="CB20" i="563"/>
  <c r="BX20" i="563"/>
  <c r="BV20" i="563"/>
  <c r="BR20" i="563"/>
  <c r="BP20" i="563"/>
  <c r="BL20" i="563"/>
  <c r="BJ20" i="563"/>
  <c r="BD20" i="563"/>
  <c r="BF20" i="563"/>
  <c r="AZ20" i="563"/>
  <c r="AX20" i="563"/>
  <c r="AT20" i="563"/>
  <c r="AR20" i="563"/>
  <c r="AL20" i="563"/>
  <c r="AN20" i="563"/>
  <c r="AH20" i="563"/>
  <c r="AF20" i="563"/>
  <c r="AB20" i="563"/>
  <c r="Z20" i="563"/>
  <c r="CT19" i="563"/>
  <c r="CP19" i="563"/>
  <c r="CN19" i="563"/>
  <c r="CJ19" i="563"/>
  <c r="CH19" i="563"/>
  <c r="CD19" i="563"/>
  <c r="CB19" i="563"/>
  <c r="BX19" i="563"/>
  <c r="BV19" i="563"/>
  <c r="BR19" i="563"/>
  <c r="BP19" i="563"/>
  <c r="BL19" i="563"/>
  <c r="BJ19" i="563"/>
  <c r="BF19" i="563"/>
  <c r="BD19" i="563"/>
  <c r="AZ19" i="563"/>
  <c r="AX19" i="563"/>
  <c r="AT19" i="563"/>
  <c r="AR19" i="563"/>
  <c r="AN19" i="563"/>
  <c r="AL19" i="563"/>
  <c r="AH19" i="563"/>
  <c r="AF19" i="563"/>
  <c r="AB19" i="563"/>
  <c r="Z19" i="563"/>
  <c r="CT18" i="563"/>
  <c r="CP18" i="563"/>
  <c r="CN18" i="563"/>
  <c r="CJ18" i="563"/>
  <c r="CH18" i="563"/>
  <c r="CD18" i="563"/>
  <c r="CB18" i="563"/>
  <c r="BX18" i="563"/>
  <c r="BV18" i="563"/>
  <c r="BR18" i="563"/>
  <c r="BP18" i="563"/>
  <c r="BL18" i="563"/>
  <c r="BJ18" i="563"/>
  <c r="BD18" i="563"/>
  <c r="BF18" i="563"/>
  <c r="AZ18" i="563"/>
  <c r="AX18" i="563"/>
  <c r="AT18" i="563"/>
  <c r="AR18" i="563"/>
  <c r="AN18" i="563"/>
  <c r="AL18" i="563"/>
  <c r="AH18" i="563"/>
  <c r="AF18" i="563"/>
  <c r="AB18" i="563"/>
  <c r="Z18" i="563"/>
  <c r="CT17" i="563"/>
  <c r="CV17" i="563"/>
  <c r="CN17" i="563"/>
  <c r="CP17" i="563"/>
  <c r="CT16" i="563"/>
  <c r="CV16" i="563"/>
  <c r="CN16" i="563"/>
  <c r="CP16" i="563"/>
  <c r="CL16" i="563"/>
  <c r="CJ16" i="563"/>
  <c r="CH16" i="563"/>
  <c r="CD16" i="563"/>
  <c r="CB16" i="563"/>
  <c r="BT16" i="563"/>
  <c r="BV16" i="563"/>
  <c r="BX16" i="563"/>
  <c r="BR16" i="563"/>
  <c r="BP16" i="563"/>
  <c r="BL16" i="563"/>
  <c r="BJ16" i="563"/>
  <c r="AZ16" i="563"/>
  <c r="AX16" i="563"/>
  <c r="AT16" i="563"/>
  <c r="AR16" i="563"/>
  <c r="AL16" i="563"/>
  <c r="AN16" i="563"/>
  <c r="AH16" i="563"/>
  <c r="AF16" i="563"/>
  <c r="AB16" i="563"/>
  <c r="Z16" i="563"/>
  <c r="CD14" i="563"/>
  <c r="BL14" i="563"/>
  <c r="BJ14" i="563"/>
  <c r="AT14" i="563"/>
  <c r="AR14" i="563"/>
  <c r="CV13" i="563"/>
  <c r="CT13" i="563"/>
  <c r="CP13" i="563"/>
  <c r="CN13" i="563"/>
  <c r="CD13" i="563"/>
  <c r="CB13" i="563"/>
  <c r="BL13" i="563"/>
  <c r="BJ13" i="563"/>
  <c r="AT13" i="563"/>
  <c r="AR13" i="563"/>
  <c r="AH13" i="563"/>
  <c r="AF13" i="563"/>
  <c r="AB13" i="563"/>
  <c r="Z13" i="563"/>
  <c r="CV12" i="563"/>
  <c r="CT12" i="563"/>
  <c r="CP12" i="563"/>
  <c r="CN12" i="563"/>
  <c r="CJ12" i="563"/>
  <c r="CH12" i="563"/>
  <c r="CD12" i="563"/>
  <c r="CB12" i="563"/>
  <c r="BX12" i="563"/>
  <c r="BV12" i="563"/>
  <c r="BR12" i="563"/>
  <c r="BP12" i="563"/>
  <c r="BL12" i="563"/>
  <c r="BJ12" i="563"/>
  <c r="BF12" i="563"/>
  <c r="BD12" i="563"/>
  <c r="AZ12" i="563"/>
  <c r="AX12" i="563"/>
  <c r="AT12" i="563"/>
  <c r="AR12" i="563"/>
  <c r="AN12" i="563"/>
  <c r="AL12" i="563"/>
  <c r="AH12" i="563"/>
  <c r="AF12" i="563"/>
  <c r="AB12" i="563"/>
  <c r="Z12" i="563"/>
  <c r="CV11" i="563"/>
  <c r="CT11" i="563"/>
  <c r="CP11" i="563"/>
  <c r="CN11" i="563"/>
  <c r="CJ11" i="563"/>
  <c r="CH11" i="563"/>
  <c r="CD11" i="563"/>
  <c r="CB11" i="563"/>
  <c r="BX11" i="563"/>
  <c r="BV11" i="563"/>
  <c r="BR11" i="563"/>
  <c r="BP11" i="563"/>
  <c r="BL11" i="563"/>
  <c r="BJ11" i="563"/>
  <c r="BF11" i="563"/>
  <c r="BD11" i="563"/>
  <c r="AZ11" i="563"/>
  <c r="AX11" i="563"/>
  <c r="AT11" i="563"/>
  <c r="AR11" i="563"/>
  <c r="AN11" i="563"/>
  <c r="AL11" i="563"/>
  <c r="AH11" i="563"/>
  <c r="AF11" i="563"/>
  <c r="AB11" i="563"/>
  <c r="Z11" i="563"/>
  <c r="CP10" i="563"/>
  <c r="CN10" i="563"/>
  <c r="CJ10" i="563"/>
  <c r="CH10" i="563"/>
  <c r="CD10" i="563"/>
  <c r="CB10" i="563"/>
  <c r="BX10" i="563"/>
  <c r="BV10" i="563"/>
  <c r="BR10" i="563"/>
  <c r="BP10" i="563"/>
  <c r="BL10" i="563"/>
  <c r="BJ10" i="563"/>
  <c r="BF10" i="563"/>
  <c r="BD10" i="563"/>
  <c r="AZ10" i="563"/>
  <c r="AX10" i="563"/>
  <c r="AT10" i="563"/>
  <c r="AR10" i="563"/>
  <c r="AN10" i="563"/>
  <c r="AL10" i="563"/>
  <c r="AH10" i="563"/>
  <c r="AF10" i="563"/>
  <c r="AB10" i="563"/>
  <c r="Z10" i="563"/>
  <c r="CV9" i="563"/>
  <c r="CT9" i="563"/>
  <c r="CP9" i="563"/>
  <c r="CN9" i="563"/>
  <c r="CJ9" i="563"/>
  <c r="CH9" i="563"/>
  <c r="CD9" i="563"/>
  <c r="CB9" i="563"/>
  <c r="BX9" i="563"/>
  <c r="BV9" i="563"/>
  <c r="BR9" i="563"/>
  <c r="BP9" i="563"/>
  <c r="BL9" i="563"/>
  <c r="BJ9" i="563"/>
  <c r="BF9" i="563"/>
  <c r="BD9" i="563"/>
  <c r="AZ9" i="563"/>
  <c r="AX9" i="563"/>
  <c r="AT9" i="563"/>
  <c r="AR9" i="563"/>
  <c r="AN9" i="563"/>
  <c r="AL9" i="563"/>
  <c r="AH9" i="563"/>
  <c r="AF9" i="563"/>
  <c r="AB9" i="563"/>
  <c r="Z9" i="563"/>
  <c r="CJ8" i="563"/>
  <c r="CH8" i="563"/>
  <c r="CD8" i="563"/>
  <c r="CB8" i="563"/>
  <c r="BX8" i="563"/>
  <c r="BV8" i="563"/>
  <c r="BR8" i="563"/>
  <c r="BP8" i="563"/>
  <c r="BL8" i="563"/>
  <c r="BJ8" i="563"/>
  <c r="BF8" i="563"/>
  <c r="BD8" i="563"/>
  <c r="AZ8" i="563"/>
  <c r="AX8" i="563"/>
  <c r="AT8" i="563"/>
  <c r="AR8" i="563"/>
  <c r="AN8" i="563"/>
  <c r="AL8" i="563"/>
  <c r="AH8" i="563"/>
  <c r="AF8" i="563"/>
  <c r="AB8" i="563"/>
  <c r="Z8" i="563"/>
  <c r="BD17" i="562"/>
  <c r="AI17" i="562"/>
  <c r="AO17" i="562"/>
  <c r="CV16" i="562"/>
  <c r="CT16" i="562"/>
  <c r="CN16" i="562"/>
  <c r="CH16" i="562"/>
  <c r="CB16" i="562"/>
  <c r="BV16" i="562"/>
  <c r="BP16" i="562"/>
  <c r="BJ16" i="562"/>
  <c r="BD16" i="562"/>
  <c r="CV15" i="562"/>
  <c r="CT15" i="562"/>
  <c r="CN15" i="562"/>
  <c r="CH15" i="562"/>
  <c r="CB15" i="562"/>
  <c r="BV15" i="562"/>
  <c r="BP15" i="562"/>
  <c r="BJ15" i="562"/>
  <c r="BD15" i="562"/>
  <c r="CV14" i="562"/>
  <c r="CT14" i="562"/>
  <c r="CN14" i="562"/>
  <c r="CH14" i="562"/>
  <c r="CB14" i="562"/>
  <c r="BV14" i="562"/>
  <c r="BP14" i="562"/>
  <c r="BJ14" i="562"/>
  <c r="BD14" i="562"/>
  <c r="CV13" i="562"/>
  <c r="CT13" i="562"/>
  <c r="CN13" i="562"/>
  <c r="CH13" i="562"/>
  <c r="CB13" i="562"/>
  <c r="BV13" i="562"/>
  <c r="BP13" i="562"/>
  <c r="BJ13" i="562"/>
  <c r="BD13" i="562"/>
  <c r="AX13" i="562"/>
  <c r="AR13" i="562"/>
  <c r="CV12" i="562"/>
  <c r="CT12" i="562"/>
  <c r="CN12" i="562"/>
  <c r="CH12" i="562"/>
  <c r="BV12" i="562"/>
  <c r="BD12" i="562"/>
  <c r="CV11" i="562"/>
  <c r="CT11" i="562"/>
  <c r="CN11" i="562"/>
  <c r="CH11" i="562"/>
  <c r="CB11" i="562"/>
  <c r="BV11" i="562"/>
  <c r="BP11" i="562"/>
  <c r="BJ11" i="562"/>
  <c r="BD11" i="562"/>
  <c r="AX11" i="562"/>
  <c r="AQ11" i="562"/>
  <c r="AP11" i="562"/>
  <c r="AK11" i="562"/>
  <c r="AL11" i="562"/>
  <c r="AJ11" i="562"/>
  <c r="AE11" i="562"/>
  <c r="AF11" i="562"/>
  <c r="AD11" i="562"/>
  <c r="Y11" i="562"/>
  <c r="X11" i="562"/>
  <c r="Z11" i="562"/>
  <c r="AB11" i="562"/>
  <c r="CV10" i="562"/>
  <c r="CT10" i="562"/>
  <c r="CN10" i="562"/>
  <c r="CH10" i="562"/>
  <c r="CB10" i="562"/>
  <c r="BV10" i="562"/>
  <c r="BP10" i="562"/>
  <c r="BJ10" i="562"/>
  <c r="BD10" i="562"/>
  <c r="AX10" i="562"/>
  <c r="AR10" i="562"/>
  <c r="AT10" i="562"/>
  <c r="AQ10" i="562"/>
  <c r="AP10" i="562"/>
  <c r="AK10" i="562"/>
  <c r="AJ10" i="562"/>
  <c r="AL10" i="562"/>
  <c r="AN10" i="562"/>
  <c r="AE10" i="562"/>
  <c r="AD10" i="562"/>
  <c r="AF10" i="562"/>
  <c r="AH10" i="562"/>
  <c r="Z10" i="562"/>
  <c r="AB10" i="562"/>
  <c r="Y10" i="562"/>
  <c r="X10" i="562"/>
  <c r="CV9" i="562"/>
  <c r="CT9" i="562"/>
  <c r="CN9" i="562"/>
  <c r="CH9" i="562"/>
  <c r="CB9" i="562"/>
  <c r="BV9" i="562"/>
  <c r="BP9" i="562"/>
  <c r="BJ9" i="562"/>
  <c r="BD9" i="562"/>
  <c r="AX9" i="562"/>
  <c r="AQ9" i="562"/>
  <c r="AP9" i="562"/>
  <c r="AR9" i="562"/>
  <c r="AK9" i="562"/>
  <c r="AJ9" i="562"/>
  <c r="AL9" i="562"/>
  <c r="AE9" i="562"/>
  <c r="AH9" i="562"/>
  <c r="AD9" i="562"/>
  <c r="AF9" i="562"/>
  <c r="Y9" i="562"/>
  <c r="X9" i="562"/>
  <c r="Z9" i="562"/>
  <c r="CV8" i="562"/>
  <c r="CT8" i="562"/>
  <c r="CN8" i="562"/>
  <c r="CH8" i="562"/>
  <c r="CB8" i="562"/>
  <c r="BV8" i="562"/>
  <c r="BP8" i="562"/>
  <c r="BJ8" i="562"/>
  <c r="BD8" i="562"/>
  <c r="AX8" i="562"/>
  <c r="AQ8" i="562"/>
  <c r="AR8" i="562"/>
  <c r="AP8" i="562"/>
  <c r="AK8" i="562"/>
  <c r="AL8" i="562"/>
  <c r="AJ8" i="562"/>
  <c r="AH8" i="562"/>
  <c r="AE8" i="562"/>
  <c r="AF8" i="562"/>
  <c r="AD8" i="562"/>
  <c r="Y8" i="562"/>
  <c r="X8" i="562"/>
  <c r="DJ32" i="573"/>
  <c r="DN32" i="573"/>
  <c r="DL26" i="573"/>
  <c r="DD26" i="573"/>
  <c r="DH26" i="573"/>
  <c r="DL27" i="573"/>
  <c r="DN27" i="573"/>
  <c r="DH27" i="573"/>
  <c r="CJ26" i="573"/>
  <c r="CJ27" i="573"/>
  <c r="DH32" i="573"/>
  <c r="DD32" i="573"/>
  <c r="CW23" i="572"/>
  <c r="CW27" i="572"/>
  <c r="BX26" i="572"/>
  <c r="AT15" i="571"/>
  <c r="AR15" i="571"/>
  <c r="CT14" i="569"/>
  <c r="CV14" i="569"/>
  <c r="AT16" i="569"/>
  <c r="BR16" i="569"/>
  <c r="CP17" i="568"/>
  <c r="CT11" i="566"/>
  <c r="CV11" i="566"/>
  <c r="CT12" i="566"/>
  <c r="CV12" i="566"/>
  <c r="CT14" i="566"/>
  <c r="CV14" i="566"/>
  <c r="CT15" i="566"/>
  <c r="AL9" i="564"/>
  <c r="AN9" i="564"/>
  <c r="AQ9" i="564"/>
  <c r="AT9" i="562"/>
  <c r="AH11" i="562"/>
  <c r="DN26" i="573"/>
  <c r="DJ26" i="573"/>
  <c r="AT9" i="564"/>
  <c r="AR9" i="564"/>
  <c r="AW9" i="564"/>
  <c r="CP15" i="561"/>
  <c r="CR15" i="561"/>
  <c r="CT15" i="561"/>
  <c r="CV15" i="561"/>
  <c r="CN15" i="561"/>
  <c r="BX15" i="561"/>
  <c r="BV15" i="561"/>
  <c r="BF15" i="561"/>
  <c r="BD15" i="561"/>
  <c r="AM15" i="561"/>
  <c r="CT14" i="561"/>
  <c r="CV14" i="561"/>
  <c r="CP14" i="561"/>
  <c r="CN14" i="561"/>
  <c r="CJ14" i="561"/>
  <c r="CH14" i="561"/>
  <c r="CB14" i="561"/>
  <c r="CD14" i="561"/>
  <c r="CT13" i="561"/>
  <c r="CV13" i="561"/>
  <c r="CT12" i="561"/>
  <c r="CV12" i="561"/>
  <c r="CN12" i="561"/>
  <c r="CP12" i="561"/>
  <c r="BV12" i="561"/>
  <c r="BD12" i="561"/>
  <c r="AR12" i="561"/>
  <c r="AT12" i="561"/>
  <c r="CS10" i="561"/>
  <c r="CR10" i="561"/>
  <c r="CP10" i="561"/>
  <c r="CN10" i="561"/>
  <c r="CJ10" i="561"/>
  <c r="CH10" i="561"/>
  <c r="CD10" i="561"/>
  <c r="CB10" i="561"/>
  <c r="BX10" i="561"/>
  <c r="BV10" i="561"/>
  <c r="BP10" i="561"/>
  <c r="BJ10" i="561"/>
  <c r="BD10" i="561"/>
  <c r="AX10" i="561"/>
  <c r="AR10" i="561"/>
  <c r="AL10" i="561"/>
  <c r="AN10" i="561"/>
  <c r="AF10" i="561"/>
  <c r="CT10" i="561"/>
  <c r="AB10" i="561"/>
  <c r="CS9" i="561"/>
  <c r="CR9" i="561"/>
  <c r="CN9" i="561"/>
  <c r="CP9" i="561"/>
  <c r="CH9" i="561"/>
  <c r="CJ9" i="561"/>
  <c r="CB9" i="561"/>
  <c r="CD9" i="561"/>
  <c r="BV9" i="561"/>
  <c r="BX9" i="561"/>
  <c r="BP9" i="561"/>
  <c r="BR9" i="561"/>
  <c r="BJ9" i="561"/>
  <c r="BL9" i="561"/>
  <c r="BD9" i="561"/>
  <c r="AX9" i="561"/>
  <c r="AR9" i="561"/>
  <c r="AT9" i="561"/>
  <c r="AL9" i="561"/>
  <c r="AN9" i="561"/>
  <c r="AF9" i="561"/>
  <c r="CS8" i="561"/>
  <c r="CR8" i="561"/>
  <c r="CN8" i="561"/>
  <c r="CH8" i="561"/>
  <c r="CB8" i="561"/>
  <c r="BV8" i="561"/>
  <c r="BP8" i="561"/>
  <c r="BJ8" i="561"/>
  <c r="BD8" i="561"/>
  <c r="AX8" i="561"/>
  <c r="CT8" i="561"/>
  <c r="AR8" i="561"/>
  <c r="AN8" i="561"/>
  <c r="AL8" i="561"/>
  <c r="AH8" i="561"/>
  <c r="AF8" i="561"/>
  <c r="AB8" i="561"/>
  <c r="CQ18" i="560"/>
  <c r="CO18" i="560"/>
  <c r="CD18" i="560"/>
  <c r="BV18" i="560"/>
  <c r="BX18" i="560"/>
  <c r="CS18" i="560"/>
  <c r="CU18" i="560"/>
  <c r="CW18" i="560"/>
  <c r="BD18" i="560"/>
  <c r="AL18" i="560"/>
  <c r="Z18" i="560"/>
  <c r="CQ17" i="560"/>
  <c r="CO17" i="560"/>
  <c r="CJ17" i="560"/>
  <c r="CH17" i="560"/>
  <c r="CD17" i="560"/>
  <c r="CB17" i="560"/>
  <c r="BX17" i="560"/>
  <c r="BV17" i="560"/>
  <c r="BR17" i="560"/>
  <c r="BP17" i="560"/>
  <c r="BL17" i="560"/>
  <c r="BJ17" i="560"/>
  <c r="BF17" i="560"/>
  <c r="BD17" i="560"/>
  <c r="AZ17" i="560"/>
  <c r="AX17" i="560"/>
  <c r="AT17" i="560"/>
  <c r="AR17" i="560"/>
  <c r="AN17" i="560"/>
  <c r="AL17" i="560"/>
  <c r="AH17" i="560"/>
  <c r="AF17" i="560"/>
  <c r="AB17" i="560"/>
  <c r="BF16" i="560"/>
  <c r="AT16" i="560"/>
  <c r="AN16" i="560"/>
  <c r="AH16" i="560"/>
  <c r="AB16" i="560"/>
  <c r="CW15" i="560"/>
  <c r="CU15" i="560"/>
  <c r="CQ15" i="560"/>
  <c r="CO15" i="560"/>
  <c r="CJ15" i="560"/>
  <c r="CH15" i="560"/>
  <c r="CD15" i="560"/>
  <c r="CB15" i="560"/>
  <c r="BX15" i="560"/>
  <c r="BV15" i="560"/>
  <c r="BR15" i="560"/>
  <c r="BP15" i="560"/>
  <c r="BL15" i="560"/>
  <c r="BJ15" i="560"/>
  <c r="BF15" i="560"/>
  <c r="BD15" i="560"/>
  <c r="AZ15" i="560"/>
  <c r="AX15" i="560"/>
  <c r="AT15" i="560"/>
  <c r="AR15" i="560"/>
  <c r="AN15" i="560"/>
  <c r="AL15" i="560"/>
  <c r="AH15" i="560"/>
  <c r="AF15" i="560"/>
  <c r="CW14" i="560"/>
  <c r="CU14" i="560"/>
  <c r="CQ14" i="560"/>
  <c r="CO14" i="560"/>
  <c r="CH14" i="560"/>
  <c r="CD14" i="560"/>
  <c r="BX14" i="560"/>
  <c r="BV14" i="560"/>
  <c r="BR14" i="560"/>
  <c r="BP14" i="560"/>
  <c r="BL14" i="560"/>
  <c r="BJ14" i="560"/>
  <c r="BF14" i="560"/>
  <c r="BD14" i="560"/>
  <c r="AZ14" i="560"/>
  <c r="AX14" i="560"/>
  <c r="AT14" i="560"/>
  <c r="AR14" i="560"/>
  <c r="AN14" i="560"/>
  <c r="AL14" i="560"/>
  <c r="AH14" i="560"/>
  <c r="AF14" i="560"/>
  <c r="AB14" i="560"/>
  <c r="CU13" i="560"/>
  <c r="CQ13" i="560"/>
  <c r="CO13" i="560"/>
  <c r="CJ13" i="560"/>
  <c r="CH13" i="560"/>
  <c r="CB13" i="560"/>
  <c r="CD13" i="560"/>
  <c r="BX13" i="560"/>
  <c r="BV13" i="560"/>
  <c r="BR13" i="560"/>
  <c r="BP13" i="560"/>
  <c r="BL13" i="560"/>
  <c r="BJ13" i="560"/>
  <c r="BF13" i="560"/>
  <c r="AB13" i="560"/>
  <c r="Z13" i="560"/>
  <c r="CM12" i="560"/>
  <c r="CJ12" i="560"/>
  <c r="CH12" i="560"/>
  <c r="CD12" i="560"/>
  <c r="CB12" i="560"/>
  <c r="BX12" i="560"/>
  <c r="BV12" i="560"/>
  <c r="BT12" i="560"/>
  <c r="BR12" i="560"/>
  <c r="BP12" i="560"/>
  <c r="BL12" i="560"/>
  <c r="BJ12" i="560"/>
  <c r="BF12" i="560"/>
  <c r="BD12" i="560"/>
  <c r="AZ12" i="560"/>
  <c r="AX12" i="560"/>
  <c r="AT12" i="560"/>
  <c r="AR12" i="560"/>
  <c r="AB12" i="560"/>
  <c r="Z12" i="560"/>
  <c r="CW11" i="560"/>
  <c r="CQ11" i="560"/>
  <c r="CJ11" i="560"/>
  <c r="CH11" i="560"/>
  <c r="CD11" i="560"/>
  <c r="CB11" i="560"/>
  <c r="BF11" i="560"/>
  <c r="AF11" i="560"/>
  <c r="AH11" i="560"/>
  <c r="CU9" i="560"/>
  <c r="CW9" i="560"/>
  <c r="CO9" i="560"/>
  <c r="CQ9" i="560"/>
  <c r="CH9" i="560"/>
  <c r="CJ9" i="560"/>
  <c r="CB9" i="560"/>
  <c r="CD9" i="560"/>
  <c r="BV9" i="560"/>
  <c r="BX9" i="560"/>
  <c r="BP9" i="560"/>
  <c r="BR9" i="560"/>
  <c r="BJ9" i="560"/>
  <c r="BL9" i="560"/>
  <c r="BE9" i="560"/>
  <c r="BD9" i="560"/>
  <c r="BF9" i="560"/>
  <c r="AZ9" i="560"/>
  <c r="AX9" i="560"/>
  <c r="AT9" i="560"/>
  <c r="AR9" i="560"/>
  <c r="AN9" i="560"/>
  <c r="AL9" i="560"/>
  <c r="AH9" i="560"/>
  <c r="AF9" i="560"/>
  <c r="AB9" i="560"/>
  <c r="Z9" i="560"/>
  <c r="CW8" i="560"/>
  <c r="CU8" i="560"/>
  <c r="CQ8" i="560"/>
  <c r="CO8" i="560"/>
  <c r="BX8" i="560"/>
  <c r="BV8" i="560"/>
  <c r="BD8" i="560"/>
  <c r="AR8" i="560"/>
  <c r="Z8" i="560"/>
  <c r="BL25" i="559"/>
  <c r="CP24" i="559"/>
  <c r="CS23" i="559"/>
  <c r="CR23" i="559"/>
  <c r="CV23" i="559"/>
  <c r="CP23" i="559"/>
  <c r="CJ23" i="559"/>
  <c r="CH23" i="559"/>
  <c r="CB23" i="559"/>
  <c r="BW23" i="559"/>
  <c r="BV23" i="559"/>
  <c r="BQ23" i="559"/>
  <c r="BE23" i="559"/>
  <c r="AY23" i="559"/>
  <c r="AS23" i="559"/>
  <c r="AR23" i="559"/>
  <c r="AM23" i="559"/>
  <c r="AL23" i="559"/>
  <c r="AG23" i="559"/>
  <c r="AA23" i="559"/>
  <c r="CU22" i="559"/>
  <c r="CS22" i="559"/>
  <c r="CR22" i="559"/>
  <c r="BW22" i="559"/>
  <c r="BU22" i="559"/>
  <c r="BR22" i="559"/>
  <c r="BQ22" i="559"/>
  <c r="BP22" i="559"/>
  <c r="BL22" i="559"/>
  <c r="BJ22" i="559"/>
  <c r="BF22" i="559"/>
  <c r="BD22" i="559"/>
  <c r="AY22" i="559"/>
  <c r="AW22" i="559"/>
  <c r="AX22" i="559"/>
  <c r="AR22" i="559"/>
  <c r="AQ22" i="559"/>
  <c r="AT22" i="559"/>
  <c r="AN22" i="559"/>
  <c r="AM22" i="559"/>
  <c r="AL22" i="559"/>
  <c r="AH22" i="559"/>
  <c r="AG22" i="559"/>
  <c r="AF22" i="559"/>
  <c r="AB22" i="559"/>
  <c r="AA22" i="559"/>
  <c r="Z22" i="559"/>
  <c r="CR21" i="559"/>
  <c r="CH21" i="559"/>
  <c r="CA21" i="559"/>
  <c r="BO21" i="559"/>
  <c r="BJ21" i="559"/>
  <c r="BI21" i="559"/>
  <c r="BC21" i="559"/>
  <c r="AW21" i="559"/>
  <c r="AX21" i="559"/>
  <c r="AQ21" i="559"/>
  <c r="AR21" i="559"/>
  <c r="AK21" i="559"/>
  <c r="AE21" i="559"/>
  <c r="Y21" i="559"/>
  <c r="CS21" i="559"/>
  <c r="W21" i="559"/>
  <c r="CR20" i="559"/>
  <c r="CH20" i="559"/>
  <c r="CB20" i="559"/>
  <c r="CA20" i="559"/>
  <c r="BO20" i="559"/>
  <c r="BI20" i="559"/>
  <c r="BD20" i="559"/>
  <c r="BC20" i="559"/>
  <c r="AX20" i="559"/>
  <c r="AW20" i="559"/>
  <c r="AR20" i="559"/>
  <c r="AQ20" i="559"/>
  <c r="AL20" i="559"/>
  <c r="AK20" i="559"/>
  <c r="AF20" i="559"/>
  <c r="AE20" i="559"/>
  <c r="CS20" i="559"/>
  <c r="AB20" i="559"/>
  <c r="Z20" i="559"/>
  <c r="W20" i="559"/>
  <c r="CR19" i="559"/>
  <c r="CB19" i="559"/>
  <c r="CD19" i="559"/>
  <c r="CD24" i="559"/>
  <c r="BW19" i="559"/>
  <c r="BU19" i="559"/>
  <c r="BV19" i="559"/>
  <c r="BQ19" i="559"/>
  <c r="BO19" i="559"/>
  <c r="BP19" i="559"/>
  <c r="BL19" i="559"/>
  <c r="BJ19" i="559"/>
  <c r="BF19" i="559"/>
  <c r="BE19" i="559"/>
  <c r="BD19" i="559"/>
  <c r="AW19" i="559"/>
  <c r="AX19" i="559"/>
  <c r="AS19" i="559"/>
  <c r="AQ19" i="559"/>
  <c r="AR19" i="559"/>
  <c r="AN19" i="559"/>
  <c r="AL19" i="559"/>
  <c r="AG19" i="559"/>
  <c r="AE19" i="559"/>
  <c r="AB19" i="559"/>
  <c r="Z19" i="559"/>
  <c r="BW18" i="559"/>
  <c r="BV18" i="559"/>
  <c r="BR18" i="559"/>
  <c r="BQ18" i="559"/>
  <c r="BP18" i="559"/>
  <c r="BL18" i="559"/>
  <c r="BJ18" i="559"/>
  <c r="BF18" i="559"/>
  <c r="BE18" i="559"/>
  <c r="BD18" i="559"/>
  <c r="AZ18" i="559"/>
  <c r="AX18" i="559"/>
  <c r="AW18" i="559"/>
  <c r="AT18" i="559"/>
  <c r="AR18" i="559"/>
  <c r="AN18" i="559"/>
  <c r="AM18" i="559"/>
  <c r="AL18" i="559"/>
  <c r="AK18" i="559"/>
  <c r="AH18" i="559"/>
  <c r="AF18" i="559"/>
  <c r="AB18" i="559"/>
  <c r="Z18" i="559"/>
  <c r="CR17" i="559"/>
  <c r="CJ17" i="559"/>
  <c r="CD17" i="559"/>
  <c r="BW17" i="559"/>
  <c r="BV17" i="559"/>
  <c r="BX17" i="559"/>
  <c r="BR17" i="559"/>
  <c r="BQ17" i="559"/>
  <c r="BP17" i="559"/>
  <c r="BL17" i="559"/>
  <c r="BJ17" i="559"/>
  <c r="BE17" i="559"/>
  <c r="BD17" i="559"/>
  <c r="BF17" i="559"/>
  <c r="AZ17" i="559"/>
  <c r="AW17" i="559"/>
  <c r="CS17" i="559"/>
  <c r="CV17" i="559"/>
  <c r="AT17" i="559"/>
  <c r="AR17" i="559"/>
  <c r="AM17" i="559"/>
  <c r="AL17" i="559"/>
  <c r="AN17" i="559"/>
  <c r="AH17" i="559"/>
  <c r="AF17" i="559"/>
  <c r="AB17" i="559"/>
  <c r="Z17" i="559"/>
  <c r="CV16" i="559"/>
  <c r="CT16" i="559"/>
  <c r="CJ16" i="559"/>
  <c r="CD16" i="559"/>
  <c r="BX16" i="559"/>
  <c r="BW16" i="559"/>
  <c r="BV16" i="559"/>
  <c r="BR16" i="559"/>
  <c r="BQ16" i="559"/>
  <c r="BP16" i="559"/>
  <c r="BL16" i="559"/>
  <c r="BJ16" i="559"/>
  <c r="BF16" i="559"/>
  <c r="BE16" i="559"/>
  <c r="BD16" i="559"/>
  <c r="AZ16" i="559"/>
  <c r="AX16" i="559"/>
  <c r="AW16" i="559"/>
  <c r="AT16" i="559"/>
  <c r="AS16" i="559"/>
  <c r="AR16" i="559"/>
  <c r="AN16" i="559"/>
  <c r="AL16" i="559"/>
  <c r="AH16" i="559"/>
  <c r="AF16" i="559"/>
  <c r="AB16" i="559"/>
  <c r="Z16" i="559"/>
  <c r="CU14" i="559"/>
  <c r="CR14" i="559"/>
  <c r="BW14" i="559"/>
  <c r="BU14" i="559"/>
  <c r="BX14" i="559"/>
  <c r="BQ14" i="559"/>
  <c r="BO14" i="559"/>
  <c r="BR14" i="559"/>
  <c r="BL14" i="559"/>
  <c r="BJ14" i="559"/>
  <c r="BI14" i="559"/>
  <c r="BF14" i="559"/>
  <c r="BE14" i="559"/>
  <c r="BD14" i="559"/>
  <c r="BC14" i="559"/>
  <c r="AW14" i="559"/>
  <c r="AQ14" i="559"/>
  <c r="AR14" i="559"/>
  <c r="AK14" i="559"/>
  <c r="AL14" i="559"/>
  <c r="AE14" i="559"/>
  <c r="AF14" i="559"/>
  <c r="Y14" i="559"/>
  <c r="CS14" i="559"/>
  <c r="CT14" i="559"/>
  <c r="W14" i="559"/>
  <c r="CU13" i="559"/>
  <c r="CR13" i="559"/>
  <c r="BV13" i="559"/>
  <c r="BU13" i="559"/>
  <c r="BP13" i="559"/>
  <c r="BO13" i="559"/>
  <c r="BJ13" i="559"/>
  <c r="BI13" i="559"/>
  <c r="BD13" i="559"/>
  <c r="BC13" i="559"/>
  <c r="AX13" i="559"/>
  <c r="AW13" i="559"/>
  <c r="AQ13" i="559"/>
  <c r="AR13" i="559"/>
  <c r="AK13" i="559"/>
  <c r="AL13" i="559"/>
  <c r="AE13" i="559"/>
  <c r="AF13" i="559"/>
  <c r="Y13" i="559"/>
  <c r="Z13" i="559"/>
  <c r="W13" i="559"/>
  <c r="CU12" i="559"/>
  <c r="CR12" i="559"/>
  <c r="CB12" i="559"/>
  <c r="BU12" i="559"/>
  <c r="BP12" i="559"/>
  <c r="BO12" i="559"/>
  <c r="BJ12" i="559"/>
  <c r="BI12" i="559"/>
  <c r="BD12" i="559"/>
  <c r="BC12" i="559"/>
  <c r="AX12" i="559"/>
  <c r="AW12" i="559"/>
  <c r="AQ12" i="559"/>
  <c r="AK12" i="559"/>
  <c r="AL12" i="559"/>
  <c r="AE12" i="559"/>
  <c r="AF12" i="559"/>
  <c r="Y12" i="559"/>
  <c r="Z12" i="559"/>
  <c r="W12" i="559"/>
  <c r="CU11" i="559"/>
  <c r="CR11" i="559"/>
  <c r="CM11" i="559"/>
  <c r="CJ11" i="559"/>
  <c r="CJ24" i="559"/>
  <c r="BU11" i="559"/>
  <c r="BV11" i="559"/>
  <c r="BO11" i="559"/>
  <c r="BI11" i="559"/>
  <c r="BC11" i="559"/>
  <c r="AW11" i="559"/>
  <c r="AQ11" i="559"/>
  <c r="AR11" i="559"/>
  <c r="AK11" i="559"/>
  <c r="AF11" i="559"/>
  <c r="AE11" i="559"/>
  <c r="Y11" i="559"/>
  <c r="CS11" i="559"/>
  <c r="W11" i="559"/>
  <c r="CU10" i="559"/>
  <c r="CS10" i="559"/>
  <c r="CR10" i="559"/>
  <c r="CT10" i="559"/>
  <c r="CV10" i="559"/>
  <c r="CC10" i="559"/>
  <c r="BW10" i="559"/>
  <c r="BV10" i="559"/>
  <c r="BX10" i="559"/>
  <c r="BR10" i="559"/>
  <c r="BQ10" i="559"/>
  <c r="BP10" i="559"/>
  <c r="BK10" i="559"/>
  <c r="BJ10" i="559"/>
  <c r="BE10" i="559"/>
  <c r="BD10" i="559"/>
  <c r="AY10" i="559"/>
  <c r="AX10" i="559"/>
  <c r="AT10" i="559"/>
  <c r="AS10" i="559"/>
  <c r="AR10" i="559"/>
  <c r="AM10" i="559"/>
  <c r="AL10" i="559"/>
  <c r="AN10" i="559"/>
  <c r="AH10" i="559"/>
  <c r="AF10" i="559"/>
  <c r="AB10" i="559"/>
  <c r="Z10" i="559"/>
  <c r="CU9" i="559"/>
  <c r="CS9" i="559"/>
  <c r="CR9" i="559"/>
  <c r="CT9" i="559"/>
  <c r="CV9" i="559"/>
  <c r="CO9" i="559"/>
  <c r="CB9" i="559"/>
  <c r="BW9" i="559"/>
  <c r="BX9" i="559"/>
  <c r="BV9" i="559"/>
  <c r="BR9" i="559"/>
  <c r="BQ9" i="559"/>
  <c r="BK9" i="559"/>
  <c r="BF9" i="559"/>
  <c r="BE9" i="559"/>
  <c r="BD9" i="559"/>
  <c r="AZ9" i="559"/>
  <c r="AY9" i="559"/>
  <c r="AX9" i="559"/>
  <c r="AS9" i="559"/>
  <c r="AR9" i="559"/>
  <c r="AM9" i="559"/>
  <c r="AL9" i="559"/>
  <c r="AG9" i="559"/>
  <c r="AF9" i="559"/>
  <c r="AB9" i="559"/>
  <c r="Z9" i="559"/>
  <c r="CU8" i="559"/>
  <c r="CR8" i="559"/>
  <c r="CP8" i="559"/>
  <c r="CN8" i="559"/>
  <c r="CH8" i="559"/>
  <c r="CB8" i="559"/>
  <c r="BW8" i="559"/>
  <c r="BU8" i="559"/>
  <c r="BV8" i="559"/>
  <c r="BR8" i="559"/>
  <c r="BQ8" i="559"/>
  <c r="BP8" i="559"/>
  <c r="BL8" i="559"/>
  <c r="BJ8" i="559"/>
  <c r="BF8" i="559"/>
  <c r="BE8" i="559"/>
  <c r="BD8" i="559"/>
  <c r="AZ8" i="559"/>
  <c r="AY8" i="559"/>
  <c r="AX8" i="559"/>
  <c r="AT8" i="559"/>
  <c r="AR8" i="559"/>
  <c r="AN8" i="559"/>
  <c r="AL8" i="559"/>
  <c r="AG8" i="559"/>
  <c r="AF8" i="559"/>
  <c r="AA8" i="559"/>
  <c r="Z8" i="559"/>
  <c r="AX9" i="564"/>
  <c r="AZ9" i="564"/>
  <c r="BC9" i="564"/>
  <c r="AH10" i="561"/>
  <c r="CT9" i="561"/>
  <c r="CW13" i="560"/>
  <c r="BV24" i="559"/>
  <c r="CS8" i="559"/>
  <c r="CS12" i="559"/>
  <c r="CT12" i="559"/>
  <c r="AT13" i="559"/>
  <c r="CS13" i="559"/>
  <c r="CT13" i="559"/>
  <c r="AZ19" i="559"/>
  <c r="Z14" i="559"/>
  <c r="BP14" i="559"/>
  <c r="BV14" i="559"/>
  <c r="AX17" i="559"/>
  <c r="AX25" i="559"/>
  <c r="AF19" i="559"/>
  <c r="AH19" i="559"/>
  <c r="AT19" i="559"/>
  <c r="BR19" i="559"/>
  <c r="BX19" i="559"/>
  <c r="CS19" i="559"/>
  <c r="AZ22" i="559"/>
  <c r="BD9" i="564"/>
  <c r="BF9" i="564"/>
  <c r="BI9" i="564"/>
  <c r="CV8" i="559"/>
  <c r="CV24" i="559"/>
  <c r="CT8" i="559"/>
  <c r="BL9" i="564"/>
  <c r="BJ9" i="564"/>
  <c r="BO9" i="564"/>
  <c r="CT19" i="558"/>
  <c r="CV19" i="558"/>
  <c r="CN19" i="558"/>
  <c r="CP19" i="558"/>
  <c r="BD19" i="558"/>
  <c r="BF19" i="558"/>
  <c r="AR19" i="558"/>
  <c r="AT19" i="558"/>
  <c r="BV18" i="558"/>
  <c r="BX18" i="558"/>
  <c r="BD18" i="558"/>
  <c r="BF18" i="558"/>
  <c r="AL18" i="558"/>
  <c r="AN18" i="558"/>
  <c r="CT17" i="558"/>
  <c r="CV17" i="558"/>
  <c r="CN17" i="558"/>
  <c r="CP17" i="558"/>
  <c r="CH17" i="558"/>
  <c r="CJ17" i="558"/>
  <c r="BV17" i="558"/>
  <c r="BX17" i="558"/>
  <c r="BP17" i="558"/>
  <c r="BR17" i="558"/>
  <c r="BJ17" i="558"/>
  <c r="BL17" i="558"/>
  <c r="BD17" i="558"/>
  <c r="BF17" i="558"/>
  <c r="AX17" i="558"/>
  <c r="AZ17" i="558"/>
  <c r="AR17" i="558"/>
  <c r="AT17" i="558"/>
  <c r="AL17" i="558"/>
  <c r="AN17" i="558"/>
  <c r="AF17" i="558"/>
  <c r="AH17" i="558"/>
  <c r="CT16" i="558"/>
  <c r="CV16" i="558"/>
  <c r="CN16" i="558"/>
  <c r="CP16" i="558"/>
  <c r="CH16" i="558"/>
  <c r="BX16" i="558"/>
  <c r="BV16" i="558"/>
  <c r="BF16" i="558"/>
  <c r="BD16" i="558"/>
  <c r="AT16" i="558"/>
  <c r="AR16" i="558"/>
  <c r="AN16" i="558"/>
  <c r="AL16" i="558"/>
  <c r="AH16" i="558"/>
  <c r="AF16" i="558"/>
  <c r="CV15" i="558"/>
  <c r="CT15" i="558"/>
  <c r="CP15" i="558"/>
  <c r="CN15" i="558"/>
  <c r="CJ15" i="558"/>
  <c r="CH15" i="558"/>
  <c r="CD15" i="558"/>
  <c r="CB15" i="558"/>
  <c r="BX15" i="558"/>
  <c r="BV15" i="558"/>
  <c r="BR15" i="558"/>
  <c r="BP15" i="558"/>
  <c r="BL15" i="558"/>
  <c r="BJ15" i="558"/>
  <c r="BF15" i="558"/>
  <c r="BD15" i="558"/>
  <c r="AT15" i="558"/>
  <c r="AR15" i="558"/>
  <c r="AN15" i="558"/>
  <c r="AL15" i="558"/>
  <c r="AH15" i="558"/>
  <c r="AF15" i="558"/>
  <c r="CS14" i="558"/>
  <c r="CR14" i="558"/>
  <c r="CP14" i="558"/>
  <c r="CN14" i="558"/>
  <c r="BF14" i="558"/>
  <c r="BD14" i="558"/>
  <c r="AT14" i="558"/>
  <c r="AR14" i="558"/>
  <c r="AN14" i="558"/>
  <c r="AL14" i="558"/>
  <c r="AH14" i="558"/>
  <c r="AF14" i="558"/>
  <c r="CS13" i="558"/>
  <c r="CT13" i="558"/>
  <c r="CR13" i="558"/>
  <c r="CP13" i="558"/>
  <c r="CN13" i="558"/>
  <c r="BF13" i="558"/>
  <c r="BD13" i="558"/>
  <c r="AT13" i="558"/>
  <c r="AR13" i="558"/>
  <c r="AN13" i="558"/>
  <c r="AL13" i="558"/>
  <c r="AH13" i="558"/>
  <c r="AF13" i="558"/>
  <c r="BX12" i="558"/>
  <c r="BF12" i="558"/>
  <c r="AH12" i="558"/>
  <c r="AF12" i="558"/>
  <c r="CR10" i="558"/>
  <c r="CT10" i="558"/>
  <c r="CV10" i="558"/>
  <c r="CN10" i="558"/>
  <c r="CP10" i="558"/>
  <c r="CJ10" i="558"/>
  <c r="CH10" i="558"/>
  <c r="CD10" i="558"/>
  <c r="CB10" i="558"/>
  <c r="BV10" i="558"/>
  <c r="BX10" i="558"/>
  <c r="BR10" i="558"/>
  <c r="BP10" i="558"/>
  <c r="BL10" i="558"/>
  <c r="BJ10" i="558"/>
  <c r="BF10" i="558"/>
  <c r="BD10" i="558"/>
  <c r="AZ10" i="558"/>
  <c r="AX10" i="558"/>
  <c r="AT10" i="558"/>
  <c r="AR10" i="558"/>
  <c r="AN10" i="558"/>
  <c r="AL10" i="558"/>
  <c r="AH10" i="558"/>
  <c r="AF10" i="558"/>
  <c r="AB10" i="558"/>
  <c r="Z10" i="558"/>
  <c r="CS9" i="558"/>
  <c r="CR9" i="558"/>
  <c r="CT9" i="558"/>
  <c r="CV9" i="558"/>
  <c r="CN9" i="558"/>
  <c r="CP9" i="558"/>
  <c r="CJ9" i="558"/>
  <c r="CH9" i="558"/>
  <c r="CB9" i="558"/>
  <c r="CD9" i="558"/>
  <c r="BX9" i="558"/>
  <c r="BV9" i="558"/>
  <c r="BP9" i="558"/>
  <c r="BR9" i="558"/>
  <c r="BL9" i="558"/>
  <c r="BJ9" i="558"/>
  <c r="BD9" i="558"/>
  <c r="BF9" i="558"/>
  <c r="AZ9" i="558"/>
  <c r="AX9" i="558"/>
  <c r="AR9" i="558"/>
  <c r="AT9" i="558"/>
  <c r="AN9" i="558"/>
  <c r="AL9" i="558"/>
  <c r="AF9" i="558"/>
  <c r="AH9" i="558"/>
  <c r="AB9" i="558"/>
  <c r="Z9" i="558"/>
  <c r="CS8" i="558"/>
  <c r="CR8" i="558"/>
  <c r="CT8" i="558"/>
  <c r="CV8" i="558"/>
  <c r="CN8" i="558"/>
  <c r="CP8" i="558"/>
  <c r="CJ8" i="558"/>
  <c r="CH8" i="558"/>
  <c r="CB8" i="558"/>
  <c r="CD8" i="558"/>
  <c r="BX8" i="558"/>
  <c r="BV8" i="558"/>
  <c r="BP8" i="558"/>
  <c r="BR8" i="558"/>
  <c r="BL8" i="558"/>
  <c r="BJ8" i="558"/>
  <c r="BD8" i="558"/>
  <c r="BF8" i="558"/>
  <c r="AZ8" i="558"/>
  <c r="AX8" i="558"/>
  <c r="AR8" i="558"/>
  <c r="AT8" i="558"/>
  <c r="AN8" i="558"/>
  <c r="AL8" i="558"/>
  <c r="AF8" i="558"/>
  <c r="AH8" i="558"/>
  <c r="AB8" i="558"/>
  <c r="Z8" i="558"/>
  <c r="CT19" i="557"/>
  <c r="CV19" i="557"/>
  <c r="CN19" i="557"/>
  <c r="CP19" i="557"/>
  <c r="CJ19" i="557"/>
  <c r="CH19" i="557"/>
  <c r="CD19" i="557"/>
  <c r="CB19" i="557"/>
  <c r="BV19" i="557"/>
  <c r="BX19" i="557"/>
  <c r="BR19" i="557"/>
  <c r="BP19" i="557"/>
  <c r="BL19" i="557"/>
  <c r="BJ19" i="557"/>
  <c r="BD19" i="557"/>
  <c r="BF19" i="557"/>
  <c r="AZ19" i="557"/>
  <c r="AX19" i="557"/>
  <c r="AT19" i="557"/>
  <c r="AR19" i="557"/>
  <c r="AL19" i="557"/>
  <c r="AN19" i="557"/>
  <c r="CS18" i="557"/>
  <c r="CT18" i="557"/>
  <c r="CR18" i="557"/>
  <c r="CP18" i="557"/>
  <c r="CN18" i="557"/>
  <c r="CJ18" i="557"/>
  <c r="CH18" i="557"/>
  <c r="CD18" i="557"/>
  <c r="CB18" i="557"/>
  <c r="BX18" i="557"/>
  <c r="BV18" i="557"/>
  <c r="BR18" i="557"/>
  <c r="BP18" i="557"/>
  <c r="BL18" i="557"/>
  <c r="BJ18" i="557"/>
  <c r="BD18" i="557"/>
  <c r="AX18" i="557"/>
  <c r="AR18" i="557"/>
  <c r="AN18" i="557"/>
  <c r="AH18" i="557"/>
  <c r="Z18" i="557"/>
  <c r="CS17" i="557"/>
  <c r="CR17" i="557"/>
  <c r="CT17" i="557"/>
  <c r="CP17" i="557"/>
  <c r="CN17" i="557"/>
  <c r="CJ17" i="557"/>
  <c r="CH17" i="557"/>
  <c r="CD17" i="557"/>
  <c r="CB17" i="557"/>
  <c r="BX17" i="557"/>
  <c r="BV17" i="557"/>
  <c r="BR17" i="557"/>
  <c r="BP17" i="557"/>
  <c r="BL17" i="557"/>
  <c r="BJ17" i="557"/>
  <c r="CS16" i="557"/>
  <c r="CT16" i="557"/>
  <c r="CR16" i="557"/>
  <c r="CP16" i="557"/>
  <c r="CN16" i="557"/>
  <c r="CJ16" i="557"/>
  <c r="CH16" i="557"/>
  <c r="CD16" i="557"/>
  <c r="CB16" i="557"/>
  <c r="BX16" i="557"/>
  <c r="BV16" i="557"/>
  <c r="BR16" i="557"/>
  <c r="BP16" i="557"/>
  <c r="BL16" i="557"/>
  <c r="BJ16" i="557"/>
  <c r="CV15" i="557"/>
  <c r="CT15" i="557"/>
  <c r="CP15" i="557"/>
  <c r="CN15" i="557"/>
  <c r="CJ15" i="557"/>
  <c r="CH15" i="557"/>
  <c r="CD15" i="557"/>
  <c r="CB15" i="557"/>
  <c r="BX15" i="557"/>
  <c r="BV15" i="557"/>
  <c r="BR15" i="557"/>
  <c r="BL15" i="557"/>
  <c r="BJ15" i="557"/>
  <c r="BD15" i="557"/>
  <c r="BF15" i="557"/>
  <c r="AZ15" i="557"/>
  <c r="AX15" i="557"/>
  <c r="AR15" i="557"/>
  <c r="AT15" i="557"/>
  <c r="AN15" i="557"/>
  <c r="AL15" i="557"/>
  <c r="AF15" i="557"/>
  <c r="AH15" i="557"/>
  <c r="AB15" i="557"/>
  <c r="Z15" i="557"/>
  <c r="CT14" i="557"/>
  <c r="CV14" i="557"/>
  <c r="CP14" i="557"/>
  <c r="CN14" i="557"/>
  <c r="CJ14" i="557"/>
  <c r="CH14" i="557"/>
  <c r="CD14" i="557"/>
  <c r="CB14" i="557"/>
  <c r="BV14" i="557"/>
  <c r="BX14" i="557"/>
  <c r="BR14" i="557"/>
  <c r="BP14" i="557"/>
  <c r="BL14" i="557"/>
  <c r="BJ14" i="557"/>
  <c r="BD14" i="557"/>
  <c r="BF14" i="557"/>
  <c r="AZ14" i="557"/>
  <c r="AX14" i="557"/>
  <c r="AT14" i="557"/>
  <c r="AR14" i="557"/>
  <c r="AL14" i="557"/>
  <c r="AN14" i="557"/>
  <c r="AH14" i="557"/>
  <c r="AF14" i="557"/>
  <c r="AB14" i="557"/>
  <c r="Z14" i="557"/>
  <c r="CT13" i="557"/>
  <c r="CV13" i="557"/>
  <c r="CN13" i="557"/>
  <c r="CP13" i="557"/>
  <c r="CJ13" i="557"/>
  <c r="CH13" i="557"/>
  <c r="CD13" i="557"/>
  <c r="CB13" i="557"/>
  <c r="BV13" i="557"/>
  <c r="BX13" i="557"/>
  <c r="BR13" i="557"/>
  <c r="BP13" i="557"/>
  <c r="BL13" i="557"/>
  <c r="BJ13" i="557"/>
  <c r="BD13" i="557"/>
  <c r="BF13" i="557"/>
  <c r="AZ13" i="557"/>
  <c r="AX13" i="557"/>
  <c r="AR13" i="557"/>
  <c r="AT13" i="557"/>
  <c r="AN13" i="557"/>
  <c r="AL13" i="557"/>
  <c r="AH13" i="557"/>
  <c r="AF13" i="557"/>
  <c r="AB13" i="557"/>
  <c r="Z13" i="557"/>
  <c r="CT11" i="557"/>
  <c r="CV11" i="557"/>
  <c r="CR11" i="557"/>
  <c r="CP11" i="557"/>
  <c r="CN11" i="557"/>
  <c r="CJ11" i="557"/>
  <c r="CH11" i="557"/>
  <c r="CD11" i="557"/>
  <c r="CB11" i="557"/>
  <c r="BV11" i="557"/>
  <c r="BP11" i="557"/>
  <c r="BL11" i="557"/>
  <c r="BD11" i="557"/>
  <c r="BF11" i="557"/>
  <c r="AX11" i="557"/>
  <c r="AZ11" i="557"/>
  <c r="AR11" i="557"/>
  <c r="AT11" i="557"/>
  <c r="AL11" i="557"/>
  <c r="AN11" i="557"/>
  <c r="AF11" i="557"/>
  <c r="AH11" i="557"/>
  <c r="Z11" i="557"/>
  <c r="AB11" i="557"/>
  <c r="CS10" i="557"/>
  <c r="CR10" i="557"/>
  <c r="CT10" i="557"/>
  <c r="CH10" i="557"/>
  <c r="CJ10" i="557"/>
  <c r="CB10" i="557"/>
  <c r="CD10" i="557"/>
  <c r="BV10" i="557"/>
  <c r="BX10" i="557"/>
  <c r="BP10" i="557"/>
  <c r="BR10" i="557"/>
  <c r="BJ10" i="557"/>
  <c r="BL10" i="557"/>
  <c r="BD10" i="557"/>
  <c r="BF10" i="557"/>
  <c r="AX10" i="557"/>
  <c r="AZ10" i="557"/>
  <c r="AR10" i="557"/>
  <c r="AT10" i="557"/>
  <c r="AL10" i="557"/>
  <c r="AN10" i="557"/>
  <c r="AF10" i="557"/>
  <c r="AH10" i="557"/>
  <c r="AB10" i="557"/>
  <c r="Z10" i="557"/>
  <c r="CN9" i="557"/>
  <c r="CP9" i="557"/>
  <c r="CH9" i="557"/>
  <c r="CJ9" i="557"/>
  <c r="CB9" i="557"/>
  <c r="CD9" i="557"/>
  <c r="CA9" i="557"/>
  <c r="CS9" i="557"/>
  <c r="BZ9" i="557"/>
  <c r="CR9" i="557"/>
  <c r="BV9" i="557"/>
  <c r="BX9" i="557"/>
  <c r="BU9" i="557"/>
  <c r="BR9" i="557"/>
  <c r="BP9" i="557"/>
  <c r="BL9" i="557"/>
  <c r="BJ9" i="557"/>
  <c r="BF9" i="557"/>
  <c r="BD9" i="557"/>
  <c r="AZ9" i="557"/>
  <c r="AX9" i="557"/>
  <c r="AT9" i="557"/>
  <c r="AR9" i="557"/>
  <c r="AN9" i="557"/>
  <c r="AL9" i="557"/>
  <c r="AH9" i="557"/>
  <c r="AF9" i="557"/>
  <c r="AB9" i="557"/>
  <c r="Z9" i="557"/>
  <c r="CS8" i="557"/>
  <c r="CT8" i="557"/>
  <c r="CR8" i="557"/>
  <c r="CP8" i="557"/>
  <c r="CN8" i="557"/>
  <c r="CJ8" i="557"/>
  <c r="CH8" i="557"/>
  <c r="CD8" i="557"/>
  <c r="CB8" i="557"/>
  <c r="BX8" i="557"/>
  <c r="BV8" i="557"/>
  <c r="BR8" i="557"/>
  <c r="BP8" i="557"/>
  <c r="BL8" i="557"/>
  <c r="BJ8" i="557"/>
  <c r="BF8" i="557"/>
  <c r="BD8" i="557"/>
  <c r="AZ8" i="557"/>
  <c r="AX8" i="557"/>
  <c r="AT8" i="557"/>
  <c r="AR8" i="557"/>
  <c r="AN8" i="557"/>
  <c r="AL8" i="557"/>
  <c r="AH8" i="557"/>
  <c r="AF8" i="557"/>
  <c r="AB8" i="557"/>
  <c r="Z8" i="557"/>
  <c r="CV24" i="556"/>
  <c r="CW24" i="556"/>
  <c r="CY24" i="556"/>
  <c r="CU24" i="556"/>
  <c r="CS24" i="556"/>
  <c r="CQ24" i="556"/>
  <c r="CU23" i="556"/>
  <c r="CW23" i="556"/>
  <c r="CY23" i="556"/>
  <c r="CR23" i="556"/>
  <c r="CS23" i="556"/>
  <c r="CQ23" i="556"/>
  <c r="CL23" i="556"/>
  <c r="CK23" i="556"/>
  <c r="CM23" i="556"/>
  <c r="CF23" i="556"/>
  <c r="CE23" i="556"/>
  <c r="CG23" i="556"/>
  <c r="BZ23" i="556"/>
  <c r="BY23" i="556"/>
  <c r="CA23" i="556"/>
  <c r="BT23" i="556"/>
  <c r="BU23" i="556"/>
  <c r="BS23" i="556"/>
  <c r="BO23" i="556"/>
  <c r="BN23" i="556"/>
  <c r="CS22" i="556"/>
  <c r="CR22" i="556"/>
  <c r="CQ22" i="556"/>
  <c r="CO22" i="556"/>
  <c r="CU22" i="556"/>
  <c r="CW22" i="556"/>
  <c r="AX22" i="556"/>
  <c r="CV21" i="556"/>
  <c r="CU21" i="556"/>
  <c r="CW21" i="556"/>
  <c r="CY21" i="556"/>
  <c r="BN21" i="556"/>
  <c r="BM21" i="556"/>
  <c r="CX20" i="556"/>
  <c r="CU20" i="556"/>
  <c r="CW20" i="556"/>
  <c r="CY20" i="556"/>
  <c r="CD20" i="556"/>
  <c r="CC20" i="556"/>
  <c r="CE20" i="556"/>
  <c r="BZ20" i="556"/>
  <c r="BY20" i="556"/>
  <c r="CA20" i="556"/>
  <c r="BT20" i="556"/>
  <c r="BS20" i="556"/>
  <c r="BU20" i="556"/>
  <c r="BO20" i="556"/>
  <c r="BN20" i="556"/>
  <c r="BM20" i="556"/>
  <c r="X20" i="556"/>
  <c r="Z20" i="556"/>
  <c r="CS19" i="556"/>
  <c r="CQ19" i="556"/>
  <c r="CW17" i="556"/>
  <c r="CY17" i="556"/>
  <c r="CQ17" i="556"/>
  <c r="CS17" i="556"/>
  <c r="BY17" i="556"/>
  <c r="CA17" i="556"/>
  <c r="CU12" i="556"/>
  <c r="CW12" i="556"/>
  <c r="CR12" i="556"/>
  <c r="CS12" i="556"/>
  <c r="CQ12" i="556"/>
  <c r="CM12" i="556"/>
  <c r="CL12" i="556"/>
  <c r="CK12" i="556"/>
  <c r="CF12" i="556"/>
  <c r="CE12" i="556"/>
  <c r="CG12" i="556"/>
  <c r="BZ12" i="556"/>
  <c r="BY12" i="556"/>
  <c r="CA12" i="556"/>
  <c r="BT12" i="556"/>
  <c r="BU12" i="556"/>
  <c r="BS12" i="556"/>
  <c r="BO12" i="556"/>
  <c r="BN12" i="556"/>
  <c r="BM12" i="556"/>
  <c r="CX11" i="556"/>
  <c r="CW11" i="556"/>
  <c r="CU11" i="556"/>
  <c r="CL11" i="556"/>
  <c r="CK11" i="556"/>
  <c r="CM11" i="556"/>
  <c r="CX10" i="556"/>
  <c r="CU10" i="556"/>
  <c r="CW10" i="556"/>
  <c r="CY10" i="556"/>
  <c r="CQ10" i="556"/>
  <c r="CK10" i="556"/>
  <c r="BN10" i="556"/>
  <c r="BO10" i="556"/>
  <c r="CX9" i="556"/>
  <c r="CW9" i="556"/>
  <c r="CU9" i="556"/>
  <c r="CM9" i="556"/>
  <c r="CL9" i="556"/>
  <c r="CK9" i="556"/>
  <c r="CX8" i="556"/>
  <c r="CW8" i="556"/>
  <c r="CY8" i="556"/>
  <c r="CU8" i="556"/>
  <c r="CL8" i="556"/>
  <c r="CM8" i="556"/>
  <c r="BN8" i="556"/>
  <c r="BO8" i="556"/>
  <c r="CX7" i="556"/>
  <c r="CW7" i="556"/>
  <c r="CU7" i="556"/>
  <c r="CL7" i="556"/>
  <c r="CK7" i="556"/>
  <c r="CM7" i="556"/>
  <c r="BR9" i="564"/>
  <c r="BP9" i="564"/>
  <c r="BU9" i="564"/>
  <c r="CV14" i="558"/>
  <c r="CV13" i="558"/>
  <c r="CT14" i="558"/>
  <c r="CV10" i="557"/>
  <c r="CT9" i="557"/>
  <c r="CV9" i="557"/>
  <c r="CV8" i="557"/>
  <c r="CX12" i="556"/>
  <c r="CY12" i="556"/>
  <c r="BX9" i="564"/>
  <c r="BV9" i="564"/>
  <c r="BC43" i="555"/>
  <c r="BC40" i="555"/>
  <c r="BE37" i="555"/>
  <c r="BE38" i="555"/>
  <c r="CU22" i="555"/>
  <c r="CT22" i="555"/>
  <c r="CV22" i="555"/>
  <c r="CO22" i="555"/>
  <c r="CN22" i="555"/>
  <c r="CP22" i="555"/>
  <c r="CJ22" i="555"/>
  <c r="CH22" i="555"/>
  <c r="CD22" i="555"/>
  <c r="CB22" i="555"/>
  <c r="BV22" i="555"/>
  <c r="BX22" i="555"/>
  <c r="BR22" i="555"/>
  <c r="BP22" i="555"/>
  <c r="BL22" i="555"/>
  <c r="BJ22" i="555"/>
  <c r="BD22" i="555"/>
  <c r="BF22" i="555"/>
  <c r="AZ22" i="555"/>
  <c r="AX22" i="555"/>
  <c r="AT22" i="555"/>
  <c r="AR22" i="555"/>
  <c r="AM22" i="555"/>
  <c r="AL22" i="555"/>
  <c r="AN22" i="555"/>
  <c r="AH22" i="555"/>
  <c r="AF22" i="555"/>
  <c r="AB22" i="555"/>
  <c r="Z22" i="555"/>
  <c r="CV21" i="555"/>
  <c r="CT21" i="555"/>
  <c r="CO21" i="555"/>
  <c r="CN21" i="555"/>
  <c r="CP21" i="555"/>
  <c r="CI21" i="555"/>
  <c r="CH21" i="555"/>
  <c r="CJ21" i="555"/>
  <c r="CD21" i="555"/>
  <c r="CC21" i="555"/>
  <c r="CB21" i="555"/>
  <c r="BW21" i="555"/>
  <c r="BV21" i="555"/>
  <c r="BX21" i="555"/>
  <c r="BQ21" i="555"/>
  <c r="BP21" i="555"/>
  <c r="BR21" i="555"/>
  <c r="BK21" i="555"/>
  <c r="BH21" i="555"/>
  <c r="BJ21" i="555"/>
  <c r="BL21" i="555"/>
  <c r="BE21" i="555"/>
  <c r="BB21" i="555"/>
  <c r="BD21" i="555"/>
  <c r="BF21" i="555"/>
  <c r="AY21" i="555"/>
  <c r="AV21" i="555"/>
  <c r="AX21" i="555"/>
  <c r="AZ21" i="555"/>
  <c r="AS21" i="555"/>
  <c r="AR21" i="555"/>
  <c r="AT21" i="555"/>
  <c r="AN21" i="555"/>
  <c r="AM21" i="555"/>
  <c r="AL21" i="555"/>
  <c r="AG21" i="555"/>
  <c r="AD21" i="555"/>
  <c r="AF21" i="555"/>
  <c r="AH21" i="555"/>
  <c r="AB21" i="555"/>
  <c r="AA21" i="555"/>
  <c r="CT20" i="555"/>
  <c r="CV20" i="555"/>
  <c r="CO20" i="555"/>
  <c r="CM20" i="555"/>
  <c r="CI20" i="555"/>
  <c r="CC20" i="555"/>
  <c r="BW20" i="555"/>
  <c r="BQ20" i="555"/>
  <c r="BK20" i="555"/>
  <c r="BE20" i="555"/>
  <c r="AY20" i="555"/>
  <c r="AS20" i="555"/>
  <c r="AR20" i="555"/>
  <c r="AT20" i="555"/>
  <c r="AP20" i="555"/>
  <c r="AV20" i="555"/>
  <c r="AM20" i="555"/>
  <c r="AG20" i="555"/>
  <c r="AD20" i="555"/>
  <c r="AF20" i="555"/>
  <c r="AH20" i="555"/>
  <c r="AA20" i="555"/>
  <c r="Z20" i="555"/>
  <c r="AB20" i="555"/>
  <c r="CV19" i="555"/>
  <c r="CT19" i="555"/>
  <c r="CO19" i="555"/>
  <c r="CI19" i="555"/>
  <c r="CG19" i="555"/>
  <c r="CM19" i="555"/>
  <c r="CC19" i="555"/>
  <c r="CA19" i="555"/>
  <c r="BW19" i="555"/>
  <c r="BQ19" i="555"/>
  <c r="BK19" i="555"/>
  <c r="BE19" i="555"/>
  <c r="AY19" i="555"/>
  <c r="AS19" i="555"/>
  <c r="AM19" i="555"/>
  <c r="AG19" i="555"/>
  <c r="AD19" i="555"/>
  <c r="AF19" i="555"/>
  <c r="AH19" i="555"/>
  <c r="AA19" i="555"/>
  <c r="Z19" i="555"/>
  <c r="AB19" i="555"/>
  <c r="CV18" i="555"/>
  <c r="CT18" i="555"/>
  <c r="CO18" i="555"/>
  <c r="CC18" i="555"/>
  <c r="AS18" i="555"/>
  <c r="AM18" i="555"/>
  <c r="AG18" i="555"/>
  <c r="AE18" i="555"/>
  <c r="AK18" i="555"/>
  <c r="AA18" i="555"/>
  <c r="Z18" i="555"/>
  <c r="AB18" i="555"/>
  <c r="X18" i="555"/>
  <c r="AD18" i="555"/>
  <c r="AJ18" i="555"/>
  <c r="AP18" i="555"/>
  <c r="AV18" i="555"/>
  <c r="BB18" i="555"/>
  <c r="BH18" i="555"/>
  <c r="BN18" i="555"/>
  <c r="BT18" i="555"/>
  <c r="BZ18" i="555"/>
  <c r="CF18" i="555"/>
  <c r="CL18" i="555"/>
  <c r="O18" i="555"/>
  <c r="BW18" i="555"/>
  <c r="CU16" i="555"/>
  <c r="CT16" i="555"/>
  <c r="CV16" i="555"/>
  <c r="CO16" i="555"/>
  <c r="CN16" i="555"/>
  <c r="CP16" i="555"/>
  <c r="CJ16" i="555"/>
  <c r="CH16" i="555"/>
  <c r="CD16" i="555"/>
  <c r="CB16" i="555"/>
  <c r="BW16" i="555"/>
  <c r="BX16" i="555"/>
  <c r="BV16" i="555"/>
  <c r="BR16" i="555"/>
  <c r="BP16" i="555"/>
  <c r="BL16" i="555"/>
  <c r="BJ16" i="555"/>
  <c r="BF16" i="555"/>
  <c r="BD16" i="555"/>
  <c r="AZ16" i="555"/>
  <c r="AX16" i="555"/>
  <c r="AN16" i="555"/>
  <c r="AL16" i="555"/>
  <c r="AG16" i="555"/>
  <c r="AF16" i="555"/>
  <c r="AH16" i="555"/>
  <c r="AB16" i="555"/>
  <c r="Z16" i="555"/>
  <c r="CP15" i="555"/>
  <c r="CJ15" i="555"/>
  <c r="CH15" i="555"/>
  <c r="CC15" i="555"/>
  <c r="CB15" i="555"/>
  <c r="CD15" i="555"/>
  <c r="BX15" i="555"/>
  <c r="BV15" i="555"/>
  <c r="BR15" i="555"/>
  <c r="BP15" i="555"/>
  <c r="BL15" i="555"/>
  <c r="BJ15" i="555"/>
  <c r="BD15" i="555"/>
  <c r="BF15" i="555"/>
  <c r="AZ15" i="555"/>
  <c r="AX15" i="555"/>
  <c r="AT15" i="555"/>
  <c r="AR15" i="555"/>
  <c r="AM15" i="555"/>
  <c r="AL15" i="555"/>
  <c r="AN15" i="555"/>
  <c r="AH15" i="555"/>
  <c r="AF15" i="555"/>
  <c r="AB15" i="555"/>
  <c r="Z15" i="555"/>
  <c r="CV14" i="555"/>
  <c r="CU14" i="555"/>
  <c r="CT14" i="555"/>
  <c r="CO14" i="555"/>
  <c r="CP14" i="555"/>
  <c r="CN14" i="555"/>
  <c r="CJ14" i="555"/>
  <c r="CH14" i="555"/>
  <c r="CD14" i="555"/>
  <c r="CB14" i="555"/>
  <c r="BW14" i="555"/>
  <c r="BV14" i="555"/>
  <c r="BX14" i="555"/>
  <c r="BR14" i="555"/>
  <c r="BP14" i="555"/>
  <c r="BL14" i="555"/>
  <c r="BJ14" i="555"/>
  <c r="BD14" i="555"/>
  <c r="BF14" i="555"/>
  <c r="AZ14" i="555"/>
  <c r="AX14" i="555"/>
  <c r="AT14" i="555"/>
  <c r="AR14" i="555"/>
  <c r="AN14" i="555"/>
  <c r="AL14" i="555"/>
  <c r="AH14" i="555"/>
  <c r="AF14" i="555"/>
  <c r="AB14" i="555"/>
  <c r="Z14" i="555"/>
  <c r="CU12" i="555"/>
  <c r="CT12" i="555"/>
  <c r="CV12" i="555"/>
  <c r="CP12" i="555"/>
  <c r="CO12" i="555"/>
  <c r="CN12" i="555"/>
  <c r="CJ12" i="555"/>
  <c r="CH12" i="555"/>
  <c r="CD12" i="555"/>
  <c r="CB12" i="555"/>
  <c r="BW12" i="555"/>
  <c r="BX12" i="555"/>
  <c r="BV12" i="555"/>
  <c r="BR12" i="555"/>
  <c r="BP12" i="555"/>
  <c r="BL12" i="555"/>
  <c r="BJ12" i="555"/>
  <c r="BE12" i="555"/>
  <c r="BD12" i="555"/>
  <c r="BF12" i="555"/>
  <c r="BB12" i="555"/>
  <c r="AZ12" i="555"/>
  <c r="AX12" i="555"/>
  <c r="AT12" i="555"/>
  <c r="AR12" i="555"/>
  <c r="AM12" i="555"/>
  <c r="AL12" i="555"/>
  <c r="AN12" i="555"/>
  <c r="AH12" i="555"/>
  <c r="AF12" i="555"/>
  <c r="AB12" i="555"/>
  <c r="Z12" i="555"/>
  <c r="CU11" i="555"/>
  <c r="CT11" i="555"/>
  <c r="CV11" i="555"/>
  <c r="CP11" i="555"/>
  <c r="CO11" i="555"/>
  <c r="CN11" i="555"/>
  <c r="CJ11" i="555"/>
  <c r="CH11" i="555"/>
  <c r="CD11" i="555"/>
  <c r="CB11" i="555"/>
  <c r="BW11" i="555"/>
  <c r="BX11" i="555"/>
  <c r="BV11" i="555"/>
  <c r="BR11" i="555"/>
  <c r="BP11" i="555"/>
  <c r="BL11" i="555"/>
  <c r="BJ11" i="555"/>
  <c r="BF11" i="555"/>
  <c r="BD11" i="555"/>
  <c r="AZ11" i="555"/>
  <c r="AX11" i="555"/>
  <c r="AT11" i="555"/>
  <c r="AR11" i="555"/>
  <c r="AN11" i="555"/>
  <c r="AM11" i="555"/>
  <c r="AL11" i="555"/>
  <c r="AH11" i="555"/>
  <c r="AF11" i="555"/>
  <c r="AB11" i="555"/>
  <c r="Z11" i="555"/>
  <c r="CU10" i="555"/>
  <c r="CV10" i="555"/>
  <c r="CT10" i="555"/>
  <c r="CO10" i="555"/>
  <c r="CN10" i="555"/>
  <c r="CP10" i="555"/>
  <c r="CH10" i="555"/>
  <c r="CJ10" i="555"/>
  <c r="CD10" i="555"/>
  <c r="CB10" i="555"/>
  <c r="BX10" i="555"/>
  <c r="BV10" i="555"/>
  <c r="BR10" i="555"/>
  <c r="BP10" i="555"/>
  <c r="BL10" i="555"/>
  <c r="BJ10" i="555"/>
  <c r="BF10" i="555"/>
  <c r="BD10" i="555"/>
  <c r="AZ10" i="555"/>
  <c r="AX10" i="555"/>
  <c r="AT10" i="555"/>
  <c r="AR10" i="555"/>
  <c r="AN10" i="555"/>
  <c r="AL10" i="555"/>
  <c r="AH10" i="555"/>
  <c r="AF10" i="555"/>
  <c r="AB10" i="555"/>
  <c r="Z10" i="555"/>
  <c r="CU8" i="555"/>
  <c r="CV8" i="555"/>
  <c r="CT8" i="555"/>
  <c r="CP8" i="555"/>
  <c r="CN8" i="555"/>
  <c r="CJ8" i="555"/>
  <c r="CH8" i="555"/>
  <c r="CD8" i="555"/>
  <c r="CB8" i="555"/>
  <c r="BX8" i="555"/>
  <c r="BW8" i="555"/>
  <c r="BV8" i="555"/>
  <c r="BR8" i="555"/>
  <c r="BP8" i="555"/>
  <c r="BL8" i="555"/>
  <c r="BJ8" i="555"/>
  <c r="BE8" i="555"/>
  <c r="BF8" i="555"/>
  <c r="BD8" i="555"/>
  <c r="AZ8" i="555"/>
  <c r="AX8" i="555"/>
  <c r="AT8" i="555"/>
  <c r="AR8" i="555"/>
  <c r="AM8" i="555"/>
  <c r="AL8" i="555"/>
  <c r="AN8" i="555"/>
  <c r="AH8" i="555"/>
  <c r="AF8" i="555"/>
  <c r="AB8" i="555"/>
  <c r="Z8" i="555"/>
  <c r="CU24" i="554"/>
  <c r="CS24" i="554"/>
  <c r="CT24" i="554"/>
  <c r="CR24" i="554"/>
  <c r="CO24" i="554"/>
  <c r="CP24" i="554"/>
  <c r="CM24" i="554"/>
  <c r="CL24" i="554"/>
  <c r="CN24" i="554"/>
  <c r="CI24" i="554"/>
  <c r="CG24" i="554"/>
  <c r="CF24" i="554"/>
  <c r="CH24" i="554"/>
  <c r="CC24" i="554"/>
  <c r="CA24" i="554"/>
  <c r="BZ24" i="554"/>
  <c r="CB24" i="554"/>
  <c r="BW24" i="554"/>
  <c r="BX24" i="554"/>
  <c r="BU24" i="554"/>
  <c r="BT24" i="554"/>
  <c r="BV24" i="554"/>
  <c r="BQ24" i="554"/>
  <c r="BO24" i="554"/>
  <c r="BN24" i="554"/>
  <c r="BP24" i="554"/>
  <c r="BL24" i="554"/>
  <c r="BK24" i="554"/>
  <c r="BI24" i="554"/>
  <c r="BH24" i="554"/>
  <c r="BJ24" i="554"/>
  <c r="BE24" i="554"/>
  <c r="BF24" i="554"/>
  <c r="BD24" i="554"/>
  <c r="AZ24" i="554"/>
  <c r="AY24" i="554"/>
  <c r="AW24" i="554"/>
  <c r="AV24" i="554"/>
  <c r="AX24" i="554"/>
  <c r="AT24" i="554"/>
  <c r="AR24" i="554"/>
  <c r="AL24" i="554"/>
  <c r="AN24" i="554"/>
  <c r="AH24" i="554"/>
  <c r="AF24" i="554"/>
  <c r="AB24" i="554"/>
  <c r="Z24" i="554"/>
  <c r="CU23" i="554"/>
  <c r="CS23" i="554"/>
  <c r="CR23" i="554"/>
  <c r="CT23" i="554"/>
  <c r="CV23" i="554"/>
  <c r="CO23" i="554"/>
  <c r="CN23" i="554"/>
  <c r="CP23" i="554"/>
  <c r="CM23" i="554"/>
  <c r="CL23" i="554"/>
  <c r="CI23" i="554"/>
  <c r="CG23" i="554"/>
  <c r="CH23" i="554"/>
  <c r="CF23" i="554"/>
  <c r="CC23" i="554"/>
  <c r="CB23" i="554"/>
  <c r="CD23" i="554"/>
  <c r="CA23" i="554"/>
  <c r="BZ23" i="554"/>
  <c r="BW23" i="554"/>
  <c r="BU23" i="554"/>
  <c r="BT23" i="554"/>
  <c r="BV23" i="554"/>
  <c r="BQ23" i="554"/>
  <c r="BP23" i="554"/>
  <c r="BO23" i="554"/>
  <c r="BN23" i="554"/>
  <c r="BK23" i="554"/>
  <c r="BI23" i="554"/>
  <c r="BH23" i="554"/>
  <c r="BJ23" i="554"/>
  <c r="BL23" i="554"/>
  <c r="BE23" i="554"/>
  <c r="BC23" i="554"/>
  <c r="BB23" i="554"/>
  <c r="BD23" i="554"/>
  <c r="AY23" i="554"/>
  <c r="AW23" i="554"/>
  <c r="AV23" i="554"/>
  <c r="AX23" i="554"/>
  <c r="AZ23" i="554"/>
  <c r="AS23" i="554"/>
  <c r="AR23" i="554"/>
  <c r="AT23" i="554"/>
  <c r="AQ23" i="554"/>
  <c r="AP23" i="554"/>
  <c r="AM23" i="554"/>
  <c r="AK23" i="554"/>
  <c r="AL23" i="554"/>
  <c r="AJ23" i="554"/>
  <c r="AG23" i="554"/>
  <c r="AF23" i="554"/>
  <c r="AH23" i="554"/>
  <c r="AE23" i="554"/>
  <c r="AD23" i="554"/>
  <c r="AA23" i="554"/>
  <c r="Y23" i="554"/>
  <c r="X23" i="554"/>
  <c r="Z23" i="554"/>
  <c r="AB23" i="554"/>
  <c r="CU22" i="554"/>
  <c r="CS22" i="554"/>
  <c r="CR22" i="554"/>
  <c r="CT22" i="554"/>
  <c r="CO22" i="554"/>
  <c r="CM22" i="554"/>
  <c r="CL22" i="554"/>
  <c r="CN22" i="554"/>
  <c r="CP22" i="554"/>
  <c r="CI22" i="554"/>
  <c r="CJ22" i="554"/>
  <c r="CG22" i="554"/>
  <c r="CF22" i="554"/>
  <c r="CH22" i="554"/>
  <c r="CC22" i="554"/>
  <c r="CA22" i="554"/>
  <c r="CB22" i="554"/>
  <c r="BZ22" i="554"/>
  <c r="BW22" i="554"/>
  <c r="BX22" i="554"/>
  <c r="BU22" i="554"/>
  <c r="BT22" i="554"/>
  <c r="BV22" i="554"/>
  <c r="BQ22" i="554"/>
  <c r="BO22" i="554"/>
  <c r="BP22" i="554"/>
  <c r="BN22" i="554"/>
  <c r="BK22" i="554"/>
  <c r="BL22" i="554"/>
  <c r="BJ22" i="554"/>
  <c r="BI22" i="554"/>
  <c r="BH22" i="554"/>
  <c r="BE22" i="554"/>
  <c r="BF22" i="554"/>
  <c r="BC22" i="554"/>
  <c r="BB22" i="554"/>
  <c r="BD22" i="554"/>
  <c r="AY22" i="554"/>
  <c r="AW22" i="554"/>
  <c r="AV22" i="554"/>
  <c r="AX22" i="554"/>
  <c r="AT22" i="554"/>
  <c r="AS22" i="554"/>
  <c r="AQ22" i="554"/>
  <c r="AP22" i="554"/>
  <c r="AR22" i="554"/>
  <c r="AM22" i="554"/>
  <c r="AK22" i="554"/>
  <c r="AJ22" i="554"/>
  <c r="AL22" i="554"/>
  <c r="AG22" i="554"/>
  <c r="AH22" i="554"/>
  <c r="AE22" i="554"/>
  <c r="AF22" i="554"/>
  <c r="AD22" i="554"/>
  <c r="AA22" i="554"/>
  <c r="AB22" i="554"/>
  <c r="Y22" i="554"/>
  <c r="X22" i="554"/>
  <c r="Z22" i="554"/>
  <c r="CU21" i="554"/>
  <c r="CS21" i="554"/>
  <c r="CT21" i="554"/>
  <c r="CR21" i="554"/>
  <c r="CO21" i="554"/>
  <c r="CP21" i="554"/>
  <c r="CM21" i="554"/>
  <c r="CL21" i="554"/>
  <c r="CN21" i="554"/>
  <c r="CI21" i="554"/>
  <c r="CG21" i="554"/>
  <c r="CF21" i="554"/>
  <c r="CH21" i="554"/>
  <c r="CC21" i="554"/>
  <c r="CA21" i="554"/>
  <c r="BZ21" i="554"/>
  <c r="CB21" i="554"/>
  <c r="CD21" i="554"/>
  <c r="BW21" i="554"/>
  <c r="BU21" i="554"/>
  <c r="BV21" i="554"/>
  <c r="BT21" i="554"/>
  <c r="BQ21" i="554"/>
  <c r="BO21" i="554"/>
  <c r="BN21" i="554"/>
  <c r="BP21" i="554"/>
  <c r="BR21" i="554"/>
  <c r="BK21" i="554"/>
  <c r="BI21" i="554"/>
  <c r="BJ21" i="554"/>
  <c r="BH21" i="554"/>
  <c r="BE21" i="554"/>
  <c r="BC21" i="554"/>
  <c r="BB21" i="554"/>
  <c r="BD21" i="554"/>
  <c r="BF21" i="554"/>
  <c r="AY21" i="554"/>
  <c r="AW21" i="554"/>
  <c r="AX21" i="554"/>
  <c r="AV21" i="554"/>
  <c r="AS21" i="554"/>
  <c r="AT21" i="554"/>
  <c r="AQ21" i="554"/>
  <c r="AP21" i="554"/>
  <c r="AR21" i="554"/>
  <c r="AM21" i="554"/>
  <c r="AK21" i="554"/>
  <c r="AJ21" i="554"/>
  <c r="AL21" i="554"/>
  <c r="AG21" i="554"/>
  <c r="AE21" i="554"/>
  <c r="AD21" i="554"/>
  <c r="AF21" i="554"/>
  <c r="AH21" i="554"/>
  <c r="AA21" i="554"/>
  <c r="Y21" i="554"/>
  <c r="Z21" i="554"/>
  <c r="X21" i="554"/>
  <c r="CU20" i="554"/>
  <c r="CS20" i="554"/>
  <c r="CR20" i="554"/>
  <c r="CT20" i="554"/>
  <c r="CV20" i="554"/>
  <c r="CO20" i="554"/>
  <c r="CM20" i="554"/>
  <c r="CN20" i="554"/>
  <c r="CL20" i="554"/>
  <c r="CI20" i="554"/>
  <c r="CG20" i="554"/>
  <c r="CF20" i="554"/>
  <c r="CH20" i="554"/>
  <c r="CJ20" i="554"/>
  <c r="CC20" i="554"/>
  <c r="CA20" i="554"/>
  <c r="CB20" i="554"/>
  <c r="BZ20" i="554"/>
  <c r="BW20" i="554"/>
  <c r="BX20" i="554"/>
  <c r="BU20" i="554"/>
  <c r="BT20" i="554"/>
  <c r="BV20" i="554"/>
  <c r="BQ20" i="554"/>
  <c r="BO20" i="554"/>
  <c r="BN20" i="554"/>
  <c r="BP20" i="554"/>
  <c r="BK20" i="554"/>
  <c r="BI20" i="554"/>
  <c r="BH20" i="554"/>
  <c r="BJ20" i="554"/>
  <c r="BL20" i="554"/>
  <c r="BE20" i="554"/>
  <c r="BC20" i="554"/>
  <c r="BD20" i="554"/>
  <c r="BB20" i="554"/>
  <c r="AY20" i="554"/>
  <c r="AW20" i="554"/>
  <c r="AV20" i="554"/>
  <c r="AX20" i="554"/>
  <c r="AZ20" i="554"/>
  <c r="AS20" i="554"/>
  <c r="AQ20" i="554"/>
  <c r="AR20" i="554"/>
  <c r="AP20" i="554"/>
  <c r="AM20" i="554"/>
  <c r="AK20" i="554"/>
  <c r="AJ20" i="554"/>
  <c r="AL20" i="554"/>
  <c r="AN20" i="554"/>
  <c r="AG20" i="554"/>
  <c r="AH20" i="554"/>
  <c r="AE20" i="554"/>
  <c r="AD20" i="554"/>
  <c r="AF20" i="554"/>
  <c r="AB20" i="554"/>
  <c r="AA20" i="554"/>
  <c r="Y20" i="554"/>
  <c r="X20" i="554"/>
  <c r="Z20" i="554"/>
  <c r="CU19" i="554"/>
  <c r="CS19" i="554"/>
  <c r="CT19" i="554"/>
  <c r="CR19" i="554"/>
  <c r="CO19" i="554"/>
  <c r="CM19" i="554"/>
  <c r="CL19" i="554"/>
  <c r="CN19" i="554"/>
  <c r="CP19" i="554"/>
  <c r="CI19" i="554"/>
  <c r="CG19" i="554"/>
  <c r="CF19" i="554"/>
  <c r="CH19" i="554"/>
  <c r="CC19" i="554"/>
  <c r="CA19" i="554"/>
  <c r="CB19" i="554"/>
  <c r="BZ19" i="554"/>
  <c r="BW19" i="554"/>
  <c r="BU19" i="554"/>
  <c r="BV19" i="554"/>
  <c r="BT19" i="554"/>
  <c r="BQ19" i="554"/>
  <c r="BO19" i="554"/>
  <c r="BN19" i="554"/>
  <c r="BP19" i="554"/>
  <c r="BK19" i="554"/>
  <c r="BL19" i="554"/>
  <c r="BI19" i="554"/>
  <c r="BH19" i="554"/>
  <c r="BJ19" i="554"/>
  <c r="BE19" i="554"/>
  <c r="BC19" i="554"/>
  <c r="BB19" i="554"/>
  <c r="BD19" i="554"/>
  <c r="BF19" i="554"/>
  <c r="AY19" i="554"/>
  <c r="AZ19" i="554"/>
  <c r="AW19" i="554"/>
  <c r="AX19" i="554"/>
  <c r="AV19" i="554"/>
  <c r="AT19" i="554"/>
  <c r="AR19" i="554"/>
  <c r="AN19" i="554"/>
  <c r="AL19" i="554"/>
  <c r="AH19" i="554"/>
  <c r="AF19" i="554"/>
  <c r="AB19" i="554"/>
  <c r="Z19" i="554"/>
  <c r="CU18" i="554"/>
  <c r="CS18" i="554"/>
  <c r="CR18" i="554"/>
  <c r="CT18" i="554"/>
  <c r="CV18" i="554"/>
  <c r="CO18" i="554"/>
  <c r="CP18" i="554"/>
  <c r="CM18" i="554"/>
  <c r="CL18" i="554"/>
  <c r="CN18" i="554"/>
  <c r="CI18" i="554"/>
  <c r="CG18" i="554"/>
  <c r="CF18" i="554"/>
  <c r="CH18" i="554"/>
  <c r="CC18" i="554"/>
  <c r="CA18" i="554"/>
  <c r="BZ18" i="554"/>
  <c r="CB18" i="554"/>
  <c r="BX18" i="554"/>
  <c r="BW18" i="554"/>
  <c r="BU18" i="554"/>
  <c r="BT18" i="554"/>
  <c r="BV18" i="554"/>
  <c r="BQ18" i="554"/>
  <c r="BO18" i="554"/>
  <c r="BN18" i="554"/>
  <c r="BP18" i="554"/>
  <c r="BK18" i="554"/>
  <c r="BL18" i="554"/>
  <c r="BI18" i="554"/>
  <c r="BJ18" i="554"/>
  <c r="BH18" i="554"/>
  <c r="BE18" i="554"/>
  <c r="BD18" i="554"/>
  <c r="BF18" i="554"/>
  <c r="BC18" i="554"/>
  <c r="BB18" i="554"/>
  <c r="AY18" i="554"/>
  <c r="AZ18" i="554"/>
  <c r="AW18" i="554"/>
  <c r="AV18" i="554"/>
  <c r="AX18" i="554"/>
  <c r="AT18" i="554"/>
  <c r="AR18" i="554"/>
  <c r="AH18" i="554"/>
  <c r="AF18" i="554"/>
  <c r="AB18" i="554"/>
  <c r="Z18" i="554"/>
  <c r="CU17" i="554"/>
  <c r="CV17" i="554"/>
  <c r="CS17" i="554"/>
  <c r="CR17" i="554"/>
  <c r="CT17" i="554"/>
  <c r="CO17" i="554"/>
  <c r="CP17" i="554"/>
  <c r="CM17" i="554"/>
  <c r="CL17" i="554"/>
  <c r="CN17" i="554"/>
  <c r="CI17" i="554"/>
  <c r="CG17" i="554"/>
  <c r="CF17" i="554"/>
  <c r="CH17" i="554"/>
  <c r="CC17" i="554"/>
  <c r="CA17" i="554"/>
  <c r="BZ17" i="554"/>
  <c r="CB17" i="554"/>
  <c r="BW17" i="554"/>
  <c r="BU17" i="554"/>
  <c r="BT17" i="554"/>
  <c r="BV17" i="554"/>
  <c r="BQ17" i="554"/>
  <c r="BO17" i="554"/>
  <c r="BN17" i="554"/>
  <c r="BP17" i="554"/>
  <c r="BK17" i="554"/>
  <c r="BL17" i="554"/>
  <c r="BI17" i="554"/>
  <c r="BJ17" i="554"/>
  <c r="BH17" i="554"/>
  <c r="BE17" i="554"/>
  <c r="BD17" i="554"/>
  <c r="BF17" i="554"/>
  <c r="AY17" i="554"/>
  <c r="AZ17" i="554"/>
  <c r="AW17" i="554"/>
  <c r="AX17" i="554"/>
  <c r="AV17" i="554"/>
  <c r="AT17" i="554"/>
  <c r="AR17" i="554"/>
  <c r="AN17" i="554"/>
  <c r="AM17" i="554"/>
  <c r="AK17" i="554"/>
  <c r="AJ17" i="554"/>
  <c r="AL17" i="554"/>
  <c r="AG17" i="554"/>
  <c r="AH17" i="554"/>
  <c r="AE17" i="554"/>
  <c r="AF17" i="554"/>
  <c r="AD17" i="554"/>
  <c r="AB17" i="554"/>
  <c r="Z17" i="554"/>
  <c r="CU15" i="554"/>
  <c r="CR15" i="554"/>
  <c r="CO15" i="554"/>
  <c r="CL15" i="554"/>
  <c r="CI15" i="554"/>
  <c r="CG15" i="554"/>
  <c r="CF15" i="554"/>
  <c r="CH15" i="554"/>
  <c r="CC15" i="554"/>
  <c r="BZ15" i="554"/>
  <c r="BW15" i="554"/>
  <c r="BT15" i="554"/>
  <c r="BV15" i="554"/>
  <c r="BQ15" i="554"/>
  <c r="BO15" i="554"/>
  <c r="BN15" i="554"/>
  <c r="BP15" i="554"/>
  <c r="BL15" i="554"/>
  <c r="BK15" i="554"/>
  <c r="BH15" i="554"/>
  <c r="BE15" i="554"/>
  <c r="BF15" i="554"/>
  <c r="BB15" i="554"/>
  <c r="AY15" i="554"/>
  <c r="AZ15" i="554"/>
  <c r="AV15" i="554"/>
  <c r="AX15" i="554"/>
  <c r="AS15" i="554"/>
  <c r="AT15" i="554"/>
  <c r="AP15" i="554"/>
  <c r="AN15" i="554"/>
  <c r="AM15" i="554"/>
  <c r="AJ15" i="554"/>
  <c r="AG15" i="554"/>
  <c r="AH15" i="554"/>
  <c r="AD15" i="554"/>
  <c r="AA15" i="554"/>
  <c r="AB15" i="554"/>
  <c r="X15" i="554"/>
  <c r="W15" i="554"/>
  <c r="CU14" i="554"/>
  <c r="CV14" i="554"/>
  <c r="CS14" i="554"/>
  <c r="CR14" i="554"/>
  <c r="CT14" i="554"/>
  <c r="CO14" i="554"/>
  <c r="CP14" i="554"/>
  <c r="CM14" i="554"/>
  <c r="CL14" i="554"/>
  <c r="CN14" i="554"/>
  <c r="CI14" i="554"/>
  <c r="CG14" i="554"/>
  <c r="CF14" i="554"/>
  <c r="CH14" i="554"/>
  <c r="CC14" i="554"/>
  <c r="CA14" i="554"/>
  <c r="BZ14" i="554"/>
  <c r="CB14" i="554"/>
  <c r="BW14" i="554"/>
  <c r="BU14" i="554"/>
  <c r="BT14" i="554"/>
  <c r="BV14" i="554"/>
  <c r="BQ14" i="554"/>
  <c r="BO14" i="554"/>
  <c r="BN14" i="554"/>
  <c r="BP14" i="554"/>
  <c r="BK14" i="554"/>
  <c r="BL14" i="554"/>
  <c r="BH14" i="554"/>
  <c r="BJ14" i="554"/>
  <c r="BF14" i="554"/>
  <c r="BE14" i="554"/>
  <c r="BC14" i="554"/>
  <c r="BB14" i="554"/>
  <c r="BD14" i="554"/>
  <c r="AZ14" i="554"/>
  <c r="AY14" i="554"/>
  <c r="AW14" i="554"/>
  <c r="AV14" i="554"/>
  <c r="AX14" i="554"/>
  <c r="AS14" i="554"/>
  <c r="AT14" i="554"/>
  <c r="AR14" i="554"/>
  <c r="AQ14" i="554"/>
  <c r="AP14" i="554"/>
  <c r="AM14" i="554"/>
  <c r="AN14" i="554"/>
  <c r="AJ14" i="554"/>
  <c r="AL14" i="554"/>
  <c r="AG14" i="554"/>
  <c r="AH14" i="554"/>
  <c r="AE14" i="554"/>
  <c r="AF14" i="554"/>
  <c r="AD14" i="554"/>
  <c r="AA14" i="554"/>
  <c r="AB14" i="554"/>
  <c r="Z14" i="554"/>
  <c r="Y14" i="554"/>
  <c r="X14" i="554"/>
  <c r="W14" i="554"/>
  <c r="BI14" i="554"/>
  <c r="CU13" i="554"/>
  <c r="CR13" i="554"/>
  <c r="CO13" i="554"/>
  <c r="CL13" i="554"/>
  <c r="CN13" i="554"/>
  <c r="CP13" i="554"/>
  <c r="CI13" i="554"/>
  <c r="CG13" i="554"/>
  <c r="CF13" i="554"/>
  <c r="CH13" i="554"/>
  <c r="CC13" i="554"/>
  <c r="CA13" i="554"/>
  <c r="BZ13" i="554"/>
  <c r="CB13" i="554"/>
  <c r="BW13" i="554"/>
  <c r="BU13" i="554"/>
  <c r="BT13" i="554"/>
  <c r="BV13" i="554"/>
  <c r="BQ13" i="554"/>
  <c r="BN13" i="554"/>
  <c r="BK13" i="554"/>
  <c r="BL13" i="554"/>
  <c r="BI13" i="554"/>
  <c r="BH13" i="554"/>
  <c r="BE13" i="554"/>
  <c r="BF13" i="554"/>
  <c r="BC13" i="554"/>
  <c r="BB13" i="554"/>
  <c r="BD13" i="554"/>
  <c r="AY13" i="554"/>
  <c r="AW13" i="554"/>
  <c r="AV13" i="554"/>
  <c r="AX13" i="554"/>
  <c r="AT13" i="554"/>
  <c r="AS13" i="554"/>
  <c r="AP13" i="554"/>
  <c r="AN13" i="554"/>
  <c r="AM13" i="554"/>
  <c r="AK13" i="554"/>
  <c r="AJ13" i="554"/>
  <c r="AL13" i="554"/>
  <c r="AH13" i="554"/>
  <c r="AG13" i="554"/>
  <c r="AE13" i="554"/>
  <c r="AD13" i="554"/>
  <c r="AF13" i="554"/>
  <c r="AA13" i="554"/>
  <c r="AB13" i="554"/>
  <c r="Z13" i="554"/>
  <c r="Y13" i="554"/>
  <c r="X13" i="554"/>
  <c r="W13" i="554"/>
  <c r="CU12" i="554"/>
  <c r="CV12" i="554"/>
  <c r="CS12" i="554"/>
  <c r="CR12" i="554"/>
  <c r="CT12" i="554"/>
  <c r="CO12" i="554"/>
  <c r="CM12" i="554"/>
  <c r="CL12" i="554"/>
  <c r="CN12" i="554"/>
  <c r="CP12" i="554"/>
  <c r="CI12" i="554"/>
  <c r="CG12" i="554"/>
  <c r="CF12" i="554"/>
  <c r="CH12" i="554"/>
  <c r="CC12" i="554"/>
  <c r="CB12" i="554"/>
  <c r="CD12" i="554"/>
  <c r="CA12" i="554"/>
  <c r="BZ12" i="554"/>
  <c r="BW12" i="554"/>
  <c r="BV12" i="554"/>
  <c r="BU12" i="554"/>
  <c r="BT12" i="554"/>
  <c r="BQ12" i="554"/>
  <c r="BP12" i="554"/>
  <c r="BO12" i="554"/>
  <c r="BN12" i="554"/>
  <c r="BK12" i="554"/>
  <c r="BL12" i="554"/>
  <c r="BH12" i="554"/>
  <c r="BJ12" i="554"/>
  <c r="BE12" i="554"/>
  <c r="BF12" i="554"/>
  <c r="BC12" i="554"/>
  <c r="BB12" i="554"/>
  <c r="BD12" i="554"/>
  <c r="AY12" i="554"/>
  <c r="AZ12" i="554"/>
  <c r="AW12" i="554"/>
  <c r="AX12" i="554"/>
  <c r="AV12" i="554"/>
  <c r="AS12" i="554"/>
  <c r="AT12" i="554"/>
  <c r="AQ12" i="554"/>
  <c r="AP12" i="554"/>
  <c r="AR12" i="554"/>
  <c r="AN12" i="554"/>
  <c r="AM12" i="554"/>
  <c r="AJ12" i="554"/>
  <c r="AG12" i="554"/>
  <c r="AH12" i="554"/>
  <c r="AE12" i="554"/>
  <c r="AD12" i="554"/>
  <c r="AA12" i="554"/>
  <c r="AB12" i="554"/>
  <c r="Y12" i="554"/>
  <c r="X12" i="554"/>
  <c r="Z12" i="554"/>
  <c r="W12" i="554"/>
  <c r="BI12" i="554"/>
  <c r="CU11" i="554"/>
  <c r="CR11" i="554"/>
  <c r="CO11" i="554"/>
  <c r="CL11" i="554"/>
  <c r="CI11" i="554"/>
  <c r="CF11" i="554"/>
  <c r="CC11" i="554"/>
  <c r="BZ11" i="554"/>
  <c r="BW11" i="554"/>
  <c r="BT11" i="554"/>
  <c r="BQ11" i="554"/>
  <c r="BO11" i="554"/>
  <c r="BN11" i="554"/>
  <c r="BP11" i="554"/>
  <c r="BR11" i="554"/>
  <c r="BL11" i="554"/>
  <c r="BK11" i="554"/>
  <c r="BH11" i="554"/>
  <c r="BE11" i="554"/>
  <c r="BF11" i="554"/>
  <c r="BB11" i="554"/>
  <c r="AY11" i="554"/>
  <c r="AZ11" i="554"/>
  <c r="AV11" i="554"/>
  <c r="AX11" i="554"/>
  <c r="AS11" i="554"/>
  <c r="AT11" i="554"/>
  <c r="AP11" i="554"/>
  <c r="AN11" i="554"/>
  <c r="AM11" i="554"/>
  <c r="AK11" i="554"/>
  <c r="AJ11" i="554"/>
  <c r="AL11" i="554"/>
  <c r="AG11" i="554"/>
  <c r="AH11" i="554"/>
  <c r="AE11" i="554"/>
  <c r="AF11" i="554"/>
  <c r="AD11" i="554"/>
  <c r="AA11" i="554"/>
  <c r="AB11" i="554"/>
  <c r="Z11" i="554"/>
  <c r="Y11" i="554"/>
  <c r="X11" i="554"/>
  <c r="W11" i="554"/>
  <c r="CU10" i="554"/>
  <c r="CR10" i="554"/>
  <c r="CO10" i="554"/>
  <c r="CL10" i="554"/>
  <c r="CI10" i="554"/>
  <c r="CF10" i="554"/>
  <c r="CC10" i="554"/>
  <c r="BZ10" i="554"/>
  <c r="BW10" i="554"/>
  <c r="BT10" i="554"/>
  <c r="BQ10" i="554"/>
  <c r="BN10" i="554"/>
  <c r="BK10" i="554"/>
  <c r="BL10" i="554"/>
  <c r="BH10" i="554"/>
  <c r="BE10" i="554"/>
  <c r="BF10" i="554"/>
  <c r="BB10" i="554"/>
  <c r="BD10" i="554"/>
  <c r="AY10" i="554"/>
  <c r="AZ10" i="554"/>
  <c r="AV10" i="554"/>
  <c r="AX10" i="554"/>
  <c r="AS10" i="554"/>
  <c r="AP10" i="554"/>
  <c r="AM10" i="554"/>
  <c r="AN10" i="554"/>
  <c r="AJ10" i="554"/>
  <c r="AG10" i="554"/>
  <c r="AH10" i="554"/>
  <c r="AD10" i="554"/>
  <c r="AA10" i="554"/>
  <c r="AB10" i="554"/>
  <c r="X10" i="554"/>
  <c r="W10" i="554"/>
  <c r="BI10" i="554"/>
  <c r="BJ10" i="554"/>
  <c r="CU9" i="554"/>
  <c r="CV9" i="554"/>
  <c r="CR9" i="554"/>
  <c r="CO9" i="554"/>
  <c r="CL9" i="554"/>
  <c r="CI9" i="554"/>
  <c r="CF9" i="554"/>
  <c r="CC9" i="554"/>
  <c r="BZ9" i="554"/>
  <c r="BW9" i="554"/>
  <c r="BX9" i="554"/>
  <c r="BT9" i="554"/>
  <c r="BV9" i="554"/>
  <c r="BQ9" i="554"/>
  <c r="BN9" i="554"/>
  <c r="BK9" i="554"/>
  <c r="BL9" i="554"/>
  <c r="BH9" i="554"/>
  <c r="BE9" i="554"/>
  <c r="BF9" i="554"/>
  <c r="BB9" i="554"/>
  <c r="BD9" i="554"/>
  <c r="AY9" i="554"/>
  <c r="AZ9" i="554"/>
  <c r="AV9" i="554"/>
  <c r="AS9" i="554"/>
  <c r="AT9" i="554"/>
  <c r="AP9" i="554"/>
  <c r="AM9" i="554"/>
  <c r="AJ9" i="554"/>
  <c r="AG9" i="554"/>
  <c r="AD9" i="554"/>
  <c r="AF9" i="554"/>
  <c r="AH9" i="554"/>
  <c r="X9" i="554"/>
  <c r="W9" i="554"/>
  <c r="CU8" i="554"/>
  <c r="CR8" i="554"/>
  <c r="CT8" i="554"/>
  <c r="CO8" i="554"/>
  <c r="CM8" i="554"/>
  <c r="CN8" i="554"/>
  <c r="CP8" i="554"/>
  <c r="CL8" i="554"/>
  <c r="CI8" i="554"/>
  <c r="CG8" i="554"/>
  <c r="CH8" i="554"/>
  <c r="CF8" i="554"/>
  <c r="CC8" i="554"/>
  <c r="BZ8" i="554"/>
  <c r="BW8" i="554"/>
  <c r="BU8" i="554"/>
  <c r="BT8" i="554"/>
  <c r="BV8" i="554"/>
  <c r="BQ8" i="554"/>
  <c r="BN8" i="554"/>
  <c r="BK8" i="554"/>
  <c r="BH8" i="554"/>
  <c r="BJ8" i="554"/>
  <c r="BL8" i="554"/>
  <c r="BE8" i="554"/>
  <c r="BB8" i="554"/>
  <c r="AY8" i="554"/>
  <c r="AV8" i="554"/>
  <c r="AS8" i="554"/>
  <c r="AP8" i="554"/>
  <c r="AM8" i="554"/>
  <c r="AN8" i="554"/>
  <c r="AJ8" i="554"/>
  <c r="AG8" i="554"/>
  <c r="AH8" i="554"/>
  <c r="AE8" i="554"/>
  <c r="AF8" i="554"/>
  <c r="AD8" i="554"/>
  <c r="AA8" i="554"/>
  <c r="AB8" i="554"/>
  <c r="X8" i="554"/>
  <c r="W8" i="554"/>
  <c r="AQ8" i="554"/>
  <c r="AR8" i="554"/>
  <c r="AT8" i="554"/>
  <c r="L103" i="553"/>
  <c r="BA94" i="553"/>
  <c r="CV77" i="553"/>
  <c r="CX77" i="553"/>
  <c r="CR77" i="553"/>
  <c r="BZ77" i="553"/>
  <c r="BF77" i="553"/>
  <c r="BE77" i="553"/>
  <c r="BG77" i="553"/>
  <c r="AO77" i="553"/>
  <c r="AC77" i="553"/>
  <c r="AA77" i="553"/>
  <c r="CR76" i="553"/>
  <c r="CL76" i="553"/>
  <c r="CH76" i="553"/>
  <c r="CF76" i="553"/>
  <c r="BZ76" i="553"/>
  <c r="BT76" i="553"/>
  <c r="BR76" i="553"/>
  <c r="BN76" i="553"/>
  <c r="BL76" i="553"/>
  <c r="BG76" i="553"/>
  <c r="BE76" i="553"/>
  <c r="BA76" i="553"/>
  <c r="AY76" i="553"/>
  <c r="AU76" i="553"/>
  <c r="AS76" i="553"/>
  <c r="AO76" i="553"/>
  <c r="AM76" i="553"/>
  <c r="AI76" i="553"/>
  <c r="AG76" i="553"/>
  <c r="AC76" i="553"/>
  <c r="AA76" i="553"/>
  <c r="CX75" i="553"/>
  <c r="CV75" i="553"/>
  <c r="CR75" i="553"/>
  <c r="CP75" i="553"/>
  <c r="CL75" i="553"/>
  <c r="CJ75" i="553"/>
  <c r="CF75" i="553"/>
  <c r="BZ75" i="553"/>
  <c r="BT75" i="553"/>
  <c r="BR75" i="553"/>
  <c r="BA75" i="553"/>
  <c r="AU75" i="553"/>
  <c r="AM75" i="553"/>
  <c r="AG75" i="553"/>
  <c r="CU74" i="553"/>
  <c r="CV74" i="553"/>
  <c r="CP74" i="553"/>
  <c r="CR74" i="553"/>
  <c r="CL74" i="553"/>
  <c r="CF74" i="553"/>
  <c r="BY74" i="553"/>
  <c r="BW74" i="553"/>
  <c r="BZ74" i="553"/>
  <c r="BT74" i="553"/>
  <c r="BR74" i="553"/>
  <c r="BN74" i="553"/>
  <c r="BM74" i="553"/>
  <c r="BL74" i="553"/>
  <c r="BE74" i="553"/>
  <c r="BG74" i="553"/>
  <c r="AY74" i="553"/>
  <c r="BA74" i="553"/>
  <c r="AS74" i="553"/>
  <c r="AU74" i="553"/>
  <c r="AM74" i="553"/>
  <c r="AO74" i="553"/>
  <c r="AG74" i="553"/>
  <c r="AA74" i="553"/>
  <c r="CV73" i="553"/>
  <c r="CX73" i="553"/>
  <c r="CU73" i="553"/>
  <c r="CR73" i="553"/>
  <c r="CP73" i="553"/>
  <c r="CL73" i="553"/>
  <c r="CE73" i="553"/>
  <c r="CD73" i="553"/>
  <c r="BW73" i="553"/>
  <c r="BR73" i="553"/>
  <c r="BT73" i="553"/>
  <c r="BM73" i="553"/>
  <c r="BL73" i="553"/>
  <c r="BN73" i="553"/>
  <c r="BG73" i="553"/>
  <c r="BE73" i="553"/>
  <c r="BA73" i="553"/>
  <c r="AY73" i="553"/>
  <c r="AU73" i="553"/>
  <c r="AS73" i="553"/>
  <c r="AO73" i="553"/>
  <c r="AM73" i="553"/>
  <c r="AI73" i="553"/>
  <c r="AG73" i="553"/>
  <c r="AC73" i="553"/>
  <c r="AA73" i="553"/>
  <c r="CR72" i="553"/>
  <c r="BF72" i="553"/>
  <c r="BG72" i="553"/>
  <c r="AS72" i="553"/>
  <c r="AU72" i="553"/>
  <c r="AG72" i="553"/>
  <c r="AI72" i="553"/>
  <c r="AC72" i="553"/>
  <c r="AA72" i="553"/>
  <c r="CR71" i="553"/>
  <c r="BG71" i="553"/>
  <c r="BF71" i="553"/>
  <c r="AO71" i="553"/>
  <c r="AM71" i="553"/>
  <c r="AC71" i="553"/>
  <c r="AA71" i="553"/>
  <c r="CZ70" i="553"/>
  <c r="CY70" i="553"/>
  <c r="CX70" i="553"/>
  <c r="CR70" i="553"/>
  <c r="AU70" i="553"/>
  <c r="AS70" i="553"/>
  <c r="AC70" i="553"/>
  <c r="AA70" i="553"/>
  <c r="CZ69" i="553"/>
  <c r="CR69" i="553"/>
  <c r="BZ69" i="553"/>
  <c r="BX69" i="553"/>
  <c r="BN69" i="553"/>
  <c r="BL69" i="553"/>
  <c r="BG69" i="553"/>
  <c r="BE69" i="553"/>
  <c r="CZ68" i="553"/>
  <c r="CX68" i="553"/>
  <c r="CW68" i="553"/>
  <c r="CV68" i="553"/>
  <c r="CY68" i="553"/>
  <c r="CR68" i="553"/>
  <c r="BZ68" i="553"/>
  <c r="BX68" i="553"/>
  <c r="BN68" i="553"/>
  <c r="BL68" i="553"/>
  <c r="BG68" i="553"/>
  <c r="BE68" i="553"/>
  <c r="BA68" i="553"/>
  <c r="AY68" i="553"/>
  <c r="AI68" i="553"/>
  <c r="AC68" i="553"/>
  <c r="CZ67" i="553"/>
  <c r="CX67" i="553"/>
  <c r="CW67" i="553"/>
  <c r="CV67" i="553"/>
  <c r="CY67" i="553"/>
  <c r="CR67" i="553"/>
  <c r="BZ67" i="553"/>
  <c r="BX67" i="553"/>
  <c r="BN67" i="553"/>
  <c r="BL67" i="553"/>
  <c r="BG67" i="553"/>
  <c r="BE67" i="553"/>
  <c r="BA67" i="553"/>
  <c r="AY67" i="553"/>
  <c r="AI67" i="553"/>
  <c r="AC67" i="553"/>
  <c r="CZ66" i="553"/>
  <c r="CF66" i="553"/>
  <c r="X66" i="553"/>
  <c r="CZ65" i="553"/>
  <c r="CW65" i="553"/>
  <c r="CF65" i="553"/>
  <c r="BG65" i="553"/>
  <c r="BF65" i="553"/>
  <c r="BE65" i="553"/>
  <c r="CV65" i="553"/>
  <c r="CX65" i="553"/>
  <c r="X65" i="553"/>
  <c r="CZ64" i="553"/>
  <c r="CF64" i="553"/>
  <c r="BF64" i="553"/>
  <c r="BG64" i="553"/>
  <c r="BE64" i="553"/>
  <c r="CV64" i="553"/>
  <c r="X64" i="553"/>
  <c r="CW64" i="553"/>
  <c r="CZ63" i="553"/>
  <c r="CF63" i="553"/>
  <c r="BF63" i="553"/>
  <c r="BE63" i="553"/>
  <c r="BG63" i="553"/>
  <c r="AZ63" i="553"/>
  <c r="BA63" i="553"/>
  <c r="AY63" i="553"/>
  <c r="X63" i="553"/>
  <c r="CW63" i="553"/>
  <c r="CZ62" i="553"/>
  <c r="CF62" i="553"/>
  <c r="X62" i="553"/>
  <c r="CZ61" i="553"/>
  <c r="CX61" i="553"/>
  <c r="CR61" i="553"/>
  <c r="CL61" i="553"/>
  <c r="CF61" i="553"/>
  <c r="BG61" i="553"/>
  <c r="BF61" i="553"/>
  <c r="BE61" i="553"/>
  <c r="AS61" i="553"/>
  <c r="AU61" i="553"/>
  <c r="AM61" i="553"/>
  <c r="AO61" i="553"/>
  <c r="AG61" i="553"/>
  <c r="AI61" i="553"/>
  <c r="AA61" i="553"/>
  <c r="AC61" i="553"/>
  <c r="X61" i="553"/>
  <c r="CW61" i="553"/>
  <c r="CZ60" i="553"/>
  <c r="CX60" i="553"/>
  <c r="CR60" i="553"/>
  <c r="CL60" i="553"/>
  <c r="CF60" i="553"/>
  <c r="BF60" i="553"/>
  <c r="BE60" i="553"/>
  <c r="BG60" i="553"/>
  <c r="AS60" i="553"/>
  <c r="AU60" i="553"/>
  <c r="AM60" i="553"/>
  <c r="AO60" i="553"/>
  <c r="AG60" i="553"/>
  <c r="AI60" i="553"/>
  <c r="AA60" i="553"/>
  <c r="X60" i="553"/>
  <c r="CW60" i="553"/>
  <c r="CF59" i="553"/>
  <c r="AS59" i="553"/>
  <c r="AU59" i="553"/>
  <c r="AM59" i="553"/>
  <c r="AO59" i="553"/>
  <c r="AG59" i="553"/>
  <c r="AI59" i="553"/>
  <c r="AA59" i="553"/>
  <c r="V59" i="553"/>
  <c r="U59" i="553"/>
  <c r="T59" i="553"/>
  <c r="S59" i="553"/>
  <c r="R59" i="553"/>
  <c r="Q59" i="553"/>
  <c r="P59" i="553"/>
  <c r="O59" i="553"/>
  <c r="N59" i="553"/>
  <c r="M59" i="553"/>
  <c r="L59" i="553"/>
  <c r="CZ59" i="553"/>
  <c r="K59" i="553"/>
  <c r="X59" i="553"/>
  <c r="CW59" i="553"/>
  <c r="CZ58" i="553"/>
  <c r="CX58" i="553"/>
  <c r="CR58" i="553"/>
  <c r="CL58" i="553"/>
  <c r="CF58" i="553"/>
  <c r="BZ58" i="553"/>
  <c r="BX58" i="553"/>
  <c r="BT58" i="553"/>
  <c r="BN58" i="553"/>
  <c r="BL58" i="553"/>
  <c r="CV58" i="553"/>
  <c r="CY58" i="553"/>
  <c r="BF58" i="553"/>
  <c r="BE58" i="553"/>
  <c r="BA58" i="553"/>
  <c r="AY58" i="553"/>
  <c r="AU58" i="553"/>
  <c r="AS58" i="553"/>
  <c r="AO58" i="553"/>
  <c r="AM58" i="553"/>
  <c r="AI58" i="553"/>
  <c r="AG58" i="553"/>
  <c r="AC58" i="553"/>
  <c r="AA58" i="553"/>
  <c r="X58" i="553"/>
  <c r="CW58" i="553"/>
  <c r="CZ57" i="553"/>
  <c r="CX57" i="553"/>
  <c r="CR57" i="553"/>
  <c r="CL57" i="553"/>
  <c r="CF57" i="553"/>
  <c r="BZ57" i="553"/>
  <c r="BX57" i="553"/>
  <c r="BT57" i="553"/>
  <c r="BN57" i="553"/>
  <c r="BL57" i="553"/>
  <c r="CV57" i="553"/>
  <c r="CY57" i="553"/>
  <c r="BF57" i="553"/>
  <c r="BE57" i="553"/>
  <c r="BA57" i="553"/>
  <c r="AY57" i="553"/>
  <c r="AU57" i="553"/>
  <c r="AS57" i="553"/>
  <c r="AO57" i="553"/>
  <c r="AM57" i="553"/>
  <c r="AI57" i="553"/>
  <c r="AG57" i="553"/>
  <c r="AC57" i="553"/>
  <c r="AA57" i="553"/>
  <c r="X57" i="553"/>
  <c r="CW57" i="553"/>
  <c r="S57" i="553"/>
  <c r="CL56" i="553"/>
  <c r="CF56" i="553"/>
  <c r="BZ56" i="553"/>
  <c r="BT56" i="553"/>
  <c r="BN56" i="553"/>
  <c r="BE56" i="553"/>
  <c r="BA56" i="553"/>
  <c r="AS56" i="553"/>
  <c r="AU56" i="553"/>
  <c r="AQ56" i="553"/>
  <c r="AK56" i="553"/>
  <c r="AM56" i="553"/>
  <c r="AO56" i="553"/>
  <c r="AG56" i="553"/>
  <c r="AI56" i="553"/>
  <c r="AE56" i="553"/>
  <c r="Y56" i="553"/>
  <c r="AA56" i="553"/>
  <c r="V56" i="553"/>
  <c r="U56" i="553"/>
  <c r="R56" i="553"/>
  <c r="Q56" i="553"/>
  <c r="P56" i="553"/>
  <c r="BF56" i="553"/>
  <c r="O56" i="553"/>
  <c r="N56" i="553"/>
  <c r="M56" i="553"/>
  <c r="L56" i="553"/>
  <c r="CZ56" i="553"/>
  <c r="K56" i="553"/>
  <c r="CZ55" i="553"/>
  <c r="CX55" i="553"/>
  <c r="CV55" i="553"/>
  <c r="CY55" i="553"/>
  <c r="CR55" i="553"/>
  <c r="CL55" i="553"/>
  <c r="CF55" i="553"/>
  <c r="BT55" i="553"/>
  <c r="BN55" i="553"/>
  <c r="BL55" i="553"/>
  <c r="BF55" i="553"/>
  <c r="BG55" i="553"/>
  <c r="BE55" i="553"/>
  <c r="BA55" i="553"/>
  <c r="AY55" i="553"/>
  <c r="AU55" i="553"/>
  <c r="AS55" i="553"/>
  <c r="AO55" i="553"/>
  <c r="AM55" i="553"/>
  <c r="AI55" i="553"/>
  <c r="AG55" i="553"/>
  <c r="AC55" i="553"/>
  <c r="AA55" i="553"/>
  <c r="X55" i="553"/>
  <c r="CW55" i="553"/>
  <c r="CZ54" i="553"/>
  <c r="CX54" i="553"/>
  <c r="CW54" i="553"/>
  <c r="CR54" i="553"/>
  <c r="CL54" i="553"/>
  <c r="CF54" i="553"/>
  <c r="BT54" i="553"/>
  <c r="BN54" i="553"/>
  <c r="BL54" i="553"/>
  <c r="BF54" i="553"/>
  <c r="BE54" i="553"/>
  <c r="BG54" i="553"/>
  <c r="BA54" i="553"/>
  <c r="AY54" i="553"/>
  <c r="AS54" i="553"/>
  <c r="AU54" i="553"/>
  <c r="AM54" i="553"/>
  <c r="AO54" i="553"/>
  <c r="AG54" i="553"/>
  <c r="AI54" i="553"/>
  <c r="AA54" i="553"/>
  <c r="X54" i="553"/>
  <c r="CZ53" i="553"/>
  <c r="BZ53" i="553"/>
  <c r="BT53" i="553"/>
  <c r="BN53" i="553"/>
  <c r="BF53" i="553"/>
  <c r="BE53" i="553"/>
  <c r="BA53" i="553"/>
  <c r="AS53" i="553"/>
  <c r="AU53" i="553"/>
  <c r="AM53" i="553"/>
  <c r="AO53" i="553"/>
  <c r="AK53" i="553"/>
  <c r="AE53" i="553"/>
  <c r="AG53" i="553"/>
  <c r="AI53" i="553"/>
  <c r="AA53" i="553"/>
  <c r="S53" i="553"/>
  <c r="R53" i="553"/>
  <c r="Q53" i="553"/>
  <c r="P53" i="553"/>
  <c r="O53" i="553"/>
  <c r="N53" i="553"/>
  <c r="M53" i="553"/>
  <c r="L53" i="553"/>
  <c r="K53" i="553"/>
  <c r="CZ52" i="553"/>
  <c r="CX52" i="553"/>
  <c r="CW52" i="553"/>
  <c r="CR52" i="553"/>
  <c r="CL52" i="553"/>
  <c r="CF52" i="553"/>
  <c r="BZ52" i="553"/>
  <c r="BX52" i="553"/>
  <c r="BT52" i="553"/>
  <c r="BN52" i="553"/>
  <c r="BL52" i="553"/>
  <c r="BG52" i="553"/>
  <c r="BF52" i="553"/>
  <c r="BE52" i="553"/>
  <c r="BA52" i="553"/>
  <c r="AY52" i="553"/>
  <c r="AS52" i="553"/>
  <c r="AU52" i="553"/>
  <c r="AM52" i="553"/>
  <c r="AO52" i="553"/>
  <c r="AG52" i="553"/>
  <c r="AI52" i="553"/>
  <c r="AA52" i="553"/>
  <c r="CZ51" i="553"/>
  <c r="CX51" i="553"/>
  <c r="CW51" i="553"/>
  <c r="CR51" i="553"/>
  <c r="CL51" i="553"/>
  <c r="CF51" i="553"/>
  <c r="BZ51" i="553"/>
  <c r="BX51" i="553"/>
  <c r="BT51" i="553"/>
  <c r="BN51" i="553"/>
  <c r="BL51" i="553"/>
  <c r="BG51" i="553"/>
  <c r="BF51" i="553"/>
  <c r="BE51" i="553"/>
  <c r="BA51" i="553"/>
  <c r="AY51" i="553"/>
  <c r="AS51" i="553"/>
  <c r="AU51" i="553"/>
  <c r="AM51" i="553"/>
  <c r="AO51" i="553"/>
  <c r="AG51" i="553"/>
  <c r="AI51" i="553"/>
  <c r="AA51" i="553"/>
  <c r="CR50" i="553"/>
  <c r="CL50" i="553"/>
  <c r="CF50" i="553"/>
  <c r="BZ50" i="553"/>
  <c r="BT50" i="553"/>
  <c r="BN50" i="553"/>
  <c r="BL50" i="553"/>
  <c r="BG50" i="553"/>
  <c r="BE50" i="553"/>
  <c r="AY50" i="553"/>
  <c r="AS50" i="553"/>
  <c r="AU50" i="553"/>
  <c r="AM50" i="553"/>
  <c r="AO50" i="553"/>
  <c r="AG50" i="553"/>
  <c r="AI50" i="553"/>
  <c r="AA50" i="553"/>
  <c r="AC50" i="553"/>
  <c r="V50" i="553"/>
  <c r="U50" i="553"/>
  <c r="T50" i="553"/>
  <c r="S50" i="553"/>
  <c r="R50" i="553"/>
  <c r="Q50" i="553"/>
  <c r="P50" i="553"/>
  <c r="AZ50" i="553"/>
  <c r="BA50" i="553"/>
  <c r="O50" i="553"/>
  <c r="N50" i="553"/>
  <c r="M50" i="553"/>
  <c r="L50" i="553"/>
  <c r="K50" i="553"/>
  <c r="CZ49" i="553"/>
  <c r="CX49" i="553"/>
  <c r="CV49" i="553"/>
  <c r="CY49" i="553"/>
  <c r="CR49" i="553"/>
  <c r="CL49" i="553"/>
  <c r="CF49" i="553"/>
  <c r="BT49" i="553"/>
  <c r="BN49" i="553"/>
  <c r="BL49" i="553"/>
  <c r="BF49" i="553"/>
  <c r="BE49" i="553"/>
  <c r="BG49" i="553"/>
  <c r="BA49" i="553"/>
  <c r="AY49" i="553"/>
  <c r="AU49" i="553"/>
  <c r="AS49" i="553"/>
  <c r="AO49" i="553"/>
  <c r="AM49" i="553"/>
  <c r="AI49" i="553"/>
  <c r="AG49" i="553"/>
  <c r="AC49" i="553"/>
  <c r="AA49" i="553"/>
  <c r="X49" i="553"/>
  <c r="CW49" i="553"/>
  <c r="CZ48" i="553"/>
  <c r="CX48" i="553"/>
  <c r="CW48" i="553"/>
  <c r="CR48" i="553"/>
  <c r="CL48" i="553"/>
  <c r="CF48" i="553"/>
  <c r="BT48" i="553"/>
  <c r="BN48" i="553"/>
  <c r="BL48" i="553"/>
  <c r="BF48" i="553"/>
  <c r="BE48" i="553"/>
  <c r="BG48" i="553"/>
  <c r="BA48" i="553"/>
  <c r="AY48" i="553"/>
  <c r="AS48" i="553"/>
  <c r="AU48" i="553"/>
  <c r="AM48" i="553"/>
  <c r="AO48" i="553"/>
  <c r="AG48" i="553"/>
  <c r="AI48" i="553"/>
  <c r="AA48" i="553"/>
  <c r="X48" i="553"/>
  <c r="CZ47" i="553"/>
  <c r="BZ47" i="553"/>
  <c r="BT47" i="553"/>
  <c r="BN47" i="553"/>
  <c r="BE47" i="553"/>
  <c r="AY47" i="553"/>
  <c r="BA47" i="553"/>
  <c r="AS47" i="553"/>
  <c r="AU47" i="553"/>
  <c r="AM47" i="553"/>
  <c r="V47" i="553"/>
  <c r="U47" i="553"/>
  <c r="T47" i="553"/>
  <c r="S47" i="553"/>
  <c r="R47" i="553"/>
  <c r="Q47" i="553"/>
  <c r="P47" i="553"/>
  <c r="AZ47" i="553"/>
  <c r="O47" i="553"/>
  <c r="N47" i="553"/>
  <c r="M47" i="553"/>
  <c r="L47" i="553"/>
  <c r="K47" i="553"/>
  <c r="CZ46" i="553"/>
  <c r="CX46" i="553"/>
  <c r="CR46" i="553"/>
  <c r="CL46" i="553"/>
  <c r="CF46" i="553"/>
  <c r="BZ46" i="553"/>
  <c r="BX46" i="553"/>
  <c r="BT46" i="553"/>
  <c r="BN46" i="553"/>
  <c r="BL46" i="553"/>
  <c r="CV46" i="553"/>
  <c r="CY46" i="553"/>
  <c r="BF46" i="553"/>
  <c r="BG46" i="553"/>
  <c r="BE46" i="553"/>
  <c r="BA46" i="553"/>
  <c r="AY46" i="553"/>
  <c r="AU46" i="553"/>
  <c r="AS46" i="553"/>
  <c r="AO46" i="553"/>
  <c r="AM46" i="553"/>
  <c r="AI46" i="553"/>
  <c r="AG46" i="553"/>
  <c r="AC46" i="553"/>
  <c r="AA46" i="553"/>
  <c r="X46" i="553"/>
  <c r="CW46" i="553"/>
  <c r="CZ45" i="553"/>
  <c r="CX45" i="553"/>
  <c r="CW45" i="553"/>
  <c r="CR45" i="553"/>
  <c r="CL45" i="553"/>
  <c r="CF45" i="553"/>
  <c r="BZ45" i="553"/>
  <c r="BX45" i="553"/>
  <c r="BT45" i="553"/>
  <c r="BN45" i="553"/>
  <c r="BL45" i="553"/>
  <c r="BG45" i="553"/>
  <c r="BF45" i="553"/>
  <c r="BE45" i="553"/>
  <c r="BA45" i="553"/>
  <c r="AY45" i="553"/>
  <c r="AS45" i="553"/>
  <c r="AU45" i="553"/>
  <c r="AM45" i="553"/>
  <c r="AO45" i="553"/>
  <c r="AG45" i="553"/>
  <c r="AI45" i="553"/>
  <c r="AA45" i="553"/>
  <c r="X45" i="553"/>
  <c r="CV44" i="553"/>
  <c r="DC44" i="553"/>
  <c r="CR44" i="553"/>
  <c r="CL44" i="553"/>
  <c r="CF44" i="553"/>
  <c r="BZ44" i="553"/>
  <c r="BT44" i="553"/>
  <c r="BN44" i="553"/>
  <c r="BF44" i="553"/>
  <c r="BE44" i="553"/>
  <c r="BG44" i="553"/>
  <c r="BA44" i="553"/>
  <c r="AS44" i="553"/>
  <c r="AU44" i="553"/>
  <c r="AM44" i="553"/>
  <c r="AO44" i="553"/>
  <c r="AI44" i="553"/>
  <c r="AC44" i="553"/>
  <c r="AA44" i="553"/>
  <c r="R44" i="553"/>
  <c r="Q44" i="553"/>
  <c r="P44" i="553"/>
  <c r="O44" i="553"/>
  <c r="N44" i="553"/>
  <c r="M44" i="553"/>
  <c r="L44" i="553"/>
  <c r="K44" i="553"/>
  <c r="CZ43" i="553"/>
  <c r="CX43" i="553"/>
  <c r="CW43" i="553"/>
  <c r="CR43" i="553"/>
  <c r="CL43" i="553"/>
  <c r="CF43" i="553"/>
  <c r="BZ43" i="553"/>
  <c r="BX43" i="553"/>
  <c r="BT43" i="553"/>
  <c r="BN43" i="553"/>
  <c r="BL43" i="553"/>
  <c r="BG43" i="553"/>
  <c r="BF43" i="553"/>
  <c r="BE43" i="553"/>
  <c r="BA43" i="553"/>
  <c r="AY43" i="553"/>
  <c r="AS43" i="553"/>
  <c r="AU43" i="553"/>
  <c r="AM43" i="553"/>
  <c r="AO43" i="553"/>
  <c r="AG43" i="553"/>
  <c r="AI43" i="553"/>
  <c r="AA43" i="553"/>
  <c r="X43" i="553"/>
  <c r="CZ42" i="553"/>
  <c r="CX42" i="553"/>
  <c r="CR42" i="553"/>
  <c r="CL42" i="553"/>
  <c r="CF42" i="553"/>
  <c r="BZ42" i="553"/>
  <c r="BX42" i="553"/>
  <c r="BT42" i="553"/>
  <c r="BN42" i="553"/>
  <c r="BL42" i="553"/>
  <c r="CV42" i="553"/>
  <c r="CY42" i="553"/>
  <c r="BF42" i="553"/>
  <c r="BG42" i="553"/>
  <c r="BE42" i="553"/>
  <c r="BA42" i="553"/>
  <c r="AY42" i="553"/>
  <c r="AU42" i="553"/>
  <c r="AS42" i="553"/>
  <c r="AO42" i="553"/>
  <c r="AM42" i="553"/>
  <c r="AI42" i="553"/>
  <c r="AG42" i="553"/>
  <c r="AC42" i="553"/>
  <c r="AA42" i="553"/>
  <c r="X42" i="553"/>
  <c r="CW42" i="553"/>
  <c r="CR41" i="553"/>
  <c r="CL41" i="553"/>
  <c r="CE41" i="553"/>
  <c r="CF41" i="553"/>
  <c r="BZ41" i="553"/>
  <c r="BT41" i="553"/>
  <c r="BN41" i="553"/>
  <c r="BE41" i="553"/>
  <c r="CV41" i="553"/>
  <c r="BA41" i="553"/>
  <c r="AU41" i="553"/>
  <c r="AS41" i="553"/>
  <c r="AO41" i="553"/>
  <c r="AM41" i="553"/>
  <c r="AI41" i="553"/>
  <c r="AG41" i="553"/>
  <c r="AC41" i="553"/>
  <c r="AA41" i="553"/>
  <c r="R41" i="553"/>
  <c r="Q41" i="553"/>
  <c r="P41" i="553"/>
  <c r="BF41" i="553"/>
  <c r="BG41" i="553"/>
  <c r="O41" i="553"/>
  <c r="N41" i="553"/>
  <c r="M41" i="553"/>
  <c r="L41" i="553"/>
  <c r="K41" i="553"/>
  <c r="CZ41" i="553"/>
  <c r="CW40" i="553"/>
  <c r="CX40" i="553"/>
  <c r="BZ40" i="553"/>
  <c r="BG40" i="553"/>
  <c r="BF40" i="553"/>
  <c r="BE40" i="553"/>
  <c r="X40" i="553"/>
  <c r="CW39" i="553"/>
  <c r="CL39" i="553"/>
  <c r="BZ39" i="553"/>
  <c r="BX39" i="553"/>
  <c r="BF39" i="553"/>
  <c r="BE39" i="553"/>
  <c r="CV39" i="553"/>
  <c r="CX38" i="553"/>
  <c r="CF38" i="553"/>
  <c r="BZ38" i="553"/>
  <c r="BE38" i="553"/>
  <c r="U38" i="553"/>
  <c r="T38" i="553"/>
  <c r="S38" i="553"/>
  <c r="R38" i="553"/>
  <c r="Q38" i="553"/>
  <c r="P38" i="553"/>
  <c r="BF38" i="553"/>
  <c r="N38" i="553"/>
  <c r="O38" i="553"/>
  <c r="L38" i="553"/>
  <c r="M38" i="553"/>
  <c r="K38" i="553"/>
  <c r="CV37" i="553"/>
  <c r="BT37" i="553"/>
  <c r="BN37" i="553"/>
  <c r="BF37" i="553"/>
  <c r="BE37" i="553"/>
  <c r="BA37" i="553"/>
  <c r="AY37" i="553"/>
  <c r="AU37" i="553"/>
  <c r="AS37" i="553"/>
  <c r="AO37" i="553"/>
  <c r="AM37" i="553"/>
  <c r="AI37" i="553"/>
  <c r="AG37" i="553"/>
  <c r="X37" i="553"/>
  <c r="M37" i="553"/>
  <c r="CW36" i="553"/>
  <c r="CR36" i="553"/>
  <c r="BT36" i="553"/>
  <c r="BN36" i="553"/>
  <c r="BL36" i="553"/>
  <c r="BF36" i="553"/>
  <c r="BE36" i="553"/>
  <c r="BG36" i="553"/>
  <c r="BA36" i="553"/>
  <c r="AY36" i="553"/>
  <c r="AS36" i="553"/>
  <c r="AU36" i="553"/>
  <c r="AM36" i="553"/>
  <c r="AO36" i="553"/>
  <c r="AG36" i="553"/>
  <c r="CX35" i="553"/>
  <c r="CF35" i="553"/>
  <c r="BT35" i="553"/>
  <c r="BN35" i="553"/>
  <c r="BL35" i="553"/>
  <c r="BE35" i="553"/>
  <c r="BG35" i="553"/>
  <c r="AY35" i="553"/>
  <c r="AQ35" i="553"/>
  <c r="AS35" i="553"/>
  <c r="AU35" i="553"/>
  <c r="AM35" i="553"/>
  <c r="AO35" i="553"/>
  <c r="AG35" i="553"/>
  <c r="AI35" i="553"/>
  <c r="T35" i="553"/>
  <c r="R35" i="553"/>
  <c r="P35" i="553"/>
  <c r="BF35" i="553"/>
  <c r="BC35" i="553"/>
  <c r="N35" i="553"/>
  <c r="AW35" i="553"/>
  <c r="L35" i="553"/>
  <c r="CX34" i="553"/>
  <c r="BZ34" i="553"/>
  <c r="BT34" i="553"/>
  <c r="BE34" i="553"/>
  <c r="BG34" i="553"/>
  <c r="X34" i="553"/>
  <c r="CW33" i="553"/>
  <c r="BZ33" i="553"/>
  <c r="BX33" i="553"/>
  <c r="BT33" i="553"/>
  <c r="BF33" i="553"/>
  <c r="BE33" i="553"/>
  <c r="CV33" i="553"/>
  <c r="CX32" i="553"/>
  <c r="CF32" i="553"/>
  <c r="BZ32" i="553"/>
  <c r="BT32" i="553"/>
  <c r="BE32" i="553"/>
  <c r="BC32" i="553"/>
  <c r="V32" i="553"/>
  <c r="U32" i="553"/>
  <c r="T32" i="553"/>
  <c r="S32" i="553"/>
  <c r="R32" i="553"/>
  <c r="Q32" i="553"/>
  <c r="P32" i="553"/>
  <c r="BF32" i="553"/>
  <c r="K32" i="553"/>
  <c r="L32" i="553"/>
  <c r="M32" i="553"/>
  <c r="N32" i="553"/>
  <c r="O32" i="553"/>
  <c r="BN31" i="553"/>
  <c r="BL31" i="553"/>
  <c r="BG31" i="553"/>
  <c r="BF31" i="553"/>
  <c r="BE31" i="553"/>
  <c r="AY31" i="553"/>
  <c r="BA31" i="553"/>
  <c r="AS31" i="553"/>
  <c r="AU31" i="553"/>
  <c r="AO31" i="553"/>
  <c r="AM31" i="553"/>
  <c r="AG31" i="553"/>
  <c r="X31" i="553"/>
  <c r="CW30" i="553"/>
  <c r="CR30" i="553"/>
  <c r="BN30" i="553"/>
  <c r="BL30" i="553"/>
  <c r="BF30" i="553"/>
  <c r="BG30" i="553"/>
  <c r="BE30" i="553"/>
  <c r="BA30" i="553"/>
  <c r="AY30" i="553"/>
  <c r="AU30" i="553"/>
  <c r="AS30" i="553"/>
  <c r="AM30" i="553"/>
  <c r="AO30" i="553"/>
  <c r="AI30" i="553"/>
  <c r="AG30" i="553"/>
  <c r="CX29" i="553"/>
  <c r="CF29" i="553"/>
  <c r="BX29" i="553"/>
  <c r="BN29" i="553"/>
  <c r="BL29" i="553"/>
  <c r="BF29" i="553"/>
  <c r="BG29" i="553"/>
  <c r="BE29" i="553"/>
  <c r="AY29" i="553"/>
  <c r="BA29" i="553"/>
  <c r="AU29" i="553"/>
  <c r="AS29" i="553"/>
  <c r="AM29" i="553"/>
  <c r="AO29" i="553"/>
  <c r="AI29" i="553"/>
  <c r="AG29" i="553"/>
  <c r="T29" i="553"/>
  <c r="U29" i="553"/>
  <c r="Q29" i="553"/>
  <c r="P29" i="553"/>
  <c r="O29" i="553"/>
  <c r="M29" i="553"/>
  <c r="L29" i="553"/>
  <c r="K29" i="553"/>
  <c r="CV28" i="553"/>
  <c r="CL28" i="553"/>
  <c r="BZ28" i="553"/>
  <c r="BT28" i="553"/>
  <c r="BG28" i="553"/>
  <c r="BF28" i="553"/>
  <c r="BE28" i="553"/>
  <c r="X28" i="553"/>
  <c r="U26" i="553"/>
  <c r="CW27" i="553"/>
  <c r="CV27" i="553"/>
  <c r="CL27" i="553"/>
  <c r="BZ27" i="553"/>
  <c r="BG27" i="553"/>
  <c r="BF27" i="553"/>
  <c r="BE27" i="553"/>
  <c r="CX26" i="553"/>
  <c r="CL26" i="553"/>
  <c r="CF26" i="553"/>
  <c r="BZ26" i="553"/>
  <c r="BT26" i="553"/>
  <c r="V26" i="553"/>
  <c r="S26" i="553"/>
  <c r="R26" i="553"/>
  <c r="K26" i="553"/>
  <c r="CX25" i="553"/>
  <c r="BF25" i="553"/>
  <c r="BE25" i="553"/>
  <c r="BG25" i="553"/>
  <c r="AU25" i="553"/>
  <c r="AS25" i="553"/>
  <c r="X25" i="553"/>
  <c r="CW25" i="553"/>
  <c r="CX24" i="553"/>
  <c r="CW24" i="553"/>
  <c r="CR24" i="553"/>
  <c r="BG24" i="553"/>
  <c r="BF24" i="553"/>
  <c r="BE24" i="553"/>
  <c r="AS24" i="553"/>
  <c r="CX23" i="553"/>
  <c r="CF23" i="553"/>
  <c r="BE23" i="553"/>
  <c r="AS23" i="553"/>
  <c r="AU23" i="553"/>
  <c r="V23" i="553"/>
  <c r="R23" i="553"/>
  <c r="Q23" i="553"/>
  <c r="N23" i="553"/>
  <c r="CW22" i="553"/>
  <c r="CX22" i="553"/>
  <c r="BZ22" i="553"/>
  <c r="BL22" i="553"/>
  <c r="BN22" i="553"/>
  <c r="BG22" i="553"/>
  <c r="BF22" i="553"/>
  <c r="BE22" i="553"/>
  <c r="AY22" i="553"/>
  <c r="BA22" i="553"/>
  <c r="AU22" i="553"/>
  <c r="AS22" i="553"/>
  <c r="X22" i="553"/>
  <c r="CX21" i="553"/>
  <c r="CL21" i="553"/>
  <c r="BZ21" i="553"/>
  <c r="BX21" i="553"/>
  <c r="BN21" i="553"/>
  <c r="BL21" i="553"/>
  <c r="BF21" i="553"/>
  <c r="BE21" i="553"/>
  <c r="BG21" i="553"/>
  <c r="BA21" i="553"/>
  <c r="AY21" i="553"/>
  <c r="AS21" i="553"/>
  <c r="AU21" i="553"/>
  <c r="CX20" i="553"/>
  <c r="CF20" i="553"/>
  <c r="BZ20" i="553"/>
  <c r="BN20" i="553"/>
  <c r="BL20" i="553"/>
  <c r="BE20" i="553"/>
  <c r="BA20" i="553"/>
  <c r="AY20" i="553"/>
  <c r="AS20" i="553"/>
  <c r="AU20" i="553"/>
  <c r="T20" i="553"/>
  <c r="S20" i="553"/>
  <c r="P20" i="553"/>
  <c r="BF20" i="553"/>
  <c r="O20" i="553"/>
  <c r="L20" i="553"/>
  <c r="K20" i="553"/>
  <c r="CL19" i="553"/>
  <c r="BZ19" i="553"/>
  <c r="BF19" i="553"/>
  <c r="BE19" i="553"/>
  <c r="AU19" i="553"/>
  <c r="AS19" i="553"/>
  <c r="AO19" i="553"/>
  <c r="AM19" i="553"/>
  <c r="CV19" i="553"/>
  <c r="AI19" i="553"/>
  <c r="AG19" i="553"/>
  <c r="X19" i="553"/>
  <c r="CX18" i="553"/>
  <c r="CL18" i="553"/>
  <c r="BZ18" i="553"/>
  <c r="BX18" i="553"/>
  <c r="BG18" i="553"/>
  <c r="BF18" i="553"/>
  <c r="BE18" i="553"/>
  <c r="AI18" i="553"/>
  <c r="CX17" i="553"/>
  <c r="CL17" i="553"/>
  <c r="BZ17" i="553"/>
  <c r="AS17" i="553"/>
  <c r="AU17" i="553"/>
  <c r="AO17" i="553"/>
  <c r="AM17" i="553"/>
  <c r="AG17" i="553"/>
  <c r="AI17" i="553"/>
  <c r="R17" i="553"/>
  <c r="N17" i="553"/>
  <c r="M17" i="553"/>
  <c r="CW16" i="553"/>
  <c r="BR16" i="553"/>
  <c r="BT16" i="553"/>
  <c r="BN16" i="553"/>
  <c r="BL16" i="553"/>
  <c r="BF16" i="553"/>
  <c r="BE16" i="553"/>
  <c r="BG16" i="553"/>
  <c r="BA16" i="553"/>
  <c r="AY16" i="553"/>
  <c r="AS16" i="553"/>
  <c r="AU16" i="553"/>
  <c r="AO16" i="553"/>
  <c r="AM16" i="553"/>
  <c r="AG16" i="553"/>
  <c r="CV16" i="553"/>
  <c r="CX16" i="553"/>
  <c r="M16" i="553"/>
  <c r="L16" i="553"/>
  <c r="X16" i="553"/>
  <c r="CW15" i="553"/>
  <c r="BT15" i="553"/>
  <c r="BN15" i="553"/>
  <c r="BL15" i="553"/>
  <c r="BG15" i="553"/>
  <c r="BF15" i="553"/>
  <c r="BE15" i="553"/>
  <c r="BA15" i="553"/>
  <c r="AY15" i="553"/>
  <c r="AU15" i="553"/>
  <c r="AS15" i="553"/>
  <c r="AM15" i="553"/>
  <c r="AO15" i="553"/>
  <c r="AI15" i="553"/>
  <c r="AG15" i="553"/>
  <c r="CW14" i="553"/>
  <c r="CX14" i="553"/>
  <c r="CV14" i="553"/>
  <c r="CT14" i="553"/>
  <c r="CE14" i="553"/>
  <c r="CF14" i="553"/>
  <c r="CD14" i="553"/>
  <c r="BT14" i="553"/>
  <c r="BL14" i="553"/>
  <c r="BN14" i="553"/>
  <c r="BA14" i="553"/>
  <c r="AY14" i="553"/>
  <c r="AS14" i="553"/>
  <c r="AU14" i="553"/>
  <c r="AK14" i="553"/>
  <c r="AQ14" i="553"/>
  <c r="AI14" i="553"/>
  <c r="AG14" i="553"/>
  <c r="V14" i="553"/>
  <c r="T14" i="553"/>
  <c r="Q14" i="553"/>
  <c r="P14" i="553"/>
  <c r="BF14" i="553"/>
  <c r="BC14" i="553"/>
  <c r="BE14" i="553"/>
  <c r="BG14" i="553"/>
  <c r="M14" i="553"/>
  <c r="L14" i="553"/>
  <c r="CV13" i="553"/>
  <c r="CX13" i="553"/>
  <c r="CR13" i="553"/>
  <c r="CL13" i="553"/>
  <c r="CW12" i="553"/>
  <c r="CR12" i="553"/>
  <c r="CL12" i="553"/>
  <c r="BT12" i="553"/>
  <c r="BR12" i="553"/>
  <c r="CV12" i="553"/>
  <c r="CX11" i="553"/>
  <c r="CR11" i="553"/>
  <c r="CL11" i="553"/>
  <c r="CF11" i="553"/>
  <c r="V11" i="553"/>
  <c r="U11" i="553"/>
  <c r="T11" i="553"/>
  <c r="Q11" i="553"/>
  <c r="K11" i="553"/>
  <c r="L11" i="553"/>
  <c r="M11" i="553"/>
  <c r="N11" i="553"/>
  <c r="O11" i="553"/>
  <c r="CV10" i="553"/>
  <c r="CX10" i="553"/>
  <c r="AO10" i="553"/>
  <c r="AM10" i="553"/>
  <c r="AG10" i="553"/>
  <c r="AI10" i="553"/>
  <c r="AC10" i="553"/>
  <c r="AA10" i="553"/>
  <c r="X10" i="553"/>
  <c r="CW10" i="553"/>
  <c r="CW9" i="553"/>
  <c r="CL9" i="553"/>
  <c r="AM9" i="553"/>
  <c r="AO9" i="553"/>
  <c r="AI9" i="553"/>
  <c r="AG9" i="553"/>
  <c r="AA9" i="553"/>
  <c r="AC9" i="553"/>
  <c r="CX8" i="553"/>
  <c r="CF8" i="553"/>
  <c r="AN8" i="553"/>
  <c r="AM8" i="553"/>
  <c r="AO8" i="553"/>
  <c r="AG8" i="553"/>
  <c r="AE8" i="553"/>
  <c r="AA8" i="553"/>
  <c r="AC8" i="553"/>
  <c r="V8" i="553"/>
  <c r="U8" i="553"/>
  <c r="T8" i="553"/>
  <c r="S8" i="553"/>
  <c r="R8" i="553"/>
  <c r="Q8" i="553"/>
  <c r="P8" i="553"/>
  <c r="O8" i="553"/>
  <c r="N8" i="553"/>
  <c r="M8" i="553"/>
  <c r="AK8" i="553"/>
  <c r="L8" i="553"/>
  <c r="K8" i="553"/>
  <c r="CS23" i="552"/>
  <c r="CU23" i="552"/>
  <c r="CO23" i="552"/>
  <c r="CM23" i="552"/>
  <c r="CI23" i="552"/>
  <c r="CG23" i="552"/>
  <c r="CC23" i="552"/>
  <c r="CA23" i="552"/>
  <c r="BW23" i="552"/>
  <c r="BU23" i="552"/>
  <c r="BQ23" i="552"/>
  <c r="BO23" i="552"/>
  <c r="BK23" i="552"/>
  <c r="BI23" i="552"/>
  <c r="BE23" i="552"/>
  <c r="BC23" i="552"/>
  <c r="AW23" i="552"/>
  <c r="AY23" i="552"/>
  <c r="AS23" i="552"/>
  <c r="AQ23" i="552"/>
  <c r="AK23" i="552"/>
  <c r="AG23" i="552"/>
  <c r="AE23" i="552"/>
  <c r="AA23" i="552"/>
  <c r="Y23" i="552"/>
  <c r="CU22" i="552"/>
  <c r="CS22" i="552"/>
  <c r="CO22" i="552"/>
  <c r="CM22" i="552"/>
  <c r="CI22" i="552"/>
  <c r="CG22" i="552"/>
  <c r="CC22" i="552"/>
  <c r="CA22" i="552"/>
  <c r="BW22" i="552"/>
  <c r="BU22" i="552"/>
  <c r="BQ22" i="552"/>
  <c r="BO22" i="552"/>
  <c r="BK22" i="552"/>
  <c r="BI22" i="552"/>
  <c r="BE22" i="552"/>
  <c r="BC22" i="552"/>
  <c r="AY22" i="552"/>
  <c r="AW22" i="552"/>
  <c r="AS22" i="552"/>
  <c r="AQ22" i="552"/>
  <c r="AK22" i="552"/>
  <c r="AE22" i="552"/>
  <c r="AG22" i="552"/>
  <c r="Y22" i="552"/>
  <c r="AA22" i="552"/>
  <c r="CS21" i="552"/>
  <c r="CU21" i="552"/>
  <c r="CO21" i="552"/>
  <c r="CM21" i="552"/>
  <c r="CI21" i="552"/>
  <c r="CG21" i="552"/>
  <c r="CC21" i="552"/>
  <c r="CA21" i="552"/>
  <c r="BW21" i="552"/>
  <c r="BU21" i="552"/>
  <c r="BQ21" i="552"/>
  <c r="BO21" i="552"/>
  <c r="BK21" i="552"/>
  <c r="BI21" i="552"/>
  <c r="BE21" i="552"/>
  <c r="BC21" i="552"/>
  <c r="AW21" i="552"/>
  <c r="AY21" i="552"/>
  <c r="AS21" i="552"/>
  <c r="AQ21" i="552"/>
  <c r="AM21" i="552"/>
  <c r="AK21" i="552"/>
  <c r="AG21" i="552"/>
  <c r="AE21" i="552"/>
  <c r="AA21" i="552"/>
  <c r="Y21" i="552"/>
  <c r="CS20" i="552"/>
  <c r="CU20" i="552"/>
  <c r="CO20" i="552"/>
  <c r="CM20" i="552"/>
  <c r="CI20" i="552"/>
  <c r="CG20" i="552"/>
  <c r="CC20" i="552"/>
  <c r="CA20" i="552"/>
  <c r="BW20" i="552"/>
  <c r="BU20" i="552"/>
  <c r="BQ20" i="552"/>
  <c r="BO20" i="552"/>
  <c r="BK20" i="552"/>
  <c r="BI20" i="552"/>
  <c r="BE20" i="552"/>
  <c r="BC20" i="552"/>
  <c r="AW20" i="552"/>
  <c r="AY20" i="552"/>
  <c r="AS20" i="552"/>
  <c r="AQ20" i="552"/>
  <c r="AM20" i="552"/>
  <c r="AK20" i="552"/>
  <c r="AG20" i="552"/>
  <c r="AE20" i="552"/>
  <c r="AA20" i="552"/>
  <c r="Y20" i="552"/>
  <c r="CS19" i="552"/>
  <c r="CU19" i="552"/>
  <c r="CO19" i="552"/>
  <c r="CM19" i="552"/>
  <c r="CI19" i="552"/>
  <c r="CG19" i="552"/>
  <c r="CC19" i="552"/>
  <c r="CA19" i="552"/>
  <c r="BW19" i="552"/>
  <c r="BU19" i="552"/>
  <c r="BQ19" i="552"/>
  <c r="BO19" i="552"/>
  <c r="BK19" i="552"/>
  <c r="BI19" i="552"/>
  <c r="BE19" i="552"/>
  <c r="BC19" i="552"/>
  <c r="AW19" i="552"/>
  <c r="AY19" i="552"/>
  <c r="AS19" i="552"/>
  <c r="AQ19" i="552"/>
  <c r="AM19" i="552"/>
  <c r="AK19" i="552"/>
  <c r="AG19" i="552"/>
  <c r="AE19" i="552"/>
  <c r="AA19" i="552"/>
  <c r="Y19" i="552"/>
  <c r="CS18" i="552"/>
  <c r="CU18" i="552"/>
  <c r="CO18" i="552"/>
  <c r="CM18" i="552"/>
  <c r="CI18" i="552"/>
  <c r="CG18" i="552"/>
  <c r="CC18" i="552"/>
  <c r="CA18" i="552"/>
  <c r="BW18" i="552"/>
  <c r="BU18" i="552"/>
  <c r="BQ18" i="552"/>
  <c r="BO18" i="552"/>
  <c r="BK18" i="552"/>
  <c r="BI18" i="552"/>
  <c r="BE18" i="552"/>
  <c r="BC18" i="552"/>
  <c r="AW18" i="552"/>
  <c r="AY18" i="552"/>
  <c r="AS18" i="552"/>
  <c r="AM18" i="552"/>
  <c r="AK18" i="552"/>
  <c r="AG18" i="552"/>
  <c r="AE18" i="552"/>
  <c r="AA18" i="552"/>
  <c r="Y18" i="552"/>
  <c r="CO17" i="552"/>
  <c r="CM17" i="552"/>
  <c r="CI17" i="552"/>
  <c r="CG17" i="552"/>
  <c r="CC17" i="552"/>
  <c r="CA17" i="552"/>
  <c r="BW17" i="552"/>
  <c r="BU17" i="552"/>
  <c r="BQ17" i="552"/>
  <c r="BO17" i="552"/>
  <c r="BK17" i="552"/>
  <c r="BI17" i="552"/>
  <c r="BE17" i="552"/>
  <c r="BC17" i="552"/>
  <c r="AS17" i="552"/>
  <c r="AQ17" i="552"/>
  <c r="AM17" i="552"/>
  <c r="AK17" i="552"/>
  <c r="AG17" i="552"/>
  <c r="AE17" i="552"/>
  <c r="AA17" i="552"/>
  <c r="Y17" i="552"/>
  <c r="CU16" i="552"/>
  <c r="CS16" i="552"/>
  <c r="CO16" i="552"/>
  <c r="CM16" i="552"/>
  <c r="CI16" i="552"/>
  <c r="CG16" i="552"/>
  <c r="CC16" i="552"/>
  <c r="CA16" i="552"/>
  <c r="BW16" i="552"/>
  <c r="BU16" i="552"/>
  <c r="BQ16" i="552"/>
  <c r="BO16" i="552"/>
  <c r="BK16" i="552"/>
  <c r="BI16" i="552"/>
  <c r="BE16" i="552"/>
  <c r="BC16" i="552"/>
  <c r="AY16" i="552"/>
  <c r="AW16" i="552"/>
  <c r="AS16" i="552"/>
  <c r="AQ16" i="552"/>
  <c r="AM16" i="552"/>
  <c r="AK16" i="552"/>
  <c r="AG16" i="552"/>
  <c r="AE16" i="552"/>
  <c r="AA16" i="552"/>
  <c r="Y16" i="552"/>
  <c r="CU13" i="552"/>
  <c r="CS13" i="552"/>
  <c r="CO13" i="552"/>
  <c r="CM13" i="552"/>
  <c r="CI13" i="552"/>
  <c r="CG13" i="552"/>
  <c r="CC13" i="552"/>
  <c r="CA13" i="552"/>
  <c r="BW13" i="552"/>
  <c r="BU13" i="552"/>
  <c r="BQ13" i="552"/>
  <c r="BO13" i="552"/>
  <c r="BK13" i="552"/>
  <c r="BI13" i="552"/>
  <c r="BE13" i="552"/>
  <c r="BC13" i="552"/>
  <c r="AY13" i="552"/>
  <c r="AS13" i="552"/>
  <c r="AQ13" i="552"/>
  <c r="AM13" i="552"/>
  <c r="AK13" i="552"/>
  <c r="AG13" i="552"/>
  <c r="AE13" i="552"/>
  <c r="AA13" i="552"/>
  <c r="Y13" i="552"/>
  <c r="CU12" i="552"/>
  <c r="AY12" i="552"/>
  <c r="CU11" i="552"/>
  <c r="AY11" i="552"/>
  <c r="CS10" i="552"/>
  <c r="CU10" i="552"/>
  <c r="CO10" i="552"/>
  <c r="CM10" i="552"/>
  <c r="CI10" i="552"/>
  <c r="CG10" i="552"/>
  <c r="CC10" i="552"/>
  <c r="CA10" i="552"/>
  <c r="BW10" i="552"/>
  <c r="BU10" i="552"/>
  <c r="BQ10" i="552"/>
  <c r="BO10" i="552"/>
  <c r="BK10" i="552"/>
  <c r="BI10" i="552"/>
  <c r="BE10" i="552"/>
  <c r="BC10" i="552"/>
  <c r="AW10" i="552"/>
  <c r="AY10" i="552"/>
  <c r="AS10" i="552"/>
  <c r="AQ10" i="552"/>
  <c r="AM10" i="552"/>
  <c r="AK10" i="552"/>
  <c r="AG10" i="552"/>
  <c r="AE10" i="552"/>
  <c r="AA10" i="552"/>
  <c r="Y10" i="552"/>
  <c r="CS9" i="552"/>
  <c r="CU9" i="552"/>
  <c r="CO9" i="552"/>
  <c r="CM9" i="552"/>
  <c r="CI9" i="552"/>
  <c r="CG9" i="552"/>
  <c r="CC9" i="552"/>
  <c r="CA9" i="552"/>
  <c r="BW9" i="552"/>
  <c r="BU9" i="552"/>
  <c r="BQ9" i="552"/>
  <c r="BO9" i="552"/>
  <c r="BK9" i="552"/>
  <c r="BI9" i="552"/>
  <c r="BE9" i="552"/>
  <c r="BC9" i="552"/>
  <c r="AW9" i="552"/>
  <c r="AY9" i="552"/>
  <c r="AS9" i="552"/>
  <c r="AQ9" i="552"/>
  <c r="AK9" i="552"/>
  <c r="AG9" i="552"/>
  <c r="AE9" i="552"/>
  <c r="AA9" i="552"/>
  <c r="Y9" i="552"/>
  <c r="CU8" i="552"/>
  <c r="CS8" i="552"/>
  <c r="CO8" i="552"/>
  <c r="CM8" i="552"/>
  <c r="CI8" i="552"/>
  <c r="CG8" i="552"/>
  <c r="CC8" i="552"/>
  <c r="CA8" i="552"/>
  <c r="BW8" i="552"/>
  <c r="BU8" i="552"/>
  <c r="BQ8" i="552"/>
  <c r="BO8" i="552"/>
  <c r="BK8" i="552"/>
  <c r="BI8" i="552"/>
  <c r="BE8" i="552"/>
  <c r="BC8" i="552"/>
  <c r="AY8" i="552"/>
  <c r="AW8" i="552"/>
  <c r="AS8" i="552"/>
  <c r="AQ8" i="552"/>
  <c r="AM8" i="552"/>
  <c r="AK8" i="552"/>
  <c r="AG8" i="552"/>
  <c r="AE8" i="552"/>
  <c r="AA8" i="552"/>
  <c r="Y8" i="552"/>
  <c r="CV31" i="550"/>
  <c r="CP31" i="550"/>
  <c r="CV30" i="550"/>
  <c r="CP30" i="550"/>
  <c r="CN30" i="550"/>
  <c r="CV29" i="550"/>
  <c r="CP29" i="550"/>
  <c r="CN29" i="550"/>
  <c r="CV28" i="550"/>
  <c r="CP28" i="550"/>
  <c r="CN28" i="550"/>
  <c r="CV27" i="550"/>
  <c r="CP27" i="550"/>
  <c r="CN27" i="550"/>
  <c r="CV26" i="550"/>
  <c r="CP26" i="550"/>
  <c r="CN26" i="550"/>
  <c r="CV25" i="550"/>
  <c r="CP25" i="550"/>
  <c r="CN25" i="550"/>
  <c r="CJ24" i="550"/>
  <c r="CH24" i="550"/>
  <c r="CD24" i="550"/>
  <c r="CB24" i="550"/>
  <c r="BX24" i="550"/>
  <c r="BV24" i="550"/>
  <c r="BT24" i="550"/>
  <c r="BR24" i="550"/>
  <c r="BP24" i="550"/>
  <c r="BL24" i="550"/>
  <c r="BJ24" i="550"/>
  <c r="BF24" i="550"/>
  <c r="BD24" i="550"/>
  <c r="AZ24" i="550"/>
  <c r="AX24" i="550"/>
  <c r="AT24" i="550"/>
  <c r="AR24" i="550"/>
  <c r="AN24" i="550"/>
  <c r="AL24" i="550"/>
  <c r="AH24" i="550"/>
  <c r="AF24" i="550"/>
  <c r="AB24" i="550"/>
  <c r="Z24" i="550"/>
  <c r="CV23" i="550"/>
  <c r="CN23" i="550"/>
  <c r="CP23" i="550"/>
  <c r="BV23" i="550"/>
  <c r="BX23" i="550"/>
  <c r="CV22" i="550"/>
  <c r="CP22" i="550"/>
  <c r="CN22" i="550"/>
  <c r="CJ22" i="550"/>
  <c r="CH22" i="550"/>
  <c r="CD22" i="550"/>
  <c r="CB22" i="550"/>
  <c r="BX22" i="550"/>
  <c r="BV22" i="550"/>
  <c r="BR22" i="550"/>
  <c r="BP22" i="550"/>
  <c r="BL22" i="550"/>
  <c r="BJ22" i="550"/>
  <c r="BF22" i="550"/>
  <c r="BD22" i="550"/>
  <c r="AZ22" i="550"/>
  <c r="AX22" i="550"/>
  <c r="AT22" i="550"/>
  <c r="AR22" i="550"/>
  <c r="AN22" i="550"/>
  <c r="AL22" i="550"/>
  <c r="AH22" i="550"/>
  <c r="AF22" i="550"/>
  <c r="AB22" i="550"/>
  <c r="CT21" i="550"/>
  <c r="CV21" i="550"/>
  <c r="CN21" i="550"/>
  <c r="CP21" i="550"/>
  <c r="CJ21" i="550"/>
  <c r="CH21" i="550"/>
  <c r="CD21" i="550"/>
  <c r="CB21" i="550"/>
  <c r="BX21" i="550"/>
  <c r="BV21" i="550"/>
  <c r="BR21" i="550"/>
  <c r="BP21" i="550"/>
  <c r="BL21" i="550"/>
  <c r="BJ21" i="550"/>
  <c r="BD21" i="550"/>
  <c r="BF21" i="550"/>
  <c r="AZ21" i="550"/>
  <c r="AX21" i="550"/>
  <c r="AT21" i="550"/>
  <c r="AR21" i="550"/>
  <c r="AN21" i="550"/>
  <c r="AL21" i="550"/>
  <c r="AH21" i="550"/>
  <c r="AF21" i="550"/>
  <c r="AB21" i="550"/>
  <c r="Z21" i="550"/>
  <c r="CT20" i="550"/>
  <c r="CV20" i="550"/>
  <c r="CP20" i="550"/>
  <c r="CJ20" i="550"/>
  <c r="CH20" i="550"/>
  <c r="CD20" i="550"/>
  <c r="CB20" i="550"/>
  <c r="BX20" i="550"/>
  <c r="BV20" i="550"/>
  <c r="BR20" i="550"/>
  <c r="BP20" i="550"/>
  <c r="BL20" i="550"/>
  <c r="BJ20" i="550"/>
  <c r="BF20" i="550"/>
  <c r="BD20" i="550"/>
  <c r="AZ20" i="550"/>
  <c r="AX20" i="550"/>
  <c r="AT20" i="550"/>
  <c r="AR20" i="550"/>
  <c r="AN20" i="550"/>
  <c r="AL20" i="550"/>
  <c r="AH20" i="550"/>
  <c r="AF20" i="550"/>
  <c r="AB20" i="550"/>
  <c r="Z20" i="550"/>
  <c r="CV19" i="550"/>
  <c r="CT19" i="550"/>
  <c r="CP19" i="550"/>
  <c r="CN19" i="550"/>
  <c r="CJ19" i="550"/>
  <c r="CH19" i="550"/>
  <c r="CD19" i="550"/>
  <c r="CB19" i="550"/>
  <c r="BX19" i="550"/>
  <c r="BV19" i="550"/>
  <c r="BR19" i="550"/>
  <c r="BP19" i="550"/>
  <c r="BL19" i="550"/>
  <c r="BJ19" i="550"/>
  <c r="BF19" i="550"/>
  <c r="BD19" i="550"/>
  <c r="AZ19" i="550"/>
  <c r="AX19" i="550"/>
  <c r="AT19" i="550"/>
  <c r="AR19" i="550"/>
  <c r="AN19" i="550"/>
  <c r="AL19" i="550"/>
  <c r="AH19" i="550"/>
  <c r="AF19" i="550"/>
  <c r="AB19" i="550"/>
  <c r="Z19" i="550"/>
  <c r="CV18" i="550"/>
  <c r="CT18" i="550"/>
  <c r="CP18" i="550"/>
  <c r="CN18" i="550"/>
  <c r="CJ18" i="550"/>
  <c r="CH18" i="550"/>
  <c r="CD18" i="550"/>
  <c r="CB18" i="550"/>
  <c r="BX18" i="550"/>
  <c r="BV18" i="550"/>
  <c r="BR18" i="550"/>
  <c r="BP18" i="550"/>
  <c r="BL18" i="550"/>
  <c r="BJ18" i="550"/>
  <c r="BF18" i="550"/>
  <c r="BD18" i="550"/>
  <c r="AZ18" i="550"/>
  <c r="AX18" i="550"/>
  <c r="AT18" i="550"/>
  <c r="AR18" i="550"/>
  <c r="AN18" i="550"/>
  <c r="AL18" i="550"/>
  <c r="AH18" i="550"/>
  <c r="AF18" i="550"/>
  <c r="AB18" i="550"/>
  <c r="Z18" i="550"/>
  <c r="CV17" i="550"/>
  <c r="CT17" i="550"/>
  <c r="CP17" i="550"/>
  <c r="CN17" i="550"/>
  <c r="CJ17" i="550"/>
  <c r="CH17" i="550"/>
  <c r="CD17" i="550"/>
  <c r="CB17" i="550"/>
  <c r="BX17" i="550"/>
  <c r="BV17" i="550"/>
  <c r="BR17" i="550"/>
  <c r="BP17" i="550"/>
  <c r="BL17" i="550"/>
  <c r="BJ17" i="550"/>
  <c r="BF17" i="550"/>
  <c r="BD17" i="550"/>
  <c r="AZ17" i="550"/>
  <c r="AX17" i="550"/>
  <c r="AT17" i="550"/>
  <c r="AR17" i="550"/>
  <c r="AN17" i="550"/>
  <c r="AL17" i="550"/>
  <c r="AH17" i="550"/>
  <c r="AF17" i="550"/>
  <c r="AB17" i="550"/>
  <c r="Z17" i="550"/>
  <c r="CV16" i="550"/>
  <c r="CT16" i="550"/>
  <c r="CP16" i="550"/>
  <c r="CN16" i="550"/>
  <c r="CJ16" i="550"/>
  <c r="CH16" i="550"/>
  <c r="CD16" i="550"/>
  <c r="CB16" i="550"/>
  <c r="BX16" i="550"/>
  <c r="BV16" i="550"/>
  <c r="BR16" i="550"/>
  <c r="BP16" i="550"/>
  <c r="BL16" i="550"/>
  <c r="BJ16" i="550"/>
  <c r="BF16" i="550"/>
  <c r="BD16" i="550"/>
  <c r="AZ16" i="550"/>
  <c r="AX16" i="550"/>
  <c r="AT16" i="550"/>
  <c r="AR16" i="550"/>
  <c r="AN16" i="550"/>
  <c r="AL16" i="550"/>
  <c r="AH16" i="550"/>
  <c r="AF16" i="550"/>
  <c r="AB16" i="550"/>
  <c r="Z16" i="550"/>
  <c r="CP15" i="550"/>
  <c r="CV14" i="550"/>
  <c r="CP14" i="550"/>
  <c r="BD14" i="550"/>
  <c r="BF14" i="550"/>
  <c r="CV13" i="550"/>
  <c r="CP13" i="550"/>
  <c r="BV13" i="550"/>
  <c r="BX13" i="550"/>
  <c r="BD13" i="550"/>
  <c r="BF13" i="550"/>
  <c r="AL13" i="550"/>
  <c r="AN13" i="550"/>
  <c r="CV12" i="550"/>
  <c r="CP12" i="550"/>
  <c r="BV12" i="550"/>
  <c r="BX12" i="550"/>
  <c r="BD12" i="550"/>
  <c r="BF12" i="550"/>
  <c r="AL12" i="550"/>
  <c r="AN12" i="550"/>
  <c r="CV11" i="550"/>
  <c r="CT11" i="550"/>
  <c r="CP11" i="550"/>
  <c r="CN11" i="550"/>
  <c r="CJ11" i="550"/>
  <c r="CH11" i="550"/>
  <c r="CD11" i="550"/>
  <c r="CB11" i="550"/>
  <c r="BX11" i="550"/>
  <c r="BV11" i="550"/>
  <c r="BR11" i="550"/>
  <c r="BP11" i="550"/>
  <c r="BJ11" i="550"/>
  <c r="BL11" i="550"/>
  <c r="BF11" i="550"/>
  <c r="BD11" i="550"/>
  <c r="AZ11" i="550"/>
  <c r="AX11" i="550"/>
  <c r="AT11" i="550"/>
  <c r="AR11" i="550"/>
  <c r="AN11" i="550"/>
  <c r="AL11" i="550"/>
  <c r="AH11" i="550"/>
  <c r="AF11" i="550"/>
  <c r="AB11" i="550"/>
  <c r="Z11" i="550"/>
  <c r="CV10" i="550"/>
  <c r="CT10" i="550"/>
  <c r="CP10" i="550"/>
  <c r="CN10" i="550"/>
  <c r="CJ10" i="550"/>
  <c r="CH10" i="550"/>
  <c r="CD10" i="550"/>
  <c r="CB10" i="550"/>
  <c r="BX10" i="550"/>
  <c r="BV10" i="550"/>
  <c r="BR10" i="550"/>
  <c r="BP10" i="550"/>
  <c r="BL10" i="550"/>
  <c r="BJ10" i="550"/>
  <c r="BD10" i="550"/>
  <c r="BF10" i="550"/>
  <c r="AZ10" i="550"/>
  <c r="AX10" i="550"/>
  <c r="AT10" i="550"/>
  <c r="AR10" i="550"/>
  <c r="AL10" i="550"/>
  <c r="AN10" i="550"/>
  <c r="AH10" i="550"/>
  <c r="AF10" i="550"/>
  <c r="AB10" i="550"/>
  <c r="Z10" i="550"/>
  <c r="CT9" i="550"/>
  <c r="CV9" i="550"/>
  <c r="CN9" i="550"/>
  <c r="CP9" i="550"/>
  <c r="CJ9" i="550"/>
  <c r="CH9" i="550"/>
  <c r="CD9" i="550"/>
  <c r="CB9" i="550"/>
  <c r="BV9" i="550"/>
  <c r="BX9" i="550"/>
  <c r="BR9" i="550"/>
  <c r="BP9" i="550"/>
  <c r="BL9" i="550"/>
  <c r="BJ9" i="550"/>
  <c r="BD9" i="550"/>
  <c r="BF9" i="550"/>
  <c r="AZ9" i="550"/>
  <c r="AX9" i="550"/>
  <c r="AT9" i="550"/>
  <c r="AR9" i="550"/>
  <c r="AL9" i="550"/>
  <c r="AN9" i="550"/>
  <c r="AH9" i="550"/>
  <c r="AF9" i="550"/>
  <c r="AB9" i="550"/>
  <c r="Z9" i="550"/>
  <c r="CT8" i="550"/>
  <c r="CV8" i="550"/>
  <c r="CN8" i="550"/>
  <c r="CP8" i="550"/>
  <c r="CJ8" i="550"/>
  <c r="CH8" i="550"/>
  <c r="CD8" i="550"/>
  <c r="CB8" i="550"/>
  <c r="BV8" i="550"/>
  <c r="BX8" i="550"/>
  <c r="BR8" i="550"/>
  <c r="BP8" i="550"/>
  <c r="BL8" i="550"/>
  <c r="BJ8" i="550"/>
  <c r="BD8" i="550"/>
  <c r="BF8" i="550"/>
  <c r="AZ8" i="550"/>
  <c r="AX8" i="550"/>
  <c r="AT8" i="550"/>
  <c r="AR8" i="550"/>
  <c r="AL8" i="550"/>
  <c r="AN8" i="550"/>
  <c r="AH8" i="550"/>
  <c r="AF8" i="550"/>
  <c r="AB8" i="550"/>
  <c r="Z8" i="550"/>
  <c r="CT12" i="542"/>
  <c r="CV12" i="542"/>
  <c r="CV15" i="542"/>
  <c r="BF21" i="542"/>
  <c r="CN21" i="542"/>
  <c r="CP21" i="542"/>
  <c r="CT21" i="542"/>
  <c r="CV21" i="542"/>
  <c r="CV19" i="542"/>
  <c r="CT19" i="542"/>
  <c r="CN19" i="542"/>
  <c r="CP19" i="542"/>
  <c r="CP12" i="542"/>
  <c r="CJ19" i="542"/>
  <c r="CH19" i="542"/>
  <c r="CD19" i="542"/>
  <c r="CB19" i="542"/>
  <c r="BX19" i="542"/>
  <c r="BV19" i="542"/>
  <c r="BR19" i="542"/>
  <c r="BP19" i="542"/>
  <c r="BL19" i="542"/>
  <c r="BJ19" i="542"/>
  <c r="BF19" i="542"/>
  <c r="BD19" i="542"/>
  <c r="AZ19" i="542"/>
  <c r="AX19" i="542"/>
  <c r="AT19" i="542"/>
  <c r="AR19" i="542"/>
  <c r="AN19" i="542"/>
  <c r="AL19" i="542"/>
  <c r="AH19" i="542"/>
  <c r="AF19" i="542"/>
  <c r="AB19" i="542"/>
  <c r="Z19" i="542"/>
  <c r="BX21" i="542"/>
  <c r="BV16" i="542"/>
  <c r="BX14" i="542"/>
  <c r="BX13" i="542"/>
  <c r="BX12" i="542"/>
  <c r="BX11" i="542"/>
  <c r="BX10" i="542"/>
  <c r="BX9" i="542"/>
  <c r="BX8" i="542"/>
  <c r="BV17" i="542"/>
  <c r="BX18" i="542"/>
  <c r="BD21" i="542"/>
  <c r="BF14" i="542"/>
  <c r="BF13" i="542"/>
  <c r="BF12" i="542"/>
  <c r="BF11" i="542"/>
  <c r="BF10" i="542"/>
  <c r="BF9" i="542"/>
  <c r="BF8" i="542"/>
  <c r="AZ20" i="542"/>
  <c r="AL16" i="542"/>
  <c r="AN16" i="542"/>
  <c r="AN14" i="542"/>
  <c r="AN13" i="542"/>
  <c r="AN12" i="542"/>
  <c r="AN11" i="542"/>
  <c r="AN10" i="542"/>
  <c r="AN9" i="542"/>
  <c r="Z20" i="542"/>
  <c r="AF20" i="542"/>
  <c r="AL21" i="542"/>
  <c r="AN21" i="542"/>
  <c r="CT10" i="542"/>
  <c r="CV10" i="542"/>
  <c r="CP10" i="542"/>
  <c r="CJ10" i="542"/>
  <c r="CH10" i="542"/>
  <c r="CD10" i="542"/>
  <c r="CB10" i="542"/>
  <c r="BR10" i="542"/>
  <c r="BP10" i="542"/>
  <c r="BL10" i="542"/>
  <c r="BJ10" i="542"/>
  <c r="AZ10" i="542"/>
  <c r="AX10" i="542"/>
  <c r="AT10" i="542"/>
  <c r="AR10" i="542"/>
  <c r="AH10" i="542"/>
  <c r="AF10" i="542"/>
  <c r="AB10" i="542"/>
  <c r="Z10" i="542"/>
  <c r="CT9" i="542"/>
  <c r="CV9" i="542"/>
  <c r="CP9" i="542"/>
  <c r="CJ9" i="542"/>
  <c r="CH9" i="542"/>
  <c r="CD9" i="542"/>
  <c r="CB9" i="542"/>
  <c r="BR9" i="542"/>
  <c r="BP9" i="542"/>
  <c r="BL9" i="542"/>
  <c r="BJ9" i="542"/>
  <c r="AZ9" i="542"/>
  <c r="AX9" i="542"/>
  <c r="AT9" i="542"/>
  <c r="AR9" i="542"/>
  <c r="AH9" i="542"/>
  <c r="AF9" i="542"/>
  <c r="AB9" i="542"/>
  <c r="Z9" i="542"/>
  <c r="CV8" i="542"/>
  <c r="CT8" i="542"/>
  <c r="CP8" i="542"/>
  <c r="CJ8" i="542"/>
  <c r="CH8" i="542"/>
  <c r="CD8" i="542"/>
  <c r="CB8" i="542"/>
  <c r="BR8" i="542"/>
  <c r="BP8" i="542"/>
  <c r="BL8" i="542"/>
  <c r="BJ8" i="542"/>
  <c r="AZ8" i="542"/>
  <c r="AX8" i="542"/>
  <c r="AT8" i="542"/>
  <c r="AR8" i="542"/>
  <c r="AN8" i="542"/>
  <c r="AH8" i="542"/>
  <c r="AF8" i="542"/>
  <c r="AB8" i="542"/>
  <c r="Z8" i="542"/>
  <c r="CJ21" i="542"/>
  <c r="CH21" i="542"/>
  <c r="CD21" i="542"/>
  <c r="CB21" i="542"/>
  <c r="BR21" i="542"/>
  <c r="BP21" i="542"/>
  <c r="BL21" i="542"/>
  <c r="BJ21" i="542"/>
  <c r="AZ21" i="542"/>
  <c r="AX21" i="542"/>
  <c r="AT21" i="542"/>
  <c r="AR21" i="542"/>
  <c r="AH21" i="542"/>
  <c r="AF21" i="542"/>
  <c r="AB21" i="542"/>
  <c r="Z21" i="542"/>
  <c r="CV20" i="542"/>
  <c r="CP20" i="542"/>
  <c r="CJ20" i="542"/>
  <c r="CB20" i="542"/>
  <c r="CD20" i="542"/>
  <c r="BV20" i="542"/>
  <c r="BX20" i="542"/>
  <c r="BP20" i="542"/>
  <c r="BR20" i="542"/>
  <c r="BL20" i="542"/>
  <c r="BJ20" i="542"/>
  <c r="BD20" i="542"/>
  <c r="BF20" i="542"/>
  <c r="AT20" i="542"/>
  <c r="AN20" i="542"/>
  <c r="AH20" i="542"/>
  <c r="AB20" i="542"/>
  <c r="CV18" i="542"/>
  <c r="CP18" i="542"/>
  <c r="CJ18" i="542"/>
  <c r="CH18" i="542"/>
  <c r="CD18" i="542"/>
  <c r="CB18" i="542"/>
  <c r="BP18" i="542"/>
  <c r="BR18" i="542"/>
  <c r="BL18" i="542"/>
  <c r="BJ18" i="542"/>
  <c r="BF18" i="542"/>
  <c r="BD18" i="542"/>
  <c r="AZ18" i="542"/>
  <c r="AX18" i="542"/>
  <c r="AT18" i="542"/>
  <c r="AR18" i="542"/>
  <c r="AN18" i="542"/>
  <c r="AL18" i="542"/>
  <c r="AH18" i="542"/>
  <c r="AF18" i="542"/>
  <c r="Z18" i="542"/>
  <c r="AB18" i="542"/>
  <c r="CT17" i="542"/>
  <c r="CN17" i="542"/>
  <c r="CJ17" i="542"/>
  <c r="CH17" i="542"/>
  <c r="CB17" i="542"/>
  <c r="BR17" i="542"/>
  <c r="BP17" i="542"/>
  <c r="BL17" i="542"/>
  <c r="BJ17" i="542"/>
  <c r="BF17" i="542"/>
  <c r="BD17" i="542"/>
  <c r="AZ17" i="542"/>
  <c r="AX17" i="542"/>
  <c r="AT17" i="542"/>
  <c r="AR17" i="542"/>
  <c r="AN17" i="542"/>
  <c r="AL17" i="542"/>
  <c r="AH17" i="542"/>
  <c r="AF17" i="542"/>
  <c r="AB17" i="542"/>
  <c r="Z17" i="542"/>
  <c r="CT16" i="542"/>
  <c r="CJ16" i="542"/>
  <c r="CH16" i="542"/>
  <c r="CD16" i="542"/>
  <c r="CB16" i="542"/>
  <c r="BR16" i="542"/>
  <c r="BP16" i="542"/>
  <c r="BL16" i="542"/>
  <c r="BJ16" i="542"/>
  <c r="BD16" i="542"/>
  <c r="BF16" i="542"/>
  <c r="AZ16" i="542"/>
  <c r="AX16" i="542"/>
  <c r="AT16" i="542"/>
  <c r="AR16" i="542"/>
  <c r="AH16" i="542"/>
  <c r="AF16" i="542"/>
  <c r="AB16" i="542"/>
  <c r="Z16" i="542"/>
  <c r="CT14" i="542"/>
  <c r="CV14" i="542"/>
  <c r="CP14" i="542"/>
  <c r="CJ14" i="542"/>
  <c r="CH14" i="542"/>
  <c r="CD14" i="542"/>
  <c r="CB14" i="542"/>
  <c r="BR14" i="542"/>
  <c r="BP14" i="542"/>
  <c r="BL14" i="542"/>
  <c r="BJ14" i="542"/>
  <c r="AZ14" i="542"/>
  <c r="AX14" i="542"/>
  <c r="AT14" i="542"/>
  <c r="AR14" i="542"/>
  <c r="AH14" i="542"/>
  <c r="AF14" i="542"/>
  <c r="AB14" i="542"/>
  <c r="Z14" i="542"/>
  <c r="CT13" i="542"/>
  <c r="CV13" i="542"/>
  <c r="CP13" i="542"/>
  <c r="CJ13" i="542"/>
  <c r="CH13" i="542"/>
  <c r="CD13" i="542"/>
  <c r="CB13" i="542"/>
  <c r="BR13" i="542"/>
  <c r="BP13" i="542"/>
  <c r="BL13" i="542"/>
  <c r="BJ13" i="542"/>
  <c r="AZ13" i="542"/>
  <c r="AX13" i="542"/>
  <c r="AT13" i="542"/>
  <c r="AR13" i="542"/>
  <c r="AH13" i="542"/>
  <c r="AF13" i="542"/>
  <c r="AB13" i="542"/>
  <c r="Z13" i="542"/>
  <c r="CV11" i="542"/>
  <c r="CT11" i="542"/>
  <c r="CP11" i="542"/>
  <c r="CJ11" i="542"/>
  <c r="CH11" i="542"/>
  <c r="CD11" i="542"/>
  <c r="CB11" i="542"/>
  <c r="BR11" i="542"/>
  <c r="BP11" i="542"/>
  <c r="BL11" i="542"/>
  <c r="BJ11" i="542"/>
  <c r="AZ11" i="542"/>
  <c r="AX11" i="542"/>
  <c r="AT11" i="542"/>
  <c r="AR11" i="542"/>
  <c r="AH11" i="542"/>
  <c r="AF11" i="542"/>
  <c r="AB11" i="542"/>
  <c r="Z11" i="542"/>
  <c r="BB20" i="555"/>
  <c r="AX20" i="555"/>
  <c r="AZ20" i="555"/>
  <c r="AN18" i="555"/>
  <c r="AW18" i="555"/>
  <c r="AQ18" i="555"/>
  <c r="AL18" i="555"/>
  <c r="BE18" i="555"/>
  <c r="AJ19" i="555"/>
  <c r="AJ20" i="555"/>
  <c r="AL20" i="555"/>
  <c r="AH18" i="555"/>
  <c r="BK18" i="555"/>
  <c r="BQ18" i="555"/>
  <c r="AF18" i="555"/>
  <c r="AY18" i="555"/>
  <c r="BF8" i="554"/>
  <c r="BU9" i="554"/>
  <c r="AW9" i="554"/>
  <c r="AX9" i="554"/>
  <c r="BO9" i="554"/>
  <c r="BP9" i="554"/>
  <c r="BR9" i="554"/>
  <c r="CA9" i="554"/>
  <c r="CB9" i="554"/>
  <c r="CM9" i="554"/>
  <c r="CN9" i="554"/>
  <c r="CP9" i="554"/>
  <c r="CG10" i="554"/>
  <c r="CH10" i="554"/>
  <c r="AK8" i="554"/>
  <c r="AL8" i="554"/>
  <c r="CS8" i="554"/>
  <c r="CS9" i="554"/>
  <c r="CT9" i="554"/>
  <c r="BC10" i="554"/>
  <c r="AF12" i="554"/>
  <c r="CJ8" i="554"/>
  <c r="Y9" i="554"/>
  <c r="Z9" i="554"/>
  <c r="AB9" i="554"/>
  <c r="AE9" i="554"/>
  <c r="AK9" i="554"/>
  <c r="AL9" i="554"/>
  <c r="AN9" i="554"/>
  <c r="CD9" i="554"/>
  <c r="Y10" i="554"/>
  <c r="Z10" i="554"/>
  <c r="AE10" i="554"/>
  <c r="AF10" i="554"/>
  <c r="BJ13" i="554"/>
  <c r="BI15" i="554"/>
  <c r="BJ15" i="554"/>
  <c r="AK15" i="554"/>
  <c r="AL15" i="554"/>
  <c r="CS15" i="554"/>
  <c r="CT15" i="554"/>
  <c r="CV15" i="554"/>
  <c r="AW15" i="554"/>
  <c r="Y15" i="554"/>
  <c r="Z15" i="554"/>
  <c r="BU15" i="554"/>
  <c r="AE15" i="554"/>
  <c r="AF15" i="554"/>
  <c r="CA15" i="554"/>
  <c r="CB15" i="554"/>
  <c r="AQ15" i="554"/>
  <c r="AR15" i="554"/>
  <c r="BC15" i="554"/>
  <c r="BD15" i="554"/>
  <c r="CG9" i="554"/>
  <c r="CH9" i="554"/>
  <c r="BU10" i="554"/>
  <c r="BV10" i="554"/>
  <c r="BX10" i="554"/>
  <c r="AW10" i="554"/>
  <c r="CS10" i="554"/>
  <c r="CT10" i="554"/>
  <c r="CV10" i="554"/>
  <c r="BO10" i="554"/>
  <c r="BP10" i="554"/>
  <c r="BR10" i="554"/>
  <c r="AQ10" i="554"/>
  <c r="AR10" i="554"/>
  <c r="AT10" i="554"/>
  <c r="CA10" i="554"/>
  <c r="CB10" i="554"/>
  <c r="CD10" i="554"/>
  <c r="CA8" i="554"/>
  <c r="CB8" i="554"/>
  <c r="CD8" i="554"/>
  <c r="BC8" i="554"/>
  <c r="BD8" i="554"/>
  <c r="Y8" i="554"/>
  <c r="Z8" i="554"/>
  <c r="AW8" i="554"/>
  <c r="AX8" i="554"/>
  <c r="AZ8" i="554"/>
  <c r="BI8" i="554"/>
  <c r="BO8" i="554"/>
  <c r="BP8" i="554"/>
  <c r="BR8" i="554"/>
  <c r="AQ9" i="554"/>
  <c r="AR9" i="554"/>
  <c r="BC9" i="554"/>
  <c r="BI9" i="554"/>
  <c r="BJ9" i="554"/>
  <c r="AK10" i="554"/>
  <c r="AL10" i="554"/>
  <c r="CM10" i="554"/>
  <c r="CN10" i="554"/>
  <c r="CP10" i="554"/>
  <c r="CM15" i="554"/>
  <c r="CN15" i="554"/>
  <c r="CP15" i="554"/>
  <c r="CS11" i="554"/>
  <c r="CT11" i="554"/>
  <c r="CV11" i="554"/>
  <c r="CM11" i="554"/>
  <c r="CN11" i="554"/>
  <c r="CG11" i="554"/>
  <c r="CH11" i="554"/>
  <c r="CA11" i="554"/>
  <c r="CB11" i="554"/>
  <c r="BU11" i="554"/>
  <c r="BV11" i="554"/>
  <c r="AW11" i="554"/>
  <c r="AQ11" i="554"/>
  <c r="AR11" i="554"/>
  <c r="BC11" i="554"/>
  <c r="BD11" i="554"/>
  <c r="BI11" i="554"/>
  <c r="BJ11" i="554"/>
  <c r="CS13" i="554"/>
  <c r="CT13" i="554"/>
  <c r="CV13" i="554"/>
  <c r="AQ13" i="554"/>
  <c r="AR13" i="554"/>
  <c r="BO13" i="554"/>
  <c r="BP13" i="554"/>
  <c r="CM13" i="554"/>
  <c r="BR22" i="554"/>
  <c r="CD22" i="554"/>
  <c r="AN23" i="554"/>
  <c r="BX23" i="554"/>
  <c r="CJ23" i="554"/>
  <c r="CD19" i="554"/>
  <c r="CV19" i="554"/>
  <c r="AT20" i="554"/>
  <c r="BF20" i="554"/>
  <c r="BR20" i="554"/>
  <c r="CD20" i="554"/>
  <c r="CP20" i="554"/>
  <c r="AB21" i="554"/>
  <c r="AN21" i="554"/>
  <c r="AZ21" i="554"/>
  <c r="BL21" i="554"/>
  <c r="BX21" i="554"/>
  <c r="CJ21" i="554"/>
  <c r="CV21" i="554"/>
  <c r="CV24" i="554"/>
  <c r="AK12" i="554"/>
  <c r="AL12" i="554"/>
  <c r="AK14" i="554"/>
  <c r="CV9" i="553"/>
  <c r="BG20" i="553"/>
  <c r="AC60" i="553"/>
  <c r="CV60" i="553"/>
  <c r="CY60" i="553"/>
  <c r="AI16" i="553"/>
  <c r="BG19" i="553"/>
  <c r="X41" i="553"/>
  <c r="CW41" i="553"/>
  <c r="BY73" i="553"/>
  <c r="BZ73" i="553"/>
  <c r="CV31" i="553"/>
  <c r="CX31" i="553"/>
  <c r="AI31" i="553"/>
  <c r="BG32" i="553"/>
  <c r="CV36" i="553"/>
  <c r="AI36" i="553"/>
  <c r="CX41" i="553"/>
  <c r="AH8" i="553"/>
  <c r="AI8" i="553"/>
  <c r="AM14" i="553"/>
  <c r="AO14" i="553"/>
  <c r="O14" i="553"/>
  <c r="K14" i="553"/>
  <c r="R14" i="553"/>
  <c r="S14" i="553"/>
  <c r="N14" i="553"/>
  <c r="U17" i="553"/>
  <c r="P17" i="553"/>
  <c r="L17" i="553"/>
  <c r="CW19" i="553"/>
  <c r="CX19" i="553"/>
  <c r="T17" i="553"/>
  <c r="O17" i="553"/>
  <c r="K17" i="553"/>
  <c r="AU24" i="553"/>
  <c r="CV24" i="553"/>
  <c r="V29" i="553"/>
  <c r="CV51" i="553"/>
  <c r="CY51" i="553"/>
  <c r="AC51" i="553"/>
  <c r="CV59" i="553"/>
  <c r="CX59" i="553"/>
  <c r="AC59" i="553"/>
  <c r="CV61" i="553"/>
  <c r="CY61" i="553"/>
  <c r="CV30" i="553"/>
  <c r="CV43" i="553"/>
  <c r="CY43" i="553"/>
  <c r="AC43" i="553"/>
  <c r="CV56" i="553"/>
  <c r="CX64" i="553"/>
  <c r="M20" i="553"/>
  <c r="Q20" i="553"/>
  <c r="R20" i="553"/>
  <c r="U20" i="553"/>
  <c r="V20" i="553"/>
  <c r="K23" i="553"/>
  <c r="L23" i="553"/>
  <c r="M23" i="553"/>
  <c r="O23" i="553"/>
  <c r="S23" i="553"/>
  <c r="L26" i="553"/>
  <c r="M26" i="553"/>
  <c r="N26" i="553"/>
  <c r="O26" i="553"/>
  <c r="P26" i="553"/>
  <c r="BF26" i="553"/>
  <c r="BC26" i="553"/>
  <c r="BE26" i="553"/>
  <c r="BG26" i="553"/>
  <c r="T26" i="553"/>
  <c r="N29" i="553"/>
  <c r="R29" i="553"/>
  <c r="S29" i="553"/>
  <c r="S35" i="553"/>
  <c r="O35" i="553"/>
  <c r="AZ35" i="553"/>
  <c r="BA35" i="553"/>
  <c r="K35" i="553"/>
  <c r="CW37" i="553"/>
  <c r="CX37" i="553"/>
  <c r="U35" i="553"/>
  <c r="V35" i="553"/>
  <c r="Q35" i="553"/>
  <c r="M35" i="553"/>
  <c r="X38" i="553"/>
  <c r="CZ44" i="553"/>
  <c r="X44" i="553"/>
  <c r="CW44" i="553"/>
  <c r="CX44" i="553"/>
  <c r="X47" i="553"/>
  <c r="CW47" i="553"/>
  <c r="CV47" i="553"/>
  <c r="CX47" i="553"/>
  <c r="AO47" i="553"/>
  <c r="BG47" i="553"/>
  <c r="AC48" i="553"/>
  <c r="CV48" i="553"/>
  <c r="CY48" i="553"/>
  <c r="CV50" i="553"/>
  <c r="X53" i="553"/>
  <c r="CW53" i="553"/>
  <c r="BG53" i="553"/>
  <c r="CV54" i="553"/>
  <c r="CY54" i="553"/>
  <c r="AC54" i="553"/>
  <c r="AC56" i="553"/>
  <c r="BG56" i="553"/>
  <c r="CF73" i="553"/>
  <c r="CX74" i="553"/>
  <c r="CW28" i="553"/>
  <c r="CX28" i="553"/>
  <c r="CV45" i="553"/>
  <c r="CY45" i="553"/>
  <c r="AC45" i="553"/>
  <c r="CV52" i="553"/>
  <c r="CY52" i="553"/>
  <c r="AC52" i="553"/>
  <c r="CV63" i="553"/>
  <c r="CX63" i="553"/>
  <c r="N20" i="553"/>
  <c r="P23" i="553"/>
  <c r="BF23" i="553"/>
  <c r="BG23" i="553"/>
  <c r="T23" i="553"/>
  <c r="Q26" i="553"/>
  <c r="BG37" i="553"/>
  <c r="BG38" i="553"/>
  <c r="BF47" i="553"/>
  <c r="CZ50" i="553"/>
  <c r="CV53" i="553"/>
  <c r="CX53" i="553"/>
  <c r="AC53" i="553"/>
  <c r="X56" i="553"/>
  <c r="BG57" i="553"/>
  <c r="BG58" i="553"/>
  <c r="BG33" i="553"/>
  <c r="BG39" i="553"/>
  <c r="X50" i="553"/>
  <c r="CW50" i="553"/>
  <c r="BC18" i="555"/>
  <c r="AX18" i="555"/>
  <c r="AZ18" i="555"/>
  <c r="AL19" i="555"/>
  <c r="AN19" i="555"/>
  <c r="AP19" i="555"/>
  <c r="AR18" i="555"/>
  <c r="AT18" i="555"/>
  <c r="BH20" i="555"/>
  <c r="BD20" i="555"/>
  <c r="BF20" i="555"/>
  <c r="X35" i="553"/>
  <c r="W58" i="553"/>
  <c r="CW56" i="553"/>
  <c r="CX50" i="553"/>
  <c r="BF17" i="553"/>
  <c r="BC17" i="553"/>
  <c r="BE17" i="553"/>
  <c r="BG17" i="553"/>
  <c r="Q17" i="553"/>
  <c r="CX56" i="553"/>
  <c r="AR19" i="555"/>
  <c r="AT19" i="555"/>
  <c r="AV19" i="555"/>
  <c r="BI18" i="555"/>
  <c r="BD18" i="555"/>
  <c r="BF18" i="555"/>
  <c r="BN20" i="555"/>
  <c r="BJ20" i="555"/>
  <c r="BL20" i="555"/>
  <c r="BL18" i="555"/>
  <c r="BO18" i="555"/>
  <c r="BJ18" i="555"/>
  <c r="BT20" i="555"/>
  <c r="BP20" i="555"/>
  <c r="BR20" i="555"/>
  <c r="AX19" i="555"/>
  <c r="AZ19" i="555"/>
  <c r="BB19" i="555"/>
  <c r="BZ20" i="555"/>
  <c r="BV20" i="555"/>
  <c r="BX20" i="555"/>
  <c r="BD19" i="555"/>
  <c r="BF19" i="555"/>
  <c r="BH19" i="555"/>
  <c r="BR18" i="555"/>
  <c r="BU18" i="555"/>
  <c r="BP18" i="555"/>
  <c r="BJ19" i="555"/>
  <c r="BL19" i="555"/>
  <c r="BN19" i="555"/>
  <c r="CA18" i="555"/>
  <c r="BV18" i="555"/>
  <c r="BX18" i="555"/>
  <c r="CF20" i="555"/>
  <c r="CB20" i="555"/>
  <c r="CD20" i="555"/>
  <c r="CG18" i="555"/>
  <c r="CB18" i="555"/>
  <c r="CD18" i="555"/>
  <c r="CL20" i="555"/>
  <c r="CN20" i="555"/>
  <c r="CP20" i="555"/>
  <c r="CH20" i="555"/>
  <c r="CJ20" i="555"/>
  <c r="BP19" i="555"/>
  <c r="BR19" i="555"/>
  <c r="BT19" i="555"/>
  <c r="BV19" i="555"/>
  <c r="BX19" i="555"/>
  <c r="BZ19" i="555"/>
  <c r="CM18" i="555"/>
  <c r="CH18" i="555"/>
  <c r="CJ18" i="555"/>
  <c r="CP18" i="555"/>
  <c r="CN18" i="555"/>
  <c r="CB19" i="555"/>
  <c r="CD19" i="555"/>
  <c r="CF19" i="555"/>
  <c r="CL19" i="555"/>
  <c r="CN19" i="555"/>
  <c r="CP19" i="555"/>
  <c r="CH19" i="555"/>
  <c r="CJ19" i="555"/>
  <c r="BX8" i="554"/>
  <c r="AN9" i="562"/>
  <c r="CV8" i="554"/>
  <c r="AT11" i="562"/>
  <c r="AR11" i="562"/>
  <c r="BW8" i="576"/>
  <c r="BU8" i="576"/>
  <c r="CS8" i="576"/>
  <c r="CU9" i="576"/>
  <c r="CV9" i="576"/>
  <c r="BP10" i="576"/>
  <c r="CS10" i="576"/>
  <c r="BX17" i="554"/>
  <c r="BR23" i="554"/>
  <c r="Z8" i="562"/>
  <c r="AB8" i="562"/>
  <c r="AN8" i="562"/>
  <c r="AB9" i="562"/>
  <c r="AN11" i="562"/>
  <c r="BR10" i="576"/>
  <c r="AT8" i="562"/>
  <c r="BR19" i="554"/>
  <c r="CV22" i="554"/>
  <c r="BF23" i="554"/>
  <c r="CU8" i="576"/>
  <c r="CT8" i="576"/>
  <c r="CV8" i="576"/>
  <c r="CV22" i="576"/>
  <c r="CV10" i="576"/>
  <c r="CT10" i="576"/>
  <c r="BV22" i="559"/>
</calcChain>
</file>

<file path=xl/comments1.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W16" authorId="0">
      <text>
        <r>
          <rPr>
            <sz val="9"/>
            <color indexed="81"/>
            <rFont val="Tahoma"/>
            <charset val="1"/>
          </rPr>
          <t xml:space="preserve">
Usuario encargado:
OCI - Camilo Barajas </t>
        </r>
      </text>
    </comment>
    <comment ref="W17" authorId="0">
      <text>
        <r>
          <rPr>
            <sz val="9"/>
            <color indexed="81"/>
            <rFont val="Tahoma"/>
            <charset val="1"/>
          </rPr>
          <t xml:space="preserve">
usuario encargado:
OCI - wilson Herrera
</t>
        </r>
      </text>
    </comment>
    <comment ref="W18" authorId="0">
      <text>
        <r>
          <rPr>
            <sz val="9"/>
            <color indexed="81"/>
            <rFont val="Tahoma"/>
            <family val="2"/>
          </rPr>
          <t xml:space="preserve">
Usuario encargado 
OAP - Luis Arnulfo Sarmiento
         Cesar Miranda</t>
        </r>
      </text>
    </comment>
    <comment ref="D19" authorId="1">
      <text>
        <r>
          <rPr>
            <sz val="8"/>
            <color indexed="81"/>
            <rFont val="Tahoma"/>
            <family val="2"/>
          </rPr>
          <t>El términos "Documentos del SIG" hace referencia a manuales, procedimientos, formatos, instructivos, guías en cada uno de los procesos</t>
        </r>
      </text>
    </comment>
    <comment ref="W19" authorId="0">
      <text>
        <r>
          <rPr>
            <sz val="9"/>
            <color indexed="81"/>
            <rFont val="Tahoma"/>
            <family val="2"/>
          </rPr>
          <t xml:space="preserve">
Usuario encargado:
OAP - John Quiroga
         Carlos Campos </t>
        </r>
      </text>
    </comment>
    <comment ref="W20" authorId="0">
      <text>
        <r>
          <rPr>
            <sz val="9"/>
            <color indexed="81"/>
            <rFont val="Tahoma"/>
            <family val="2"/>
          </rPr>
          <t xml:space="preserve">
Usuario encargado 
STTR - Rodrigo Alvarez O
</t>
        </r>
      </text>
    </comment>
    <comment ref="W21" authorId="0">
      <text>
        <r>
          <rPr>
            <sz val="9"/>
            <color indexed="81"/>
            <rFont val="Tahoma"/>
            <family val="2"/>
          </rPr>
          <t xml:space="preserve">
Usuario encargado 
DTGC - Johana lamilla Sanchez
John Herry Cueca
</t>
        </r>
      </text>
    </comment>
  </commentList>
</comments>
</file>

<file path=xl/comments10.xml><?xml version="1.0" encoding="utf-8"?>
<comments xmlns="http://schemas.openxmlformats.org/spreadsheetml/2006/main">
  <authors>
    <author>John Alexander Quiroga Fuquene</author>
  </authors>
  <commentList>
    <comment ref="G6" authorId="0">
      <text>
        <r>
          <rPr>
            <b/>
            <sz val="9"/>
            <color indexed="81"/>
            <rFont val="Tahoma"/>
            <family val="2"/>
          </rPr>
          <t>De:
Eficacia
Eficiencia
Efectividad</t>
        </r>
      </text>
    </comment>
    <comment ref="X7" authorId="0">
      <text>
        <r>
          <rPr>
            <sz val="9"/>
            <color indexed="81"/>
            <rFont val="Tahoma"/>
            <family val="2"/>
          </rPr>
          <t>Registrar la cantidad o % ejecutada en el mes (de acuerdo a la fórmula del Indicador)</t>
        </r>
      </text>
    </comment>
    <comment ref="Y7" authorId="0">
      <text>
        <r>
          <rPr>
            <sz val="9"/>
            <color indexed="81"/>
            <rFont val="Tahoma"/>
            <family val="2"/>
          </rPr>
          <t>Registrar la cantidad o % del denominador programado en el mes (de acuerdo a la fórmula del Indicador)</t>
        </r>
      </text>
    </comment>
    <comment ref="Z7" authorId="0">
      <text>
        <r>
          <rPr>
            <sz val="9"/>
            <color indexed="81"/>
            <rFont val="Tahoma"/>
            <family val="2"/>
          </rPr>
          <t>Es la relación del Numerador sobre el denominador.
Si su fúmula no contiene un denominado, escribir en este campo "1 (uno)"</t>
        </r>
      </text>
    </comment>
    <comment ref="AA7" authorId="0">
      <text>
        <r>
          <rPr>
            <sz val="9"/>
            <color indexed="81"/>
            <rFont val="Tahoma"/>
            <family val="2"/>
          </rPr>
          <t xml:space="preserve">Corresponde al valor proyectado al mes correspondiente en la distribución anual de la caracterización </t>
        </r>
      </text>
    </comment>
    <comment ref="AB7" authorId="0">
      <text>
        <r>
          <rPr>
            <sz val="9"/>
            <color indexed="81"/>
            <rFont val="Tahoma"/>
            <family val="2"/>
          </rPr>
          <t>Se registra el valor de la meta ejecutada sobre el valor de la meta proyectada</t>
        </r>
      </text>
    </comment>
    <comment ref="AC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0">
      <text>
        <r>
          <rPr>
            <sz val="9"/>
            <color indexed="81"/>
            <rFont val="Tahoma"/>
            <family val="2"/>
          </rPr>
          <t>Registrar la cantidad o % ejecutada en el mes (de acuerdo a la fórmula del Indicador)</t>
        </r>
      </text>
    </comment>
    <comment ref="AE7" authorId="0">
      <text>
        <r>
          <rPr>
            <sz val="9"/>
            <color indexed="81"/>
            <rFont val="Tahoma"/>
            <family val="2"/>
          </rPr>
          <t>Registrar la cantidad o % del denominador programado en el mes (de acuerdo a la fórmula del Indicador)</t>
        </r>
      </text>
    </comment>
    <comment ref="AF7" authorId="0">
      <text>
        <r>
          <rPr>
            <sz val="9"/>
            <color indexed="81"/>
            <rFont val="Tahoma"/>
            <family val="2"/>
          </rPr>
          <t>Es la relación del Numerador sobre el denominador.
Si su fúmula no contiene un denominado, escribir en este campo "1 (uno)"</t>
        </r>
      </text>
    </comment>
    <comment ref="AG7" authorId="0">
      <text>
        <r>
          <rPr>
            <sz val="9"/>
            <color indexed="81"/>
            <rFont val="Tahoma"/>
            <family val="2"/>
          </rPr>
          <t xml:space="preserve">Corresponde al valor proyectado al mes correspondiente en la distribución anual de la caracterización </t>
        </r>
      </text>
    </comment>
    <comment ref="AH7" authorId="0">
      <text>
        <r>
          <rPr>
            <sz val="9"/>
            <color indexed="81"/>
            <rFont val="Tahoma"/>
            <family val="2"/>
          </rPr>
          <t>Se registra el valor de la meta ejecutada sobre el valor de la meta proyectada</t>
        </r>
      </text>
    </comment>
    <comment ref="AI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0">
      <text>
        <r>
          <rPr>
            <sz val="9"/>
            <color indexed="81"/>
            <rFont val="Tahoma"/>
            <family val="2"/>
          </rPr>
          <t>Registrar la cantidad o % ejecutada en el mes (de acuerdo a la fórmula del Indicador)</t>
        </r>
      </text>
    </comment>
    <comment ref="AK7" authorId="0">
      <text>
        <r>
          <rPr>
            <sz val="9"/>
            <color indexed="81"/>
            <rFont val="Tahoma"/>
            <family val="2"/>
          </rPr>
          <t>Registrar la cantidad o % del denominador programado en el mes (de acuerdo a la fórmula del Indicador)</t>
        </r>
      </text>
    </comment>
    <comment ref="AL7" authorId="0">
      <text>
        <r>
          <rPr>
            <sz val="9"/>
            <color indexed="81"/>
            <rFont val="Tahoma"/>
            <family val="2"/>
          </rPr>
          <t>Es la relación del Numerador sobre el denominador.
Si su fúmula no contiene un denominado, escribir en este campo "1 (uno)"</t>
        </r>
      </text>
    </comment>
    <comment ref="AM7" authorId="0">
      <text>
        <r>
          <rPr>
            <sz val="9"/>
            <color indexed="81"/>
            <rFont val="Tahoma"/>
            <family val="2"/>
          </rPr>
          <t xml:space="preserve">Corresponde al valor proyectado al mes correspondiente en la distribución anual de la caracterización </t>
        </r>
      </text>
    </comment>
    <comment ref="AN7" authorId="0">
      <text>
        <r>
          <rPr>
            <sz val="9"/>
            <color indexed="81"/>
            <rFont val="Tahoma"/>
            <family val="2"/>
          </rPr>
          <t>Se registra el valor de la meta ejecutada sobre el valor de la meta proyectada</t>
        </r>
      </text>
    </comment>
    <comment ref="AO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0">
      <text>
        <r>
          <rPr>
            <sz val="9"/>
            <color indexed="81"/>
            <rFont val="Tahoma"/>
            <family val="2"/>
          </rPr>
          <t>Registrar la cantidad o % ejecutada en el mes (de acuerdo a la fórmula del Indicador)</t>
        </r>
      </text>
    </comment>
    <comment ref="AQ7" authorId="0">
      <text>
        <r>
          <rPr>
            <sz val="9"/>
            <color indexed="81"/>
            <rFont val="Tahoma"/>
            <family val="2"/>
          </rPr>
          <t>Registrar la cantidad o % del denominador programado en el mes (de acuerdo a la fórmula del Indicador)</t>
        </r>
      </text>
    </comment>
    <comment ref="AR7" authorId="0">
      <text>
        <r>
          <rPr>
            <sz val="9"/>
            <color indexed="81"/>
            <rFont val="Tahoma"/>
            <family val="2"/>
          </rPr>
          <t>Es la relación del Numerador sobre el denominador.
Si su fúmula no contiene un denominado, escribir en este campo "1 (uno)"</t>
        </r>
      </text>
    </comment>
    <comment ref="AS7" authorId="0">
      <text>
        <r>
          <rPr>
            <sz val="9"/>
            <color indexed="81"/>
            <rFont val="Tahoma"/>
            <family val="2"/>
          </rPr>
          <t xml:space="preserve">Corresponde al valor proyectado al mes correspondiente en la distribución anual de la caracterización </t>
        </r>
      </text>
    </comment>
    <comment ref="AT7" authorId="0">
      <text>
        <r>
          <rPr>
            <sz val="9"/>
            <color indexed="81"/>
            <rFont val="Tahoma"/>
            <family val="2"/>
          </rPr>
          <t>Se registra el valor de la meta ejecutada sobre el valor de la meta proyectada</t>
        </r>
      </text>
    </comment>
    <comment ref="AU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0">
      <text>
        <r>
          <rPr>
            <sz val="9"/>
            <color indexed="81"/>
            <rFont val="Tahoma"/>
            <family val="2"/>
          </rPr>
          <t>Registrar la cantidad o % ejecutada en el mes (de acuerdo a la fórmula del Indicador)</t>
        </r>
      </text>
    </comment>
    <comment ref="AW7" authorId="0">
      <text>
        <r>
          <rPr>
            <sz val="9"/>
            <color indexed="81"/>
            <rFont val="Tahoma"/>
            <family val="2"/>
          </rPr>
          <t>Registrar la cantidad o % del denominador programado en el mes (de acuerdo a la fórmula del Indicador)</t>
        </r>
      </text>
    </comment>
    <comment ref="AX7" authorId="0">
      <text>
        <r>
          <rPr>
            <sz val="9"/>
            <color indexed="81"/>
            <rFont val="Tahoma"/>
            <family val="2"/>
          </rPr>
          <t>Es la relación del Numerador sobre el denominador.
Si su fúmula no contiene un denominado, escribir en este campo "1 (uno)"</t>
        </r>
      </text>
    </comment>
    <comment ref="AY7" authorId="0">
      <text>
        <r>
          <rPr>
            <sz val="9"/>
            <color indexed="81"/>
            <rFont val="Tahoma"/>
            <family val="2"/>
          </rPr>
          <t xml:space="preserve">Corresponde al valor proyectado al mes correspondiente en la distribución anual de la caracterización </t>
        </r>
      </text>
    </comment>
    <comment ref="AZ7" authorId="0">
      <text>
        <r>
          <rPr>
            <sz val="9"/>
            <color indexed="81"/>
            <rFont val="Tahoma"/>
            <family val="2"/>
          </rPr>
          <t>Se registra el valor de la meta ejecutada sobre el valor de la meta proyectada</t>
        </r>
      </text>
    </comment>
    <comment ref="BA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0">
      <text>
        <r>
          <rPr>
            <sz val="9"/>
            <color indexed="81"/>
            <rFont val="Tahoma"/>
            <family val="2"/>
          </rPr>
          <t>Registrar la cantidad o % ejecutada en el mes (de acuerdo a la fórmula del Indicador)</t>
        </r>
      </text>
    </comment>
    <comment ref="BC7" authorId="0">
      <text>
        <r>
          <rPr>
            <sz val="9"/>
            <color indexed="81"/>
            <rFont val="Tahoma"/>
            <family val="2"/>
          </rPr>
          <t>Registrar la cantidad o % del denominador programado en el mes (de acuerdo a la fórmula del Indicador)</t>
        </r>
      </text>
    </comment>
    <comment ref="BD7" authorId="0">
      <text>
        <r>
          <rPr>
            <sz val="9"/>
            <color indexed="81"/>
            <rFont val="Tahoma"/>
            <family val="2"/>
          </rPr>
          <t>Es la relación del Numerador sobre el denominador.
Si su fúmula no contiene un denominado, escribir en este campo "1 (uno)"</t>
        </r>
      </text>
    </comment>
    <comment ref="BE7" authorId="0">
      <text>
        <r>
          <rPr>
            <sz val="9"/>
            <color indexed="81"/>
            <rFont val="Tahoma"/>
            <family val="2"/>
          </rPr>
          <t xml:space="preserve">Corresponde al valor proyectado al mes correspondiente en la distribución anual de la caracterización </t>
        </r>
      </text>
    </comment>
    <comment ref="BF7" authorId="0">
      <text>
        <r>
          <rPr>
            <sz val="9"/>
            <color indexed="81"/>
            <rFont val="Tahoma"/>
            <family val="2"/>
          </rPr>
          <t>Se registra el valor de la meta ejecutada sobre el valor de la meta proyectada</t>
        </r>
      </text>
    </comment>
    <comment ref="BG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0">
      <text>
        <r>
          <rPr>
            <sz val="9"/>
            <color indexed="81"/>
            <rFont val="Tahoma"/>
            <family val="2"/>
          </rPr>
          <t>Registrar la cantidad o % ejecutada en el mes (de acuerdo a la fórmula del Indicador)</t>
        </r>
      </text>
    </comment>
    <comment ref="BI7" authorId="0">
      <text>
        <r>
          <rPr>
            <sz val="9"/>
            <color indexed="81"/>
            <rFont val="Tahoma"/>
            <family val="2"/>
          </rPr>
          <t>Registrar la cantidad o % del denominador programado en el mes (de acuerdo a la fórmula del Indicador)</t>
        </r>
      </text>
    </comment>
    <comment ref="BJ7" authorId="0">
      <text>
        <r>
          <rPr>
            <sz val="9"/>
            <color indexed="81"/>
            <rFont val="Tahoma"/>
            <family val="2"/>
          </rPr>
          <t>Es la relación del Numerador sobre el denominador.
Si su fúmula no contiene un denominado, escribir en este campo "1 (uno)"</t>
        </r>
      </text>
    </comment>
    <comment ref="BK7" authorId="0">
      <text>
        <r>
          <rPr>
            <sz val="9"/>
            <color indexed="81"/>
            <rFont val="Tahoma"/>
            <family val="2"/>
          </rPr>
          <t xml:space="preserve">Corresponde al valor proyectado al mes correspondiente en la distribución anual de la caracterización </t>
        </r>
      </text>
    </comment>
    <comment ref="BL7" authorId="0">
      <text>
        <r>
          <rPr>
            <sz val="9"/>
            <color indexed="81"/>
            <rFont val="Tahoma"/>
            <family val="2"/>
          </rPr>
          <t>Se registra el valor de la meta ejecutada sobre el valor de la meta proyectada</t>
        </r>
      </text>
    </comment>
    <comment ref="BM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0">
      <text>
        <r>
          <rPr>
            <sz val="9"/>
            <color indexed="81"/>
            <rFont val="Tahoma"/>
            <family val="2"/>
          </rPr>
          <t>Registrar la cantidad o % ejecutada en el mes (de acuerdo a la fórmula del Indicador)</t>
        </r>
      </text>
    </comment>
    <comment ref="BO7" authorId="0">
      <text>
        <r>
          <rPr>
            <sz val="9"/>
            <color indexed="81"/>
            <rFont val="Tahoma"/>
            <family val="2"/>
          </rPr>
          <t>Registrar la cantidad o % del denominador programado en el mes (de acuerdo a la fórmula del Indicador)</t>
        </r>
      </text>
    </comment>
    <comment ref="BP7" authorId="0">
      <text>
        <r>
          <rPr>
            <sz val="9"/>
            <color indexed="81"/>
            <rFont val="Tahoma"/>
            <family val="2"/>
          </rPr>
          <t>Es la relación del Numerador sobre el denominador.
Si su fúmula no contiene un denominado, escribir en este campo "1 (uno)"</t>
        </r>
      </text>
    </comment>
    <comment ref="BQ7" authorId="0">
      <text>
        <r>
          <rPr>
            <sz val="9"/>
            <color indexed="81"/>
            <rFont val="Tahoma"/>
            <family val="2"/>
          </rPr>
          <t xml:space="preserve">Corresponde al valor proyectado al mes correspondiente en la distribución anual de la caracterización </t>
        </r>
      </text>
    </comment>
    <comment ref="BR7" authorId="0">
      <text>
        <r>
          <rPr>
            <sz val="9"/>
            <color indexed="81"/>
            <rFont val="Tahoma"/>
            <family val="2"/>
          </rPr>
          <t>Se registra el valor de la meta ejecutada sobre el valor de la meta proyectada</t>
        </r>
      </text>
    </comment>
    <comment ref="BS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0">
      <text>
        <r>
          <rPr>
            <sz val="9"/>
            <color indexed="81"/>
            <rFont val="Tahoma"/>
            <family val="2"/>
          </rPr>
          <t>Registrar la cantidad o % ejecutada en el mes (de acuerdo a la fórmula del Indicador)</t>
        </r>
      </text>
    </comment>
    <comment ref="BU7" authorId="0">
      <text>
        <r>
          <rPr>
            <sz val="9"/>
            <color indexed="81"/>
            <rFont val="Tahoma"/>
            <family val="2"/>
          </rPr>
          <t>Registrar la cantidad o % del denominador programado en el mes (de acuerdo a la fórmula del Indicador)</t>
        </r>
      </text>
    </comment>
    <comment ref="BV7" authorId="0">
      <text>
        <r>
          <rPr>
            <sz val="9"/>
            <color indexed="81"/>
            <rFont val="Tahoma"/>
            <family val="2"/>
          </rPr>
          <t>Es la relación del Numerador sobre el denominador.
Si su fúmula no contiene un denominado, escribir en este campo "1 (uno)"</t>
        </r>
      </text>
    </comment>
    <comment ref="BW7" authorId="0">
      <text>
        <r>
          <rPr>
            <sz val="9"/>
            <color indexed="81"/>
            <rFont val="Tahoma"/>
            <family val="2"/>
          </rPr>
          <t xml:space="preserve">Corresponde al valor proyectado al mes correspondiente en la distribución anual de la caracterización </t>
        </r>
      </text>
    </comment>
    <comment ref="BX7" authorId="0">
      <text>
        <r>
          <rPr>
            <sz val="9"/>
            <color indexed="81"/>
            <rFont val="Tahoma"/>
            <family val="2"/>
          </rPr>
          <t>Se registra el valor de la meta ejecutada sobre el valor de la meta proyectada</t>
        </r>
      </text>
    </comment>
    <comment ref="BY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0">
      <text>
        <r>
          <rPr>
            <sz val="9"/>
            <color indexed="81"/>
            <rFont val="Tahoma"/>
            <family val="2"/>
          </rPr>
          <t>Registrar la cantidad o % ejecutada en el mes (de acuerdo a la fórmula del Indicador)</t>
        </r>
      </text>
    </comment>
    <comment ref="CA7" authorId="0">
      <text>
        <r>
          <rPr>
            <sz val="9"/>
            <color indexed="81"/>
            <rFont val="Tahoma"/>
            <family val="2"/>
          </rPr>
          <t>Registrar la cantidad o % del denominador programado en el mes (de acuerdo a la fórmula del Indicador)</t>
        </r>
      </text>
    </comment>
    <comment ref="CB7" authorId="0">
      <text>
        <r>
          <rPr>
            <sz val="9"/>
            <color indexed="81"/>
            <rFont val="Tahoma"/>
            <family val="2"/>
          </rPr>
          <t>Es la relación del Numerador sobre el denominador.
Si su fúmula no contiene un denominado, escribir en este campo "1 (uno)"</t>
        </r>
      </text>
    </comment>
    <comment ref="CE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0">
      <text>
        <r>
          <rPr>
            <sz val="9"/>
            <color indexed="81"/>
            <rFont val="Tahoma"/>
            <family val="2"/>
          </rPr>
          <t>Registrar la cantidad o % ejecutada en el mes (de acuerdo a la fórmula del Indicador)</t>
        </r>
      </text>
    </comment>
    <comment ref="CG7" authorId="0">
      <text>
        <r>
          <rPr>
            <sz val="9"/>
            <color indexed="81"/>
            <rFont val="Tahoma"/>
            <family val="2"/>
          </rPr>
          <t>Registrar la cantidad o % del denominador programado en el mes (de acuerdo a la fórmula del Indicador)</t>
        </r>
      </text>
    </comment>
    <comment ref="CH7" authorId="0">
      <text>
        <r>
          <rPr>
            <sz val="9"/>
            <color indexed="81"/>
            <rFont val="Tahoma"/>
            <family val="2"/>
          </rPr>
          <t>Es la relación del Numerador sobre el denominador.
Si su fúmula no contiene un denominado, escribir en este campo "1 (uno)"</t>
        </r>
      </text>
    </comment>
    <comment ref="CI7" authorId="0">
      <text>
        <r>
          <rPr>
            <sz val="9"/>
            <color indexed="81"/>
            <rFont val="Tahoma"/>
            <family val="2"/>
          </rPr>
          <t xml:space="preserve">Corresponde al valor proyectado al mes correspondiente en la distribución anual de la caracterización </t>
        </r>
      </text>
    </comment>
    <comment ref="CJ7" authorId="0">
      <text>
        <r>
          <rPr>
            <sz val="9"/>
            <color indexed="81"/>
            <rFont val="Tahoma"/>
            <family val="2"/>
          </rPr>
          <t>Se registra el valor de la meta ejecutada sobre el valor de la meta proyectada</t>
        </r>
      </text>
    </comment>
    <comment ref="CK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0">
      <text>
        <r>
          <rPr>
            <sz val="9"/>
            <color indexed="81"/>
            <rFont val="Tahoma"/>
            <family val="2"/>
          </rPr>
          <t>Registrar la cantidad o % ejecutada en el mes (de acuerdo a la fórmula del Indicador)</t>
        </r>
      </text>
    </comment>
    <comment ref="CM7" authorId="0">
      <text>
        <r>
          <rPr>
            <sz val="9"/>
            <color indexed="81"/>
            <rFont val="Tahoma"/>
            <family val="2"/>
          </rPr>
          <t>Registrar la cantidad o % del denominador programado en el mes (de acuerdo a la fórmula del Indicador)</t>
        </r>
      </text>
    </comment>
    <comment ref="CN7" authorId="0">
      <text>
        <r>
          <rPr>
            <sz val="9"/>
            <color indexed="81"/>
            <rFont val="Tahoma"/>
            <family val="2"/>
          </rPr>
          <t>Es la relación del Numerador sobre el denominador.
Si su fúmula no contiene un denominado, escribir en este campo "1 (uno)"</t>
        </r>
      </text>
    </comment>
    <comment ref="CO7" authorId="0">
      <text>
        <r>
          <rPr>
            <sz val="9"/>
            <color indexed="81"/>
            <rFont val="Tahoma"/>
            <family val="2"/>
          </rPr>
          <t xml:space="preserve">Corresponde al valor proyectado al mes correspondiente en la distribución anual de la caracterización </t>
        </r>
      </text>
    </comment>
    <comment ref="CP7" authorId="0">
      <text>
        <r>
          <rPr>
            <sz val="9"/>
            <color indexed="81"/>
            <rFont val="Tahoma"/>
            <family val="2"/>
          </rPr>
          <t>Se registra el valor de la meta ejecutada sobre el valor de la meta proyectada</t>
        </r>
      </text>
    </comment>
    <comment ref="CQ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0">
      <text>
        <r>
          <rPr>
            <sz val="9"/>
            <color indexed="81"/>
            <rFont val="Tahoma"/>
            <family val="2"/>
          </rPr>
          <t>Registrar la cantidad o % ejecutada(o) acumulada(o) (de acuerdo a la fórmula del Indicador)</t>
        </r>
      </text>
    </comment>
    <comment ref="CS7" authorId="0">
      <text>
        <r>
          <rPr>
            <sz val="9"/>
            <color indexed="81"/>
            <rFont val="Tahoma"/>
            <family val="2"/>
          </rPr>
          <t>Registrar la cantidad o % del denominador programada(o) acumulado (de acuerdo a la fórmula del Indicador)</t>
        </r>
      </text>
    </comment>
    <comment ref="CT7" authorId="0">
      <text>
        <r>
          <rPr>
            <sz val="9"/>
            <color indexed="81"/>
            <rFont val="Tahoma"/>
            <family val="2"/>
          </rPr>
          <t>Es la relación del Numerador sobre el denominador.
Si su fúmula no contiene un denominado, escribir en este campo "1 (uno)"</t>
        </r>
      </text>
    </comment>
    <comment ref="CU7" authorId="0">
      <text>
        <r>
          <rPr>
            <sz val="9"/>
            <color indexed="81"/>
            <rFont val="Tahoma"/>
            <family val="2"/>
          </rPr>
          <t xml:space="preserve">Corresponde al valor de la meta proyectada al año correspondiente a lo establecido en la caracterización </t>
        </r>
      </text>
    </comment>
    <comment ref="CV7" authorId="0">
      <text>
        <r>
          <rPr>
            <sz val="9"/>
            <color indexed="81"/>
            <rFont val="Tahoma"/>
            <family val="2"/>
          </rPr>
          <t>Se registra el valor de la meta ejecutada sobre el valor de la meta proyectada</t>
        </r>
      </text>
    </comment>
    <comment ref="CW7" authorId="0">
      <text>
        <r>
          <rPr>
            <sz val="9"/>
            <color indexed="81"/>
            <rFont val="Tahoma"/>
            <family val="2"/>
          </rPr>
          <t>Justifique el resultado de la meta ejecutada acumulada y la comparación entre la meta proyectada acumulada.</t>
        </r>
      </text>
    </comment>
    <comment ref="D16" authorId="0">
      <text>
        <r>
          <rPr>
            <sz val="8"/>
            <color indexed="81"/>
            <rFont val="Tahoma"/>
            <family val="2"/>
          </rPr>
          <t>El términos "Documentos del SIG" hace referencia a manuales, procedimientos, formatos, instructivos, guías en cada uno de los procesos</t>
        </r>
      </text>
    </comment>
  </commentList>
</comments>
</file>

<file path=xl/comments11.xml><?xml version="1.0" encoding="utf-8"?>
<comments xmlns="http://schemas.openxmlformats.org/spreadsheetml/2006/main">
  <authors>
    <author>John Alexander Quiroga Fuquene</author>
    <author>pavel pinto</author>
  </authors>
  <commentList>
    <comment ref="G6" authorId="0">
      <text>
        <r>
          <rPr>
            <b/>
            <sz val="9"/>
            <color indexed="81"/>
            <rFont val="Tahoma"/>
            <family val="2"/>
          </rPr>
          <t>De:
Eficacia
Eficiencia
Efectividad</t>
        </r>
      </text>
    </comment>
    <comment ref="X7" authorId="0">
      <text>
        <r>
          <rPr>
            <sz val="9"/>
            <color indexed="81"/>
            <rFont val="Tahoma"/>
            <family val="2"/>
          </rPr>
          <t>Registrar la cantidad o % ejecutada en el mes (de acuerdo a la fórmula del Indicador)</t>
        </r>
      </text>
    </comment>
    <comment ref="Y7" authorId="0">
      <text>
        <r>
          <rPr>
            <sz val="9"/>
            <color indexed="81"/>
            <rFont val="Tahoma"/>
            <family val="2"/>
          </rPr>
          <t>Registrar la cantidad o % del denominador programado en el mes (de acuerdo a la fórmula del Indicador)</t>
        </r>
      </text>
    </comment>
    <comment ref="Z7" authorId="0">
      <text>
        <r>
          <rPr>
            <sz val="9"/>
            <color indexed="81"/>
            <rFont val="Tahoma"/>
            <family val="2"/>
          </rPr>
          <t>Es la relación del Numerador sobre el denominador.
Si su fúmula no contiene un denominado, escribir en este campo "1 (uno)"</t>
        </r>
      </text>
    </comment>
    <comment ref="AA7" authorId="0">
      <text>
        <r>
          <rPr>
            <sz val="9"/>
            <color indexed="81"/>
            <rFont val="Tahoma"/>
            <family val="2"/>
          </rPr>
          <t xml:space="preserve">Corresponde al valor proyectado al mes correspondiente en la distribución anual de la caracterización </t>
        </r>
      </text>
    </comment>
    <comment ref="AB7" authorId="0">
      <text>
        <r>
          <rPr>
            <sz val="9"/>
            <color indexed="81"/>
            <rFont val="Tahoma"/>
            <family val="2"/>
          </rPr>
          <t>Se registra el valor de la meta ejecutada sobre el valor de la meta proyectada</t>
        </r>
      </text>
    </comment>
    <comment ref="AC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0">
      <text>
        <r>
          <rPr>
            <sz val="9"/>
            <color indexed="81"/>
            <rFont val="Tahoma"/>
            <family val="2"/>
          </rPr>
          <t>Registrar la cantidad o % ejecutada en el mes (de acuerdo a la fórmula del Indicador)</t>
        </r>
      </text>
    </comment>
    <comment ref="AE7" authorId="0">
      <text>
        <r>
          <rPr>
            <sz val="9"/>
            <color indexed="81"/>
            <rFont val="Tahoma"/>
            <family val="2"/>
          </rPr>
          <t>Registrar la cantidad o % del denominador programado en el mes (de acuerdo a la fórmula del Indicador)</t>
        </r>
      </text>
    </comment>
    <comment ref="AF7" authorId="0">
      <text>
        <r>
          <rPr>
            <sz val="9"/>
            <color indexed="81"/>
            <rFont val="Tahoma"/>
            <family val="2"/>
          </rPr>
          <t>Es la relación del Numerador sobre el denominador.
Si su fúmula no contiene un denominado, escribir en este campo "1 (uno)"</t>
        </r>
      </text>
    </comment>
    <comment ref="AG7" authorId="0">
      <text>
        <r>
          <rPr>
            <sz val="9"/>
            <color indexed="81"/>
            <rFont val="Tahoma"/>
            <family val="2"/>
          </rPr>
          <t xml:space="preserve">Corresponde al valor proyectado al mes correspondiente en la distribución anual de la caracterización </t>
        </r>
      </text>
    </comment>
    <comment ref="AH7" authorId="0">
      <text>
        <r>
          <rPr>
            <sz val="9"/>
            <color indexed="81"/>
            <rFont val="Tahoma"/>
            <family val="2"/>
          </rPr>
          <t>Se registra el valor de la meta ejecutada sobre el valor de la meta proyectada</t>
        </r>
      </text>
    </comment>
    <comment ref="AI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0">
      <text>
        <r>
          <rPr>
            <sz val="9"/>
            <color indexed="81"/>
            <rFont val="Tahoma"/>
            <family val="2"/>
          </rPr>
          <t>Registrar la cantidad o % ejecutada en el mes (de acuerdo a la fórmula del Indicador)</t>
        </r>
      </text>
    </comment>
    <comment ref="AK7" authorId="0">
      <text>
        <r>
          <rPr>
            <sz val="9"/>
            <color indexed="81"/>
            <rFont val="Tahoma"/>
            <family val="2"/>
          </rPr>
          <t>Registrar la cantidad o % del denominador programado en el mes (de acuerdo a la fórmula del Indicador)</t>
        </r>
      </text>
    </comment>
    <comment ref="AL7" authorId="0">
      <text>
        <r>
          <rPr>
            <sz val="9"/>
            <color indexed="81"/>
            <rFont val="Tahoma"/>
            <family val="2"/>
          </rPr>
          <t>Es la relación del Numerador sobre el denominador.
Si su fúmula no contiene un denominado, escribir en este campo "1 (uno)"</t>
        </r>
      </text>
    </comment>
    <comment ref="AM7" authorId="0">
      <text>
        <r>
          <rPr>
            <sz val="9"/>
            <color indexed="81"/>
            <rFont val="Tahoma"/>
            <family val="2"/>
          </rPr>
          <t xml:space="preserve">Corresponde al valor proyectado al mes correspondiente en la distribución anual de la caracterización </t>
        </r>
      </text>
    </comment>
    <comment ref="AN7" authorId="0">
      <text>
        <r>
          <rPr>
            <sz val="9"/>
            <color indexed="81"/>
            <rFont val="Tahoma"/>
            <family val="2"/>
          </rPr>
          <t>Se registra el valor de la meta ejecutada sobre el valor de la meta proyectada</t>
        </r>
      </text>
    </comment>
    <comment ref="AO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0">
      <text>
        <r>
          <rPr>
            <sz val="9"/>
            <color indexed="81"/>
            <rFont val="Tahoma"/>
            <family val="2"/>
          </rPr>
          <t>Registrar la cantidad o % ejecutada en el mes (de acuerdo a la fórmula del Indicador)</t>
        </r>
      </text>
    </comment>
    <comment ref="AQ7" authorId="0">
      <text>
        <r>
          <rPr>
            <sz val="9"/>
            <color indexed="81"/>
            <rFont val="Tahoma"/>
            <family val="2"/>
          </rPr>
          <t>Registrar la cantidad o % del denominador programado en el mes (de acuerdo a la fórmula del Indicador)</t>
        </r>
      </text>
    </comment>
    <comment ref="AR7" authorId="0">
      <text>
        <r>
          <rPr>
            <sz val="9"/>
            <color indexed="81"/>
            <rFont val="Tahoma"/>
            <family val="2"/>
          </rPr>
          <t>Es la relación del Numerador sobre el denominador.
Si su fúmula no contiene un denominado, escribir en este campo "1 (uno)"</t>
        </r>
      </text>
    </comment>
    <comment ref="AS7" authorId="0">
      <text>
        <r>
          <rPr>
            <sz val="9"/>
            <color indexed="81"/>
            <rFont val="Tahoma"/>
            <family val="2"/>
          </rPr>
          <t xml:space="preserve">Corresponde al valor proyectado al mes correspondiente en la distribución anual de la caracterización </t>
        </r>
      </text>
    </comment>
    <comment ref="AT7" authorId="0">
      <text>
        <r>
          <rPr>
            <sz val="9"/>
            <color indexed="81"/>
            <rFont val="Tahoma"/>
            <family val="2"/>
          </rPr>
          <t>Se registra el valor de la meta ejecutada sobre el valor de la meta proyectada</t>
        </r>
      </text>
    </comment>
    <comment ref="AU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0">
      <text>
        <r>
          <rPr>
            <sz val="9"/>
            <color indexed="81"/>
            <rFont val="Tahoma"/>
            <family val="2"/>
          </rPr>
          <t>Registrar la cantidad o % ejecutada en el mes (de acuerdo a la fórmula del Indicador)</t>
        </r>
      </text>
    </comment>
    <comment ref="AW7" authorId="0">
      <text>
        <r>
          <rPr>
            <sz val="9"/>
            <color indexed="81"/>
            <rFont val="Tahoma"/>
            <family val="2"/>
          </rPr>
          <t>Registrar la cantidad o % del denominador programado en el mes (de acuerdo a la fórmula del Indicador)</t>
        </r>
      </text>
    </comment>
    <comment ref="AX7" authorId="0">
      <text>
        <r>
          <rPr>
            <sz val="9"/>
            <color indexed="81"/>
            <rFont val="Tahoma"/>
            <family val="2"/>
          </rPr>
          <t>Es la relación del Numerador sobre el denominador.
Si su fúmula no contiene un denominado, escribir en este campo "1 (uno)"</t>
        </r>
      </text>
    </comment>
    <comment ref="AY7" authorId="0">
      <text>
        <r>
          <rPr>
            <sz val="9"/>
            <color indexed="81"/>
            <rFont val="Tahoma"/>
            <family val="2"/>
          </rPr>
          <t xml:space="preserve">Corresponde al valor proyectado al mes correspondiente en la distribución anual de la caracterización </t>
        </r>
      </text>
    </comment>
    <comment ref="AZ7" authorId="0">
      <text>
        <r>
          <rPr>
            <sz val="9"/>
            <color indexed="81"/>
            <rFont val="Tahoma"/>
            <family val="2"/>
          </rPr>
          <t>Se registra el valor de la meta ejecutada sobre el valor de la meta proyectada</t>
        </r>
      </text>
    </comment>
    <comment ref="BA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0">
      <text>
        <r>
          <rPr>
            <sz val="9"/>
            <color indexed="81"/>
            <rFont val="Tahoma"/>
            <family val="2"/>
          </rPr>
          <t>Registrar la cantidad o % ejecutada en el mes (de acuerdo a la fórmula del Indicador)</t>
        </r>
      </text>
    </comment>
    <comment ref="BC7" authorId="0">
      <text>
        <r>
          <rPr>
            <sz val="9"/>
            <color indexed="81"/>
            <rFont val="Tahoma"/>
            <family val="2"/>
          </rPr>
          <t>Registrar la cantidad o % del denominador programado en el mes (de acuerdo a la fórmula del Indicador)</t>
        </r>
      </text>
    </comment>
    <comment ref="BD7" authorId="0">
      <text>
        <r>
          <rPr>
            <sz val="9"/>
            <color indexed="81"/>
            <rFont val="Tahoma"/>
            <family val="2"/>
          </rPr>
          <t>Es la relación del Numerador sobre el denominador.
Si su fúmula no contiene un denominado, escribir en este campo "1 (uno)"</t>
        </r>
      </text>
    </comment>
    <comment ref="BE7" authorId="0">
      <text>
        <r>
          <rPr>
            <sz val="9"/>
            <color indexed="81"/>
            <rFont val="Tahoma"/>
            <family val="2"/>
          </rPr>
          <t xml:space="preserve">Corresponde al valor proyectado al mes correspondiente en la distribución anual de la caracterización </t>
        </r>
      </text>
    </comment>
    <comment ref="BF7" authorId="0">
      <text>
        <r>
          <rPr>
            <sz val="9"/>
            <color indexed="81"/>
            <rFont val="Tahoma"/>
            <family val="2"/>
          </rPr>
          <t>Se registra el valor de la meta ejecutada sobre el valor de la meta proyectada</t>
        </r>
      </text>
    </comment>
    <comment ref="BG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0">
      <text>
        <r>
          <rPr>
            <sz val="9"/>
            <color indexed="81"/>
            <rFont val="Tahoma"/>
            <family val="2"/>
          </rPr>
          <t>Registrar la cantidad o % ejecutada en el mes (de acuerdo a la fórmula del Indicador)</t>
        </r>
      </text>
    </comment>
    <comment ref="BI7" authorId="0">
      <text>
        <r>
          <rPr>
            <sz val="9"/>
            <color indexed="81"/>
            <rFont val="Tahoma"/>
            <family val="2"/>
          </rPr>
          <t>Registrar la cantidad o % del denominador programado en el mes (de acuerdo a la fórmula del Indicador)</t>
        </r>
      </text>
    </comment>
    <comment ref="BJ7" authorId="0">
      <text>
        <r>
          <rPr>
            <sz val="9"/>
            <color indexed="81"/>
            <rFont val="Tahoma"/>
            <family val="2"/>
          </rPr>
          <t>Es la relación del Numerador sobre el denominador.
Si su fúmula no contiene un denominado, escribir en este campo "1 (uno)"</t>
        </r>
      </text>
    </comment>
    <comment ref="BK7" authorId="0">
      <text>
        <r>
          <rPr>
            <sz val="9"/>
            <color indexed="81"/>
            <rFont val="Tahoma"/>
            <family val="2"/>
          </rPr>
          <t xml:space="preserve">Corresponde al valor proyectado al mes correspondiente en la distribución anual de la caracterización </t>
        </r>
      </text>
    </comment>
    <comment ref="BL7" authorId="0">
      <text>
        <r>
          <rPr>
            <sz val="9"/>
            <color indexed="81"/>
            <rFont val="Tahoma"/>
            <family val="2"/>
          </rPr>
          <t>Se registra el valor de la meta ejecutada sobre el valor de la meta proyectada</t>
        </r>
      </text>
    </comment>
    <comment ref="BM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0">
      <text>
        <r>
          <rPr>
            <sz val="9"/>
            <color indexed="81"/>
            <rFont val="Tahoma"/>
            <family val="2"/>
          </rPr>
          <t>Registrar la cantidad o % ejecutada en el mes (de acuerdo a la fórmula del Indicador)</t>
        </r>
      </text>
    </comment>
    <comment ref="BO7" authorId="0">
      <text>
        <r>
          <rPr>
            <sz val="9"/>
            <color indexed="81"/>
            <rFont val="Tahoma"/>
            <family val="2"/>
          </rPr>
          <t>Registrar la cantidad o % del denominador programado en el mes (de acuerdo a la fórmula del Indicador)</t>
        </r>
      </text>
    </comment>
    <comment ref="BP7" authorId="0">
      <text>
        <r>
          <rPr>
            <sz val="9"/>
            <color indexed="81"/>
            <rFont val="Tahoma"/>
            <family val="2"/>
          </rPr>
          <t>Es la relación del Numerador sobre el denominador.
Si su fúmula no contiene un denominado, escribir en este campo "1 (uno)"</t>
        </r>
      </text>
    </comment>
    <comment ref="BQ7" authorId="0">
      <text>
        <r>
          <rPr>
            <sz val="9"/>
            <color indexed="81"/>
            <rFont val="Tahoma"/>
            <family val="2"/>
          </rPr>
          <t xml:space="preserve">Corresponde al valor proyectado al mes correspondiente en la distribución anual de la caracterización </t>
        </r>
      </text>
    </comment>
    <comment ref="BR7" authorId="0">
      <text>
        <r>
          <rPr>
            <sz val="9"/>
            <color indexed="81"/>
            <rFont val="Tahoma"/>
            <family val="2"/>
          </rPr>
          <t>Se registra el valor de la meta ejecutada sobre el valor de la meta proyectada</t>
        </r>
      </text>
    </comment>
    <comment ref="BS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0">
      <text>
        <r>
          <rPr>
            <sz val="9"/>
            <color indexed="81"/>
            <rFont val="Tahoma"/>
            <family val="2"/>
          </rPr>
          <t>Registrar la cantidad o % ejecutada en el mes (de acuerdo a la fórmula del Indicador)</t>
        </r>
      </text>
    </comment>
    <comment ref="BU7" authorId="0">
      <text>
        <r>
          <rPr>
            <sz val="9"/>
            <color indexed="81"/>
            <rFont val="Tahoma"/>
            <family val="2"/>
          </rPr>
          <t>Registrar la cantidad o % del denominador programado en el mes (de acuerdo a la fórmula del Indicador)</t>
        </r>
      </text>
    </comment>
    <comment ref="BV7" authorId="0">
      <text>
        <r>
          <rPr>
            <sz val="9"/>
            <color indexed="81"/>
            <rFont val="Tahoma"/>
            <family val="2"/>
          </rPr>
          <t>Es la relación del Numerador sobre el denominador.
Si su fúmula no contiene un denominado, escribir en este campo "1 (uno)"</t>
        </r>
      </text>
    </comment>
    <comment ref="BW7" authorId="0">
      <text>
        <r>
          <rPr>
            <sz val="9"/>
            <color indexed="81"/>
            <rFont val="Tahoma"/>
            <family val="2"/>
          </rPr>
          <t xml:space="preserve">Corresponde al valor proyectado al mes correspondiente en la distribución anual de la caracterización </t>
        </r>
      </text>
    </comment>
    <comment ref="BX7" authorId="0">
      <text>
        <r>
          <rPr>
            <sz val="9"/>
            <color indexed="81"/>
            <rFont val="Tahoma"/>
            <family val="2"/>
          </rPr>
          <t>Se registra el valor de la meta ejecutada sobre el valor de la meta proyectada</t>
        </r>
      </text>
    </comment>
    <comment ref="BY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0">
      <text>
        <r>
          <rPr>
            <sz val="9"/>
            <color indexed="81"/>
            <rFont val="Tahoma"/>
            <family val="2"/>
          </rPr>
          <t>Registrar la cantidad o % ejecutada en el mes (de acuerdo a la fórmula del Indicador)</t>
        </r>
      </text>
    </comment>
    <comment ref="CA7" authorId="0">
      <text>
        <r>
          <rPr>
            <sz val="9"/>
            <color indexed="81"/>
            <rFont val="Tahoma"/>
            <family val="2"/>
          </rPr>
          <t>Registrar la cantidad o % del denominador programado en el mes (de acuerdo a la fórmula del Indicador)</t>
        </r>
      </text>
    </comment>
    <comment ref="CB7" authorId="0">
      <text>
        <r>
          <rPr>
            <sz val="9"/>
            <color indexed="81"/>
            <rFont val="Tahoma"/>
            <family val="2"/>
          </rPr>
          <t xml:space="preserve">Corresponde al valor proyectado al mes correspondiente en la distribución anual de la caracterización </t>
        </r>
      </text>
    </comment>
    <comment ref="CC7" authorId="0">
      <text>
        <r>
          <rPr>
            <sz val="9"/>
            <color indexed="81"/>
            <rFont val="Tahoma"/>
            <family val="2"/>
          </rPr>
          <t xml:space="preserve">Corresponde al valor proyectado al mes correspondiente en la distribución anual de la caracterización </t>
        </r>
      </text>
    </comment>
    <comment ref="CD7" authorId="0">
      <text>
        <r>
          <rPr>
            <sz val="9"/>
            <color indexed="81"/>
            <rFont val="Tahoma"/>
            <family val="2"/>
          </rPr>
          <t>Se registra el valor de la meta ejecutada sobre el valor de la meta proyectada</t>
        </r>
      </text>
    </comment>
    <comment ref="CE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0">
      <text>
        <r>
          <rPr>
            <sz val="9"/>
            <color indexed="81"/>
            <rFont val="Tahoma"/>
            <family val="2"/>
          </rPr>
          <t>Registrar la cantidad o % ejecutada en el mes (de acuerdo a la fórmula del Indicador)</t>
        </r>
      </text>
    </comment>
    <comment ref="CG7" authorId="0">
      <text>
        <r>
          <rPr>
            <sz val="9"/>
            <color indexed="81"/>
            <rFont val="Tahoma"/>
            <family val="2"/>
          </rPr>
          <t>Registrar la cantidad o % del denominador programado en el mes (de acuerdo a la fórmula del Indicador)</t>
        </r>
      </text>
    </comment>
    <comment ref="CH7" authorId="0">
      <text>
        <r>
          <rPr>
            <sz val="9"/>
            <color indexed="81"/>
            <rFont val="Tahoma"/>
            <family val="2"/>
          </rPr>
          <t>Es la relación del Numerador sobre el denominador.
Si su fúmula no contiene un denominado, escribir en este campo "1 (uno)"</t>
        </r>
      </text>
    </comment>
    <comment ref="CI7" authorId="0">
      <text>
        <r>
          <rPr>
            <sz val="9"/>
            <color indexed="81"/>
            <rFont val="Tahoma"/>
            <family val="2"/>
          </rPr>
          <t xml:space="preserve">Corresponde al valor proyectado al mes correspondiente en la distribución anual de la caracterización </t>
        </r>
      </text>
    </comment>
    <comment ref="CJ7" authorId="0">
      <text>
        <r>
          <rPr>
            <sz val="9"/>
            <color indexed="81"/>
            <rFont val="Tahoma"/>
            <family val="2"/>
          </rPr>
          <t>Se registra el valor de la meta ejecutada sobre el valor de la meta proyectada</t>
        </r>
      </text>
    </comment>
    <comment ref="CK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M7" authorId="0">
      <text>
        <r>
          <rPr>
            <sz val="9"/>
            <color indexed="81"/>
            <rFont val="Tahoma"/>
            <family val="2"/>
          </rPr>
          <t>Registrar la cantidad o % ejecutada en el mes (de acuerdo a la fórmula del Indicador)</t>
        </r>
      </text>
    </comment>
    <comment ref="CN7" authorId="0">
      <text>
        <r>
          <rPr>
            <sz val="9"/>
            <color indexed="81"/>
            <rFont val="Tahoma"/>
            <family val="2"/>
          </rPr>
          <t>Registrar la cantidad o % del denominador programado en el mes (de acuerdo a la fórmula del Indicador)</t>
        </r>
      </text>
    </comment>
    <comment ref="CO7" authorId="0">
      <text>
        <r>
          <rPr>
            <sz val="9"/>
            <color indexed="81"/>
            <rFont val="Tahoma"/>
            <family val="2"/>
          </rPr>
          <t>Es la relación del Numerador sobre el denominador.
Si su fúmula no contiene un denominado, escribir en este campo "1 (uno)"</t>
        </r>
      </text>
    </comment>
    <comment ref="CP7" authorId="0">
      <text>
        <r>
          <rPr>
            <sz val="9"/>
            <color indexed="81"/>
            <rFont val="Tahoma"/>
            <family val="2"/>
          </rPr>
          <t xml:space="preserve">Corresponde al valor proyectado al mes correspondiente en la distribución anual de la caracterización </t>
        </r>
      </text>
    </comment>
    <comment ref="CQ7" authorId="0">
      <text>
        <r>
          <rPr>
            <sz val="9"/>
            <color indexed="81"/>
            <rFont val="Tahoma"/>
            <family val="2"/>
          </rPr>
          <t>Se registra el valor de la meta ejecutada sobre el valor de la meta proyectada</t>
        </r>
      </text>
    </comment>
    <comment ref="CR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S7" authorId="0">
      <text>
        <r>
          <rPr>
            <sz val="9"/>
            <color indexed="81"/>
            <rFont val="Tahoma"/>
            <family val="2"/>
          </rPr>
          <t>Registrar la cantidad o % ejecutada(o) acumulada(o) (de acuerdo a la fórmula del Indicador)</t>
        </r>
      </text>
    </comment>
    <comment ref="CT7" authorId="0">
      <text>
        <r>
          <rPr>
            <sz val="9"/>
            <color indexed="81"/>
            <rFont val="Tahoma"/>
            <family val="2"/>
          </rPr>
          <t>Registrar la cantidad o % del denominador programada(o) acumulado (de acuerdo a la fórmula del Indicador)</t>
        </r>
      </text>
    </comment>
    <comment ref="CU7" authorId="0">
      <text>
        <r>
          <rPr>
            <sz val="9"/>
            <color indexed="81"/>
            <rFont val="Tahoma"/>
            <family val="2"/>
          </rPr>
          <t>Es la relación del Numerador sobre el denominador.
Si su fúmula no contiene un denominado, escribir en este campo "1 (uno)"</t>
        </r>
      </text>
    </comment>
    <comment ref="CV7" authorId="0">
      <text>
        <r>
          <rPr>
            <sz val="9"/>
            <color indexed="81"/>
            <rFont val="Tahoma"/>
            <family val="2"/>
          </rPr>
          <t xml:space="preserve">Corresponde al valor proyectado al mes correspondiente en la distribución anual de la caracterización </t>
        </r>
      </text>
    </comment>
    <comment ref="CW7" authorId="0">
      <text>
        <r>
          <rPr>
            <sz val="9"/>
            <color indexed="81"/>
            <rFont val="Tahoma"/>
            <family val="2"/>
          </rPr>
          <t>Se registra el valor de la meta ejecutada sobre el valor de la meta proyectada</t>
        </r>
      </text>
    </comment>
    <comment ref="CX7" authorId="0">
      <text>
        <r>
          <rPr>
            <sz val="9"/>
            <color indexed="81"/>
            <rFont val="Tahoma"/>
            <family val="2"/>
          </rPr>
          <t>Justifique el resultado de la meta ejecutada acumulada y la comparación entre la meta proyectada acumulada.</t>
        </r>
      </text>
    </comment>
    <comment ref="D8" authorId="0">
      <text>
        <r>
          <rPr>
            <sz val="8"/>
            <color indexed="81"/>
            <rFont val="Tahoma"/>
            <family val="2"/>
          </rPr>
          <t>El términos "Documentos del SIG" hace referencia a manuales, procedimientos, formatos, instructivos, guías en cada uno de los procesos</t>
        </r>
      </text>
    </comment>
    <comment ref="W8" authorId="1">
      <text>
        <r>
          <rPr>
            <sz val="9"/>
            <color indexed="81"/>
            <rFont val="Tahoma"/>
            <family val="2"/>
          </rPr>
          <t xml:space="preserve">
Usuario encargado:
OAP - John Quiroga
         Carlos Campos </t>
        </r>
      </text>
    </comment>
    <comment ref="W18" authorId="1">
      <text>
        <r>
          <rPr>
            <sz val="9"/>
            <color indexed="81"/>
            <rFont val="Tahoma"/>
            <family val="2"/>
          </rPr>
          <t xml:space="preserve">
Usuario encargado 
DTGC - Johana lamilla Sanchez
John Herry Cueca
</t>
        </r>
      </text>
    </comment>
  </commentList>
</comments>
</file>

<file path=xl/comments12.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D12" authorId="1">
      <text>
        <r>
          <rPr>
            <sz val="8"/>
            <color indexed="81"/>
            <rFont val="Tahoma"/>
            <family val="2"/>
          </rPr>
          <t>El términos "Documentos del SIG" hace referencia a manuales, procedimientos, formatos, instructivos, guías en cada uno de los procesos</t>
        </r>
      </text>
    </comment>
    <comment ref="W12" authorId="0">
      <text>
        <r>
          <rPr>
            <sz val="9"/>
            <color indexed="81"/>
            <rFont val="Tahoma"/>
            <family val="2"/>
          </rPr>
          <t xml:space="preserve">
Usuario encargado:
OAP - John Quiroga
         Carlos Campos </t>
        </r>
      </text>
    </comment>
    <comment ref="W13" authorId="0">
      <text>
        <r>
          <rPr>
            <sz val="9"/>
            <color indexed="81"/>
            <rFont val="Tahoma"/>
            <family val="2"/>
          </rPr>
          <t xml:space="preserve">
Usuario encargado:
OCI - Camilo Barajas </t>
        </r>
      </text>
    </comment>
    <comment ref="W14" authorId="0">
      <text>
        <r>
          <rPr>
            <sz val="9"/>
            <color indexed="81"/>
            <rFont val="Tahoma"/>
            <family val="2"/>
          </rPr>
          <t xml:space="preserve">
usuario encargado:
OCI - Wilson Herrera
</t>
        </r>
      </text>
    </comment>
    <comment ref="W15" authorId="0">
      <text>
        <r>
          <rPr>
            <sz val="9"/>
            <color indexed="81"/>
            <rFont val="Tahoma"/>
            <family val="2"/>
          </rPr>
          <t xml:space="preserve">
Usuario encargado 
DTGC - Johana lamilla Sánchez
John Herry Cueca
</t>
        </r>
      </text>
    </comment>
  </commentList>
</comments>
</file>

<file path=xl/comments13.xml><?xml version="1.0" encoding="utf-8"?>
<comments xmlns="http://schemas.openxmlformats.org/spreadsheetml/2006/main">
  <authors>
    <author/>
  </authors>
  <commentList>
    <comment ref="G6" authorId="0">
      <text>
        <r>
          <rPr>
            <sz val="10"/>
            <rFont val="Arial"/>
          </rPr>
          <t>De:
Eficacia
Eficiencia
Efectividad</t>
        </r>
      </text>
    </comment>
    <comment ref="X7" authorId="0">
      <text>
        <r>
          <rPr>
            <sz val="10"/>
            <rFont val="Arial"/>
          </rPr>
          <t>Registrar la cantidad o % ejecutada en el mes (de acuerdo a la fórmula del Indicador)</t>
        </r>
      </text>
    </comment>
    <comment ref="Y7" authorId="0">
      <text>
        <r>
          <rPr>
            <sz val="10"/>
            <rFont val="Arial"/>
          </rPr>
          <t>Registrar la cantidad o % del denominador programado en el mes (de acuerdo a la fórmula del Indicador)</t>
        </r>
      </text>
    </comment>
    <comment ref="Z7" authorId="0">
      <text>
        <r>
          <rPr>
            <sz val="10"/>
            <rFont val="Arial"/>
          </rPr>
          <t>Es la relación del Numerador sobre el denominador.
Si su fúmula no contiene un denominado, escribir en este campo "1 (uno)"</t>
        </r>
      </text>
    </comment>
    <comment ref="AA7" authorId="0">
      <text>
        <r>
          <rPr>
            <sz val="10"/>
            <rFont val="Arial"/>
          </rPr>
          <t xml:space="preserve">Corresponde al valor proyectado al mes correspondiente en la distribución anual de la caracterización </t>
        </r>
      </text>
    </comment>
    <comment ref="AB7" authorId="0">
      <text>
        <r>
          <rPr>
            <sz val="10"/>
            <rFont val="Arial"/>
          </rPr>
          <t>Se registra el valor de la meta ejecutada sobre el valor de la meta proyectada</t>
        </r>
      </text>
    </comment>
    <comment ref="AC7" authorId="0">
      <text>
        <r>
          <rPr>
            <sz val="10"/>
            <rFont val="Arial"/>
          </rPr>
          <t>Justifique el resultado de la meta ejecutada y la comparación entre la meta proyectada del mes. Además justifique el avance acumulado considerando todos los meses anteriores cuando aplique.</t>
        </r>
      </text>
    </comment>
    <comment ref="AD7" authorId="0">
      <text>
        <r>
          <rPr>
            <sz val="10"/>
            <rFont val="Arial"/>
          </rPr>
          <t>Registrar la cantidad o % ejecutada en el mes (de acuerdo a la fórmula del Indicador)</t>
        </r>
      </text>
    </comment>
    <comment ref="AE7" authorId="0">
      <text>
        <r>
          <rPr>
            <sz val="10"/>
            <rFont val="Arial"/>
          </rPr>
          <t>Registrar la cantidad o % del denominador programado en el mes (de acuerdo a la fórmula del Indicador)</t>
        </r>
      </text>
    </comment>
    <comment ref="AF7" authorId="0">
      <text>
        <r>
          <rPr>
            <sz val="10"/>
            <rFont val="Arial"/>
          </rPr>
          <t>Es la relación del Numerador sobre el denominador.
Si su fúmula no contiene un denominado, escribir en este campo "1 (uno)"</t>
        </r>
      </text>
    </comment>
    <comment ref="AG7" authorId="0">
      <text>
        <r>
          <rPr>
            <sz val="10"/>
            <rFont val="Arial"/>
          </rPr>
          <t xml:space="preserve">Corresponde al valor proyectado al mes correspondiente en la distribución anual de la caracterización </t>
        </r>
      </text>
    </comment>
    <comment ref="AH7" authorId="0">
      <text>
        <r>
          <rPr>
            <sz val="10"/>
            <rFont val="Arial"/>
          </rPr>
          <t>Se registra el valor de la meta ejecutada sobre el valor de la meta proyectada</t>
        </r>
      </text>
    </comment>
    <comment ref="AI7" authorId="0">
      <text>
        <r>
          <rPr>
            <sz val="10"/>
            <rFont val="Arial"/>
          </rPr>
          <t>Justifique el resultado de la meta ejecutada y la comparación entre la meta proyectada del mes. Además justifique el avance acumulado considerando todos los meses anteriores cuando aplique.</t>
        </r>
      </text>
    </comment>
    <comment ref="AJ7" authorId="0">
      <text>
        <r>
          <rPr>
            <sz val="10"/>
            <rFont val="Arial"/>
          </rPr>
          <t>Registrar la cantidad o % ejecutada en el mes (de acuerdo a la fórmula del Indicador)</t>
        </r>
      </text>
    </comment>
    <comment ref="AK7" authorId="0">
      <text>
        <r>
          <rPr>
            <sz val="10"/>
            <rFont val="Arial"/>
          </rPr>
          <t>Registrar la cantidad o % del denominador programado en el mes (de acuerdo a la fórmula del Indicador)</t>
        </r>
      </text>
    </comment>
    <comment ref="AL7" authorId="0">
      <text>
        <r>
          <rPr>
            <sz val="10"/>
            <rFont val="Arial"/>
          </rPr>
          <t>Es la relación del Numerador sobre el denominador.
Si su fúmula no contiene un denominado, escribir en este campo "1 (uno)"</t>
        </r>
      </text>
    </comment>
    <comment ref="AM7" authorId="0">
      <text>
        <r>
          <rPr>
            <sz val="10"/>
            <rFont val="Arial"/>
          </rPr>
          <t xml:space="preserve">Corresponde al valor proyectado al mes correspondiente en la distribución anual de la caracterización </t>
        </r>
      </text>
    </comment>
    <comment ref="AN7" authorId="0">
      <text>
        <r>
          <rPr>
            <sz val="10"/>
            <rFont val="Arial"/>
          </rPr>
          <t>Se registra el valor de la meta ejecutada sobre el valor de la meta proyectada</t>
        </r>
      </text>
    </comment>
    <comment ref="AO7" authorId="0">
      <text>
        <r>
          <rPr>
            <sz val="10"/>
            <rFont val="Arial"/>
          </rPr>
          <t>Justifique el resultado de la meta ejecutada y la comparación entre la meta proyectada del mes. Además justifique el avance acumulado considerando todos los meses anteriores cuando aplique.</t>
        </r>
      </text>
    </comment>
    <comment ref="AP7" authorId="0">
      <text>
        <r>
          <rPr>
            <sz val="10"/>
            <rFont val="Arial"/>
          </rPr>
          <t>Registrar la cantidad o % ejecutada en el mes (de acuerdo a la fórmula del Indicador)</t>
        </r>
      </text>
    </comment>
    <comment ref="AQ7" authorId="0">
      <text>
        <r>
          <rPr>
            <sz val="10"/>
            <rFont val="Arial"/>
          </rPr>
          <t>Registrar la cantidad o % del denominador programado en el mes (de acuerdo a la fórmula del Indicador)</t>
        </r>
      </text>
    </comment>
    <comment ref="AR7" authorId="0">
      <text>
        <r>
          <rPr>
            <sz val="10"/>
            <rFont val="Arial"/>
          </rPr>
          <t>Es la relación del Numerador sobre el denominador.
Si su fúmula no contiene un denominado, escribir en este campo "1 (uno)"</t>
        </r>
      </text>
    </comment>
    <comment ref="AS7" authorId="0">
      <text>
        <r>
          <rPr>
            <sz val="10"/>
            <rFont val="Arial"/>
          </rPr>
          <t xml:space="preserve">Corresponde al valor proyectado al mes correspondiente en la distribución anual de la caracterización </t>
        </r>
      </text>
    </comment>
    <comment ref="AT7" authorId="0">
      <text>
        <r>
          <rPr>
            <sz val="10"/>
            <rFont val="Arial"/>
          </rPr>
          <t>Se registra el valor de la meta ejecutada sobre el valor de la meta proyectada</t>
        </r>
      </text>
    </comment>
    <comment ref="AU7" authorId="0">
      <text>
        <r>
          <rPr>
            <sz val="10"/>
            <rFont val="Arial"/>
          </rPr>
          <t>Justifique el resultado de la meta ejecutada y la comparación entre la meta proyectada del mes. Además justifique el avance acumulado considerando todos los meses anteriores cuando aplique.</t>
        </r>
      </text>
    </comment>
    <comment ref="AV7" authorId="0">
      <text>
        <r>
          <rPr>
            <sz val="10"/>
            <rFont val="Arial"/>
          </rPr>
          <t>Registrar la cantidad o % ejecutada en el mes (de acuerdo a la fórmula del Indicador)</t>
        </r>
      </text>
    </comment>
    <comment ref="AW7" authorId="0">
      <text>
        <r>
          <rPr>
            <sz val="10"/>
            <rFont val="Arial"/>
          </rPr>
          <t>Registrar la cantidad o % del denominador programado en el mes (de acuerdo a la fórmula del Indicador)</t>
        </r>
      </text>
    </comment>
    <comment ref="AX7" authorId="0">
      <text>
        <r>
          <rPr>
            <sz val="10"/>
            <rFont val="Arial"/>
          </rPr>
          <t>Es la relación del Numerador sobre el denominador.
Si su fúmula no contiene un denominado, escribir en este campo "1 (uno)"</t>
        </r>
      </text>
    </comment>
    <comment ref="AY7" authorId="0">
      <text>
        <r>
          <rPr>
            <sz val="10"/>
            <rFont val="Arial"/>
          </rPr>
          <t xml:space="preserve">Corresponde al valor proyectado al mes correspondiente en la distribución anual de la caracterización </t>
        </r>
      </text>
    </comment>
    <comment ref="AZ7" authorId="0">
      <text>
        <r>
          <rPr>
            <sz val="10"/>
            <rFont val="Arial"/>
          </rPr>
          <t>Se registra el valor de la meta ejecutada sobre el valor de la meta proyectada</t>
        </r>
      </text>
    </comment>
    <comment ref="BA7" authorId="0">
      <text>
        <r>
          <rPr>
            <sz val="10"/>
            <rFont val="Arial"/>
          </rPr>
          <t>Justifique el resultado de la meta ejecutada y la comparación entre la meta proyectada del mes. Además justifique el avance acumulado considerando todos los meses anteriores cuando aplique.</t>
        </r>
      </text>
    </comment>
    <comment ref="BB7" authorId="0">
      <text>
        <r>
          <rPr>
            <sz val="10"/>
            <rFont val="Arial"/>
          </rPr>
          <t>Registrar la cantidad o % ejecutada en el mes (de acuerdo a la fórmula del Indicador)</t>
        </r>
      </text>
    </comment>
    <comment ref="BC7" authorId="0">
      <text>
        <r>
          <rPr>
            <sz val="10"/>
            <rFont val="Arial"/>
          </rPr>
          <t>Registrar la cantidad o % del denominador programado en el mes (de acuerdo a la fórmula del Indicador)</t>
        </r>
      </text>
    </comment>
    <comment ref="BD7" authorId="0">
      <text>
        <r>
          <rPr>
            <sz val="10"/>
            <rFont val="Arial"/>
          </rPr>
          <t>Es la relación del Numerador sobre el denominador.
Si su fúmula no contiene un denominado, escribir en este campo "1 (uno)"</t>
        </r>
      </text>
    </comment>
    <comment ref="BE7" authorId="0">
      <text>
        <r>
          <rPr>
            <sz val="10"/>
            <rFont val="Arial"/>
          </rPr>
          <t xml:space="preserve">Corresponde al valor proyectado al mes correspondiente en la distribución anual de la caracterización </t>
        </r>
      </text>
    </comment>
    <comment ref="BF7" authorId="0">
      <text>
        <r>
          <rPr>
            <sz val="10"/>
            <rFont val="Arial"/>
          </rPr>
          <t>Se registra el valor de la meta ejecutada sobre el valor de la meta proyectada</t>
        </r>
      </text>
    </comment>
    <comment ref="BG7" authorId="0">
      <text>
        <r>
          <rPr>
            <sz val="10"/>
            <rFont val="Arial"/>
          </rPr>
          <t>Justifique el resultado de la meta ejecutada y la comparación entre la meta proyectada del mes. Además justifique el avance acumulado considerando todos los meses anteriores cuando aplique.</t>
        </r>
      </text>
    </comment>
    <comment ref="BH7" authorId="0">
      <text>
        <r>
          <rPr>
            <sz val="10"/>
            <rFont val="Arial"/>
          </rPr>
          <t>Registrar la cantidad o % ejecutada en el mes (de acuerdo a la fórmula del Indicador)</t>
        </r>
      </text>
    </comment>
    <comment ref="BI7" authorId="0">
      <text>
        <r>
          <rPr>
            <sz val="10"/>
            <rFont val="Arial"/>
          </rPr>
          <t>Registrar la cantidad o % del denominador programado en el mes (de acuerdo a la fórmula del Indicador)</t>
        </r>
      </text>
    </comment>
    <comment ref="BJ7" authorId="0">
      <text>
        <r>
          <rPr>
            <sz val="10"/>
            <rFont val="Arial"/>
          </rPr>
          <t>Es la relación del Numerador sobre el denominador.
Si su fúmula no contiene un denominado, escribir en este campo "1 (uno)"</t>
        </r>
      </text>
    </comment>
    <comment ref="BK7" authorId="0">
      <text>
        <r>
          <rPr>
            <sz val="10"/>
            <rFont val="Arial"/>
          </rPr>
          <t xml:space="preserve">Corresponde al valor proyectado al mes correspondiente en la distribución anual de la caracterización </t>
        </r>
      </text>
    </comment>
    <comment ref="BL7" authorId="0">
      <text>
        <r>
          <rPr>
            <sz val="10"/>
            <rFont val="Arial"/>
          </rPr>
          <t>Se registra el valor de la meta ejecutada sobre el valor de la meta proyectada</t>
        </r>
      </text>
    </comment>
    <comment ref="BM7" authorId="0">
      <text>
        <r>
          <rPr>
            <sz val="10"/>
            <rFont val="Arial"/>
          </rPr>
          <t>Justifique el resultado de la meta ejecutada y la comparación entre la meta proyectada del mes. Además justifique el avance acumulado considerando todos los meses anteriores cuando aplique.</t>
        </r>
      </text>
    </comment>
    <comment ref="BN7" authorId="0">
      <text>
        <r>
          <rPr>
            <sz val="10"/>
            <rFont val="Arial"/>
          </rPr>
          <t>Registrar la cantidad o % ejecutada en el mes (de acuerdo a la fórmula del Indicador)</t>
        </r>
      </text>
    </comment>
    <comment ref="BO7" authorId="0">
      <text>
        <r>
          <rPr>
            <sz val="10"/>
            <rFont val="Arial"/>
          </rPr>
          <t>Registrar la cantidad o % del denominador programado en el mes (de acuerdo a la fórmula del Indicador)</t>
        </r>
      </text>
    </comment>
    <comment ref="BP7" authorId="0">
      <text>
        <r>
          <rPr>
            <sz val="10"/>
            <rFont val="Arial"/>
          </rPr>
          <t>Es la relación del Numerador sobre el denominador.
Si su fúmula no contiene un denominado, escribir en este campo "1 (uno)"</t>
        </r>
      </text>
    </comment>
    <comment ref="BQ7" authorId="0">
      <text>
        <r>
          <rPr>
            <sz val="10"/>
            <rFont val="Arial"/>
          </rPr>
          <t xml:space="preserve">Corresponde al valor proyectado al mes correspondiente en la distribución anual de la caracterización </t>
        </r>
      </text>
    </comment>
    <comment ref="BR7" authorId="0">
      <text>
        <r>
          <rPr>
            <sz val="10"/>
            <rFont val="Arial"/>
          </rPr>
          <t>Se registra el valor de la meta ejecutada sobre el valor de la meta proyectada</t>
        </r>
      </text>
    </comment>
    <comment ref="BS7" authorId="0">
      <text>
        <r>
          <rPr>
            <sz val="10"/>
            <rFont val="Arial"/>
          </rPr>
          <t>Justifique el resultado de la meta ejecutada y la comparación entre la meta proyectada del mes. Además justifique el avance acumulado considerando todos los meses anteriores cuando aplique.</t>
        </r>
      </text>
    </comment>
    <comment ref="BT7" authorId="0">
      <text>
        <r>
          <rPr>
            <sz val="10"/>
            <rFont val="Arial"/>
          </rPr>
          <t>Registrar la cantidad o % ejecutada en el mes (de acuerdo a la fórmula del Indicador)</t>
        </r>
      </text>
    </comment>
    <comment ref="BU7" authorId="0">
      <text>
        <r>
          <rPr>
            <sz val="10"/>
            <rFont val="Arial"/>
          </rPr>
          <t>Registrar la cantidad o % del denominador programado en el mes (de acuerdo a la fórmula del Indicador)</t>
        </r>
      </text>
    </comment>
    <comment ref="BV7" authorId="0">
      <text>
        <r>
          <rPr>
            <sz val="10"/>
            <rFont val="Arial"/>
          </rPr>
          <t>Es la relación del Numerador sobre el denominador.
Si su fúmula no contiene un denominado, escribir en este campo "1 (uno)"</t>
        </r>
      </text>
    </comment>
    <comment ref="BW7" authorId="0">
      <text>
        <r>
          <rPr>
            <sz val="10"/>
            <rFont val="Arial"/>
          </rPr>
          <t xml:space="preserve">Corresponde al valor proyectado al mes correspondiente en la distribución anual de la caracterización </t>
        </r>
      </text>
    </comment>
    <comment ref="BX7" authorId="0">
      <text>
        <r>
          <rPr>
            <sz val="10"/>
            <rFont val="Arial"/>
          </rPr>
          <t>Se registra el valor de la meta ejecutada sobre el valor de la meta proyectada</t>
        </r>
      </text>
    </comment>
    <comment ref="BY7" authorId="0">
      <text>
        <r>
          <rPr>
            <sz val="10"/>
            <rFont val="Arial"/>
          </rPr>
          <t>Justifique el resultado de la meta ejecutada y la comparación entre la meta proyectada del mes. Además justifique el avance acumulado considerando todos los meses anteriores cuando aplique.</t>
        </r>
      </text>
    </comment>
    <comment ref="BZ7" authorId="0">
      <text>
        <r>
          <rPr>
            <sz val="10"/>
            <rFont val="Arial"/>
          </rPr>
          <t>Registrar la cantidad o % ejecutada en el mes (de acuerdo a la fórmula del Indicador)</t>
        </r>
      </text>
    </comment>
    <comment ref="CA7" authorId="0">
      <text>
        <r>
          <rPr>
            <sz val="10"/>
            <rFont val="Arial"/>
          </rPr>
          <t>Registrar la cantidad o % del denominador programado en el mes (de acuerdo a la fórmula del Indicador)</t>
        </r>
      </text>
    </comment>
    <comment ref="CB7" authorId="0">
      <text>
        <r>
          <rPr>
            <sz val="10"/>
            <rFont val="Arial"/>
          </rPr>
          <t>Es la relación del Numerador sobre el denominador.
Si su fúmula no contiene un denominado, escribir en este campo "1 (uno)"</t>
        </r>
      </text>
    </comment>
    <comment ref="CC7" authorId="0">
      <text>
        <r>
          <rPr>
            <sz val="10"/>
            <rFont val="Arial"/>
          </rPr>
          <t xml:space="preserve">Corresponde al valor proyectado al mes correspondiente en la distribución anual de la caracterización </t>
        </r>
      </text>
    </comment>
    <comment ref="CD7" authorId="0">
      <text>
        <r>
          <rPr>
            <sz val="10"/>
            <rFont val="Arial"/>
          </rPr>
          <t>Se registra el valor de la meta ejecutada sobre el valor de la meta proyectada</t>
        </r>
      </text>
    </comment>
    <comment ref="CE7" authorId="0">
      <text>
        <r>
          <rPr>
            <sz val="10"/>
            <rFont val="Arial"/>
          </rPr>
          <t>Justifique el resultado de la meta ejecutada y la comparación entre la meta proyectada del mes. Además justifique el avance acumulado considerando todos los meses anteriores cuando aplique.</t>
        </r>
      </text>
    </comment>
    <comment ref="CF7" authorId="0">
      <text>
        <r>
          <rPr>
            <sz val="10"/>
            <rFont val="Arial"/>
          </rPr>
          <t>Registrar la cantidad o % ejecutada en el mes (de acuerdo a la fórmula del Indicador)</t>
        </r>
      </text>
    </comment>
    <comment ref="CG7" authorId="0">
      <text>
        <r>
          <rPr>
            <sz val="10"/>
            <rFont val="Arial"/>
          </rPr>
          <t>Registrar la cantidad o % del denominador programado en el mes (de acuerdo a la fórmula del Indicador)</t>
        </r>
      </text>
    </comment>
    <comment ref="CH7" authorId="0">
      <text>
        <r>
          <rPr>
            <sz val="10"/>
            <rFont val="Arial"/>
          </rPr>
          <t>Es la relación del Numerador sobre el denominador.
Si su fúmula no contiene un denominado, escribir en este campo "1 (uno)"</t>
        </r>
      </text>
    </comment>
    <comment ref="CI7" authorId="0">
      <text>
        <r>
          <rPr>
            <sz val="10"/>
            <rFont val="Arial"/>
          </rPr>
          <t xml:space="preserve">Corresponde al valor proyectado al mes correspondiente en la distribución anual de la caracterización </t>
        </r>
      </text>
    </comment>
    <comment ref="CJ7" authorId="0">
      <text>
        <r>
          <rPr>
            <sz val="10"/>
            <rFont val="Arial"/>
          </rPr>
          <t>Se registra el valor de la meta ejecutada sobre el valor de la meta proyectada</t>
        </r>
      </text>
    </comment>
    <comment ref="CK7" authorId="0">
      <text>
        <r>
          <rPr>
            <sz val="10"/>
            <rFont val="Arial"/>
          </rPr>
          <t>Justifique el resultado de la meta ejecutada y la comparación entre la meta proyectada del mes. Además justifique el avance acumulado considerando todos los meses anteriores cuando aplique.</t>
        </r>
      </text>
    </comment>
    <comment ref="CL7" authorId="0">
      <text>
        <r>
          <rPr>
            <sz val="10"/>
            <rFont val="Arial"/>
          </rPr>
          <t>Registrar la cantidad o % ejecutada en el mes (de acuerdo a la fórmula del Indicador)</t>
        </r>
      </text>
    </comment>
    <comment ref="CM7" authorId="0">
      <text>
        <r>
          <rPr>
            <sz val="10"/>
            <rFont val="Arial"/>
          </rPr>
          <t>Registrar la cantidad o % del denominador programado en el mes (de acuerdo a la fórmula del Indicador)</t>
        </r>
      </text>
    </comment>
    <comment ref="CN7" authorId="0">
      <text>
        <r>
          <rPr>
            <sz val="10"/>
            <rFont val="Arial"/>
          </rPr>
          <t>Es la relación del Numerador sobre el denominador.
Si su fúmula no contiene un denominado, escribir en este campo "1 (uno)"</t>
        </r>
      </text>
    </comment>
    <comment ref="CO7" authorId="0">
      <text>
        <r>
          <rPr>
            <sz val="10"/>
            <rFont val="Arial"/>
          </rPr>
          <t xml:space="preserve">Corresponde al valor proyectado al mes correspondiente en la distribución anual de la caracterización </t>
        </r>
      </text>
    </comment>
    <comment ref="CP7" authorId="0">
      <text>
        <r>
          <rPr>
            <sz val="10"/>
            <rFont val="Arial"/>
          </rPr>
          <t>Se registra el valor de la meta ejecutada sobre el valor de la meta proyectada</t>
        </r>
      </text>
    </comment>
    <comment ref="CQ7" authorId="0">
      <text>
        <r>
          <rPr>
            <sz val="10"/>
            <rFont val="Arial"/>
          </rPr>
          <t>Justifique el resultado de la meta ejecutada y la comparación entre la meta proyectada del mes. Además justifique el avance acumulado considerando todos los meses anteriores cuando aplique.</t>
        </r>
      </text>
    </comment>
    <comment ref="CR7" authorId="0">
      <text>
        <r>
          <rPr>
            <sz val="10"/>
            <rFont val="Arial"/>
          </rPr>
          <t>Registrar la cantidad o % ejecutada(o) acumulada(o) (de acuerdo a la fórmula del Indicador)</t>
        </r>
      </text>
    </comment>
    <comment ref="CS7" authorId="0">
      <text>
        <r>
          <rPr>
            <sz val="10"/>
            <rFont val="Arial"/>
          </rPr>
          <t>Registrar la cantidad o % del denominador programada(o) acumulado (de acuerdo a la fórmula del Indicador)</t>
        </r>
      </text>
    </comment>
    <comment ref="CT7" authorId="0">
      <text>
        <r>
          <rPr>
            <sz val="10"/>
            <rFont val="Arial"/>
          </rPr>
          <t>Es la relación del Numerador sobre el denominador.
Si su fúmula no contiene un denominado, escribir en este campo "1 (uno)"</t>
        </r>
      </text>
    </comment>
    <comment ref="CU7" authorId="0">
      <text>
        <r>
          <rPr>
            <sz val="10"/>
            <rFont val="Arial"/>
          </rPr>
          <t xml:space="preserve">Corresponde al valor de la meta proyectada al año correspondiente a lo establecido en la caracterización </t>
        </r>
      </text>
    </comment>
    <comment ref="CV7" authorId="0">
      <text>
        <r>
          <rPr>
            <sz val="10"/>
            <rFont val="Arial"/>
          </rPr>
          <t>Se registra el valor de la meta ejecutada sobre el valor de la meta proyectada</t>
        </r>
      </text>
    </comment>
    <comment ref="CW7" authorId="0">
      <text>
        <r>
          <rPr>
            <sz val="10"/>
            <rFont val="Arial"/>
          </rPr>
          <t>Justifique el resultado de la meta ejecutada acumulada y la comparación entre la meta proyectada acumulada.</t>
        </r>
      </text>
    </comment>
    <comment ref="P17" authorId="0">
      <text>
        <r>
          <rPr>
            <sz val="10"/>
            <rFont val="Arial"/>
          </rPr>
          <t>A = REPORTE CORTE AL 30 DE ABRIL DE 2013
B = REPORTE CORTE AL 30 DE JUNIO DE 2013
C =  REPORTE CORTE AL 31 DE AGOSTO DE 2013
D =  REPORTE CORTE AL 31 DE OCTUBRE DE 2013</t>
        </r>
      </text>
    </comment>
    <comment ref="R17" authorId="0">
      <text>
        <r>
          <rPr>
            <sz val="10"/>
            <rFont val="Arial"/>
          </rPr>
          <t>A = REPORTE CORTE AL 30 DE ABRIL DE 2013
B = REPORTE CORTE AL 30 DE JUNIO DE 2013
C =  REPORTE CORTE AL 31 DE AGOSTO DE 2013
D =  REPORTE CORTE AL 31 DE OCTUBRE DE 2013</t>
        </r>
      </text>
    </comment>
    <comment ref="T17" authorId="0">
      <text>
        <r>
          <rPr>
            <sz val="10"/>
            <rFont val="Arial"/>
          </rPr>
          <t>A = REPORTE CORTE AL 30 DE ABRIL DE 2013
B = REPORTE CORTE AL 30 DE JUNIO DE 2013
C =  REPORTE CORTE AL 31 DE AGOSTO DE 2013
D =  REPORTE CORTE AL 31 DE OCTUBRE DE 2013</t>
        </r>
      </text>
    </comment>
    <comment ref="V17" authorId="0">
      <text>
        <r>
          <rPr>
            <sz val="10"/>
            <rFont val="Arial"/>
          </rPr>
          <t>A = REPORTE CORTE AL 30 DE ABRIL DE 2013
B = REPORTE CORTE AL 30 DE JUNIO DE 2013
C =  REPORTE CORTE AL 31 DE AGOSTO DE 2013
D =  REPORTE CORTE AL 31 DE OCTUBRE DE 2013</t>
        </r>
      </text>
    </comment>
  </commentList>
</comments>
</file>

<file path=xl/comments14.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W16" authorId="0">
      <text>
        <r>
          <rPr>
            <sz val="9"/>
            <color indexed="81"/>
            <rFont val="Tahoma"/>
            <family val="2"/>
          </rPr>
          <t xml:space="preserve">
Usuario encargado:
OCI - Camilo Barajas </t>
        </r>
      </text>
    </comment>
  </commentList>
</comments>
</file>

<file path=xl/comments15.xml><?xml version="1.0" encoding="utf-8"?>
<comments xmlns="http://schemas.openxmlformats.org/spreadsheetml/2006/main">
  <authors>
    <author>John Alexander Quiroga Fuquene</author>
  </authors>
  <commentList>
    <comment ref="G6" authorId="0">
      <text>
        <r>
          <rPr>
            <b/>
            <sz val="9"/>
            <color indexed="81"/>
            <rFont val="Tahoma"/>
            <family val="2"/>
          </rPr>
          <t>De:
Eficacia
Eficiencia
Efectividad</t>
        </r>
      </text>
    </comment>
    <comment ref="X7" authorId="0">
      <text>
        <r>
          <rPr>
            <sz val="9"/>
            <color indexed="81"/>
            <rFont val="Tahoma"/>
            <family val="2"/>
          </rPr>
          <t>Registrar la cantidad o % ejecutada en el mes (de acuerdo a la fórmula del Indicador)</t>
        </r>
      </text>
    </comment>
    <comment ref="Y7" authorId="0">
      <text>
        <r>
          <rPr>
            <sz val="9"/>
            <color indexed="81"/>
            <rFont val="Tahoma"/>
            <family val="2"/>
          </rPr>
          <t>Registrar la cantidad o % del denominador programado en el mes (de acuerdo a la fórmula del Indicador)</t>
        </r>
      </text>
    </comment>
    <comment ref="Z7" authorId="0">
      <text>
        <r>
          <rPr>
            <sz val="9"/>
            <color indexed="81"/>
            <rFont val="Tahoma"/>
            <family val="2"/>
          </rPr>
          <t>Es la relación del Numerador sobre el denominador.
Si su fúmula no contiene un denominado, escribir en este campo "1 (uno)"</t>
        </r>
      </text>
    </comment>
    <comment ref="AA7" authorId="0">
      <text>
        <r>
          <rPr>
            <sz val="9"/>
            <color indexed="81"/>
            <rFont val="Tahoma"/>
            <family val="2"/>
          </rPr>
          <t xml:space="preserve">Corresponde al valor proyectado al mes correspondiente en la distribución anual de la caracterización </t>
        </r>
      </text>
    </comment>
    <comment ref="AB7" authorId="0">
      <text>
        <r>
          <rPr>
            <sz val="9"/>
            <color indexed="81"/>
            <rFont val="Tahoma"/>
            <family val="2"/>
          </rPr>
          <t>Se registra el valor de la meta ejecutada sobre el valor de la meta proyectada</t>
        </r>
      </text>
    </comment>
    <comment ref="AC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0">
      <text>
        <r>
          <rPr>
            <sz val="9"/>
            <color indexed="81"/>
            <rFont val="Tahoma"/>
            <family val="2"/>
          </rPr>
          <t>Registrar la cantidad o % ejecutada en el mes (de acuerdo a la fórmula del Indicador)</t>
        </r>
      </text>
    </comment>
    <comment ref="AE7" authorId="0">
      <text>
        <r>
          <rPr>
            <sz val="9"/>
            <color indexed="81"/>
            <rFont val="Tahoma"/>
            <family val="2"/>
          </rPr>
          <t>Registrar la cantidad o % del denominador programado en el mes (de acuerdo a la fórmula del Indicador)</t>
        </r>
      </text>
    </comment>
    <comment ref="AF7" authorId="0">
      <text>
        <r>
          <rPr>
            <sz val="9"/>
            <color indexed="81"/>
            <rFont val="Tahoma"/>
            <family val="2"/>
          </rPr>
          <t>Es la relación del Numerador sobre el denominador.
Si su fúmula no contiene un denominado, escribir en este campo "1 (uno)"</t>
        </r>
      </text>
    </comment>
    <comment ref="AG7" authorId="0">
      <text>
        <r>
          <rPr>
            <sz val="9"/>
            <color indexed="81"/>
            <rFont val="Tahoma"/>
            <family val="2"/>
          </rPr>
          <t xml:space="preserve">Corresponde al valor proyectado al mes correspondiente en la distribución anual de la caracterización </t>
        </r>
      </text>
    </comment>
    <comment ref="AH7" authorId="0">
      <text>
        <r>
          <rPr>
            <sz val="9"/>
            <color indexed="81"/>
            <rFont val="Tahoma"/>
            <family val="2"/>
          </rPr>
          <t>Se registra el valor de la meta ejecutada sobre el valor de la meta proyectada</t>
        </r>
      </text>
    </comment>
    <comment ref="AI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0">
      <text>
        <r>
          <rPr>
            <sz val="9"/>
            <color indexed="81"/>
            <rFont val="Tahoma"/>
            <family val="2"/>
          </rPr>
          <t>Registrar la cantidad o % ejecutada en el mes (de acuerdo a la fórmula del Indicador)</t>
        </r>
      </text>
    </comment>
    <comment ref="AK7" authorId="0">
      <text>
        <r>
          <rPr>
            <sz val="9"/>
            <color indexed="81"/>
            <rFont val="Tahoma"/>
            <family val="2"/>
          </rPr>
          <t>Registrar la cantidad o % del denominador programado en el mes (de acuerdo a la fórmula del Indicador)</t>
        </r>
      </text>
    </comment>
    <comment ref="AL7" authorId="0">
      <text>
        <r>
          <rPr>
            <sz val="9"/>
            <color indexed="81"/>
            <rFont val="Tahoma"/>
            <family val="2"/>
          </rPr>
          <t>Es la relación del Numerador sobre el denominador.
Si su fúmula no contiene un denominado, escribir en este campo "1 (uno)"</t>
        </r>
      </text>
    </comment>
    <comment ref="AM7" authorId="0">
      <text>
        <r>
          <rPr>
            <sz val="9"/>
            <color indexed="81"/>
            <rFont val="Tahoma"/>
            <family val="2"/>
          </rPr>
          <t xml:space="preserve">Corresponde al valor proyectado al mes correspondiente en la distribución anual de la caracterización </t>
        </r>
      </text>
    </comment>
    <comment ref="AN7" authorId="0">
      <text>
        <r>
          <rPr>
            <sz val="9"/>
            <color indexed="81"/>
            <rFont val="Tahoma"/>
            <family val="2"/>
          </rPr>
          <t>Se registra el valor de la meta ejecutada sobre el valor de la meta proyectada</t>
        </r>
      </text>
    </comment>
    <comment ref="AO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0">
      <text>
        <r>
          <rPr>
            <sz val="9"/>
            <color indexed="81"/>
            <rFont val="Tahoma"/>
            <family val="2"/>
          </rPr>
          <t>Registrar la cantidad o % ejecutada en el mes (de acuerdo a la fórmula del Indicador)</t>
        </r>
      </text>
    </comment>
    <comment ref="AQ7" authorId="0">
      <text>
        <r>
          <rPr>
            <sz val="9"/>
            <color indexed="81"/>
            <rFont val="Tahoma"/>
            <family val="2"/>
          </rPr>
          <t>Registrar la cantidad o % del denominador programado en el mes (de acuerdo a la fórmula del Indicador)</t>
        </r>
      </text>
    </comment>
    <comment ref="AR7" authorId="0">
      <text>
        <r>
          <rPr>
            <sz val="9"/>
            <color indexed="81"/>
            <rFont val="Tahoma"/>
            <family val="2"/>
          </rPr>
          <t>Es la relación del Numerador sobre el denominador.
Si su fúmula no contiene un denominado, escribir en este campo "1 (uno)"</t>
        </r>
      </text>
    </comment>
    <comment ref="AS7" authorId="0">
      <text>
        <r>
          <rPr>
            <sz val="9"/>
            <color indexed="81"/>
            <rFont val="Tahoma"/>
            <family val="2"/>
          </rPr>
          <t xml:space="preserve">Corresponde al valor proyectado al mes correspondiente en la distribución anual de la caracterización </t>
        </r>
      </text>
    </comment>
    <comment ref="AT7" authorId="0">
      <text>
        <r>
          <rPr>
            <sz val="9"/>
            <color indexed="81"/>
            <rFont val="Tahoma"/>
            <family val="2"/>
          </rPr>
          <t>Se registra el valor de la meta ejecutada sobre el valor de la meta proyectada</t>
        </r>
      </text>
    </comment>
    <comment ref="AU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0">
      <text>
        <r>
          <rPr>
            <sz val="9"/>
            <color indexed="81"/>
            <rFont val="Tahoma"/>
            <family val="2"/>
          </rPr>
          <t>Registrar la cantidad o % ejecutada en el mes (de acuerdo a la fórmula del Indicador)</t>
        </r>
      </text>
    </comment>
    <comment ref="AW7" authorId="0">
      <text>
        <r>
          <rPr>
            <sz val="9"/>
            <color indexed="81"/>
            <rFont val="Tahoma"/>
            <family val="2"/>
          </rPr>
          <t>Registrar la cantidad o % del denominador programado en el mes (de acuerdo a la fórmula del Indicador)</t>
        </r>
      </text>
    </comment>
    <comment ref="AX7" authorId="0">
      <text>
        <r>
          <rPr>
            <sz val="9"/>
            <color indexed="81"/>
            <rFont val="Tahoma"/>
            <family val="2"/>
          </rPr>
          <t>Es la relación del Numerador sobre el denominador.
Si su fúmula no contiene un denominado, escribir en este campo "1 (uno)"</t>
        </r>
      </text>
    </comment>
    <comment ref="AY7" authorId="0">
      <text>
        <r>
          <rPr>
            <sz val="9"/>
            <color indexed="81"/>
            <rFont val="Tahoma"/>
            <family val="2"/>
          </rPr>
          <t xml:space="preserve">Corresponde al valor proyectado al mes correspondiente en la distribución anual de la caracterización </t>
        </r>
      </text>
    </comment>
    <comment ref="AZ7" authorId="0">
      <text>
        <r>
          <rPr>
            <sz val="9"/>
            <color indexed="81"/>
            <rFont val="Tahoma"/>
            <family val="2"/>
          </rPr>
          <t>Se registra el valor de la meta ejecutada sobre el valor de la meta proyectada</t>
        </r>
      </text>
    </comment>
    <comment ref="BA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0">
      <text>
        <r>
          <rPr>
            <sz val="9"/>
            <color indexed="81"/>
            <rFont val="Tahoma"/>
            <family val="2"/>
          </rPr>
          <t>Registrar la cantidad o % ejecutada en el mes (de acuerdo a la fórmula del Indicador)</t>
        </r>
      </text>
    </comment>
    <comment ref="BC7" authorId="0">
      <text>
        <r>
          <rPr>
            <sz val="9"/>
            <color indexed="81"/>
            <rFont val="Tahoma"/>
            <family val="2"/>
          </rPr>
          <t>Registrar la cantidad o % del denominador programado en el mes (de acuerdo a la fórmula del Indicador)</t>
        </r>
      </text>
    </comment>
    <comment ref="BD7" authorId="0">
      <text>
        <r>
          <rPr>
            <sz val="9"/>
            <color indexed="81"/>
            <rFont val="Tahoma"/>
            <family val="2"/>
          </rPr>
          <t>Es la relación del Numerador sobre el denominador.
Si su fúmula no contiene un denominado, escribir en este campo "1 (uno)"</t>
        </r>
      </text>
    </comment>
    <comment ref="BE7" authorId="0">
      <text>
        <r>
          <rPr>
            <sz val="9"/>
            <color indexed="81"/>
            <rFont val="Tahoma"/>
            <family val="2"/>
          </rPr>
          <t xml:space="preserve">Corresponde al valor proyectado al mes correspondiente en la distribución anual de la caracterización </t>
        </r>
      </text>
    </comment>
    <comment ref="BF7" authorId="0">
      <text>
        <r>
          <rPr>
            <sz val="9"/>
            <color indexed="81"/>
            <rFont val="Tahoma"/>
            <family val="2"/>
          </rPr>
          <t>Se registra el valor de la meta ejecutada sobre el valor de la meta proyectada</t>
        </r>
      </text>
    </comment>
    <comment ref="BG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0">
      <text>
        <r>
          <rPr>
            <sz val="9"/>
            <color indexed="81"/>
            <rFont val="Tahoma"/>
            <family val="2"/>
          </rPr>
          <t>Registrar la cantidad o % ejecutada en el mes (de acuerdo a la fórmula del Indicador)</t>
        </r>
      </text>
    </comment>
    <comment ref="BI7" authorId="0">
      <text>
        <r>
          <rPr>
            <sz val="9"/>
            <color indexed="81"/>
            <rFont val="Tahoma"/>
            <family val="2"/>
          </rPr>
          <t>Registrar la cantidad o % del denominador programado en el mes (de acuerdo a la fórmula del Indicador)</t>
        </r>
      </text>
    </comment>
    <comment ref="BJ7" authorId="0">
      <text>
        <r>
          <rPr>
            <sz val="9"/>
            <color indexed="81"/>
            <rFont val="Tahoma"/>
            <family val="2"/>
          </rPr>
          <t>Es la relación del Numerador sobre el denominador.
Si su fúmula no contiene un denominado, escribir en este campo "1 (uno)"</t>
        </r>
      </text>
    </comment>
    <comment ref="BK7" authorId="0">
      <text>
        <r>
          <rPr>
            <sz val="9"/>
            <color indexed="81"/>
            <rFont val="Tahoma"/>
            <family val="2"/>
          </rPr>
          <t xml:space="preserve">Corresponde al valor proyectado al mes correspondiente en la distribución anual de la caracterización </t>
        </r>
      </text>
    </comment>
    <comment ref="BL7" authorId="0">
      <text>
        <r>
          <rPr>
            <sz val="9"/>
            <color indexed="81"/>
            <rFont val="Tahoma"/>
            <family val="2"/>
          </rPr>
          <t>Se registra el valor de la meta ejecutada sobre el valor de la meta proyectada</t>
        </r>
      </text>
    </comment>
    <comment ref="BM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0">
      <text>
        <r>
          <rPr>
            <sz val="9"/>
            <color indexed="81"/>
            <rFont val="Tahoma"/>
            <family val="2"/>
          </rPr>
          <t>Registrar la cantidad o % ejecutada en el mes (de acuerdo a la fórmula del Indicador)</t>
        </r>
      </text>
    </comment>
    <comment ref="BO7" authorId="0">
      <text>
        <r>
          <rPr>
            <sz val="9"/>
            <color indexed="81"/>
            <rFont val="Tahoma"/>
            <family val="2"/>
          </rPr>
          <t>Registrar la cantidad o % del denominador programado en el mes (de acuerdo a la fórmula del Indicador)</t>
        </r>
      </text>
    </comment>
    <comment ref="BP7" authorId="0">
      <text>
        <r>
          <rPr>
            <sz val="9"/>
            <color indexed="81"/>
            <rFont val="Tahoma"/>
            <family val="2"/>
          </rPr>
          <t>Es la relación del Numerador sobre el denominador.
Si su fúmula no contiene un denominado, escribir en este campo "1 (uno)"</t>
        </r>
      </text>
    </comment>
    <comment ref="BQ7" authorId="0">
      <text>
        <r>
          <rPr>
            <sz val="9"/>
            <color indexed="81"/>
            <rFont val="Tahoma"/>
            <family val="2"/>
          </rPr>
          <t xml:space="preserve">Corresponde al valor proyectado al mes correspondiente en la distribución anual de la caracterización </t>
        </r>
      </text>
    </comment>
    <comment ref="BR7" authorId="0">
      <text>
        <r>
          <rPr>
            <sz val="9"/>
            <color indexed="81"/>
            <rFont val="Tahoma"/>
            <family val="2"/>
          </rPr>
          <t>Se registra el valor de la meta ejecutada sobre el valor de la meta proyectada</t>
        </r>
      </text>
    </comment>
    <comment ref="BS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0">
      <text>
        <r>
          <rPr>
            <sz val="9"/>
            <color indexed="81"/>
            <rFont val="Tahoma"/>
            <family val="2"/>
          </rPr>
          <t>Registrar la cantidad o % ejecutada en el mes (de acuerdo a la fórmula del Indicador)</t>
        </r>
      </text>
    </comment>
    <comment ref="BU7" authorId="0">
      <text>
        <r>
          <rPr>
            <sz val="9"/>
            <color indexed="81"/>
            <rFont val="Tahoma"/>
            <family val="2"/>
          </rPr>
          <t>Registrar la cantidad o % del denominador programado en el mes (de acuerdo a la fórmula del Indicador)</t>
        </r>
      </text>
    </comment>
    <comment ref="BV7" authorId="0">
      <text>
        <r>
          <rPr>
            <sz val="9"/>
            <color indexed="81"/>
            <rFont val="Tahoma"/>
            <family val="2"/>
          </rPr>
          <t>Es la relación del Numerador sobre el denominador.
Si su fúmula no contiene un denominado, escribir en este campo "1 (uno)"</t>
        </r>
      </text>
    </comment>
    <comment ref="BW7" authorId="0">
      <text>
        <r>
          <rPr>
            <sz val="9"/>
            <color indexed="81"/>
            <rFont val="Tahoma"/>
            <family val="2"/>
          </rPr>
          <t xml:space="preserve">Corresponde al valor proyectado al mes correspondiente en la distribución anual de la caracterización </t>
        </r>
      </text>
    </comment>
    <comment ref="BX7" authorId="0">
      <text>
        <r>
          <rPr>
            <sz val="9"/>
            <color indexed="81"/>
            <rFont val="Tahoma"/>
            <family val="2"/>
          </rPr>
          <t>Se registra el valor de la meta ejecutada sobre el valor de la meta proyectada</t>
        </r>
      </text>
    </comment>
    <comment ref="BY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0">
      <text>
        <r>
          <rPr>
            <sz val="9"/>
            <color indexed="81"/>
            <rFont val="Tahoma"/>
            <family val="2"/>
          </rPr>
          <t>Registrar la cantidad o % ejecutada en el mes (de acuerdo a la fórmula del Indicador)</t>
        </r>
      </text>
    </comment>
    <comment ref="CA7" authorId="0">
      <text>
        <r>
          <rPr>
            <sz val="9"/>
            <color indexed="81"/>
            <rFont val="Tahoma"/>
            <family val="2"/>
          </rPr>
          <t>Registrar la cantidad o % del denominador programado en el mes (de acuerdo a la fórmula del Indicador)</t>
        </r>
      </text>
    </comment>
    <comment ref="CB7" authorId="0">
      <text>
        <r>
          <rPr>
            <sz val="9"/>
            <color indexed="81"/>
            <rFont val="Tahoma"/>
            <family val="2"/>
          </rPr>
          <t>Es la relación del Numerador sobre el denominador.
Si su fúmula no contiene un denominado, escribir en este campo "1 (uno)"</t>
        </r>
      </text>
    </comment>
    <comment ref="CC7" authorId="0">
      <text>
        <r>
          <rPr>
            <sz val="9"/>
            <color indexed="81"/>
            <rFont val="Tahoma"/>
            <family val="2"/>
          </rPr>
          <t xml:space="preserve">Corresponde al valor proyectado al mes correspondiente en la distribución anual de la caracterización </t>
        </r>
      </text>
    </comment>
    <comment ref="CD7" authorId="0">
      <text>
        <r>
          <rPr>
            <sz val="9"/>
            <color indexed="81"/>
            <rFont val="Tahoma"/>
            <family val="2"/>
          </rPr>
          <t>Se registra el valor de la meta ejecutada sobre el valor de la meta proyectada</t>
        </r>
      </text>
    </comment>
    <comment ref="CE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0">
      <text>
        <r>
          <rPr>
            <sz val="9"/>
            <color indexed="81"/>
            <rFont val="Tahoma"/>
            <family val="2"/>
          </rPr>
          <t>Registrar la cantidad o % ejecutada en el mes (de acuerdo a la fórmula del Indicador)</t>
        </r>
      </text>
    </comment>
    <comment ref="CG7" authorId="0">
      <text>
        <r>
          <rPr>
            <sz val="9"/>
            <color indexed="81"/>
            <rFont val="Tahoma"/>
            <family val="2"/>
          </rPr>
          <t>Registrar la cantidad o % del denominador programado en el mes (de acuerdo a la fórmula del Indicador)</t>
        </r>
      </text>
    </comment>
    <comment ref="CH7" authorId="0">
      <text>
        <r>
          <rPr>
            <sz val="9"/>
            <color indexed="81"/>
            <rFont val="Tahoma"/>
            <family val="2"/>
          </rPr>
          <t>Es la relación del Numerador sobre el denominador.
Si su fúmula no contiene un denominado, escribir en este campo "1 (uno)"</t>
        </r>
      </text>
    </comment>
    <comment ref="CI7" authorId="0">
      <text>
        <r>
          <rPr>
            <sz val="9"/>
            <color indexed="81"/>
            <rFont val="Tahoma"/>
            <family val="2"/>
          </rPr>
          <t xml:space="preserve">Corresponde al valor proyectado al mes correspondiente en la distribución anual de la caracterización </t>
        </r>
      </text>
    </comment>
    <comment ref="CJ7" authorId="0">
      <text>
        <r>
          <rPr>
            <sz val="9"/>
            <color indexed="81"/>
            <rFont val="Tahoma"/>
            <family val="2"/>
          </rPr>
          <t>Se registra el valor de la meta ejecutada sobre el valor de la meta proyectada</t>
        </r>
      </text>
    </comment>
    <comment ref="CK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0">
      <text>
        <r>
          <rPr>
            <sz val="9"/>
            <color indexed="81"/>
            <rFont val="Tahoma"/>
            <family val="2"/>
          </rPr>
          <t>Registrar la cantidad o % ejecutada en el mes (de acuerdo a la fórmula del Indicador)</t>
        </r>
      </text>
    </comment>
    <comment ref="CM7" authorId="0">
      <text>
        <r>
          <rPr>
            <sz val="9"/>
            <color indexed="81"/>
            <rFont val="Tahoma"/>
            <family val="2"/>
          </rPr>
          <t>Registrar la cantidad o % del denominador programado en el mes (de acuerdo a la fórmula del Indicador)</t>
        </r>
      </text>
    </comment>
    <comment ref="CN7" authorId="0">
      <text>
        <r>
          <rPr>
            <sz val="9"/>
            <color indexed="81"/>
            <rFont val="Tahoma"/>
            <family val="2"/>
          </rPr>
          <t>Es la relación del Numerador sobre el denominador.
Si su fúmula no contiene un denominado, escribir en este campo "1 (uno)"</t>
        </r>
      </text>
    </comment>
    <comment ref="CO7" authorId="0">
      <text>
        <r>
          <rPr>
            <sz val="9"/>
            <color indexed="81"/>
            <rFont val="Tahoma"/>
            <family val="2"/>
          </rPr>
          <t xml:space="preserve">Corresponde al valor proyectado al mes correspondiente en la distribución anual de la caracterización </t>
        </r>
      </text>
    </comment>
    <comment ref="CP7" authorId="0">
      <text>
        <r>
          <rPr>
            <sz val="9"/>
            <color indexed="81"/>
            <rFont val="Tahoma"/>
            <family val="2"/>
          </rPr>
          <t>Se registra el valor de la meta ejecutada sobre el valor de la meta proyectada</t>
        </r>
      </text>
    </comment>
    <comment ref="CQ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0">
      <text>
        <r>
          <rPr>
            <sz val="9"/>
            <color indexed="81"/>
            <rFont val="Tahoma"/>
            <family val="2"/>
          </rPr>
          <t>Registrar la cantidad o % ejecutada(o) acumulada(o) (de acuerdo a la fórmula del Indicador)</t>
        </r>
      </text>
    </comment>
    <comment ref="CS7" authorId="0">
      <text>
        <r>
          <rPr>
            <sz val="9"/>
            <color indexed="81"/>
            <rFont val="Tahoma"/>
            <family val="2"/>
          </rPr>
          <t>Registrar la cantidad o % del denominador programada(o) acumulado (de acuerdo a la fórmula del Indicador)</t>
        </r>
      </text>
    </comment>
    <comment ref="CT7" authorId="0">
      <text>
        <r>
          <rPr>
            <sz val="9"/>
            <color indexed="81"/>
            <rFont val="Tahoma"/>
            <family val="2"/>
          </rPr>
          <t>Es la relación del Numerador sobre el denominador.
Si su fúmula no contiene un denominado, escribir en este campo "1 (uno)"</t>
        </r>
      </text>
    </comment>
    <comment ref="CU7" authorId="0">
      <text>
        <r>
          <rPr>
            <sz val="9"/>
            <color indexed="81"/>
            <rFont val="Tahoma"/>
            <family val="2"/>
          </rPr>
          <t xml:space="preserve">Corresponde al valor de la meta proyectada al año correspondiente a lo establecido en la caracterización </t>
        </r>
      </text>
    </comment>
    <comment ref="CV7" authorId="0">
      <text>
        <r>
          <rPr>
            <sz val="9"/>
            <color indexed="81"/>
            <rFont val="Tahoma"/>
            <family val="2"/>
          </rPr>
          <t>Se registra el valor de la meta ejecutada sobre el valor de la meta proyectada</t>
        </r>
      </text>
    </comment>
    <comment ref="CW7" authorId="0">
      <text>
        <r>
          <rPr>
            <sz val="9"/>
            <color indexed="81"/>
            <rFont val="Tahoma"/>
            <family val="2"/>
          </rPr>
          <t>Justifique el resultado de la meta ejecutada acumulada y la comparación entre la meta proyectada acumulada.</t>
        </r>
      </text>
    </comment>
    <comment ref="D15" authorId="0">
      <text>
        <r>
          <rPr>
            <sz val="8"/>
            <color indexed="81"/>
            <rFont val="Tahoma"/>
            <family val="2"/>
          </rPr>
          <t>El términos "Documentos del SIG" hace referencia a manuales, procedimientos, formatos, instructivos, guías en cada uno de los procesos</t>
        </r>
      </text>
    </comment>
  </commentList>
</comments>
</file>

<file path=xl/comments16.xml><?xml version="1.0" encoding="utf-8"?>
<comments xmlns="http://schemas.openxmlformats.org/spreadsheetml/2006/main">
  <authors>
    <author>John Alexander Quiroga Fuquene</author>
    <author>pavel pinto</author>
  </authors>
  <commentList>
    <comment ref="G6" authorId="0">
      <text>
        <r>
          <rPr>
            <b/>
            <sz val="9"/>
            <color indexed="81"/>
            <rFont val="Tahoma"/>
            <family val="2"/>
          </rPr>
          <t>De:
Eficacia
Eficiencia
Efectividad</t>
        </r>
      </text>
    </comment>
    <comment ref="X7" authorId="0">
      <text>
        <r>
          <rPr>
            <sz val="9"/>
            <color indexed="81"/>
            <rFont val="Tahoma"/>
            <family val="2"/>
          </rPr>
          <t>Registrar la cantidad o % ejecutada en el mes (de acuerdo a la fórmula del Indicador)</t>
        </r>
      </text>
    </comment>
    <comment ref="Y7" authorId="0">
      <text>
        <r>
          <rPr>
            <sz val="9"/>
            <color indexed="81"/>
            <rFont val="Tahoma"/>
            <family val="2"/>
          </rPr>
          <t>Registrar la cantidad o % del denominador programado en el mes (de acuerdo a la fórmula del Indicador)</t>
        </r>
      </text>
    </comment>
    <comment ref="Z7" authorId="0">
      <text>
        <r>
          <rPr>
            <sz val="9"/>
            <color indexed="81"/>
            <rFont val="Tahoma"/>
            <family val="2"/>
          </rPr>
          <t>Es la relación del Numerador sobre el denominador.
Si su fúmula no contiene un denominado, escribir en este campo "1 (uno)"</t>
        </r>
      </text>
    </comment>
    <comment ref="AA7" authorId="0">
      <text>
        <r>
          <rPr>
            <sz val="9"/>
            <color indexed="81"/>
            <rFont val="Tahoma"/>
            <family val="2"/>
          </rPr>
          <t xml:space="preserve">Corresponde al valor proyectado al mes correspondiente en la distribución anual de la caracterización </t>
        </r>
      </text>
    </comment>
    <comment ref="AB7" authorId="0">
      <text>
        <r>
          <rPr>
            <sz val="9"/>
            <color indexed="81"/>
            <rFont val="Tahoma"/>
            <family val="2"/>
          </rPr>
          <t>Se registra el valor de la meta ejecutada sobre el valor de la meta proyectada</t>
        </r>
      </text>
    </comment>
    <comment ref="AC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0">
      <text>
        <r>
          <rPr>
            <sz val="9"/>
            <color indexed="81"/>
            <rFont val="Tahoma"/>
            <family val="2"/>
          </rPr>
          <t>Registrar la cantidad o % ejecutada en el mes (de acuerdo a la fórmula del Indicador)</t>
        </r>
      </text>
    </comment>
    <comment ref="AE7" authorId="0">
      <text>
        <r>
          <rPr>
            <sz val="9"/>
            <color indexed="81"/>
            <rFont val="Tahoma"/>
            <family val="2"/>
          </rPr>
          <t>Registrar la cantidad o % del denominador programado en el mes (de acuerdo a la fórmula del Indicador)</t>
        </r>
      </text>
    </comment>
    <comment ref="AF7" authorId="0">
      <text>
        <r>
          <rPr>
            <sz val="9"/>
            <color indexed="81"/>
            <rFont val="Tahoma"/>
            <family val="2"/>
          </rPr>
          <t>Es la relación del Numerador sobre el denominador.
Si su fúmula no contiene un denominado, escribir en este campo "1 (uno)"</t>
        </r>
      </text>
    </comment>
    <comment ref="AG7" authorId="0">
      <text>
        <r>
          <rPr>
            <sz val="9"/>
            <color indexed="81"/>
            <rFont val="Tahoma"/>
            <family val="2"/>
          </rPr>
          <t xml:space="preserve">Corresponde al valor proyectado al mes correspondiente en la distribución anual de la caracterización </t>
        </r>
      </text>
    </comment>
    <comment ref="AH7" authorId="0">
      <text>
        <r>
          <rPr>
            <sz val="9"/>
            <color indexed="81"/>
            <rFont val="Tahoma"/>
            <family val="2"/>
          </rPr>
          <t>Se registra el valor de la meta ejecutada sobre el valor de la meta proyectada</t>
        </r>
      </text>
    </comment>
    <comment ref="AI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0">
      <text>
        <r>
          <rPr>
            <sz val="9"/>
            <color indexed="81"/>
            <rFont val="Tahoma"/>
            <family val="2"/>
          </rPr>
          <t>Registrar la cantidad o % ejecutada en el mes (de acuerdo a la fórmula del Indicador)</t>
        </r>
      </text>
    </comment>
    <comment ref="AK7" authorId="0">
      <text>
        <r>
          <rPr>
            <sz val="9"/>
            <color indexed="81"/>
            <rFont val="Tahoma"/>
            <family val="2"/>
          </rPr>
          <t>Registrar la cantidad o % del denominador programado en el mes (de acuerdo a la fórmula del Indicador)</t>
        </r>
      </text>
    </comment>
    <comment ref="AL7" authorId="0">
      <text>
        <r>
          <rPr>
            <sz val="9"/>
            <color indexed="81"/>
            <rFont val="Tahoma"/>
            <family val="2"/>
          </rPr>
          <t>Es la relación del Numerador sobre el denominador.
Si su fúmula no contiene un denominado, escribir en este campo "1 (uno)"</t>
        </r>
      </text>
    </comment>
    <comment ref="AM7" authorId="0">
      <text>
        <r>
          <rPr>
            <sz val="9"/>
            <color indexed="81"/>
            <rFont val="Tahoma"/>
            <family val="2"/>
          </rPr>
          <t xml:space="preserve">Corresponde al valor proyectado al mes correspondiente en la distribución anual de la caracterización </t>
        </r>
      </text>
    </comment>
    <comment ref="AN7" authorId="0">
      <text>
        <r>
          <rPr>
            <sz val="9"/>
            <color indexed="81"/>
            <rFont val="Tahoma"/>
            <family val="2"/>
          </rPr>
          <t>Se registra el valor de la meta ejecutada sobre el valor de la meta proyectada</t>
        </r>
      </text>
    </comment>
    <comment ref="AO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0">
      <text>
        <r>
          <rPr>
            <sz val="9"/>
            <color indexed="81"/>
            <rFont val="Tahoma"/>
            <family val="2"/>
          </rPr>
          <t>Registrar la cantidad o % ejecutada en el mes (de acuerdo a la fórmula del Indicador)</t>
        </r>
      </text>
    </comment>
    <comment ref="AQ7" authorId="0">
      <text>
        <r>
          <rPr>
            <sz val="9"/>
            <color indexed="81"/>
            <rFont val="Tahoma"/>
            <family val="2"/>
          </rPr>
          <t>Registrar la cantidad o % del denominador programado en el mes (de acuerdo a la fórmula del Indicador)</t>
        </r>
      </text>
    </comment>
    <comment ref="AR7" authorId="0">
      <text>
        <r>
          <rPr>
            <sz val="9"/>
            <color indexed="81"/>
            <rFont val="Tahoma"/>
            <family val="2"/>
          </rPr>
          <t>Es la relación del Numerador sobre el denominador.
Si su fúmula no contiene un denominado, escribir en este campo "1 (uno)"</t>
        </r>
      </text>
    </comment>
    <comment ref="AS7" authorId="0">
      <text>
        <r>
          <rPr>
            <sz val="9"/>
            <color indexed="81"/>
            <rFont val="Tahoma"/>
            <family val="2"/>
          </rPr>
          <t xml:space="preserve">Corresponde al valor proyectado al mes correspondiente en la distribución anual de la caracterización </t>
        </r>
      </text>
    </comment>
    <comment ref="AT7" authorId="0">
      <text>
        <r>
          <rPr>
            <sz val="9"/>
            <color indexed="81"/>
            <rFont val="Tahoma"/>
            <family val="2"/>
          </rPr>
          <t>Se registra el valor de la meta ejecutada sobre el valor de la meta proyectada</t>
        </r>
      </text>
    </comment>
    <comment ref="AU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0">
      <text>
        <r>
          <rPr>
            <sz val="9"/>
            <color indexed="81"/>
            <rFont val="Tahoma"/>
            <family val="2"/>
          </rPr>
          <t>Registrar la cantidad o % ejecutada en el mes (de acuerdo a la fórmula del Indicador)</t>
        </r>
      </text>
    </comment>
    <comment ref="AW7" authorId="0">
      <text>
        <r>
          <rPr>
            <sz val="9"/>
            <color indexed="81"/>
            <rFont val="Tahoma"/>
            <family val="2"/>
          </rPr>
          <t>Registrar la cantidad o % del denominador programado en el mes (de acuerdo a la fórmula del Indicador)</t>
        </r>
      </text>
    </comment>
    <comment ref="AX7" authorId="0">
      <text>
        <r>
          <rPr>
            <sz val="9"/>
            <color indexed="81"/>
            <rFont val="Tahoma"/>
            <family val="2"/>
          </rPr>
          <t>Es la relación del Numerador sobre el denominador.
Si su fúmula no contiene un denominado, escribir en este campo "1 (uno)"</t>
        </r>
      </text>
    </comment>
    <comment ref="AY7" authorId="0">
      <text>
        <r>
          <rPr>
            <sz val="9"/>
            <color indexed="81"/>
            <rFont val="Tahoma"/>
            <family val="2"/>
          </rPr>
          <t xml:space="preserve">Corresponde al valor proyectado al mes correspondiente en la distribución anual de la caracterización </t>
        </r>
      </text>
    </comment>
    <comment ref="AZ7" authorId="0">
      <text>
        <r>
          <rPr>
            <sz val="9"/>
            <color indexed="81"/>
            <rFont val="Tahoma"/>
            <family val="2"/>
          </rPr>
          <t>Se registra el valor de la meta ejecutada sobre el valor de la meta proyectada</t>
        </r>
      </text>
    </comment>
    <comment ref="BA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0">
      <text>
        <r>
          <rPr>
            <sz val="9"/>
            <color indexed="81"/>
            <rFont val="Tahoma"/>
            <family val="2"/>
          </rPr>
          <t>Registrar la cantidad o % ejecutada en el mes (de acuerdo a la fórmula del Indicador)</t>
        </r>
      </text>
    </comment>
    <comment ref="BC7" authorId="0">
      <text>
        <r>
          <rPr>
            <sz val="9"/>
            <color indexed="81"/>
            <rFont val="Tahoma"/>
            <family val="2"/>
          </rPr>
          <t>Registrar la cantidad o % del denominador programado en el mes (de acuerdo a la fórmula del Indicador)</t>
        </r>
      </text>
    </comment>
    <comment ref="BD7" authorId="0">
      <text>
        <r>
          <rPr>
            <sz val="9"/>
            <color indexed="81"/>
            <rFont val="Tahoma"/>
            <family val="2"/>
          </rPr>
          <t>Es la relación del Numerador sobre el denominador.
Si su fúmula no contiene un denominado, escribir en este campo "1 (uno)"</t>
        </r>
      </text>
    </comment>
    <comment ref="BE7" authorId="0">
      <text>
        <r>
          <rPr>
            <sz val="9"/>
            <color indexed="81"/>
            <rFont val="Tahoma"/>
            <family val="2"/>
          </rPr>
          <t xml:space="preserve">Corresponde al valor proyectado al mes correspondiente en la distribución anual de la caracterización </t>
        </r>
      </text>
    </comment>
    <comment ref="BF7" authorId="0">
      <text>
        <r>
          <rPr>
            <sz val="9"/>
            <color indexed="81"/>
            <rFont val="Tahoma"/>
            <family val="2"/>
          </rPr>
          <t>Se registra el valor de la meta ejecutada sobre el valor de la meta proyectada</t>
        </r>
      </text>
    </comment>
    <comment ref="BG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0">
      <text>
        <r>
          <rPr>
            <sz val="9"/>
            <color indexed="81"/>
            <rFont val="Tahoma"/>
            <family val="2"/>
          </rPr>
          <t>Registrar la cantidad o % ejecutada en el mes (de acuerdo a la fórmula del Indicador)</t>
        </r>
      </text>
    </comment>
    <comment ref="BI7" authorId="0">
      <text>
        <r>
          <rPr>
            <sz val="9"/>
            <color indexed="81"/>
            <rFont val="Tahoma"/>
            <family val="2"/>
          </rPr>
          <t>Registrar la cantidad o % del denominador programado en el mes (de acuerdo a la fórmula del Indicador)</t>
        </r>
      </text>
    </comment>
    <comment ref="BJ7" authorId="0">
      <text>
        <r>
          <rPr>
            <sz val="9"/>
            <color indexed="81"/>
            <rFont val="Tahoma"/>
            <family val="2"/>
          </rPr>
          <t>Es la relación del Numerador sobre el denominador.
Si su fúmula no contiene un denominado, escribir en este campo "1 (uno)"</t>
        </r>
      </text>
    </comment>
    <comment ref="BK7" authorId="0">
      <text>
        <r>
          <rPr>
            <sz val="9"/>
            <color indexed="81"/>
            <rFont val="Tahoma"/>
            <family val="2"/>
          </rPr>
          <t xml:space="preserve">Corresponde al valor proyectado al mes correspondiente en la distribución anual de la caracterización </t>
        </r>
      </text>
    </comment>
    <comment ref="BL7" authorId="0">
      <text>
        <r>
          <rPr>
            <sz val="9"/>
            <color indexed="81"/>
            <rFont val="Tahoma"/>
            <family val="2"/>
          </rPr>
          <t>Se registra el valor de la meta ejecutada sobre el valor de la meta proyectada</t>
        </r>
      </text>
    </comment>
    <comment ref="BM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0">
      <text>
        <r>
          <rPr>
            <sz val="9"/>
            <color indexed="81"/>
            <rFont val="Tahoma"/>
            <family val="2"/>
          </rPr>
          <t>Registrar la cantidad o % ejecutada en el mes (de acuerdo a la fórmula del Indicador)</t>
        </r>
      </text>
    </comment>
    <comment ref="BO7" authorId="0">
      <text>
        <r>
          <rPr>
            <sz val="9"/>
            <color indexed="81"/>
            <rFont val="Tahoma"/>
            <family val="2"/>
          </rPr>
          <t>Registrar la cantidad o % del denominador programado en el mes (de acuerdo a la fórmula del Indicador)</t>
        </r>
      </text>
    </comment>
    <comment ref="BP7" authorId="0">
      <text>
        <r>
          <rPr>
            <sz val="9"/>
            <color indexed="81"/>
            <rFont val="Tahoma"/>
            <family val="2"/>
          </rPr>
          <t>Es la relación del Numerador sobre el denominador.
Si su fúmula no contiene un denominado, escribir en este campo "1 (uno)"</t>
        </r>
      </text>
    </comment>
    <comment ref="BQ7" authorId="0">
      <text>
        <r>
          <rPr>
            <sz val="9"/>
            <color indexed="81"/>
            <rFont val="Tahoma"/>
            <family val="2"/>
          </rPr>
          <t xml:space="preserve">Corresponde al valor proyectado al mes correspondiente en la distribución anual de la caracterización </t>
        </r>
      </text>
    </comment>
    <comment ref="BR7" authorId="0">
      <text>
        <r>
          <rPr>
            <sz val="9"/>
            <color indexed="81"/>
            <rFont val="Tahoma"/>
            <family val="2"/>
          </rPr>
          <t>Se registra el valor de la meta ejecutada sobre el valor de la meta proyectada</t>
        </r>
      </text>
    </comment>
    <comment ref="BS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0">
      <text>
        <r>
          <rPr>
            <sz val="9"/>
            <color indexed="81"/>
            <rFont val="Tahoma"/>
            <family val="2"/>
          </rPr>
          <t>Registrar la cantidad o % ejecutada en el mes (de acuerdo a la fórmula del Indicador)</t>
        </r>
      </text>
    </comment>
    <comment ref="BU7" authorId="0">
      <text>
        <r>
          <rPr>
            <sz val="9"/>
            <color indexed="81"/>
            <rFont val="Tahoma"/>
            <family val="2"/>
          </rPr>
          <t>Registrar la cantidad o % del denominador programado en el mes (de acuerdo a la fórmula del Indicador)</t>
        </r>
      </text>
    </comment>
    <comment ref="BV7" authorId="0">
      <text>
        <r>
          <rPr>
            <sz val="9"/>
            <color indexed="81"/>
            <rFont val="Tahoma"/>
            <family val="2"/>
          </rPr>
          <t>Es la relación del Numerador sobre el denominador.
Si su fúmula no contiene un denominado, escribir en este campo "1 (uno)"</t>
        </r>
      </text>
    </comment>
    <comment ref="BW7" authorId="0">
      <text>
        <r>
          <rPr>
            <sz val="9"/>
            <color indexed="81"/>
            <rFont val="Tahoma"/>
            <family val="2"/>
          </rPr>
          <t xml:space="preserve">Corresponde al valor proyectado al mes correspondiente en la distribución anual de la caracterización </t>
        </r>
      </text>
    </comment>
    <comment ref="BX7" authorId="0">
      <text>
        <r>
          <rPr>
            <sz val="9"/>
            <color indexed="81"/>
            <rFont val="Tahoma"/>
            <family val="2"/>
          </rPr>
          <t>Se registra el valor de la meta ejecutada sobre el valor de la meta proyectada</t>
        </r>
      </text>
    </comment>
    <comment ref="BY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0">
      <text>
        <r>
          <rPr>
            <sz val="9"/>
            <color indexed="81"/>
            <rFont val="Tahoma"/>
            <family val="2"/>
          </rPr>
          <t>Registrar la cantidad o % ejecutada en el mes (de acuerdo a la fórmula del Indicador)</t>
        </r>
      </text>
    </comment>
    <comment ref="CA7" authorId="0">
      <text>
        <r>
          <rPr>
            <sz val="9"/>
            <color indexed="81"/>
            <rFont val="Tahoma"/>
            <family val="2"/>
          </rPr>
          <t>Registrar la cantidad o % del denominador programado en el mes (de acuerdo a la fórmula del Indicador)</t>
        </r>
      </text>
    </comment>
    <comment ref="CB7" authorId="0">
      <text>
        <r>
          <rPr>
            <sz val="9"/>
            <color indexed="81"/>
            <rFont val="Tahoma"/>
            <family val="2"/>
          </rPr>
          <t>Es la relación del Numerador sobre el denominador.
Si su fúmula no contiene un denominado, escribir en este campo "1 (uno)"</t>
        </r>
      </text>
    </comment>
    <comment ref="CC7" authorId="0">
      <text>
        <r>
          <rPr>
            <sz val="9"/>
            <color indexed="81"/>
            <rFont val="Tahoma"/>
            <family val="2"/>
          </rPr>
          <t xml:space="preserve">Corresponde al valor proyectado al mes correspondiente en la distribución anual de la caracterización </t>
        </r>
      </text>
    </comment>
    <comment ref="CD7" authorId="0">
      <text>
        <r>
          <rPr>
            <sz val="9"/>
            <color indexed="81"/>
            <rFont val="Tahoma"/>
            <family val="2"/>
          </rPr>
          <t>Se registra el valor de la meta ejecutada sobre el valor de la meta proyectada</t>
        </r>
      </text>
    </comment>
    <comment ref="CE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0">
      <text>
        <r>
          <rPr>
            <sz val="9"/>
            <color indexed="81"/>
            <rFont val="Tahoma"/>
            <family val="2"/>
          </rPr>
          <t>Registrar la cantidad o % ejecutada en el mes (de acuerdo a la fórmula del Indicador)</t>
        </r>
      </text>
    </comment>
    <comment ref="CG7" authorId="0">
      <text>
        <r>
          <rPr>
            <sz val="9"/>
            <color indexed="81"/>
            <rFont val="Tahoma"/>
            <family val="2"/>
          </rPr>
          <t>Registrar la cantidad o % del denominador programado en el mes (de acuerdo a la fórmula del Indicador)</t>
        </r>
      </text>
    </comment>
    <comment ref="CH7" authorId="0">
      <text>
        <r>
          <rPr>
            <sz val="9"/>
            <color indexed="81"/>
            <rFont val="Tahoma"/>
            <family val="2"/>
          </rPr>
          <t>Es la relación del Numerador sobre el denominador.
Si su fúmula no contiene un denominado, escribir en este campo "1 (uno)"</t>
        </r>
      </text>
    </comment>
    <comment ref="CI7" authorId="0">
      <text>
        <r>
          <rPr>
            <sz val="9"/>
            <color indexed="81"/>
            <rFont val="Tahoma"/>
            <family val="2"/>
          </rPr>
          <t xml:space="preserve">Corresponde al valor proyectado al mes correspondiente en la distribución anual de la caracterización </t>
        </r>
      </text>
    </comment>
    <comment ref="CJ7" authorId="0">
      <text>
        <r>
          <rPr>
            <sz val="9"/>
            <color indexed="81"/>
            <rFont val="Tahoma"/>
            <family val="2"/>
          </rPr>
          <t>Se registra el valor de la meta ejecutada sobre el valor de la meta proyectada</t>
        </r>
      </text>
    </comment>
    <comment ref="CK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0">
      <text>
        <r>
          <rPr>
            <sz val="9"/>
            <color indexed="81"/>
            <rFont val="Tahoma"/>
            <family val="2"/>
          </rPr>
          <t>Registrar la cantidad o % ejecutada en el mes (de acuerdo a la fórmula del Indicador)</t>
        </r>
      </text>
    </comment>
    <comment ref="CM7" authorId="0">
      <text>
        <r>
          <rPr>
            <sz val="9"/>
            <color indexed="81"/>
            <rFont val="Tahoma"/>
            <family val="2"/>
          </rPr>
          <t>Registrar la cantidad o % del denominador programado en el mes (de acuerdo a la fórmula del Indicador)</t>
        </r>
      </text>
    </comment>
    <comment ref="CN7" authorId="0">
      <text>
        <r>
          <rPr>
            <sz val="9"/>
            <color indexed="81"/>
            <rFont val="Tahoma"/>
            <family val="2"/>
          </rPr>
          <t>Es la relación del Numerador sobre el denominador.
Si su fúmula no contiene un denominado, escribir en este campo "1 (uno)"</t>
        </r>
      </text>
    </comment>
    <comment ref="CO7" authorId="0">
      <text>
        <r>
          <rPr>
            <sz val="9"/>
            <color indexed="81"/>
            <rFont val="Tahoma"/>
            <family val="2"/>
          </rPr>
          <t xml:space="preserve">Corresponde al valor proyectado al mes correspondiente en la distribución anual de la caracterización </t>
        </r>
      </text>
    </comment>
    <comment ref="CP7" authorId="0">
      <text>
        <r>
          <rPr>
            <sz val="9"/>
            <color indexed="81"/>
            <rFont val="Tahoma"/>
            <family val="2"/>
          </rPr>
          <t>Se registra el valor de la meta ejecutada sobre el valor de la meta proyectada</t>
        </r>
      </text>
    </comment>
    <comment ref="CQ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0">
      <text>
        <r>
          <rPr>
            <sz val="9"/>
            <color indexed="81"/>
            <rFont val="Tahoma"/>
            <family val="2"/>
          </rPr>
          <t>Registrar la cantidad o % ejecutada(o) acumulada(o) (de acuerdo a la fórmula del Indicador)</t>
        </r>
      </text>
    </comment>
    <comment ref="CS7" authorId="0">
      <text>
        <r>
          <rPr>
            <sz val="9"/>
            <color indexed="81"/>
            <rFont val="Tahoma"/>
            <family val="2"/>
          </rPr>
          <t>Registrar la cantidad o % del denominador programada(o) acumulado (de acuerdo a la fórmula del Indicador)</t>
        </r>
      </text>
    </comment>
    <comment ref="CT7" authorId="0">
      <text>
        <r>
          <rPr>
            <sz val="9"/>
            <color indexed="81"/>
            <rFont val="Tahoma"/>
            <family val="2"/>
          </rPr>
          <t>Es la relación del Numerador sobre el denominador.
Si su fúmula no contiene un denominado, escribir en este campo "1 (uno)"</t>
        </r>
      </text>
    </comment>
    <comment ref="CU7" authorId="0">
      <text>
        <r>
          <rPr>
            <sz val="9"/>
            <color indexed="81"/>
            <rFont val="Tahoma"/>
            <family val="2"/>
          </rPr>
          <t xml:space="preserve">Corresponde al valor de la meta proyectada al año correspondiente a lo establecido en la caracterización </t>
        </r>
      </text>
    </comment>
    <comment ref="CV7" authorId="0">
      <text>
        <r>
          <rPr>
            <sz val="9"/>
            <color indexed="81"/>
            <rFont val="Tahoma"/>
            <family val="2"/>
          </rPr>
          <t>Se registra el valor de la meta ejecutada sobre el valor de la meta proyectada</t>
        </r>
      </text>
    </comment>
    <comment ref="CW7" authorId="0">
      <text>
        <r>
          <rPr>
            <sz val="9"/>
            <color indexed="81"/>
            <rFont val="Tahoma"/>
            <family val="2"/>
          </rPr>
          <t>Justifique el resultado de la meta ejecutada acumulada y la comparación entre la meta proyectada acumulada.</t>
        </r>
      </text>
    </comment>
    <comment ref="D14" authorId="0">
      <text>
        <r>
          <rPr>
            <sz val="8"/>
            <color indexed="81"/>
            <rFont val="Tahoma"/>
            <family val="2"/>
          </rPr>
          <t>El términos "Documentos del SIG" hace referencia a manuales, procedimientos, formatos, instructivos, guías en cada uno de los procesos</t>
        </r>
      </text>
    </comment>
    <comment ref="W14" authorId="1">
      <text>
        <r>
          <rPr>
            <sz val="9"/>
            <color indexed="81"/>
            <rFont val="Tahoma"/>
            <family val="2"/>
          </rPr>
          <t xml:space="preserve">
Usuario encargado:
OAP - John Quiroga
         Carlos Campos </t>
        </r>
      </text>
    </comment>
    <comment ref="W15" authorId="1">
      <text>
        <r>
          <rPr>
            <sz val="9"/>
            <color indexed="81"/>
            <rFont val="Tahoma"/>
            <family val="2"/>
          </rPr>
          <t xml:space="preserve">
Usuario encargado 
DTGC - Johana lamilla Sanchez
John Herry Cueca
</t>
        </r>
      </text>
    </comment>
  </commentList>
</comments>
</file>

<file path=xl/comments17.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4" authorId="1">
      <text>
        <r>
          <rPr>
            <sz val="8"/>
            <color indexed="81"/>
            <rFont val="Tahoma"/>
            <family val="2"/>
          </rPr>
          <t>El términos "Documentos del SIG" hace referencia a manuales, procedimientos, formatos, instructivos, guías en cada uno de los procesos</t>
        </r>
      </text>
    </comment>
    <comment ref="W14" authorId="0">
      <text>
        <r>
          <rPr>
            <sz val="9"/>
            <color indexed="81"/>
            <rFont val="Tahoma"/>
            <family val="2"/>
          </rPr>
          <t xml:space="preserve">
Usuario encargado:
OAP - John Quiroga
         Carlos Campos </t>
        </r>
      </text>
    </comment>
    <comment ref="W15" authorId="0">
      <text>
        <r>
          <rPr>
            <sz val="9"/>
            <color indexed="81"/>
            <rFont val="Tahoma"/>
            <family val="2"/>
          </rPr>
          <t xml:space="preserve">
Usuario encargado:
OCI - Camilo Barajas </t>
        </r>
      </text>
    </comment>
    <comment ref="W16" authorId="0">
      <text>
        <r>
          <rPr>
            <sz val="9"/>
            <color indexed="81"/>
            <rFont val="Tahoma"/>
            <family val="2"/>
          </rPr>
          <t xml:space="preserve">
usuario encargado:
OCI - wilson Herrera
</t>
        </r>
      </text>
    </comment>
    <comment ref="W17" authorId="0">
      <text>
        <r>
          <rPr>
            <sz val="9"/>
            <color indexed="81"/>
            <rFont val="Tahoma"/>
            <family val="2"/>
          </rPr>
          <t xml:space="preserve">
Usurario encargado 
STPC - Nelson mauricio Izasa
</t>
        </r>
      </text>
    </comment>
    <comment ref="W18" authorId="0">
      <text>
        <r>
          <rPr>
            <sz val="9"/>
            <color indexed="81"/>
            <rFont val="Tahoma"/>
            <family val="2"/>
          </rPr>
          <t xml:space="preserve">
Usurario encargado 
STPC - Nelson mauricio Izasa</t>
        </r>
        <r>
          <rPr>
            <sz val="9"/>
            <color indexed="81"/>
            <rFont val="Tahoma"/>
            <family val="2"/>
          </rPr>
          <t xml:space="preserve">
</t>
        </r>
      </text>
    </comment>
    <comment ref="W19" authorId="0">
      <text>
        <r>
          <rPr>
            <sz val="9"/>
            <color indexed="81"/>
            <rFont val="Tahoma"/>
            <family val="2"/>
          </rPr>
          <t xml:space="preserve">
Usuario encargado 
OAP - Luis Arnulfo Sarmiento
         Cesar Miranda</t>
        </r>
      </text>
    </comment>
    <comment ref="W20" authorId="0">
      <text>
        <r>
          <rPr>
            <sz val="9"/>
            <color indexed="81"/>
            <rFont val="Tahoma"/>
            <family val="2"/>
          </rPr>
          <t xml:space="preserve">
Usuario encargado 
STTR - Rodrigo Alvarez O
</t>
        </r>
      </text>
    </comment>
    <comment ref="W21" authorId="0">
      <text>
        <r>
          <rPr>
            <sz val="9"/>
            <color indexed="81"/>
            <rFont val="Tahoma"/>
            <family val="2"/>
          </rPr>
          <t xml:space="preserve">
Usuario encargado 
DTGC - Johana lamilla Sanchez
John Herry Cueca
</t>
        </r>
      </text>
    </comment>
  </commentList>
</comments>
</file>

<file path=xl/comments18.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R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T7" authorId="1">
      <text>
        <r>
          <rPr>
            <sz val="9"/>
            <color indexed="81"/>
            <rFont val="Tahoma"/>
            <family val="2"/>
          </rPr>
          <t>Registrar la cantidad o % ejecutada(o) acumulada(o) (de acuerdo a la fórmula del Indicador)</t>
        </r>
      </text>
    </comment>
    <comment ref="CU7" authorId="1">
      <text>
        <r>
          <rPr>
            <sz val="9"/>
            <color indexed="81"/>
            <rFont val="Tahoma"/>
            <family val="2"/>
          </rPr>
          <t>Registrar la cantidad o % del denominador programada(o) acumulado (de acuerdo a la fórmula del Indicador)</t>
        </r>
      </text>
    </comment>
    <comment ref="CV7" authorId="1">
      <text>
        <r>
          <rPr>
            <sz val="9"/>
            <color indexed="81"/>
            <rFont val="Tahoma"/>
            <family val="2"/>
          </rPr>
          <t>Es la relación del Numerador sobre el denominador.
Si su fúmula no contiene un denominado, escribir en este campo "1 (uno)"</t>
        </r>
      </text>
    </comment>
    <comment ref="CW7" authorId="1">
      <text>
        <r>
          <rPr>
            <sz val="9"/>
            <color indexed="81"/>
            <rFont val="Tahoma"/>
            <family val="2"/>
          </rPr>
          <t xml:space="preserve">Corresponde al valor de la meta proyectada al año correspondiente a lo establecido en la caracterización </t>
        </r>
      </text>
    </comment>
    <comment ref="CX7" authorId="1">
      <text>
        <r>
          <rPr>
            <sz val="9"/>
            <color indexed="81"/>
            <rFont val="Tahoma"/>
            <family val="2"/>
          </rPr>
          <t>Se registra el valor de la meta ejecutada sobre el valor de la meta proyectada</t>
        </r>
      </text>
    </comment>
    <comment ref="CY7" authorId="1">
      <text>
        <r>
          <rPr>
            <sz val="9"/>
            <color indexed="81"/>
            <rFont val="Tahoma"/>
            <family val="2"/>
          </rPr>
          <t>Justifique el resultado de la meta ejecutada acumulada y la comparación entre la meta proyectada acumulada.</t>
        </r>
      </text>
    </comment>
    <comment ref="CZ7" authorId="1">
      <text>
        <r>
          <rPr>
            <sz val="9"/>
            <color indexed="81"/>
            <rFont val="Tahoma"/>
            <family val="2"/>
          </rPr>
          <t>Justifique el resultado de la meta ejecutada acumulada y la comparación entre la meta proyectada acumulada.</t>
        </r>
      </text>
    </comment>
    <comment ref="D12" authorId="1">
      <text>
        <r>
          <rPr>
            <sz val="8"/>
            <color indexed="81"/>
            <rFont val="Tahoma"/>
            <family val="2"/>
          </rPr>
          <t>El términos "Documentos del SIG" hace referencia a manuales, procedimientos, formatos, instructivos, guías en cada uno de los procesos</t>
        </r>
      </text>
    </comment>
    <comment ref="W12" authorId="0">
      <text>
        <r>
          <rPr>
            <sz val="9"/>
            <color indexed="81"/>
            <rFont val="Tahoma"/>
            <family val="2"/>
          </rPr>
          <t xml:space="preserve">
Usuario encargado:
OAP - John Quiroga
         Carlos Campos </t>
        </r>
      </text>
    </comment>
    <comment ref="W14" authorId="0">
      <text>
        <r>
          <rPr>
            <sz val="9"/>
            <color indexed="81"/>
            <rFont val="Tahoma"/>
            <family val="2"/>
          </rPr>
          <t xml:space="preserve">
Usuario encargado:
OCI - Camilo Barajas </t>
        </r>
      </text>
    </comment>
    <comment ref="W15" authorId="0">
      <text>
        <r>
          <rPr>
            <sz val="9"/>
            <color indexed="81"/>
            <rFont val="Tahoma"/>
            <family val="2"/>
          </rPr>
          <t xml:space="preserve">
usuario encargado:
OCI - wilson Herrera
</t>
        </r>
      </text>
    </comment>
    <comment ref="W16" authorId="0">
      <text>
        <r>
          <rPr>
            <sz val="9"/>
            <color indexed="81"/>
            <rFont val="Tahoma"/>
            <family val="2"/>
          </rPr>
          <t xml:space="preserve">
Usurario encargado 
STPC - Nelson mauricio Izasa
</t>
        </r>
      </text>
    </comment>
    <comment ref="W17" authorId="0">
      <text>
        <r>
          <rPr>
            <sz val="9"/>
            <color indexed="81"/>
            <rFont val="Tahoma"/>
            <family val="2"/>
          </rPr>
          <t xml:space="preserve">
Usurario encargado 
STPC - Nelson mauricio Izasa</t>
        </r>
        <r>
          <rPr>
            <sz val="9"/>
            <color indexed="81"/>
            <rFont val="Tahoma"/>
            <family val="2"/>
          </rPr>
          <t xml:space="preserve">
</t>
        </r>
      </text>
    </comment>
    <comment ref="W18" authorId="0">
      <text>
        <r>
          <rPr>
            <sz val="9"/>
            <color indexed="81"/>
            <rFont val="Tahoma"/>
            <family val="2"/>
          </rPr>
          <t xml:space="preserve">
Usuario encargado 
OAP - Luis Arnulfo Sarmiento
         Cesar Miranda</t>
        </r>
      </text>
    </comment>
    <comment ref="W19" authorId="0">
      <text>
        <r>
          <rPr>
            <sz val="9"/>
            <color indexed="81"/>
            <rFont val="Tahoma"/>
            <family val="2"/>
          </rPr>
          <t xml:space="preserve">
Usuario encargado 
STTR - Rodrigo Alvarez O
</t>
        </r>
      </text>
    </comment>
    <comment ref="W20" authorId="0">
      <text>
        <r>
          <rPr>
            <sz val="9"/>
            <color indexed="81"/>
            <rFont val="Tahoma"/>
            <family val="2"/>
          </rPr>
          <t xml:space="preserve">
Usuario encargado 
DTGC - Johana lamilla Sanchez
John Herry Cueca
</t>
        </r>
      </text>
    </comment>
  </commentList>
</comments>
</file>

<file path=xl/comments19.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fórmula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Fórmula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Fórmula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Fórmula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Fórmula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Fórmula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Fórmula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Fórmula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Fórmula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Fórmula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Fórmula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Fórmula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Fórmula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7" authorId="1">
      <text>
        <r>
          <rPr>
            <sz val="8"/>
            <color indexed="81"/>
            <rFont val="Tahoma"/>
            <family val="2"/>
          </rPr>
          <t>El términos "Documentos del SIG" hace referencia a manuales, procedimientos, formatos, instructivos, guías en cada uno de los procesos</t>
        </r>
      </text>
    </comment>
    <comment ref="W17" authorId="0">
      <text>
        <r>
          <rPr>
            <sz val="9"/>
            <color indexed="81"/>
            <rFont val="Tahoma"/>
            <family val="2"/>
          </rPr>
          <t xml:space="preserve">
Usuario encargado:
OAP - John Quiroga
         Carlos Campos </t>
        </r>
      </text>
    </comment>
    <comment ref="W18" authorId="0">
      <text>
        <r>
          <rPr>
            <sz val="9"/>
            <color indexed="81"/>
            <rFont val="Tahoma"/>
            <family val="2"/>
          </rPr>
          <t xml:space="preserve">
Usuario encargado:
OCI - Camilo Barajas </t>
        </r>
      </text>
    </comment>
    <comment ref="W19" authorId="0">
      <text>
        <r>
          <rPr>
            <sz val="9"/>
            <color indexed="81"/>
            <rFont val="Tahoma"/>
            <family val="2"/>
          </rPr>
          <t xml:space="preserve">
usuario encargado:
OCI - Wilson Herrera
</t>
        </r>
      </text>
    </comment>
    <comment ref="W20" authorId="0">
      <text>
        <r>
          <rPr>
            <sz val="9"/>
            <color indexed="81"/>
            <rFont val="Tahoma"/>
            <family val="2"/>
          </rPr>
          <t xml:space="preserve">
Usuario encargado 
OAP - Luis Arnulfo Sarmiento
         Cesar Miranda</t>
        </r>
      </text>
    </comment>
    <comment ref="W21" authorId="0">
      <text>
        <r>
          <rPr>
            <sz val="9"/>
            <color indexed="81"/>
            <rFont val="Tahoma"/>
            <family val="2"/>
          </rPr>
          <t xml:space="preserve">
Usuario encargado 
STTR - Rodrigo Alvarez O
</t>
        </r>
      </text>
    </comment>
    <comment ref="W22" authorId="0">
      <text>
        <r>
          <rPr>
            <sz val="9"/>
            <color indexed="81"/>
            <rFont val="Tahoma"/>
            <family val="2"/>
          </rPr>
          <t xml:space="preserve">
Usuario encargado 
DTGC - Johana lamilla Sanchez
John Herry Cueca
</t>
        </r>
      </text>
    </comment>
  </commentList>
</comments>
</file>

<file path=xl/comments2.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6" authorId="1">
      <text>
        <r>
          <rPr>
            <sz val="8"/>
            <color indexed="81"/>
            <rFont val="Tahoma"/>
            <family val="2"/>
          </rPr>
          <t>El términos "Documentos del SIG" hace referencia a manuales, procedimientos, formatos, instructivos, guías en cada uno de los procesos</t>
        </r>
      </text>
    </comment>
    <comment ref="W17" authorId="0">
      <text>
        <r>
          <rPr>
            <sz val="9"/>
            <color indexed="81"/>
            <rFont val="Tahoma"/>
            <family val="2"/>
          </rPr>
          <t xml:space="preserve">
Usuario encargado:
OCI - Camilo Barajas </t>
        </r>
      </text>
    </comment>
    <comment ref="W18" authorId="0">
      <text>
        <r>
          <rPr>
            <sz val="9"/>
            <color indexed="81"/>
            <rFont val="Tahoma"/>
            <family val="2"/>
          </rPr>
          <t xml:space="preserve">
usuario encargado:
OCI - Wilson Herrera
</t>
        </r>
      </text>
    </comment>
    <comment ref="M24" authorId="1">
      <text>
        <r>
          <rPr>
            <sz val="7"/>
            <color indexed="81"/>
            <rFont val="Arial"/>
            <family val="2"/>
          </rPr>
          <t>A = REPORTE CORTE AL 30 DE ABRIL DE 2013
B = REPORTE CORTE AL 30 DE JUNIO DE 2013
C =  REPORTE CORTE AL 31 DE AGOSTO DE 2013
D =  REPORTE CORTE AL 31 DE OCTUBRE DE 2013</t>
        </r>
      </text>
    </comment>
    <comment ref="P24" authorId="1">
      <text>
        <r>
          <rPr>
            <sz val="7"/>
            <color indexed="81"/>
            <rFont val="Arial"/>
            <family val="2"/>
          </rPr>
          <t>A = REPORTE CORTE AL 30 DE ABRIL DE 2013
B = REPORTE CORTE AL 30 DE JUNIO DE 2013
C =  REPORTE CORTE AL 31 DE AGOSTO DE 2013
D =  REPORTE CORTE AL 31 DE OCTUBRE DE 2013</t>
        </r>
      </text>
    </comment>
    <comment ref="S24" authorId="1">
      <text>
        <r>
          <rPr>
            <sz val="7"/>
            <color indexed="81"/>
            <rFont val="Arial"/>
            <family val="2"/>
          </rPr>
          <t>A = REPORTE CORTE AL 30 DE ABRIL DE 2013
B = REPORTE CORTE AL 30 DE JUNIO DE 2013
C =  REPORTE CORTE AL 31 DE AGOSTO DE 2013
D =  REPORTE CORTE AL 31 DE OCTUBRE DE 2013</t>
        </r>
      </text>
    </comment>
    <comment ref="V24" authorId="1">
      <text>
        <r>
          <rPr>
            <sz val="7"/>
            <color indexed="81"/>
            <rFont val="Arial"/>
            <family val="2"/>
          </rPr>
          <t>A = REPORTE CORTE AL 30 DE ABRIL DE 2013
B = REPORTE CORTE AL 30 DE JUNIO DE 2013
C =  REPORTE CORTE AL 31 DE AGOSTO DE 2013
D =  REPORTE CORTE AL 31 DE OCTUBRE DE 2013</t>
        </r>
      </text>
    </comment>
  </commentList>
</comments>
</file>

<file path=xl/comments20.xml><?xml version="1.0" encoding="utf-8"?>
<comments xmlns="http://schemas.openxmlformats.org/spreadsheetml/2006/main">
  <authors>
    <author>John Alexander Quiroga Fuquene</author>
  </authors>
  <commentList>
    <comment ref="G5" authorId="0">
      <text>
        <r>
          <rPr>
            <b/>
            <sz val="9"/>
            <color indexed="81"/>
            <rFont val="Tahoma"/>
            <family val="2"/>
          </rPr>
          <t>De:
Eficacia
Eficiencia
Efectividad</t>
        </r>
      </text>
    </comment>
    <comment ref="X6" authorId="0">
      <text>
        <r>
          <rPr>
            <sz val="9"/>
            <color indexed="81"/>
            <rFont val="Tahoma"/>
            <family val="2"/>
          </rPr>
          <t>Registrar la cantidad o % ejecutada en el mes (de acuerdo a la fórmula del Indicador)</t>
        </r>
      </text>
    </comment>
    <comment ref="Y6" authorId="0">
      <text>
        <r>
          <rPr>
            <sz val="9"/>
            <color indexed="81"/>
            <rFont val="Tahoma"/>
            <family val="2"/>
          </rPr>
          <t>Registrar la cantidad o % del denominador programado en el mes (de acuerdo a la fórmula del Indicador)</t>
        </r>
      </text>
    </comment>
    <comment ref="Z6" authorId="0">
      <text>
        <r>
          <rPr>
            <sz val="9"/>
            <color indexed="81"/>
            <rFont val="Tahoma"/>
            <family val="2"/>
          </rPr>
          <t>Es la relación del Numerador sobre el denominador.
Si su formula no contiene un denominado, escribir en este campo "1 (uno)"</t>
        </r>
      </text>
    </comment>
    <comment ref="AA6" authorId="0">
      <text>
        <r>
          <rPr>
            <sz val="9"/>
            <color indexed="81"/>
            <rFont val="Tahoma"/>
            <family val="2"/>
          </rPr>
          <t xml:space="preserve">Corresponde al valor proyectado al mes correspondiente en la distribución anual de la caracterización </t>
        </r>
      </text>
    </comment>
    <comment ref="AB6" authorId="0">
      <text>
        <r>
          <rPr>
            <sz val="9"/>
            <color indexed="81"/>
            <rFont val="Tahoma"/>
            <family val="2"/>
          </rPr>
          <t>Se registra el valor de la meta ejecutada sobre el valor de la meta proyectada</t>
        </r>
      </text>
    </comment>
    <comment ref="AC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6" authorId="0">
      <text>
        <r>
          <rPr>
            <sz val="9"/>
            <color indexed="81"/>
            <rFont val="Tahoma"/>
            <family val="2"/>
          </rPr>
          <t>Registrar la cantidad o % ejecutada en el mes (de acuerdo a la fórmula del Indicador)</t>
        </r>
      </text>
    </comment>
    <comment ref="AE6" authorId="0">
      <text>
        <r>
          <rPr>
            <sz val="9"/>
            <color indexed="81"/>
            <rFont val="Tahoma"/>
            <family val="2"/>
          </rPr>
          <t>Registrar la cantidad o % del denominador programado en el mes (de acuerdo a la fórmula del Indicador)</t>
        </r>
      </text>
    </comment>
    <comment ref="AF6" authorId="0">
      <text>
        <r>
          <rPr>
            <sz val="9"/>
            <color indexed="81"/>
            <rFont val="Tahoma"/>
            <family val="2"/>
          </rPr>
          <t>Es la relación del Numerador sobre el denominador.
Si su formula no contiene un denominado, escribir en este campo "1 (uno)"</t>
        </r>
      </text>
    </comment>
    <comment ref="AG6" authorId="0">
      <text>
        <r>
          <rPr>
            <sz val="9"/>
            <color indexed="81"/>
            <rFont val="Tahoma"/>
            <family val="2"/>
          </rPr>
          <t xml:space="preserve">Corresponde al valor proyectado al mes correspondiente en la distribución anual de la caracterización </t>
        </r>
      </text>
    </comment>
    <comment ref="AH6" authorId="0">
      <text>
        <r>
          <rPr>
            <sz val="9"/>
            <color indexed="81"/>
            <rFont val="Tahoma"/>
            <family val="2"/>
          </rPr>
          <t>Se registra el valor de la meta ejecutada sobre el valor de la meta proyectada</t>
        </r>
      </text>
    </comment>
    <comment ref="AI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6" authorId="0">
      <text>
        <r>
          <rPr>
            <sz val="9"/>
            <color indexed="81"/>
            <rFont val="Tahoma"/>
            <family val="2"/>
          </rPr>
          <t>Registrar la cantidad o % ejecutada en el mes (de acuerdo a la fórmula del Indicador)</t>
        </r>
      </text>
    </comment>
    <comment ref="AK6" authorId="0">
      <text>
        <r>
          <rPr>
            <sz val="9"/>
            <color indexed="81"/>
            <rFont val="Tahoma"/>
            <family val="2"/>
          </rPr>
          <t>Registrar la cantidad o % del denominador programado en el mes (de acuerdo a la fórmula del Indicador)</t>
        </r>
      </text>
    </comment>
    <comment ref="AL6" authorId="0">
      <text>
        <r>
          <rPr>
            <sz val="9"/>
            <color indexed="81"/>
            <rFont val="Tahoma"/>
            <family val="2"/>
          </rPr>
          <t>Es la relación del Numerador sobre el denominador.
Si su formula no contiene un denominado, escribir en este campo "1 (uno)"</t>
        </r>
      </text>
    </comment>
    <comment ref="AM6" authorId="0">
      <text>
        <r>
          <rPr>
            <sz val="9"/>
            <color indexed="81"/>
            <rFont val="Tahoma"/>
            <family val="2"/>
          </rPr>
          <t xml:space="preserve">Corresponde al valor proyectado al mes correspondiente en la distribución anual de la caracterización </t>
        </r>
      </text>
    </comment>
    <comment ref="AN6" authorId="0">
      <text>
        <r>
          <rPr>
            <sz val="9"/>
            <color indexed="81"/>
            <rFont val="Tahoma"/>
            <family val="2"/>
          </rPr>
          <t>Se registra el valor de la meta ejecutada sobre el valor de la meta proyectada</t>
        </r>
      </text>
    </comment>
    <comment ref="AO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6" authorId="0">
      <text>
        <r>
          <rPr>
            <sz val="9"/>
            <color indexed="81"/>
            <rFont val="Tahoma"/>
            <family val="2"/>
          </rPr>
          <t>Registrar la cantidad o % ejecutada en el mes (de acuerdo a la fórmula del Indicador)</t>
        </r>
      </text>
    </comment>
    <comment ref="AQ6" authorId="0">
      <text>
        <r>
          <rPr>
            <sz val="9"/>
            <color indexed="81"/>
            <rFont val="Tahoma"/>
            <family val="2"/>
          </rPr>
          <t>Registrar la cantidad o % del denominador programado en el mes (de acuerdo a la fórmula del Indicador)</t>
        </r>
      </text>
    </comment>
    <comment ref="AR6" authorId="0">
      <text>
        <r>
          <rPr>
            <sz val="9"/>
            <color indexed="81"/>
            <rFont val="Tahoma"/>
            <family val="2"/>
          </rPr>
          <t>Es la relación del Numerador sobre el denominador.
Si su formula no contiene un denominado, escribir en este campo "1 (uno)"</t>
        </r>
      </text>
    </comment>
    <comment ref="AS6" authorId="0">
      <text>
        <r>
          <rPr>
            <sz val="9"/>
            <color indexed="81"/>
            <rFont val="Tahoma"/>
            <family val="2"/>
          </rPr>
          <t xml:space="preserve">Corresponde al valor proyectado al mes correspondiente en la distribución anual de la caracterización </t>
        </r>
      </text>
    </comment>
    <comment ref="AT6" authorId="0">
      <text>
        <r>
          <rPr>
            <sz val="9"/>
            <color indexed="81"/>
            <rFont val="Tahoma"/>
            <family val="2"/>
          </rPr>
          <t>Se registra el valor de la meta ejecutada sobre el valor de la meta proyectada</t>
        </r>
      </text>
    </comment>
    <comment ref="AU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6" authorId="0">
      <text>
        <r>
          <rPr>
            <sz val="9"/>
            <color indexed="81"/>
            <rFont val="Tahoma"/>
            <family val="2"/>
          </rPr>
          <t>Registrar la cantidad o % ejecutada en el mes (de acuerdo a la fórmula del Indicador)</t>
        </r>
      </text>
    </comment>
    <comment ref="AW6" authorId="0">
      <text>
        <r>
          <rPr>
            <sz val="9"/>
            <color indexed="81"/>
            <rFont val="Tahoma"/>
            <family val="2"/>
          </rPr>
          <t>Registrar la cantidad o % del denominador programado en el mes (de acuerdo a la fórmula del Indicador)</t>
        </r>
      </text>
    </comment>
    <comment ref="AX6" authorId="0">
      <text>
        <r>
          <rPr>
            <sz val="9"/>
            <color indexed="81"/>
            <rFont val="Tahoma"/>
            <family val="2"/>
          </rPr>
          <t>Es la relación del Numerador sobre el denominador.
Si su formula no contiene un denominado, escribir en este campo "1 (uno)"</t>
        </r>
      </text>
    </comment>
    <comment ref="AY6" authorId="0">
      <text>
        <r>
          <rPr>
            <sz val="9"/>
            <color indexed="81"/>
            <rFont val="Tahoma"/>
            <family val="2"/>
          </rPr>
          <t xml:space="preserve">Corresponde al valor proyectado al mes correspondiente en la distribución anual de la caracterización </t>
        </r>
      </text>
    </comment>
    <comment ref="AZ6" authorId="0">
      <text>
        <r>
          <rPr>
            <sz val="9"/>
            <color indexed="81"/>
            <rFont val="Tahoma"/>
            <family val="2"/>
          </rPr>
          <t>Se registra el valor de la meta ejecutada sobre el valor de la meta proyectada</t>
        </r>
      </text>
    </comment>
    <comment ref="BA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6" authorId="0">
      <text>
        <r>
          <rPr>
            <sz val="9"/>
            <color indexed="81"/>
            <rFont val="Tahoma"/>
            <family val="2"/>
          </rPr>
          <t>Registrar la cantidad o % ejecutada en el mes (de acuerdo a la fórmula del Indicador)</t>
        </r>
      </text>
    </comment>
    <comment ref="BC6" authorId="0">
      <text>
        <r>
          <rPr>
            <sz val="9"/>
            <color indexed="81"/>
            <rFont val="Tahoma"/>
            <family val="2"/>
          </rPr>
          <t>Registrar la cantidad o % del denominador programado en el mes (de acuerdo a la fórmula del Indicador)</t>
        </r>
      </text>
    </comment>
    <comment ref="BD6" authorId="0">
      <text>
        <r>
          <rPr>
            <sz val="9"/>
            <color indexed="81"/>
            <rFont val="Tahoma"/>
            <family val="2"/>
          </rPr>
          <t>Es la relación del Numerador sobre el denominador.
Si su formula no contiene un denominado, escribir en este campo "1 (uno)"</t>
        </r>
      </text>
    </comment>
    <comment ref="BE6" authorId="0">
      <text>
        <r>
          <rPr>
            <sz val="9"/>
            <color indexed="81"/>
            <rFont val="Tahoma"/>
            <family val="2"/>
          </rPr>
          <t xml:space="preserve">Corresponde al valor proyectado al mes correspondiente en la distribución anual de la caracterización </t>
        </r>
      </text>
    </comment>
    <comment ref="BF6" authorId="0">
      <text>
        <r>
          <rPr>
            <sz val="9"/>
            <color indexed="81"/>
            <rFont val="Tahoma"/>
            <family val="2"/>
          </rPr>
          <t>Se registra el valor de la meta ejecutada sobre el valor de la meta proyectada</t>
        </r>
      </text>
    </comment>
    <comment ref="BG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6" authorId="0">
      <text>
        <r>
          <rPr>
            <sz val="9"/>
            <color indexed="81"/>
            <rFont val="Tahoma"/>
            <family val="2"/>
          </rPr>
          <t>Registrar la cantidad o % ejecutada en el mes (de acuerdo a la fórmula del Indicador)</t>
        </r>
      </text>
    </comment>
    <comment ref="BI6" authorId="0">
      <text>
        <r>
          <rPr>
            <sz val="9"/>
            <color indexed="81"/>
            <rFont val="Tahoma"/>
            <family val="2"/>
          </rPr>
          <t>Registrar la cantidad o % del denominador programado en el mes (de acuerdo a la fórmula del Indicador)</t>
        </r>
      </text>
    </comment>
    <comment ref="BJ6" authorId="0">
      <text>
        <r>
          <rPr>
            <sz val="9"/>
            <color indexed="81"/>
            <rFont val="Tahoma"/>
            <family val="2"/>
          </rPr>
          <t>Es la relación del Numerador sobre el denominador.
Si su formula no contiene un denominado, escribir en este campo "1 (uno)"</t>
        </r>
      </text>
    </comment>
    <comment ref="BK6" authorId="0">
      <text>
        <r>
          <rPr>
            <sz val="9"/>
            <color indexed="81"/>
            <rFont val="Tahoma"/>
            <family val="2"/>
          </rPr>
          <t xml:space="preserve">Corresponde al valor proyectado al mes correspondiente en la distribución anual de la caracterización </t>
        </r>
      </text>
    </comment>
    <comment ref="BL6" authorId="0">
      <text>
        <r>
          <rPr>
            <sz val="9"/>
            <color indexed="81"/>
            <rFont val="Tahoma"/>
            <family val="2"/>
          </rPr>
          <t>Se registra el valor de la meta ejecutada sobre el valor de la meta proyectada</t>
        </r>
      </text>
    </comment>
    <comment ref="BM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6" authorId="0">
      <text>
        <r>
          <rPr>
            <sz val="9"/>
            <color indexed="81"/>
            <rFont val="Tahoma"/>
            <family val="2"/>
          </rPr>
          <t>Registrar la cantidad o % ejecutada en el mes (de acuerdo a la fórmula del Indicador)</t>
        </r>
      </text>
    </comment>
    <comment ref="BO6" authorId="0">
      <text>
        <r>
          <rPr>
            <sz val="9"/>
            <color indexed="81"/>
            <rFont val="Tahoma"/>
            <family val="2"/>
          </rPr>
          <t>Registrar la cantidad o % del denominador programado en el mes (de acuerdo a la fórmula del Indicador)</t>
        </r>
      </text>
    </comment>
    <comment ref="BP6" authorId="0">
      <text>
        <r>
          <rPr>
            <sz val="9"/>
            <color indexed="81"/>
            <rFont val="Tahoma"/>
            <family val="2"/>
          </rPr>
          <t>Es la relación del Numerador sobre el denominador.
Si su formula no contiene un denominado, escribir en este campo "1 (uno)"</t>
        </r>
      </text>
    </comment>
    <comment ref="BQ6" authorId="0">
      <text>
        <r>
          <rPr>
            <sz val="9"/>
            <color indexed="81"/>
            <rFont val="Tahoma"/>
            <family val="2"/>
          </rPr>
          <t xml:space="preserve">Corresponde al valor proyectado al mes correspondiente en la distribución anual de la caracterización </t>
        </r>
      </text>
    </comment>
    <comment ref="BR6" authorId="0">
      <text>
        <r>
          <rPr>
            <sz val="9"/>
            <color indexed="81"/>
            <rFont val="Tahoma"/>
            <family val="2"/>
          </rPr>
          <t>Se registra el valor de la meta ejecutada sobre el valor de la meta proyectada</t>
        </r>
      </text>
    </comment>
    <comment ref="BS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6" authorId="0">
      <text>
        <r>
          <rPr>
            <sz val="9"/>
            <color indexed="81"/>
            <rFont val="Tahoma"/>
            <family val="2"/>
          </rPr>
          <t>Registrar la cantidad o % ejecutada en el mes (de acuerdo a la fórmula del Indicador)</t>
        </r>
      </text>
    </comment>
    <comment ref="BU6" authorId="0">
      <text>
        <r>
          <rPr>
            <sz val="9"/>
            <color indexed="81"/>
            <rFont val="Tahoma"/>
            <family val="2"/>
          </rPr>
          <t>Registrar la cantidad o % del denominador programado en el mes (de acuerdo a la fórmula del Indicador)</t>
        </r>
      </text>
    </comment>
    <comment ref="BV6" authorId="0">
      <text>
        <r>
          <rPr>
            <sz val="9"/>
            <color indexed="81"/>
            <rFont val="Tahoma"/>
            <family val="2"/>
          </rPr>
          <t>Es la relación del Numerador sobre el denominador.
Si su formula no contiene un denominado, escribir en este campo "1 (uno)"</t>
        </r>
      </text>
    </comment>
    <comment ref="BW6" authorId="0">
      <text>
        <r>
          <rPr>
            <sz val="9"/>
            <color indexed="81"/>
            <rFont val="Tahoma"/>
            <family val="2"/>
          </rPr>
          <t xml:space="preserve">Corresponde al valor proyectado al mes correspondiente en la distribución anual de la caracterización </t>
        </r>
      </text>
    </comment>
    <comment ref="BX6" authorId="0">
      <text>
        <r>
          <rPr>
            <sz val="9"/>
            <color indexed="81"/>
            <rFont val="Tahoma"/>
            <family val="2"/>
          </rPr>
          <t>Se registra el valor de la meta ejecutada sobre el valor de la meta proyectada</t>
        </r>
      </text>
    </comment>
    <comment ref="BY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6" authorId="0">
      <text>
        <r>
          <rPr>
            <sz val="9"/>
            <color indexed="81"/>
            <rFont val="Tahoma"/>
            <family val="2"/>
          </rPr>
          <t>Registrar la cantidad o % ejecutada en el mes (de acuerdo a la fórmula del Indicador)</t>
        </r>
      </text>
    </comment>
    <comment ref="CA6" authorId="0">
      <text>
        <r>
          <rPr>
            <sz val="9"/>
            <color indexed="81"/>
            <rFont val="Tahoma"/>
            <family val="2"/>
          </rPr>
          <t>Registrar la cantidad o % del denominador programado en el mes (de acuerdo a la fórmula del Indicador)</t>
        </r>
      </text>
    </comment>
    <comment ref="CB6" authorId="0">
      <text>
        <r>
          <rPr>
            <sz val="9"/>
            <color indexed="81"/>
            <rFont val="Tahoma"/>
            <family val="2"/>
          </rPr>
          <t>Es la relación del Numerador sobre el denominador.
Si su formula no contiene un denominado, escribir en este campo "1 (uno)"</t>
        </r>
      </text>
    </comment>
    <comment ref="CC6" authorId="0">
      <text>
        <r>
          <rPr>
            <sz val="9"/>
            <color indexed="81"/>
            <rFont val="Tahoma"/>
            <family val="2"/>
          </rPr>
          <t xml:space="preserve">Corresponde al valor proyectado al mes correspondiente en la distribución anual de la caracterización </t>
        </r>
      </text>
    </comment>
    <comment ref="CD6" authorId="0">
      <text>
        <r>
          <rPr>
            <sz val="9"/>
            <color indexed="81"/>
            <rFont val="Tahoma"/>
            <family val="2"/>
          </rPr>
          <t>Se registra el valor de la meta ejecutada sobre el valor de la meta proyectada</t>
        </r>
      </text>
    </comment>
    <comment ref="CE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6" authorId="0">
      <text>
        <r>
          <rPr>
            <sz val="9"/>
            <color indexed="81"/>
            <rFont val="Tahoma"/>
            <family val="2"/>
          </rPr>
          <t>Registrar la cantidad o % ejecutada en el mes (de acuerdo a la fórmula del Indicador)</t>
        </r>
      </text>
    </comment>
    <comment ref="CG6" authorId="0">
      <text>
        <r>
          <rPr>
            <sz val="9"/>
            <color indexed="81"/>
            <rFont val="Tahoma"/>
            <family val="2"/>
          </rPr>
          <t>Registrar la cantidad o % del denominador programado en el mes (de acuerdo a la fórmula del Indicador)</t>
        </r>
      </text>
    </comment>
    <comment ref="CH6" authorId="0">
      <text>
        <r>
          <rPr>
            <sz val="9"/>
            <color indexed="81"/>
            <rFont val="Tahoma"/>
            <family val="2"/>
          </rPr>
          <t>Es la relación del Numerador sobre el denominador.
Si su formula no contiene un denominado, escribir en este campo "1 (uno)"</t>
        </r>
      </text>
    </comment>
    <comment ref="CI6" authorId="0">
      <text>
        <r>
          <rPr>
            <sz val="9"/>
            <color indexed="81"/>
            <rFont val="Tahoma"/>
            <family val="2"/>
          </rPr>
          <t xml:space="preserve">Corresponde al valor proyectado al mes correspondiente en la distribución anual de la caracterización </t>
        </r>
      </text>
    </comment>
    <comment ref="CJ6" authorId="0">
      <text>
        <r>
          <rPr>
            <sz val="9"/>
            <color indexed="81"/>
            <rFont val="Tahoma"/>
            <family val="2"/>
          </rPr>
          <t>Se registra el valor de la meta ejecutada sobre el valor de la meta proyectada</t>
        </r>
      </text>
    </comment>
    <comment ref="CK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6" authorId="0">
      <text>
        <r>
          <rPr>
            <sz val="9"/>
            <color indexed="81"/>
            <rFont val="Tahoma"/>
            <family val="2"/>
          </rPr>
          <t>Registrar la cantidad o % ejecutada en el mes (de acuerdo a la fórmula del Indicador)</t>
        </r>
      </text>
    </comment>
    <comment ref="CM6" authorId="0">
      <text>
        <r>
          <rPr>
            <sz val="9"/>
            <color indexed="81"/>
            <rFont val="Tahoma"/>
            <family val="2"/>
          </rPr>
          <t>Registrar la cantidad o % del denominador programado en el mes (de acuerdo a la fórmula del Indicador)</t>
        </r>
      </text>
    </comment>
    <comment ref="CN6" authorId="0">
      <text>
        <r>
          <rPr>
            <sz val="9"/>
            <color indexed="81"/>
            <rFont val="Tahoma"/>
            <family val="2"/>
          </rPr>
          <t>Es la relación del Numerador sobre el denominador.
Si su formula no contiene un denominado, escribir en este campo "1 (uno)"</t>
        </r>
      </text>
    </comment>
    <comment ref="CO6" authorId="0">
      <text>
        <r>
          <rPr>
            <sz val="9"/>
            <color indexed="81"/>
            <rFont val="Tahoma"/>
            <family val="2"/>
          </rPr>
          <t xml:space="preserve">Corresponde al valor proyectado al mes correspondiente en la distribución anual de la caracterización </t>
        </r>
      </text>
    </comment>
    <comment ref="CP6" authorId="0">
      <text>
        <r>
          <rPr>
            <sz val="9"/>
            <color indexed="81"/>
            <rFont val="Tahoma"/>
            <family val="2"/>
          </rPr>
          <t>Se registra el valor de la meta ejecutada sobre el valor de la meta proyectada</t>
        </r>
      </text>
    </comment>
    <comment ref="CQ6"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6" authorId="0">
      <text>
        <r>
          <rPr>
            <sz val="9"/>
            <color indexed="81"/>
            <rFont val="Tahoma"/>
            <family val="2"/>
          </rPr>
          <t>Registrar la cantidad o % ejecutada(o) acumulada(o) (de acuerdo a la fórmula del Indicador)</t>
        </r>
      </text>
    </comment>
    <comment ref="CS6" authorId="0">
      <text>
        <r>
          <rPr>
            <sz val="9"/>
            <color indexed="81"/>
            <rFont val="Tahoma"/>
            <family val="2"/>
          </rPr>
          <t>Registrar la cantidad o % del denominador programada(o) acumulado (de acuerdo a la fórmula del Indicador)</t>
        </r>
      </text>
    </comment>
    <comment ref="CT6" authorId="0">
      <text>
        <r>
          <rPr>
            <sz val="9"/>
            <color indexed="81"/>
            <rFont val="Tahoma"/>
            <family val="2"/>
          </rPr>
          <t>Es la relación del Numerador sobre el denominador.
Si su formula no contiene un denominado, escribir en este campo "1 (uno)"</t>
        </r>
      </text>
    </comment>
    <comment ref="CU6" authorId="0">
      <text>
        <r>
          <rPr>
            <sz val="9"/>
            <color indexed="81"/>
            <rFont val="Tahoma"/>
            <family val="2"/>
          </rPr>
          <t xml:space="preserve">Corresponde al valor de la meta proyectada al año correspondiente a lo establecido en la caracterización </t>
        </r>
      </text>
    </comment>
    <comment ref="CV6" authorId="0">
      <text>
        <r>
          <rPr>
            <sz val="9"/>
            <color indexed="81"/>
            <rFont val="Tahoma"/>
            <family val="2"/>
          </rPr>
          <t>Se registra el valor de la meta ejecutada sobre el valor de la meta proyectada</t>
        </r>
      </text>
    </comment>
    <comment ref="CW6" authorId="0">
      <text>
        <r>
          <rPr>
            <sz val="9"/>
            <color indexed="81"/>
            <rFont val="Tahoma"/>
            <family val="2"/>
          </rPr>
          <t>Justifique el resultado de la meta ejecutada acumulada y la comparación entre la meta proyectada acumulada.</t>
        </r>
      </text>
    </comment>
    <comment ref="P23" authorId="0">
      <text>
        <r>
          <rPr>
            <sz val="7"/>
            <color indexed="81"/>
            <rFont val="Arial"/>
            <family val="2"/>
          </rPr>
          <t>A = REPORTE CORTE AL 30 DE ABRIL DE 2013
B = REPORTE CORTE AL 30 DE JUNIO DE 2013
C =  REPORTE CORTE AL 31 DE AGOSTO DE 2013
D =  REPORTE CORTE AL 31 DE OCTUBRE DE 2013</t>
        </r>
      </text>
    </comment>
    <comment ref="R23" authorId="0">
      <text>
        <r>
          <rPr>
            <sz val="7"/>
            <color indexed="81"/>
            <rFont val="Arial"/>
            <family val="2"/>
          </rPr>
          <t>A = REPORTE CORTE AL 30 DE ABRIL DE 2013
B = REPORTE CORTE AL 30 DE JUNIO DE 2013
C =  REPORTE CORTE AL 31 DE AGOSTO DE 2013
D =  REPORTE CORTE AL 31 DE OCTUBRE DE 2013</t>
        </r>
      </text>
    </comment>
    <comment ref="T23" authorId="0">
      <text>
        <r>
          <rPr>
            <sz val="7"/>
            <color indexed="81"/>
            <rFont val="Arial"/>
            <family val="2"/>
          </rPr>
          <t>A = REPORTE CORTE AL 30 DE ABRIL DE 2013
B = REPORTE CORTE AL 30 DE JUNIO DE 2013
C =  REPORTE CORTE AL 31 DE AGOSTO DE 2013
D =  REPORTE CORTE AL 31 DE OCTUBRE DE 2013</t>
        </r>
      </text>
    </comment>
    <comment ref="V23" authorId="0">
      <text>
        <r>
          <rPr>
            <sz val="7"/>
            <color indexed="81"/>
            <rFont val="Arial"/>
            <family val="2"/>
          </rPr>
          <t>A = REPORTE CORTE AL 30 DE ABRIL DE 2013
B = REPORTE CORTE AL 30 DE JUNIO DE 2013
C =  REPORTE CORTE AL 31 DE AGOSTO DE 2013
D =  REPORTE CORTE AL 31 DE OCTUBRE DE 2013</t>
        </r>
      </text>
    </comment>
  </commentList>
</comments>
</file>

<file path=xl/comments21.xml><?xml version="1.0" encoding="utf-8"?>
<comments xmlns="http://schemas.openxmlformats.org/spreadsheetml/2006/main">
  <authors>
    <author>pavel pinto</author>
    <author>John Alexander Quiroga Fuquene</author>
    <author>Julian Samuel Lozano Munoz</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5" authorId="1">
      <text>
        <r>
          <rPr>
            <sz val="8"/>
            <color indexed="81"/>
            <rFont val="Tahoma"/>
            <family val="2"/>
          </rPr>
          <t>El términos "Documentos del SIG" hace referencia a manuales, procedimientos, formatos, instructivos, guías en cada uno de los procesos</t>
        </r>
      </text>
    </comment>
    <comment ref="W15" authorId="0">
      <text>
        <r>
          <rPr>
            <sz val="9"/>
            <color indexed="81"/>
            <rFont val="Tahoma"/>
            <family val="2"/>
          </rPr>
          <t xml:space="preserve">
Usuario encargado:
OAP - John Quiroga
         Carlos Campos </t>
        </r>
      </text>
    </comment>
    <comment ref="W16" authorId="0">
      <text>
        <r>
          <rPr>
            <sz val="9"/>
            <color indexed="81"/>
            <rFont val="Tahoma"/>
            <family val="2"/>
          </rPr>
          <t xml:space="preserve">
Usuario encargado:
OCI - Camilo Barajas </t>
        </r>
      </text>
    </comment>
    <comment ref="W17" authorId="0">
      <text>
        <r>
          <rPr>
            <sz val="9"/>
            <color indexed="81"/>
            <rFont val="Tahoma"/>
            <family val="2"/>
          </rPr>
          <t xml:space="preserve">
Usuario encargado:
OAP - John Quiroga
         Carlos Campos </t>
        </r>
      </text>
    </comment>
    <comment ref="W18" authorId="0">
      <text>
        <r>
          <rPr>
            <sz val="9"/>
            <color indexed="81"/>
            <rFont val="Tahoma"/>
            <family val="2"/>
          </rPr>
          <t xml:space="preserve">
usuario encargado:
OCI - wilson Herrera
</t>
        </r>
      </text>
    </comment>
    <comment ref="BR18" authorId="2">
      <text>
        <r>
          <rPr>
            <b/>
            <sz val="9"/>
            <color indexed="81"/>
            <rFont val="Tahoma"/>
            <family val="2"/>
          </rPr>
          <t>Julian Samuel Lozano Munoz:</t>
        </r>
        <r>
          <rPr>
            <sz val="9"/>
            <color indexed="81"/>
            <rFont val="Tahoma"/>
            <family val="2"/>
          </rPr>
          <t xml:space="preserve">
</t>
        </r>
      </text>
    </comment>
    <comment ref="W19" authorId="0">
      <text>
        <r>
          <rPr>
            <sz val="9"/>
            <color indexed="81"/>
            <rFont val="Tahoma"/>
            <family val="2"/>
          </rPr>
          <t xml:space="preserve">
Usurario encargado 
STPC - Nelson mauricio Izasa
</t>
        </r>
      </text>
    </comment>
    <comment ref="W20" authorId="0">
      <text>
        <r>
          <rPr>
            <sz val="9"/>
            <color indexed="81"/>
            <rFont val="Tahoma"/>
            <family val="2"/>
          </rPr>
          <t xml:space="preserve">
Usurario encargado 
STPC - Nelson mauricio Izasa</t>
        </r>
        <r>
          <rPr>
            <sz val="9"/>
            <color indexed="81"/>
            <rFont val="Tahoma"/>
            <family val="2"/>
          </rPr>
          <t xml:space="preserve">
</t>
        </r>
      </text>
    </comment>
    <comment ref="W21" authorId="0">
      <text>
        <r>
          <rPr>
            <sz val="9"/>
            <color indexed="81"/>
            <rFont val="Tahoma"/>
            <family val="2"/>
          </rPr>
          <t xml:space="preserve">
Usuario encargado 
OAP - Luis Arnulfo Sarmiento
         Cesar Miranda</t>
        </r>
      </text>
    </comment>
    <comment ref="BR21" authorId="2">
      <text>
        <r>
          <rPr>
            <b/>
            <sz val="9"/>
            <color indexed="81"/>
            <rFont val="Tahoma"/>
            <family val="2"/>
          </rPr>
          <t>Julian Samuel Lozano Munoz:</t>
        </r>
        <r>
          <rPr>
            <sz val="9"/>
            <color indexed="81"/>
            <rFont val="Tahoma"/>
            <family val="2"/>
          </rPr>
          <t xml:space="preserve">
</t>
        </r>
      </text>
    </comment>
    <comment ref="W22" authorId="0">
      <text>
        <r>
          <rPr>
            <sz val="9"/>
            <color indexed="81"/>
            <rFont val="Tahoma"/>
            <family val="2"/>
          </rPr>
          <t xml:space="preserve">
Usuario encargado 
STTR - Rodrigo Alvarez O
</t>
        </r>
      </text>
    </comment>
  </commentList>
</comments>
</file>

<file path=xl/comments22.xml><?xml version="1.0" encoding="utf-8"?>
<comments xmlns="http://schemas.openxmlformats.org/spreadsheetml/2006/main">
  <authors>
    <author>pavel pinto</author>
    <author>John Alexander Quiroga Fuquene</author>
    <author>Yuly Katerine Duque Gutierrez</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Y7" authorId="1">
      <text>
        <r>
          <rPr>
            <sz val="9"/>
            <color indexed="81"/>
            <rFont val="Tahoma"/>
            <family val="2"/>
          </rPr>
          <t>Registrar la cantidad o % ejecutada en el mes (de acuerdo a la fórmula del Indicador)</t>
        </r>
      </text>
    </comment>
    <comment ref="Z7" authorId="1">
      <text>
        <r>
          <rPr>
            <sz val="9"/>
            <color indexed="81"/>
            <rFont val="Tahoma"/>
            <family val="2"/>
          </rPr>
          <t>Registrar la cantidad o % del denominador programado en el mes (de acuerdo a la fórmula del Indicador)</t>
        </r>
      </text>
    </comment>
    <comment ref="AA7" authorId="1">
      <text>
        <r>
          <rPr>
            <sz val="9"/>
            <color indexed="81"/>
            <rFont val="Tahoma"/>
            <family val="2"/>
          </rPr>
          <t>Es la relación del Numerador sobre el denominador.
Si su fúmula no contiene un denominado, escribir en este campo "1 (uno)"</t>
        </r>
      </text>
    </comment>
    <comment ref="AB7" authorId="1">
      <text>
        <r>
          <rPr>
            <sz val="9"/>
            <color indexed="81"/>
            <rFont val="Tahoma"/>
            <family val="2"/>
          </rPr>
          <t xml:space="preserve">Corresponde al valor proyectado al mes correspondiente en la distribución anual de la caracterización </t>
        </r>
      </text>
    </comment>
    <comment ref="AC7" authorId="1">
      <text>
        <r>
          <rPr>
            <sz val="9"/>
            <color indexed="81"/>
            <rFont val="Tahoma"/>
            <family val="2"/>
          </rPr>
          <t>Se registra el valor de la meta ejecutada sobre el valor de la meta proyectada</t>
        </r>
      </text>
    </comment>
    <comment ref="AD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E7" authorId="1">
      <text>
        <r>
          <rPr>
            <sz val="9"/>
            <color indexed="81"/>
            <rFont val="Tahoma"/>
            <family val="2"/>
          </rPr>
          <t>Registrar la cantidad o % ejecutada en el mes (de acuerdo a la fórmula del Indicador)</t>
        </r>
      </text>
    </comment>
    <comment ref="AF7" authorId="1">
      <text>
        <r>
          <rPr>
            <sz val="9"/>
            <color indexed="81"/>
            <rFont val="Tahoma"/>
            <family val="2"/>
          </rPr>
          <t>Registrar la cantidad o % del denominador programado en el mes (de acuerdo a la fórmula del Indicador)</t>
        </r>
      </text>
    </comment>
    <comment ref="AG7" authorId="1">
      <text>
        <r>
          <rPr>
            <sz val="9"/>
            <color indexed="81"/>
            <rFont val="Tahoma"/>
            <family val="2"/>
          </rPr>
          <t>Es la relación del Numerador sobre el denominador.
Si su fúmula no contiene un denominado, escribir en este campo "1 (uno)"</t>
        </r>
      </text>
    </comment>
    <comment ref="AH7" authorId="1">
      <text>
        <r>
          <rPr>
            <sz val="9"/>
            <color indexed="81"/>
            <rFont val="Tahoma"/>
            <family val="2"/>
          </rPr>
          <t xml:space="preserve">Corresponde al valor proyectado al mes correspondiente en la distribución anual de la caracterización </t>
        </r>
      </text>
    </comment>
    <comment ref="AI7" authorId="1">
      <text>
        <r>
          <rPr>
            <sz val="9"/>
            <color indexed="81"/>
            <rFont val="Tahoma"/>
            <family val="2"/>
          </rPr>
          <t>Se registra el valor de la meta ejecutada sobre el valor de la meta proyectada</t>
        </r>
      </text>
    </comment>
    <comment ref="AJ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K7" authorId="1">
      <text>
        <r>
          <rPr>
            <sz val="9"/>
            <color indexed="81"/>
            <rFont val="Tahoma"/>
            <family val="2"/>
          </rPr>
          <t>Registrar la cantidad o % ejecutada en el mes (de acuerdo a la fórmula del Indicador)</t>
        </r>
      </text>
    </comment>
    <comment ref="AL7" authorId="1">
      <text>
        <r>
          <rPr>
            <sz val="9"/>
            <color indexed="81"/>
            <rFont val="Tahoma"/>
            <family val="2"/>
          </rPr>
          <t>Registrar la cantidad o % del denominador programado en el mes (de acuerdo a la fórmula del Indicador)</t>
        </r>
      </text>
    </comment>
    <comment ref="AM7" authorId="1">
      <text>
        <r>
          <rPr>
            <sz val="9"/>
            <color indexed="81"/>
            <rFont val="Tahoma"/>
            <family val="2"/>
          </rPr>
          <t>Es la relación del Numerador sobre el denominador.
Si su fúmula no contiene un denominado, escribir en este campo "1 (uno)"</t>
        </r>
      </text>
    </comment>
    <comment ref="AN7" authorId="1">
      <text>
        <r>
          <rPr>
            <sz val="9"/>
            <color indexed="81"/>
            <rFont val="Tahoma"/>
            <family val="2"/>
          </rPr>
          <t xml:space="preserve">Corresponde al valor proyectado al mes correspondiente en la distribución anual de la caracterización </t>
        </r>
      </text>
    </comment>
    <comment ref="AO7" authorId="1">
      <text>
        <r>
          <rPr>
            <sz val="9"/>
            <color indexed="81"/>
            <rFont val="Tahoma"/>
            <family val="2"/>
          </rPr>
          <t>Se registra el valor de la meta ejecutada sobre el valor de la meta proyectada</t>
        </r>
      </text>
    </comment>
    <comment ref="AP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Q7" authorId="1">
      <text>
        <r>
          <rPr>
            <sz val="9"/>
            <color indexed="81"/>
            <rFont val="Tahoma"/>
            <family val="2"/>
          </rPr>
          <t>Registrar la cantidad o % ejecutada en el mes (de acuerdo a la fórmula del Indicador)</t>
        </r>
      </text>
    </comment>
    <comment ref="AR7" authorId="1">
      <text>
        <r>
          <rPr>
            <sz val="9"/>
            <color indexed="81"/>
            <rFont val="Tahoma"/>
            <family val="2"/>
          </rPr>
          <t>Registrar la cantidad o % del denominador programado en el mes (de acuerdo a la fórmula del Indicador)</t>
        </r>
      </text>
    </comment>
    <comment ref="AS7" authorId="1">
      <text>
        <r>
          <rPr>
            <sz val="9"/>
            <color indexed="81"/>
            <rFont val="Tahoma"/>
            <family val="2"/>
          </rPr>
          <t>Es la relación del Numerador sobre el denominador.
Si su fúmula no contiene un denominado, escribir en este campo "1 (uno)"</t>
        </r>
      </text>
    </comment>
    <comment ref="AT7" authorId="1">
      <text>
        <r>
          <rPr>
            <sz val="9"/>
            <color indexed="81"/>
            <rFont val="Tahoma"/>
            <family val="2"/>
          </rPr>
          <t xml:space="preserve">Corresponde al valor proyectado al mes correspondiente en la distribución anual de la caracterización </t>
        </r>
      </text>
    </comment>
    <comment ref="AU7" authorId="1">
      <text>
        <r>
          <rPr>
            <sz val="9"/>
            <color indexed="81"/>
            <rFont val="Tahoma"/>
            <family val="2"/>
          </rPr>
          <t>Se registra el valor de la meta ejecutada sobre el valor de la meta proyectada</t>
        </r>
      </text>
    </comment>
    <comment ref="AV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W7" authorId="1">
      <text>
        <r>
          <rPr>
            <sz val="9"/>
            <color indexed="81"/>
            <rFont val="Tahoma"/>
            <family val="2"/>
          </rPr>
          <t>Registrar la cantidad o % ejecutada en el mes (de acuerdo a la fórmula del Indicador)</t>
        </r>
      </text>
    </comment>
    <comment ref="AX7" authorId="1">
      <text>
        <r>
          <rPr>
            <sz val="9"/>
            <color indexed="81"/>
            <rFont val="Tahoma"/>
            <family val="2"/>
          </rPr>
          <t>Registrar la cantidad o % del denominador programado en el mes (de acuerdo a la fórmula del Indicador)</t>
        </r>
      </text>
    </comment>
    <comment ref="AY7" authorId="1">
      <text>
        <r>
          <rPr>
            <sz val="9"/>
            <color indexed="81"/>
            <rFont val="Tahoma"/>
            <family val="2"/>
          </rPr>
          <t>Es la relación del Numerador sobre el denominador.
Si su fúmula no contiene un denominado, escribir en este campo "1 (uno)"</t>
        </r>
      </text>
    </comment>
    <comment ref="AZ7" authorId="1">
      <text>
        <r>
          <rPr>
            <sz val="9"/>
            <color indexed="81"/>
            <rFont val="Tahoma"/>
            <family val="2"/>
          </rPr>
          <t xml:space="preserve">Corresponde al valor proyectado al mes correspondiente en la distribución anual de la caracterización </t>
        </r>
      </text>
    </comment>
    <comment ref="BA7" authorId="1">
      <text>
        <r>
          <rPr>
            <sz val="9"/>
            <color indexed="81"/>
            <rFont val="Tahoma"/>
            <family val="2"/>
          </rPr>
          <t>Se registra el valor de la meta ejecutada sobre el valor de la meta proyectada</t>
        </r>
      </text>
    </comment>
    <comment ref="BB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C7" authorId="1">
      <text>
        <r>
          <rPr>
            <sz val="9"/>
            <color indexed="81"/>
            <rFont val="Tahoma"/>
            <family val="2"/>
          </rPr>
          <t>Registrar la cantidad o % ejecutada en el mes (de acuerdo a la fórmula del Indicador)</t>
        </r>
      </text>
    </comment>
    <comment ref="BD7" authorId="1">
      <text>
        <r>
          <rPr>
            <sz val="9"/>
            <color indexed="81"/>
            <rFont val="Tahoma"/>
            <family val="2"/>
          </rPr>
          <t>Registrar la cantidad o % del denominador programado en el mes (de acuerdo a la fórmula del Indicador)</t>
        </r>
      </text>
    </comment>
    <comment ref="BE7" authorId="1">
      <text>
        <r>
          <rPr>
            <sz val="9"/>
            <color indexed="81"/>
            <rFont val="Tahoma"/>
            <family val="2"/>
          </rPr>
          <t>Es la relación del Numerador sobre el denominador.
Si su fúmula no contiene un denominado, escribir en este campo "1 (uno)"</t>
        </r>
      </text>
    </comment>
    <comment ref="BF7" authorId="1">
      <text>
        <r>
          <rPr>
            <sz val="9"/>
            <color indexed="81"/>
            <rFont val="Tahoma"/>
            <family val="2"/>
          </rPr>
          <t xml:space="preserve">Corresponde al valor proyectado al mes correspondiente en la distribución anual de la caracterización </t>
        </r>
      </text>
    </comment>
    <comment ref="BG7" authorId="1">
      <text>
        <r>
          <rPr>
            <sz val="9"/>
            <color indexed="81"/>
            <rFont val="Tahoma"/>
            <family val="2"/>
          </rPr>
          <t>Se registra el valor de la meta ejecutada sobre el valor de la meta proyectada</t>
        </r>
      </text>
    </comment>
    <comment ref="BH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I7" authorId="1">
      <text>
        <r>
          <rPr>
            <sz val="9"/>
            <color indexed="81"/>
            <rFont val="Tahoma"/>
            <family val="2"/>
          </rPr>
          <t>Registrar la cantidad o % ejecutada en el mes (de acuerdo a la fórmula del Indicador)</t>
        </r>
      </text>
    </comment>
    <comment ref="BJ7" authorId="1">
      <text>
        <r>
          <rPr>
            <sz val="9"/>
            <color indexed="81"/>
            <rFont val="Tahoma"/>
            <family val="2"/>
          </rPr>
          <t>Registrar la cantidad o % del denominador programado en el mes (de acuerdo a la fórmula del Indicador)</t>
        </r>
      </text>
    </comment>
    <comment ref="BK7" authorId="1">
      <text>
        <r>
          <rPr>
            <sz val="9"/>
            <color indexed="81"/>
            <rFont val="Tahoma"/>
            <family val="2"/>
          </rPr>
          <t>Es la relación del Numerador sobre el denominador.
Si su fúmula no contiene un denominado, escribir en este campo "1 (uno)"</t>
        </r>
      </text>
    </comment>
    <comment ref="BL7" authorId="1">
      <text>
        <r>
          <rPr>
            <sz val="9"/>
            <color indexed="81"/>
            <rFont val="Tahoma"/>
            <family val="2"/>
          </rPr>
          <t xml:space="preserve">Corresponde al valor proyectado al mes correspondiente en la distribución anual de la caracterización </t>
        </r>
      </text>
    </comment>
    <comment ref="BM7" authorId="1">
      <text>
        <r>
          <rPr>
            <sz val="9"/>
            <color indexed="81"/>
            <rFont val="Tahoma"/>
            <family val="2"/>
          </rPr>
          <t>Se registra el valor de la meta ejecutada sobre el valor de la meta proyectada</t>
        </r>
      </text>
    </comment>
    <comment ref="BN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O7" authorId="1">
      <text>
        <r>
          <rPr>
            <sz val="9"/>
            <color indexed="81"/>
            <rFont val="Tahoma"/>
            <family val="2"/>
          </rPr>
          <t>Registrar la cantidad o % ejecutada en el mes (de acuerdo a la fórmula del Indicador)</t>
        </r>
      </text>
    </comment>
    <comment ref="BP7" authorId="1">
      <text>
        <r>
          <rPr>
            <sz val="9"/>
            <color indexed="81"/>
            <rFont val="Tahoma"/>
            <family val="2"/>
          </rPr>
          <t>Registrar la cantidad o % del denominador programado en el mes (de acuerdo a la fórmula del Indicador)</t>
        </r>
      </text>
    </comment>
    <comment ref="BQ7" authorId="1">
      <text>
        <r>
          <rPr>
            <sz val="9"/>
            <color indexed="81"/>
            <rFont val="Tahoma"/>
            <family val="2"/>
          </rPr>
          <t>Es la relación del Numerador sobre el denominador.
Si su fúmula no contiene un denominado, escribir en este campo "1 (uno)"</t>
        </r>
      </text>
    </comment>
    <comment ref="BR7" authorId="1">
      <text>
        <r>
          <rPr>
            <sz val="9"/>
            <color indexed="81"/>
            <rFont val="Tahoma"/>
            <family val="2"/>
          </rPr>
          <t xml:space="preserve">Corresponde al valor proyectado al mes correspondiente en la distribución anual de la caracterización </t>
        </r>
      </text>
    </comment>
    <comment ref="BS7" authorId="1">
      <text>
        <r>
          <rPr>
            <sz val="9"/>
            <color indexed="81"/>
            <rFont val="Tahoma"/>
            <family val="2"/>
          </rPr>
          <t>Se registra el valor de la meta ejecutada sobre el valor de la meta proyectada</t>
        </r>
      </text>
    </comment>
    <comment ref="BT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U7" authorId="1">
      <text>
        <r>
          <rPr>
            <sz val="9"/>
            <color indexed="81"/>
            <rFont val="Tahoma"/>
            <family val="2"/>
          </rPr>
          <t>Registrar la cantidad o % ejecutada en el mes (de acuerdo a la fórmula del Indicador)</t>
        </r>
      </text>
    </comment>
    <comment ref="BV7" authorId="1">
      <text>
        <r>
          <rPr>
            <sz val="9"/>
            <color indexed="81"/>
            <rFont val="Tahoma"/>
            <family val="2"/>
          </rPr>
          <t>Registrar la cantidad o % del denominador programado en el mes (de acuerdo a la fórmula del Indicador)</t>
        </r>
      </text>
    </comment>
    <comment ref="BW7" authorId="1">
      <text>
        <r>
          <rPr>
            <sz val="9"/>
            <color indexed="81"/>
            <rFont val="Tahoma"/>
            <family val="2"/>
          </rPr>
          <t>Es la relación del Numerador sobre el denominador.
Si su fúmula no contiene un denominado, escribir en este campo "1 (uno)"</t>
        </r>
      </text>
    </comment>
    <comment ref="BX7" authorId="1">
      <text>
        <r>
          <rPr>
            <sz val="9"/>
            <color indexed="81"/>
            <rFont val="Tahoma"/>
            <family val="2"/>
          </rPr>
          <t xml:space="preserve">Corresponde al valor proyectado al mes correspondiente en la distribución anual de la caracterización </t>
        </r>
      </text>
    </comment>
    <comment ref="BY7" authorId="1">
      <text>
        <r>
          <rPr>
            <sz val="9"/>
            <color indexed="81"/>
            <rFont val="Tahoma"/>
            <family val="2"/>
          </rPr>
          <t>Se registra el valor de la meta ejecutada sobre el valor de la meta proyectada</t>
        </r>
      </text>
    </comment>
    <comment ref="BZ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A7" authorId="1">
      <text>
        <r>
          <rPr>
            <sz val="9"/>
            <color indexed="81"/>
            <rFont val="Tahoma"/>
            <family val="2"/>
          </rPr>
          <t>Registrar la cantidad o % ejecutada en el mes (de acuerdo a la fórmula del Indicador)</t>
        </r>
      </text>
    </comment>
    <comment ref="CB7" authorId="1">
      <text>
        <r>
          <rPr>
            <sz val="9"/>
            <color indexed="81"/>
            <rFont val="Tahoma"/>
            <family val="2"/>
          </rPr>
          <t>Registrar la cantidad o % del denominador programado en el mes (de acuerdo a la fórmula del Indicador)</t>
        </r>
      </text>
    </comment>
    <comment ref="CC7" authorId="1">
      <text>
        <r>
          <rPr>
            <sz val="9"/>
            <color indexed="81"/>
            <rFont val="Tahoma"/>
            <family val="2"/>
          </rPr>
          <t>Es la relación del Numerador sobre el denominador.
Si su fúmula no contiene un denominado, escribir en este campo "1 (uno)"</t>
        </r>
      </text>
    </comment>
    <comment ref="CD7" authorId="1">
      <text>
        <r>
          <rPr>
            <sz val="9"/>
            <color indexed="81"/>
            <rFont val="Tahoma"/>
            <family val="2"/>
          </rPr>
          <t xml:space="preserve">Corresponde al valor proyectado al mes correspondiente en la distribución anual de la caracterización </t>
        </r>
      </text>
    </comment>
    <comment ref="CE7" authorId="1">
      <text>
        <r>
          <rPr>
            <sz val="9"/>
            <color indexed="81"/>
            <rFont val="Tahoma"/>
            <family val="2"/>
          </rPr>
          <t>Se registra el valor de la meta ejecutada sobre el valor de la meta proyectada</t>
        </r>
      </text>
    </comment>
    <comment ref="CF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G7" authorId="1">
      <text>
        <r>
          <rPr>
            <sz val="9"/>
            <color indexed="81"/>
            <rFont val="Tahoma"/>
            <family val="2"/>
          </rPr>
          <t>Registrar la cantidad o % ejecutada en el mes (de acuerdo a la fórmula del Indicador)</t>
        </r>
      </text>
    </comment>
    <comment ref="CH7" authorId="1">
      <text>
        <r>
          <rPr>
            <sz val="9"/>
            <color indexed="81"/>
            <rFont val="Tahoma"/>
            <family val="2"/>
          </rPr>
          <t>Registrar la cantidad o % del denominador programado en el mes (de acuerdo a la fórmula del Indicador)</t>
        </r>
      </text>
    </comment>
    <comment ref="CI7" authorId="1">
      <text>
        <r>
          <rPr>
            <sz val="9"/>
            <color indexed="81"/>
            <rFont val="Tahoma"/>
            <family val="2"/>
          </rPr>
          <t>Es la relación del Numerador sobre el denominador.
Si su fúmula no contiene un denominado, escribir en este campo "1 (uno)"</t>
        </r>
      </text>
    </comment>
    <comment ref="CJ7" authorId="1">
      <text>
        <r>
          <rPr>
            <sz val="9"/>
            <color indexed="81"/>
            <rFont val="Tahoma"/>
            <family val="2"/>
          </rPr>
          <t xml:space="preserve">Corresponde al valor proyectado al mes correspondiente en la distribución anual de la caracterización </t>
        </r>
      </text>
    </comment>
    <comment ref="CK7" authorId="1">
      <text>
        <r>
          <rPr>
            <sz val="9"/>
            <color indexed="81"/>
            <rFont val="Tahoma"/>
            <family val="2"/>
          </rPr>
          <t>Se registra el valor de la meta ejecutada sobre el valor de la meta proyectada</t>
        </r>
      </text>
    </comment>
    <comment ref="CL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M7" authorId="1">
      <text>
        <r>
          <rPr>
            <sz val="9"/>
            <color indexed="81"/>
            <rFont val="Tahoma"/>
            <family val="2"/>
          </rPr>
          <t>Registrar la cantidad o % ejecutada en el mes (de acuerdo a la fórmula del Indicador)</t>
        </r>
      </text>
    </comment>
    <comment ref="CN7" authorId="1">
      <text>
        <r>
          <rPr>
            <sz val="9"/>
            <color indexed="81"/>
            <rFont val="Tahoma"/>
            <family val="2"/>
          </rPr>
          <t>Registrar la cantidad o % del denominador programado en el mes (de acuerdo a la fórmula del Indicador)</t>
        </r>
      </text>
    </comment>
    <comment ref="CO7" authorId="1">
      <text>
        <r>
          <rPr>
            <sz val="9"/>
            <color indexed="81"/>
            <rFont val="Tahoma"/>
            <family val="2"/>
          </rPr>
          <t>Es la relación del Numerador sobre el denominador.
Si su fúmula no contiene un denominado, escribir en este campo "1 (uno)"</t>
        </r>
      </text>
    </comment>
    <comment ref="CP7" authorId="1">
      <text>
        <r>
          <rPr>
            <sz val="9"/>
            <color indexed="81"/>
            <rFont val="Tahoma"/>
            <family val="2"/>
          </rPr>
          <t xml:space="preserve">Corresponde al valor proyectado al mes correspondiente en la distribución anual de la caracterización </t>
        </r>
      </text>
    </comment>
    <comment ref="CQ7" authorId="1">
      <text>
        <r>
          <rPr>
            <sz val="9"/>
            <color indexed="81"/>
            <rFont val="Tahoma"/>
            <family val="2"/>
          </rPr>
          <t>Se registra el valor de la meta ejecutada sobre el valor de la meta proyectada</t>
        </r>
      </text>
    </comment>
    <comment ref="CR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S7" authorId="1">
      <text>
        <r>
          <rPr>
            <sz val="9"/>
            <color indexed="81"/>
            <rFont val="Tahoma"/>
            <family val="2"/>
          </rPr>
          <t>Registrar la cantidad o % ejecutada(o) acumulada(o) (de acuerdo a la fórmula del Indicador)</t>
        </r>
      </text>
    </comment>
    <comment ref="CT7" authorId="1">
      <text>
        <r>
          <rPr>
            <sz val="9"/>
            <color indexed="81"/>
            <rFont val="Tahoma"/>
            <family val="2"/>
          </rPr>
          <t>Registrar la cantidad o % del denominador programada(o) acumulado (de acuerdo a la fórmula del Indicador)</t>
        </r>
      </text>
    </comment>
    <comment ref="CU7" authorId="1">
      <text>
        <r>
          <rPr>
            <sz val="9"/>
            <color indexed="81"/>
            <rFont val="Tahoma"/>
            <family val="2"/>
          </rPr>
          <t>Es la relación del Numerador sobre el denominador.
Si su fúmula no contiene un denominado, escribir en este campo "1 (uno)"</t>
        </r>
      </text>
    </comment>
    <comment ref="CV7" authorId="1">
      <text>
        <r>
          <rPr>
            <sz val="9"/>
            <color indexed="81"/>
            <rFont val="Tahoma"/>
            <family val="2"/>
          </rPr>
          <t xml:space="preserve">Corresponde al valor de la meta proyectada al año correspondiente a lo establecido en la caracterización </t>
        </r>
      </text>
    </comment>
    <comment ref="CW7" authorId="1">
      <text>
        <r>
          <rPr>
            <sz val="9"/>
            <color indexed="81"/>
            <rFont val="Tahoma"/>
            <family val="2"/>
          </rPr>
          <t>Se registra el valor de la meta ejecutada sobre el valor de la meta proyectada</t>
        </r>
      </text>
    </comment>
    <comment ref="CX7" authorId="1">
      <text>
        <r>
          <rPr>
            <sz val="9"/>
            <color indexed="81"/>
            <rFont val="Tahoma"/>
            <family val="2"/>
          </rPr>
          <t>Justifique el resultado de la meta ejecutada acumulada y la comparación entre la meta proyectada acumulada.</t>
        </r>
      </text>
    </comment>
    <comment ref="K8" authorId="2">
      <text>
        <r>
          <rPr>
            <b/>
            <sz val="9"/>
            <color indexed="81"/>
            <rFont val="Tahoma"/>
            <family val="2"/>
          </rPr>
          <t>Yuly Katerine Duque Gutierrez:</t>
        </r>
        <r>
          <rPr>
            <sz val="9"/>
            <color indexed="81"/>
            <rFont val="Tahoma"/>
            <family val="2"/>
          </rPr>
          <t xml:space="preserve">
CONT. 1636 
(German Eduardo Soler)
CONT. 1638 
(Hernan Javier Ruge)</t>
        </r>
      </text>
    </comment>
    <comment ref="L10" authorId="2">
      <text>
        <r>
          <rPr>
            <b/>
            <sz val="9"/>
            <color indexed="81"/>
            <rFont val="Tahoma"/>
            <family val="2"/>
          </rPr>
          <t>Yuly Katerine Duque Gutierrez:</t>
        </r>
        <r>
          <rPr>
            <sz val="9"/>
            <color indexed="81"/>
            <rFont val="Tahoma"/>
            <family val="2"/>
          </rPr>
          <t xml:space="preserve">
Cont. 945-2013
</t>
        </r>
      </text>
    </comment>
    <comment ref="M10" authorId="2">
      <text>
        <r>
          <rPr>
            <b/>
            <sz val="9"/>
            <color indexed="81"/>
            <rFont val="Tahoma"/>
            <family val="2"/>
          </rPr>
          <t>Yuly Katerine Duque Gutierrez:</t>
        </r>
        <r>
          <rPr>
            <sz val="9"/>
            <color indexed="81"/>
            <rFont val="Tahoma"/>
            <family val="2"/>
          </rPr>
          <t xml:space="preserve">
Cont. 895-2013.</t>
        </r>
      </text>
    </comment>
    <comment ref="T10" authorId="2">
      <text>
        <r>
          <rPr>
            <b/>
            <sz val="9"/>
            <color indexed="81"/>
            <rFont val="Tahoma"/>
            <family val="2"/>
          </rPr>
          <t>Yuly Katerine Duque Gutierrez:</t>
        </r>
        <r>
          <rPr>
            <sz val="9"/>
            <color indexed="81"/>
            <rFont val="Tahoma"/>
            <family val="2"/>
          </rPr>
          <t xml:space="preserve">
Cont. 1638-2013 
Cont. 1636-2013</t>
        </r>
      </text>
    </comment>
    <comment ref="M12" authorId="2">
      <text>
        <r>
          <rPr>
            <b/>
            <sz val="9"/>
            <color indexed="81"/>
            <rFont val="Tahoma"/>
            <family val="2"/>
          </rPr>
          <t>Yuly Katerine Duque Gutierrez:</t>
        </r>
        <r>
          <rPr>
            <sz val="9"/>
            <color indexed="81"/>
            <rFont val="Tahoma"/>
            <family val="2"/>
          </rPr>
          <t xml:space="preserve">
Cont. 945-2013 y 895-2013.</t>
        </r>
      </text>
    </comment>
    <comment ref="T12" authorId="2">
      <text>
        <r>
          <rPr>
            <b/>
            <sz val="9"/>
            <color indexed="81"/>
            <rFont val="Tahoma"/>
            <family val="2"/>
          </rPr>
          <t>Yuly Katerine Duque Gutierrez:</t>
        </r>
        <r>
          <rPr>
            <sz val="9"/>
            <color indexed="81"/>
            <rFont val="Tahoma"/>
            <family val="2"/>
          </rPr>
          <t xml:space="preserve">
Cont. 1638-2013 
Cont. 1636-2013</t>
        </r>
      </text>
    </comment>
    <comment ref="L14" authorId="2">
      <text>
        <r>
          <rPr>
            <b/>
            <sz val="9"/>
            <color indexed="81"/>
            <rFont val="Tahoma"/>
            <family val="2"/>
          </rPr>
          <t>Yuly Katerine Duque Gutierrez:</t>
        </r>
        <r>
          <rPr>
            <sz val="9"/>
            <color indexed="81"/>
            <rFont val="Tahoma"/>
            <family val="2"/>
          </rPr>
          <t xml:space="preserve">
Cont. 137-2007</t>
        </r>
      </text>
    </comment>
    <comment ref="M14" authorId="2">
      <text>
        <r>
          <rPr>
            <b/>
            <sz val="9"/>
            <color indexed="81"/>
            <rFont val="Tahoma"/>
            <family val="2"/>
          </rPr>
          <t>Yuly Katerine Duque Gutierrez:</t>
        </r>
        <r>
          <rPr>
            <sz val="9"/>
            <color indexed="81"/>
            <rFont val="Tahoma"/>
            <family val="2"/>
          </rPr>
          <t xml:space="preserve">
Cont. 19-2012 </t>
        </r>
      </text>
    </comment>
    <comment ref="V14" authorId="2">
      <text>
        <r>
          <rPr>
            <b/>
            <sz val="9"/>
            <color indexed="81"/>
            <rFont val="Tahoma"/>
            <family val="2"/>
          </rPr>
          <t>Yuly Katerine Duque Gutierrez:</t>
        </r>
        <r>
          <rPr>
            <sz val="9"/>
            <color indexed="81"/>
            <rFont val="Tahoma"/>
            <family val="2"/>
          </rPr>
          <t xml:space="preserve">
Cont. 945-2013.</t>
        </r>
      </text>
    </comment>
    <comment ref="N16" authorId="2">
      <text>
        <r>
          <rPr>
            <b/>
            <sz val="9"/>
            <color indexed="81"/>
            <rFont val="Tahoma"/>
            <family val="2"/>
          </rPr>
          <t>Yuly Katerine Duque Gutierrez:</t>
        </r>
        <r>
          <rPr>
            <sz val="9"/>
            <color indexed="81"/>
            <rFont val="Tahoma"/>
            <family val="2"/>
          </rPr>
          <t xml:space="preserve">
Cont. 19-2012</t>
        </r>
      </text>
    </comment>
    <comment ref="T16" authorId="2">
      <text>
        <r>
          <rPr>
            <b/>
            <sz val="9"/>
            <color indexed="81"/>
            <rFont val="Tahoma"/>
            <family val="2"/>
          </rPr>
          <t>Yuly Katerine Duque Gutierrez:</t>
        </r>
        <r>
          <rPr>
            <sz val="9"/>
            <color indexed="81"/>
            <rFont val="Tahoma"/>
            <family val="2"/>
          </rPr>
          <t xml:space="preserve">
Cont. 137-2007</t>
        </r>
      </text>
    </comment>
    <comment ref="N18" authorId="2">
      <text>
        <r>
          <rPr>
            <b/>
            <sz val="9"/>
            <color indexed="81"/>
            <rFont val="Tahoma"/>
            <family val="2"/>
          </rPr>
          <t>Yuly Katerine Duque Gutierrez:</t>
        </r>
        <r>
          <rPr>
            <sz val="9"/>
            <color indexed="81"/>
            <rFont val="Tahoma"/>
            <family val="2"/>
          </rPr>
          <t xml:space="preserve">
cont.. IDU-33-2010. </t>
        </r>
      </text>
    </comment>
    <comment ref="P18" authorId="2">
      <text>
        <r>
          <rPr>
            <b/>
            <sz val="9"/>
            <color indexed="81"/>
            <rFont val="Tahoma"/>
            <family val="2"/>
          </rPr>
          <t>Yuly Katerine Duque Gutierrez:</t>
        </r>
        <r>
          <rPr>
            <sz val="9"/>
            <color indexed="81"/>
            <rFont val="Tahoma"/>
            <family val="2"/>
          </rPr>
          <t xml:space="preserve">
Cont. 19-2012 según reporte supervisor.</t>
        </r>
      </text>
    </comment>
    <comment ref="T18" authorId="2">
      <text>
        <r>
          <rPr>
            <b/>
            <sz val="9"/>
            <color indexed="81"/>
            <rFont val="Tahoma"/>
            <family val="2"/>
          </rPr>
          <t>Yuly Katerine Duque Gutierrez:</t>
        </r>
        <r>
          <rPr>
            <sz val="9"/>
            <color indexed="81"/>
            <rFont val="Tahoma"/>
            <family val="2"/>
          </rPr>
          <t xml:space="preserve">
Cont. 60-2010</t>
        </r>
      </text>
    </comment>
    <comment ref="T20" authorId="2">
      <text>
        <r>
          <rPr>
            <b/>
            <sz val="9"/>
            <color indexed="81"/>
            <rFont val="Tahoma"/>
            <family val="2"/>
          </rPr>
          <t>Yuly Katerine Duque Gutierrez:</t>
        </r>
        <r>
          <rPr>
            <sz val="9"/>
            <color indexed="81"/>
            <rFont val="Tahoma"/>
            <family val="2"/>
          </rPr>
          <t xml:space="preserve">
Cont. 60-2010. </t>
        </r>
      </text>
    </comment>
    <comment ref="U20" authorId="2">
      <text>
        <r>
          <rPr>
            <b/>
            <sz val="9"/>
            <color indexed="81"/>
            <rFont val="Tahoma"/>
            <family val="2"/>
          </rPr>
          <t>Yuly Katerine Duque Gutierrez:</t>
        </r>
        <r>
          <rPr>
            <sz val="9"/>
            <color indexed="81"/>
            <rFont val="Tahoma"/>
            <family val="2"/>
          </rPr>
          <t xml:space="preserve">
Cont. 137-2007.
</t>
        </r>
      </text>
    </comment>
    <comment ref="M32" authorId="2">
      <text>
        <r>
          <rPr>
            <b/>
            <sz val="9"/>
            <color indexed="81"/>
            <rFont val="Tahoma"/>
            <family val="2"/>
          </rPr>
          <t>Yuly Katerine Duque Gutierrez:</t>
        </r>
        <r>
          <rPr>
            <sz val="9"/>
            <color indexed="81"/>
            <rFont val="Tahoma"/>
            <family val="2"/>
          </rPr>
          <t xml:space="preserve">
Cont. 945-2013 y 895-2013.</t>
        </r>
      </text>
    </comment>
    <comment ref="T32" authorId="2">
      <text>
        <r>
          <rPr>
            <b/>
            <sz val="9"/>
            <color indexed="81"/>
            <rFont val="Tahoma"/>
            <family val="2"/>
          </rPr>
          <t>Yuly Katerine Duque Gutierrez:</t>
        </r>
        <r>
          <rPr>
            <sz val="9"/>
            <color indexed="81"/>
            <rFont val="Tahoma"/>
            <family val="2"/>
          </rPr>
          <t xml:space="preserve">
Cont. 1638-2013 
Cont. 1636-2013</t>
        </r>
      </text>
    </comment>
    <comment ref="P34" authorId="2">
      <text>
        <r>
          <rPr>
            <b/>
            <sz val="9"/>
            <color indexed="81"/>
            <rFont val="Tahoma"/>
            <family val="2"/>
          </rPr>
          <t>Yuly Katerine Duque Gutierrez:</t>
        </r>
        <r>
          <rPr>
            <sz val="9"/>
            <color indexed="81"/>
            <rFont val="Tahoma"/>
            <family val="2"/>
          </rPr>
          <t xml:space="preserve">
Cont. 19-2012</t>
        </r>
      </text>
    </comment>
    <comment ref="T34" authorId="2">
      <text>
        <r>
          <rPr>
            <b/>
            <sz val="9"/>
            <color indexed="81"/>
            <rFont val="Tahoma"/>
            <family val="2"/>
          </rPr>
          <t>Yuly Katerine Duque Gutierrez:</t>
        </r>
        <r>
          <rPr>
            <sz val="9"/>
            <color indexed="81"/>
            <rFont val="Tahoma"/>
            <family val="2"/>
          </rPr>
          <t xml:space="preserve">
Cont. 60-2010. </t>
        </r>
      </text>
    </comment>
    <comment ref="P36" authorId="2">
      <text>
        <r>
          <rPr>
            <b/>
            <sz val="9"/>
            <color indexed="81"/>
            <rFont val="Tahoma"/>
            <family val="2"/>
          </rPr>
          <t>Yuly Katerine Duque Gutierrez:</t>
        </r>
        <r>
          <rPr>
            <sz val="9"/>
            <color indexed="81"/>
            <rFont val="Tahoma"/>
            <family val="2"/>
          </rPr>
          <t xml:space="preserve">
Cont. 19-2012</t>
        </r>
      </text>
    </comment>
    <comment ref="T36" authorId="2">
      <text>
        <r>
          <rPr>
            <b/>
            <sz val="9"/>
            <color indexed="81"/>
            <rFont val="Tahoma"/>
            <family val="2"/>
          </rPr>
          <t>Yuly Katerine Duque Gutierrez:</t>
        </r>
        <r>
          <rPr>
            <sz val="9"/>
            <color indexed="81"/>
            <rFont val="Tahoma"/>
            <family val="2"/>
          </rPr>
          <t xml:space="preserve">
Cont. 60-2010. según coordinador del contrato</t>
        </r>
      </text>
    </comment>
    <comment ref="D39" authorId="1">
      <text>
        <r>
          <rPr>
            <sz val="8"/>
            <color indexed="81"/>
            <rFont val="Tahoma"/>
            <family val="2"/>
          </rPr>
          <t>El términos "Documentos del SIG" hace referencia a manuales, procedimientos, formatos, instructivos, guías en cada uno de los procesos</t>
        </r>
      </text>
    </comment>
    <comment ref="X39" authorId="0">
      <text>
        <r>
          <rPr>
            <sz val="9"/>
            <color indexed="81"/>
            <rFont val="Tahoma"/>
            <family val="2"/>
          </rPr>
          <t xml:space="preserve">
Usuario encargado:
OAP - John Quiroga
         Carlos Campos </t>
        </r>
      </text>
    </comment>
    <comment ref="X40" authorId="0">
      <text>
        <r>
          <rPr>
            <sz val="9"/>
            <color indexed="81"/>
            <rFont val="Tahoma"/>
            <family val="2"/>
          </rPr>
          <t xml:space="preserve">
Usuario encargado:
OCI - Camilo Barajas </t>
        </r>
      </text>
    </comment>
    <comment ref="X41" authorId="0">
      <text>
        <r>
          <rPr>
            <sz val="9"/>
            <color indexed="81"/>
            <rFont val="Tahoma"/>
            <family val="2"/>
          </rPr>
          <t xml:space="preserve">
usuario encargado:
OCI - Wilson Herrera
</t>
        </r>
      </text>
    </comment>
    <comment ref="X42" authorId="0">
      <text>
        <r>
          <rPr>
            <sz val="9"/>
            <color indexed="81"/>
            <rFont val="Tahoma"/>
            <family val="2"/>
          </rPr>
          <t xml:space="preserve">
Usurario encargado 
STPC - Nelson Mauricio Izasa
</t>
        </r>
      </text>
    </comment>
    <comment ref="X43" authorId="0">
      <text>
        <r>
          <rPr>
            <sz val="9"/>
            <color indexed="81"/>
            <rFont val="Tahoma"/>
            <family val="2"/>
          </rPr>
          <t xml:space="preserve">
Usurario encargado 
STPC - Nelson Mauricio Izasa</t>
        </r>
        <r>
          <rPr>
            <sz val="9"/>
            <color indexed="81"/>
            <rFont val="Tahoma"/>
            <family val="2"/>
          </rPr>
          <t xml:space="preserve">
</t>
        </r>
      </text>
    </comment>
    <comment ref="X44" authorId="0">
      <text>
        <r>
          <rPr>
            <sz val="9"/>
            <color indexed="81"/>
            <rFont val="Tahoma"/>
            <family val="2"/>
          </rPr>
          <t xml:space="preserve">
Usuario encargado 
OAP - Luis Arnulfo Sarmiento
         Cesar Miranda</t>
        </r>
      </text>
    </comment>
    <comment ref="X45" authorId="0">
      <text>
        <r>
          <rPr>
            <sz val="9"/>
            <color indexed="81"/>
            <rFont val="Tahoma"/>
            <family val="2"/>
          </rPr>
          <t xml:space="preserve">
Usuario encargado 
STTR - Rodrigo Álvarez O
</t>
        </r>
      </text>
    </comment>
    <comment ref="X46" authorId="0">
      <text>
        <r>
          <rPr>
            <sz val="9"/>
            <color indexed="81"/>
            <rFont val="Tahoma"/>
            <family val="2"/>
          </rPr>
          <t xml:space="preserve">
Usuario encargado 
DTGC - Johana lamilla Sanchez
John Herry Cueca
</t>
        </r>
      </text>
    </comment>
  </commentList>
</comments>
</file>

<file path=xl/comments23.xml><?xml version="1.0" encoding="utf-8"?>
<comments xmlns="http://schemas.openxmlformats.org/spreadsheetml/2006/main">
  <authors>
    <author>pavel pinto</author>
    <author>John Alexander Quiroga Fuquene</author>
    <author>Habib Leonardo Mejia Rivera</author>
  </authors>
  <commentList>
    <comment ref="D6" authorId="0">
      <text>
        <r>
          <rPr>
            <sz val="9"/>
            <color indexed="81"/>
            <rFont val="Tahoma"/>
            <family val="2"/>
          </rPr>
          <t>SIGLA DEL ÁREA-CONSECUTIVO</t>
        </r>
      </text>
    </comment>
    <comment ref="H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formula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formula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 en el mes (de acuerdo a la fórmula del Indicador)</t>
        </r>
      </text>
    </comment>
    <comment ref="CS7" authorId="1">
      <text>
        <r>
          <rPr>
            <sz val="9"/>
            <color indexed="81"/>
            <rFont val="Tahoma"/>
            <family val="2"/>
          </rPr>
          <t>Registrar la cantidad o % del denominador programado en el mes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proyectado al mes correspondiente en la distribución anual de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X7" authorId="1">
      <text>
        <r>
          <rPr>
            <sz val="9"/>
            <color indexed="81"/>
            <rFont val="Tahoma"/>
            <family val="2"/>
          </rPr>
          <t>Registrar la cantidad o % ejecutada en el mes (de acuerdo a la fórmula del Indicador)</t>
        </r>
      </text>
    </comment>
    <comment ref="CY7" authorId="1">
      <text>
        <r>
          <rPr>
            <sz val="9"/>
            <color indexed="81"/>
            <rFont val="Tahoma"/>
            <family val="2"/>
          </rPr>
          <t>Registrar la cantidad o % del denominador programado en el mes (de acuerdo a la fórmula del Indicador)</t>
        </r>
      </text>
    </comment>
    <comment ref="CZ7" authorId="1">
      <text>
        <r>
          <rPr>
            <sz val="9"/>
            <color indexed="81"/>
            <rFont val="Tahoma"/>
            <family val="2"/>
          </rPr>
          <t>Es la relación del Numerador sobre el denominador.
Si su fúmula no contiene un denominado, escribir en este campo "1 (uno)"</t>
        </r>
      </text>
    </comment>
    <comment ref="DA7" authorId="1">
      <text>
        <r>
          <rPr>
            <sz val="9"/>
            <color indexed="81"/>
            <rFont val="Tahoma"/>
            <family val="2"/>
          </rPr>
          <t xml:space="preserve">Corresponde al valor proyectado al mes correspondiente en la distribución anual de la caracterización </t>
        </r>
      </text>
    </comment>
    <comment ref="DB7" authorId="1">
      <text>
        <r>
          <rPr>
            <sz val="9"/>
            <color indexed="81"/>
            <rFont val="Tahoma"/>
            <family val="2"/>
          </rPr>
          <t>Se registra el valor de la meta ejecutada sobre el valor de la meta proyectada</t>
        </r>
      </text>
    </comment>
    <comment ref="D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DD7" authorId="1">
      <text>
        <r>
          <rPr>
            <sz val="9"/>
            <color indexed="81"/>
            <rFont val="Tahoma"/>
            <family val="2"/>
          </rPr>
          <t>Registrar la cantidad o % ejecutada en el mes (de acuerdo a la fórmula del Indicador)</t>
        </r>
      </text>
    </comment>
    <comment ref="DE7" authorId="1">
      <text>
        <r>
          <rPr>
            <sz val="9"/>
            <color indexed="81"/>
            <rFont val="Tahoma"/>
            <family val="2"/>
          </rPr>
          <t>Registrar la cantidad o % del denominador programado en el mes (de acuerdo a la fórmula del Indicador)</t>
        </r>
      </text>
    </comment>
    <comment ref="DF7" authorId="1">
      <text>
        <r>
          <rPr>
            <sz val="9"/>
            <color indexed="81"/>
            <rFont val="Tahoma"/>
            <family val="2"/>
          </rPr>
          <t>Es la relación del Numerador sobre el denominador.
Si su fúmula no contiene un denominado, escribir en este campo "1 (uno)"</t>
        </r>
      </text>
    </comment>
    <comment ref="DG7" authorId="1">
      <text>
        <r>
          <rPr>
            <sz val="9"/>
            <color indexed="81"/>
            <rFont val="Tahoma"/>
            <family val="2"/>
          </rPr>
          <t xml:space="preserve">Corresponde al valor proyectado al mes correspondiente en la distribución anual de la caracterización </t>
        </r>
      </text>
    </comment>
    <comment ref="DH7" authorId="1">
      <text>
        <r>
          <rPr>
            <sz val="9"/>
            <color indexed="81"/>
            <rFont val="Tahoma"/>
            <family val="2"/>
          </rPr>
          <t>Se registra el valor de la meta ejecutada sobre el valor de la meta proyectada</t>
        </r>
      </text>
    </comment>
    <comment ref="D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DJ7" authorId="1">
      <text>
        <r>
          <rPr>
            <sz val="9"/>
            <color indexed="81"/>
            <rFont val="Tahoma"/>
            <family val="2"/>
          </rPr>
          <t>Registrar la cantidad o % ejecutada en el mes (de acuerdo a la fórmula del Indicador)</t>
        </r>
      </text>
    </comment>
    <comment ref="DK7" authorId="1">
      <text>
        <r>
          <rPr>
            <sz val="9"/>
            <color indexed="81"/>
            <rFont val="Tahoma"/>
            <family val="2"/>
          </rPr>
          <t>Registrar la cantidad o % del denominador programado en el mes (de acuerdo a la fórmula del Indicador)</t>
        </r>
      </text>
    </comment>
    <comment ref="DL7" authorId="1">
      <text>
        <r>
          <rPr>
            <sz val="9"/>
            <color indexed="81"/>
            <rFont val="Tahoma"/>
            <family val="2"/>
          </rPr>
          <t>Es la relación del Numerador sobre el denominador.
Si su fúmula no contiene un denominado, escribir en este campo "1 (uno)"</t>
        </r>
      </text>
    </comment>
    <comment ref="DM7" authorId="1">
      <text>
        <r>
          <rPr>
            <sz val="9"/>
            <color indexed="81"/>
            <rFont val="Tahoma"/>
            <family val="2"/>
          </rPr>
          <t xml:space="preserve">Corresponde al valor proyectado al mes correspondiente en la distribución anual de la caracterización </t>
        </r>
      </text>
    </comment>
    <comment ref="DN7" authorId="1">
      <text>
        <r>
          <rPr>
            <sz val="9"/>
            <color indexed="81"/>
            <rFont val="Tahoma"/>
            <family val="2"/>
          </rPr>
          <t>Se registra el valor de la meta ejecutada sobre el valor de la meta proyectada</t>
        </r>
      </text>
    </comment>
    <comment ref="D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U46" authorId="2">
      <text>
        <r>
          <rPr>
            <b/>
            <sz val="9"/>
            <color indexed="81"/>
            <rFont val="Tahoma"/>
            <family val="2"/>
          </rPr>
          <t>Habib Leonardo Mejia Rivera:</t>
        </r>
        <r>
          <rPr>
            <sz val="9"/>
            <color indexed="81"/>
            <rFont val="Tahoma"/>
            <family val="2"/>
          </rPr>
          <t xml:space="preserve">
2t</t>
        </r>
      </text>
    </comment>
  </commentList>
</comments>
</file>

<file path=xl/comments24.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4" authorId="1">
      <text>
        <r>
          <rPr>
            <sz val="8"/>
            <color indexed="81"/>
            <rFont val="Tahoma"/>
            <family val="2"/>
          </rPr>
          <t>El términos "Documentos del SIG" hace referencia a manuales, procedimientos, formatos, instructivos, guías en cada uno de los procesos</t>
        </r>
      </text>
    </comment>
    <comment ref="W14" authorId="0">
      <text>
        <r>
          <rPr>
            <sz val="9"/>
            <color indexed="81"/>
            <rFont val="Tahoma"/>
            <family val="2"/>
          </rPr>
          <t xml:space="preserve">
Usuario encargado:
OAP - John Quiroga
         Carlos Campos </t>
        </r>
      </text>
    </comment>
    <comment ref="W15" authorId="0">
      <text>
        <r>
          <rPr>
            <sz val="9"/>
            <color indexed="81"/>
            <rFont val="Tahoma"/>
            <family val="2"/>
          </rPr>
          <t xml:space="preserve">
Usuario encargado:
OCI - Camilo Barajas </t>
        </r>
      </text>
    </comment>
    <comment ref="W16" authorId="0">
      <text>
        <r>
          <rPr>
            <sz val="9"/>
            <color indexed="81"/>
            <rFont val="Tahoma"/>
            <family val="2"/>
          </rPr>
          <t xml:space="preserve">
usuario encargado:
OCI - wilson Herrera
</t>
        </r>
      </text>
    </comment>
    <comment ref="W17" authorId="0">
      <text>
        <r>
          <rPr>
            <sz val="9"/>
            <color indexed="81"/>
            <rFont val="Tahoma"/>
            <family val="2"/>
          </rPr>
          <t xml:space="preserve">
Usuario encargado 
DTGC - Johana lamilla Sanchez
John Herry Cueca
</t>
        </r>
      </text>
    </comment>
  </commentList>
</comments>
</file>

<file path=xl/comments25.xml><?xml version="1.0" encoding="utf-8"?>
<comments xmlns="http://schemas.openxmlformats.org/spreadsheetml/2006/main">
  <authors>
    <author>John Alexander Quiroga Fuquene</author>
  </authors>
  <commentList>
    <comment ref="G6" authorId="0">
      <text>
        <r>
          <rPr>
            <b/>
            <sz val="9"/>
            <color indexed="81"/>
            <rFont val="Tahoma"/>
            <family val="2"/>
          </rPr>
          <t>De:
Eficacia
Eficiencia
Efectividad</t>
        </r>
      </text>
    </comment>
    <comment ref="X7" authorId="0">
      <text>
        <r>
          <rPr>
            <sz val="9"/>
            <color indexed="81"/>
            <rFont val="Tahoma"/>
            <family val="2"/>
          </rPr>
          <t>Registrar la cantidad o % ejecutada en el mes (de acuerdo a la fórmula del Indicador)</t>
        </r>
      </text>
    </comment>
    <comment ref="Y7" authorId="0">
      <text>
        <r>
          <rPr>
            <sz val="9"/>
            <color indexed="81"/>
            <rFont val="Tahoma"/>
            <family val="2"/>
          </rPr>
          <t>Registrar la cantidad o % del denominador programado en el mes (de acuerdo a la fórmula del Indicador)</t>
        </r>
      </text>
    </comment>
    <comment ref="Z7" authorId="0">
      <text>
        <r>
          <rPr>
            <sz val="9"/>
            <color indexed="81"/>
            <rFont val="Tahoma"/>
            <family val="2"/>
          </rPr>
          <t>Es la relación del Numerador sobre el denominador.
Si su fúmula no contiene un denominado, escribir en este campo "1 (uno)"</t>
        </r>
      </text>
    </comment>
    <comment ref="AA7" authorId="0">
      <text>
        <r>
          <rPr>
            <sz val="9"/>
            <color indexed="81"/>
            <rFont val="Tahoma"/>
            <family val="2"/>
          </rPr>
          <t xml:space="preserve">Corresponde al valor proyectado al mes correspondiente en la distribución anual de la caracterización </t>
        </r>
      </text>
    </comment>
    <comment ref="AB7" authorId="0">
      <text>
        <r>
          <rPr>
            <sz val="9"/>
            <color indexed="81"/>
            <rFont val="Tahoma"/>
            <family val="2"/>
          </rPr>
          <t>Se registra el valor de la meta ejecutada sobre el valor de la meta proyectada</t>
        </r>
      </text>
    </comment>
    <comment ref="AC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0">
      <text>
        <r>
          <rPr>
            <sz val="9"/>
            <color indexed="81"/>
            <rFont val="Tahoma"/>
            <family val="2"/>
          </rPr>
          <t>Registrar la cantidad o % ejecutada en el mes (de acuerdo a la fórmula del Indicador)</t>
        </r>
      </text>
    </comment>
    <comment ref="AE7" authorId="0">
      <text>
        <r>
          <rPr>
            <sz val="9"/>
            <color indexed="81"/>
            <rFont val="Tahoma"/>
            <family val="2"/>
          </rPr>
          <t>Registrar la cantidad o % del denominador programado en el mes (de acuerdo a la fórmula del Indicador)</t>
        </r>
      </text>
    </comment>
    <comment ref="AF7" authorId="0">
      <text>
        <r>
          <rPr>
            <sz val="9"/>
            <color indexed="81"/>
            <rFont val="Tahoma"/>
            <family val="2"/>
          </rPr>
          <t>Es la relación del Numerador sobre el denominador.
Si su fúmula no contiene un denominado, escribir en este campo "1 (uno)"</t>
        </r>
      </text>
    </comment>
    <comment ref="AG7" authorId="0">
      <text>
        <r>
          <rPr>
            <sz val="9"/>
            <color indexed="81"/>
            <rFont val="Tahoma"/>
            <family val="2"/>
          </rPr>
          <t xml:space="preserve">Corresponde al valor proyectado al mes correspondiente en la distribución anual de la caracterización </t>
        </r>
      </text>
    </comment>
    <comment ref="AH7" authorId="0">
      <text>
        <r>
          <rPr>
            <sz val="9"/>
            <color indexed="81"/>
            <rFont val="Tahoma"/>
            <family val="2"/>
          </rPr>
          <t>Se registra el valor de la meta ejecutada sobre el valor de la meta proyectada</t>
        </r>
      </text>
    </comment>
    <comment ref="AI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0">
      <text>
        <r>
          <rPr>
            <sz val="9"/>
            <color indexed="81"/>
            <rFont val="Tahoma"/>
            <family val="2"/>
          </rPr>
          <t>Registrar la cantidad o % ejecutada en el mes (de acuerdo a la fórmula del Indicador)</t>
        </r>
      </text>
    </comment>
    <comment ref="AK7" authorId="0">
      <text>
        <r>
          <rPr>
            <sz val="9"/>
            <color indexed="81"/>
            <rFont val="Tahoma"/>
            <family val="2"/>
          </rPr>
          <t>Registrar la cantidad o % del denominador programado en el mes (de acuerdo a la fórmula del Indicador)</t>
        </r>
      </text>
    </comment>
    <comment ref="AL7" authorId="0">
      <text>
        <r>
          <rPr>
            <sz val="9"/>
            <color indexed="81"/>
            <rFont val="Tahoma"/>
            <family val="2"/>
          </rPr>
          <t>Es la relación del Numerador sobre el denominador.
Si su fúmula no contiene un denominado, escribir en este campo "1 (uno)"</t>
        </r>
      </text>
    </comment>
    <comment ref="AM7" authorId="0">
      <text>
        <r>
          <rPr>
            <sz val="9"/>
            <color indexed="81"/>
            <rFont val="Tahoma"/>
            <family val="2"/>
          </rPr>
          <t xml:space="preserve">Corresponde al valor proyectado al mes correspondiente en la distribución anual de la caracterización </t>
        </r>
      </text>
    </comment>
    <comment ref="AN7" authorId="0">
      <text>
        <r>
          <rPr>
            <sz val="9"/>
            <color indexed="81"/>
            <rFont val="Tahoma"/>
            <family val="2"/>
          </rPr>
          <t>Se registra el valor de la meta ejecutada sobre el valor de la meta proyectada</t>
        </r>
      </text>
    </comment>
    <comment ref="AO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0">
      <text>
        <r>
          <rPr>
            <sz val="9"/>
            <color indexed="81"/>
            <rFont val="Tahoma"/>
            <family val="2"/>
          </rPr>
          <t>Registrar la cantidad o % ejecutada en el mes (de acuerdo a la fórmula del Indicador)</t>
        </r>
      </text>
    </comment>
    <comment ref="AQ7" authorId="0">
      <text>
        <r>
          <rPr>
            <sz val="9"/>
            <color indexed="81"/>
            <rFont val="Tahoma"/>
            <family val="2"/>
          </rPr>
          <t>Registrar la cantidad o % del denominador programado en el mes (de acuerdo a la fórmula del Indicador)</t>
        </r>
      </text>
    </comment>
    <comment ref="AR7" authorId="0">
      <text>
        <r>
          <rPr>
            <sz val="9"/>
            <color indexed="81"/>
            <rFont val="Tahoma"/>
            <family val="2"/>
          </rPr>
          <t>Es la relación del Numerador sobre el denominador.
Si su fúmula no contiene un denominado, escribir en este campo "1 (uno)"</t>
        </r>
      </text>
    </comment>
    <comment ref="AS7" authorId="0">
      <text>
        <r>
          <rPr>
            <sz val="9"/>
            <color indexed="81"/>
            <rFont val="Tahoma"/>
            <family val="2"/>
          </rPr>
          <t xml:space="preserve">Corresponde al valor proyectado al mes correspondiente en la distribución anual de la caracterización </t>
        </r>
      </text>
    </comment>
    <comment ref="AT7" authorId="0">
      <text>
        <r>
          <rPr>
            <sz val="9"/>
            <color indexed="81"/>
            <rFont val="Tahoma"/>
            <family val="2"/>
          </rPr>
          <t>Se registra el valor de la meta ejecutada sobre el valor de la meta proyectada</t>
        </r>
      </text>
    </comment>
    <comment ref="AU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0">
      <text>
        <r>
          <rPr>
            <sz val="9"/>
            <color indexed="81"/>
            <rFont val="Tahoma"/>
            <family val="2"/>
          </rPr>
          <t>Registrar la cantidad o % ejecutada en el mes (de acuerdo a la fórmula del Indicador)</t>
        </r>
      </text>
    </comment>
    <comment ref="AW7" authorId="0">
      <text>
        <r>
          <rPr>
            <sz val="9"/>
            <color indexed="81"/>
            <rFont val="Tahoma"/>
            <family val="2"/>
          </rPr>
          <t>Registrar la cantidad o % del denominador programado en el mes (de acuerdo a la fórmula del Indicador)</t>
        </r>
      </text>
    </comment>
    <comment ref="AX7" authorId="0">
      <text>
        <r>
          <rPr>
            <sz val="9"/>
            <color indexed="81"/>
            <rFont val="Tahoma"/>
            <family val="2"/>
          </rPr>
          <t>Es la relación del Numerador sobre el denominador.
Si su fúmula no contiene un denominado, escribir en este campo "1 (uno)"</t>
        </r>
      </text>
    </comment>
    <comment ref="AY7" authorId="0">
      <text>
        <r>
          <rPr>
            <sz val="9"/>
            <color indexed="81"/>
            <rFont val="Tahoma"/>
            <family val="2"/>
          </rPr>
          <t xml:space="preserve">Corresponde al valor proyectado al mes correspondiente en la distribución anual de la caracterización </t>
        </r>
      </text>
    </comment>
    <comment ref="AZ7" authorId="0">
      <text>
        <r>
          <rPr>
            <sz val="9"/>
            <color indexed="81"/>
            <rFont val="Tahoma"/>
            <family val="2"/>
          </rPr>
          <t>Se registra el valor de la meta ejecutada sobre el valor de la meta proyectada</t>
        </r>
      </text>
    </comment>
    <comment ref="BA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0">
      <text>
        <r>
          <rPr>
            <sz val="9"/>
            <color indexed="81"/>
            <rFont val="Tahoma"/>
            <family val="2"/>
          </rPr>
          <t>Registrar la cantidad o % ejecutada en el mes (de acuerdo a la fórmula del Indicador)</t>
        </r>
      </text>
    </comment>
    <comment ref="BC7" authorId="0">
      <text>
        <r>
          <rPr>
            <sz val="9"/>
            <color indexed="81"/>
            <rFont val="Tahoma"/>
            <family val="2"/>
          </rPr>
          <t>Registrar la cantidad o % del denominador programado en el mes (de acuerdo a la fórmula del Indicador)</t>
        </r>
      </text>
    </comment>
    <comment ref="BD7" authorId="0">
      <text>
        <r>
          <rPr>
            <sz val="9"/>
            <color indexed="81"/>
            <rFont val="Tahoma"/>
            <family val="2"/>
          </rPr>
          <t>Es la relación del Numerador sobre el denominador.
Si su fúmula no contiene un denominado, escribir en este campo "1 (uno)"</t>
        </r>
      </text>
    </comment>
    <comment ref="BE7" authorId="0">
      <text>
        <r>
          <rPr>
            <sz val="9"/>
            <color indexed="81"/>
            <rFont val="Tahoma"/>
            <family val="2"/>
          </rPr>
          <t xml:space="preserve">Corresponde al valor proyectado al mes correspondiente en la distribución anual de la caracterización </t>
        </r>
      </text>
    </comment>
    <comment ref="BF7" authorId="0">
      <text>
        <r>
          <rPr>
            <sz val="9"/>
            <color indexed="81"/>
            <rFont val="Tahoma"/>
            <family val="2"/>
          </rPr>
          <t>Se registra el valor de la meta ejecutada sobre el valor de la meta proyectada</t>
        </r>
      </text>
    </comment>
    <comment ref="BG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0">
      <text>
        <r>
          <rPr>
            <sz val="9"/>
            <color indexed="81"/>
            <rFont val="Tahoma"/>
            <family val="2"/>
          </rPr>
          <t>Registrar la cantidad o % ejecutada en el mes (de acuerdo a la fórmula del Indicador)</t>
        </r>
      </text>
    </comment>
    <comment ref="BI7" authorId="0">
      <text>
        <r>
          <rPr>
            <sz val="9"/>
            <color indexed="81"/>
            <rFont val="Tahoma"/>
            <family val="2"/>
          </rPr>
          <t>Registrar la cantidad o % del denominador programado en el mes (de acuerdo a la fórmula del Indicador)</t>
        </r>
      </text>
    </comment>
    <comment ref="BJ7" authorId="0">
      <text>
        <r>
          <rPr>
            <sz val="9"/>
            <color indexed="81"/>
            <rFont val="Tahoma"/>
            <family val="2"/>
          </rPr>
          <t>Es la relación del Numerador sobre el denominador.
Si su fúmula no contiene un denominado, escribir en este campo "1 (uno)"</t>
        </r>
      </text>
    </comment>
    <comment ref="BK7" authorId="0">
      <text>
        <r>
          <rPr>
            <sz val="9"/>
            <color indexed="81"/>
            <rFont val="Tahoma"/>
            <family val="2"/>
          </rPr>
          <t xml:space="preserve">Corresponde al valor proyectado al mes correspondiente en la distribución anual de la caracterización </t>
        </r>
      </text>
    </comment>
    <comment ref="BL7" authorId="0">
      <text>
        <r>
          <rPr>
            <sz val="9"/>
            <color indexed="81"/>
            <rFont val="Tahoma"/>
            <family val="2"/>
          </rPr>
          <t>Se registra el valor de la meta ejecutada sobre el valor de la meta proyectada</t>
        </r>
      </text>
    </comment>
    <comment ref="BM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0">
      <text>
        <r>
          <rPr>
            <sz val="9"/>
            <color indexed="81"/>
            <rFont val="Tahoma"/>
            <family val="2"/>
          </rPr>
          <t>Registrar la cantidad o % ejecutada en el mes (de acuerdo a la fórmula del Indicador)</t>
        </r>
      </text>
    </comment>
    <comment ref="BO7" authorId="0">
      <text>
        <r>
          <rPr>
            <sz val="9"/>
            <color indexed="81"/>
            <rFont val="Tahoma"/>
            <family val="2"/>
          </rPr>
          <t>Registrar la cantidad o % del denominador programado en el mes (de acuerdo a la fórmula del Indicador)</t>
        </r>
      </text>
    </comment>
    <comment ref="BP7" authorId="0">
      <text>
        <r>
          <rPr>
            <sz val="9"/>
            <color indexed="81"/>
            <rFont val="Tahoma"/>
            <family val="2"/>
          </rPr>
          <t>Es la relación del Numerador sobre el denominador.
Si su fúmula no contiene un denominado, escribir en este campo "1 (uno)"</t>
        </r>
      </text>
    </comment>
    <comment ref="BQ7" authorId="0">
      <text>
        <r>
          <rPr>
            <sz val="9"/>
            <color indexed="81"/>
            <rFont val="Tahoma"/>
            <family val="2"/>
          </rPr>
          <t xml:space="preserve">Corresponde al valor proyectado al mes correspondiente en la distribución anual de la caracterización </t>
        </r>
      </text>
    </comment>
    <comment ref="BR7" authorId="0">
      <text>
        <r>
          <rPr>
            <sz val="9"/>
            <color indexed="81"/>
            <rFont val="Tahoma"/>
            <family val="2"/>
          </rPr>
          <t>Se registra el valor de la meta ejecutada sobre el valor de la meta proyectada</t>
        </r>
      </text>
    </comment>
    <comment ref="BS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0">
      <text>
        <r>
          <rPr>
            <sz val="9"/>
            <color indexed="81"/>
            <rFont val="Tahoma"/>
            <family val="2"/>
          </rPr>
          <t>Registrar la cantidad o % ejecutada en el mes (de acuerdo a la fórmula del Indicador)</t>
        </r>
      </text>
    </comment>
    <comment ref="BU7" authorId="0">
      <text>
        <r>
          <rPr>
            <sz val="9"/>
            <color indexed="81"/>
            <rFont val="Tahoma"/>
            <family val="2"/>
          </rPr>
          <t>Registrar la cantidad o % del denominador programado en el mes (de acuerdo a la fórmula del Indicador)</t>
        </r>
      </text>
    </comment>
    <comment ref="BV7" authorId="0">
      <text>
        <r>
          <rPr>
            <sz val="9"/>
            <color indexed="81"/>
            <rFont val="Tahoma"/>
            <family val="2"/>
          </rPr>
          <t>Es la relación del Numerador sobre el denominador.
Si su fúmula no contiene un denominado, escribir en este campo "1 (uno)"</t>
        </r>
      </text>
    </comment>
    <comment ref="BW7" authorId="0">
      <text>
        <r>
          <rPr>
            <sz val="9"/>
            <color indexed="81"/>
            <rFont val="Tahoma"/>
            <family val="2"/>
          </rPr>
          <t xml:space="preserve">Corresponde al valor proyectado al mes correspondiente en la distribución anual de la caracterización </t>
        </r>
      </text>
    </comment>
    <comment ref="BX7" authorId="0">
      <text>
        <r>
          <rPr>
            <sz val="9"/>
            <color indexed="81"/>
            <rFont val="Tahoma"/>
            <family val="2"/>
          </rPr>
          <t>Se registra el valor de la meta ejecutada sobre el valor de la meta proyectada</t>
        </r>
      </text>
    </comment>
    <comment ref="BY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0">
      <text>
        <r>
          <rPr>
            <sz val="9"/>
            <color indexed="81"/>
            <rFont val="Tahoma"/>
            <family val="2"/>
          </rPr>
          <t>Registrar la cantidad o % ejecutada en el mes (de acuerdo a la fórmula del Indicador)</t>
        </r>
      </text>
    </comment>
    <comment ref="CA7" authorId="0">
      <text>
        <r>
          <rPr>
            <sz val="9"/>
            <color indexed="81"/>
            <rFont val="Tahoma"/>
            <family val="2"/>
          </rPr>
          <t>Registrar la cantidad o % del denominador programado en el mes (de acuerdo a la fórmula del Indicador)</t>
        </r>
      </text>
    </comment>
    <comment ref="CB7" authorId="0">
      <text>
        <r>
          <rPr>
            <sz val="9"/>
            <color indexed="81"/>
            <rFont val="Tahoma"/>
            <family val="2"/>
          </rPr>
          <t>Es la relación del Numerador sobre el denominador.
Si su fúmula no contiene un denominado, escribir en este campo "1 (uno)"</t>
        </r>
      </text>
    </comment>
    <comment ref="CC7" authorId="0">
      <text>
        <r>
          <rPr>
            <sz val="9"/>
            <color indexed="81"/>
            <rFont val="Tahoma"/>
            <family val="2"/>
          </rPr>
          <t xml:space="preserve">Corresponde al valor proyectado al mes correspondiente en la distribución anual de la caracterización </t>
        </r>
      </text>
    </comment>
    <comment ref="CD7" authorId="0">
      <text>
        <r>
          <rPr>
            <sz val="9"/>
            <color indexed="81"/>
            <rFont val="Tahoma"/>
            <family val="2"/>
          </rPr>
          <t>Se registra el valor de la meta ejecutada sobre el valor de la meta proyectada</t>
        </r>
      </text>
    </comment>
    <comment ref="CE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0">
      <text>
        <r>
          <rPr>
            <sz val="9"/>
            <color indexed="81"/>
            <rFont val="Tahoma"/>
            <family val="2"/>
          </rPr>
          <t>Registrar la cantidad o % ejecutada en el mes (de acuerdo a la fórmula del Indicador)</t>
        </r>
      </text>
    </comment>
    <comment ref="CG7" authorId="0">
      <text>
        <r>
          <rPr>
            <sz val="9"/>
            <color indexed="81"/>
            <rFont val="Tahoma"/>
            <family val="2"/>
          </rPr>
          <t>Registrar la cantidad o % del denominador programado en el mes (de acuerdo a la fórmula del Indicador)</t>
        </r>
      </text>
    </comment>
    <comment ref="CH7" authorId="0">
      <text>
        <r>
          <rPr>
            <sz val="9"/>
            <color indexed="81"/>
            <rFont val="Tahoma"/>
            <family val="2"/>
          </rPr>
          <t>Es la relación del Numerador sobre el denominador.
Si su fúmula no contiene un denominado, escribir en este campo "1 (uno)"</t>
        </r>
      </text>
    </comment>
    <comment ref="CI7" authorId="0">
      <text>
        <r>
          <rPr>
            <sz val="9"/>
            <color indexed="81"/>
            <rFont val="Tahoma"/>
            <family val="2"/>
          </rPr>
          <t xml:space="preserve">Corresponde al valor proyectado al mes correspondiente en la distribución anual de la caracterización </t>
        </r>
      </text>
    </comment>
    <comment ref="CJ7" authorId="0">
      <text>
        <r>
          <rPr>
            <sz val="9"/>
            <color indexed="81"/>
            <rFont val="Tahoma"/>
            <family val="2"/>
          </rPr>
          <t>Se registra el valor de la meta ejecutada sobre el valor de la meta proyectada</t>
        </r>
      </text>
    </comment>
    <comment ref="CK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0">
      <text>
        <r>
          <rPr>
            <sz val="9"/>
            <color indexed="81"/>
            <rFont val="Tahoma"/>
            <family val="2"/>
          </rPr>
          <t>Registrar la cantidad o % ejecutada en el mes (de acuerdo a la fórmula del Indicador)</t>
        </r>
      </text>
    </comment>
    <comment ref="CM7" authorId="0">
      <text>
        <r>
          <rPr>
            <sz val="9"/>
            <color indexed="81"/>
            <rFont val="Tahoma"/>
            <family val="2"/>
          </rPr>
          <t>Registrar la cantidad o % del denominador programado en el mes (de acuerdo a la fórmula del Indicador)</t>
        </r>
      </text>
    </comment>
    <comment ref="CN7" authorId="0">
      <text>
        <r>
          <rPr>
            <sz val="9"/>
            <color indexed="81"/>
            <rFont val="Tahoma"/>
            <family val="2"/>
          </rPr>
          <t>Es la relación del Numerador sobre el denominador.
Si su fúmula no contiene un denominado, escribir en este campo "1 (uno)"</t>
        </r>
      </text>
    </comment>
    <comment ref="CO7" authorId="0">
      <text>
        <r>
          <rPr>
            <sz val="9"/>
            <color indexed="81"/>
            <rFont val="Tahoma"/>
            <family val="2"/>
          </rPr>
          <t xml:space="preserve">Corresponde al valor proyectado al mes correspondiente en la distribución anual de la caracterización </t>
        </r>
      </text>
    </comment>
    <comment ref="CP7" authorId="0">
      <text>
        <r>
          <rPr>
            <sz val="9"/>
            <color indexed="81"/>
            <rFont val="Tahoma"/>
            <family val="2"/>
          </rPr>
          <t>Se registra el valor de la meta ejecutada sobre el valor de la meta proyectada</t>
        </r>
      </text>
    </comment>
    <comment ref="CQ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0">
      <text>
        <r>
          <rPr>
            <sz val="9"/>
            <color indexed="81"/>
            <rFont val="Tahoma"/>
            <family val="2"/>
          </rPr>
          <t>Registrar la cantidad o % ejecutada(o) acumulada(o) (de acuerdo a la fórmula del Indicador)</t>
        </r>
      </text>
    </comment>
    <comment ref="CS7" authorId="0">
      <text>
        <r>
          <rPr>
            <sz val="9"/>
            <color indexed="81"/>
            <rFont val="Tahoma"/>
            <family val="2"/>
          </rPr>
          <t>Registrar la cantidad o % del denominador programada(o) acumulado (de acuerdo a la fórmula del Indicador)</t>
        </r>
      </text>
    </comment>
    <comment ref="CT7" authorId="0">
      <text>
        <r>
          <rPr>
            <sz val="9"/>
            <color indexed="81"/>
            <rFont val="Tahoma"/>
            <family val="2"/>
          </rPr>
          <t>Es la relación del Numerador sobre el denominador.
Si su fúmula no contiene un denominado, escribir en este campo "1 (uno)"</t>
        </r>
      </text>
    </comment>
    <comment ref="CU7" authorId="0">
      <text>
        <r>
          <rPr>
            <sz val="9"/>
            <color indexed="81"/>
            <rFont val="Tahoma"/>
            <family val="2"/>
          </rPr>
          <t xml:space="preserve">Corresponde al valor de la meta proyectada al año correspondiente a lo establecido en la caracterización </t>
        </r>
      </text>
    </comment>
    <comment ref="CV7" authorId="0">
      <text>
        <r>
          <rPr>
            <sz val="9"/>
            <color indexed="81"/>
            <rFont val="Tahoma"/>
            <family val="2"/>
          </rPr>
          <t>Se registra el valor de la meta ejecutada sobre el valor de la meta proyectada</t>
        </r>
      </text>
    </comment>
    <comment ref="CW7" authorId="0">
      <text>
        <r>
          <rPr>
            <sz val="9"/>
            <color indexed="81"/>
            <rFont val="Tahoma"/>
            <family val="2"/>
          </rPr>
          <t>Justifique el resultado de la meta ejecutada acumulada y la comparación entre la meta proyectada acumulada.</t>
        </r>
      </text>
    </comment>
    <comment ref="D19" authorId="0">
      <text>
        <r>
          <rPr>
            <sz val="8"/>
            <color indexed="81"/>
            <rFont val="Tahoma"/>
            <family val="2"/>
          </rPr>
          <t>El términos "Documentos del SIG" hace referencia a manuales, procedimientos, formatos, instructivos, guías en cada uno de los procesos</t>
        </r>
      </text>
    </comment>
  </commentList>
</comments>
</file>

<file path=xl/comments26.xml><?xml version="1.0" encoding="utf-8"?>
<comments xmlns="http://schemas.openxmlformats.org/spreadsheetml/2006/main">
  <authors>
    <author>John Alexander Quiroga Fuquene</author>
    <author>pavel pinto</author>
  </authors>
  <commentList>
    <comment ref="G6" authorId="0">
      <text>
        <r>
          <rPr>
            <b/>
            <sz val="9"/>
            <color indexed="81"/>
            <rFont val="Tahoma"/>
            <family val="2"/>
          </rPr>
          <t>De:
Eficacia
Eficiencia
Efectividad</t>
        </r>
      </text>
    </comment>
    <comment ref="X7" authorId="0">
      <text>
        <r>
          <rPr>
            <sz val="9"/>
            <color indexed="81"/>
            <rFont val="Tahoma"/>
            <family val="2"/>
          </rPr>
          <t>Registrar la cantidad o % ejecutada en el mes (de acuerdo a la fórmula del Indicador)</t>
        </r>
      </text>
    </comment>
    <comment ref="Y7" authorId="0">
      <text>
        <r>
          <rPr>
            <sz val="9"/>
            <color indexed="81"/>
            <rFont val="Tahoma"/>
            <family val="2"/>
          </rPr>
          <t>Registrar la cantidad o % del denominador programado en el mes (de acuerdo a la fórmula del Indicador)</t>
        </r>
      </text>
    </comment>
    <comment ref="Z7" authorId="0">
      <text>
        <r>
          <rPr>
            <sz val="9"/>
            <color indexed="81"/>
            <rFont val="Tahoma"/>
            <family val="2"/>
          </rPr>
          <t>Es la relación del Numerador sobre el denominador.
Si su fúmula no contiene un denominado, escribir en este campo "1 (uno)"</t>
        </r>
      </text>
    </comment>
    <comment ref="AA7" authorId="0">
      <text>
        <r>
          <rPr>
            <sz val="9"/>
            <color indexed="81"/>
            <rFont val="Tahoma"/>
            <family val="2"/>
          </rPr>
          <t xml:space="preserve">Corresponde al valor proyectado al mes correspondiente en la distribución anual de la caracterización </t>
        </r>
      </text>
    </comment>
    <comment ref="AB7" authorId="0">
      <text>
        <r>
          <rPr>
            <sz val="9"/>
            <color indexed="81"/>
            <rFont val="Tahoma"/>
            <family val="2"/>
          </rPr>
          <t>Se registra el valor de la meta ejecutada sobre el valor de la meta proyectada</t>
        </r>
      </text>
    </comment>
    <comment ref="AC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0">
      <text>
        <r>
          <rPr>
            <sz val="9"/>
            <color indexed="81"/>
            <rFont val="Tahoma"/>
            <family val="2"/>
          </rPr>
          <t>Registrar la cantidad o % ejecutada en el mes (de acuerdo a la fórmula del Indicador)</t>
        </r>
      </text>
    </comment>
    <comment ref="AE7" authorId="0">
      <text>
        <r>
          <rPr>
            <sz val="9"/>
            <color indexed="81"/>
            <rFont val="Tahoma"/>
            <family val="2"/>
          </rPr>
          <t>Registrar la cantidad o % del denominador programado en el mes (de acuerdo a la fórmula del Indicador)</t>
        </r>
      </text>
    </comment>
    <comment ref="AF7" authorId="0">
      <text>
        <r>
          <rPr>
            <sz val="9"/>
            <color indexed="81"/>
            <rFont val="Tahoma"/>
            <family val="2"/>
          </rPr>
          <t>Es la relación del Numerador sobre el denominador.
Si su fúmula no contiene un denominado, escribir en este campo "1 (uno)"</t>
        </r>
      </text>
    </comment>
    <comment ref="AG7" authorId="0">
      <text>
        <r>
          <rPr>
            <sz val="9"/>
            <color indexed="81"/>
            <rFont val="Tahoma"/>
            <family val="2"/>
          </rPr>
          <t xml:space="preserve">Corresponde al valor proyectado al mes correspondiente en la distribución anual de la caracterización </t>
        </r>
      </text>
    </comment>
    <comment ref="AH7" authorId="0">
      <text>
        <r>
          <rPr>
            <sz val="9"/>
            <color indexed="81"/>
            <rFont val="Tahoma"/>
            <family val="2"/>
          </rPr>
          <t>Se registra el valor de la meta ejecutada sobre el valor de la meta proyectada</t>
        </r>
      </text>
    </comment>
    <comment ref="AI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0">
      <text>
        <r>
          <rPr>
            <sz val="9"/>
            <color indexed="81"/>
            <rFont val="Tahoma"/>
            <family val="2"/>
          </rPr>
          <t>Registrar la cantidad o % ejecutada en el mes (de acuerdo a la fórmula del Indicador)</t>
        </r>
      </text>
    </comment>
    <comment ref="AK7" authorId="0">
      <text>
        <r>
          <rPr>
            <sz val="9"/>
            <color indexed="81"/>
            <rFont val="Tahoma"/>
            <family val="2"/>
          </rPr>
          <t>Registrar la cantidad o % del denominador programado en el mes (de acuerdo a la fórmula del Indicador)</t>
        </r>
      </text>
    </comment>
    <comment ref="AL7" authorId="0">
      <text>
        <r>
          <rPr>
            <sz val="9"/>
            <color indexed="81"/>
            <rFont val="Tahoma"/>
            <family val="2"/>
          </rPr>
          <t>Es la relación del Numerador sobre el denominador.
Si su fúmula no contiene un denominado, escribir en este campo "1 (uno)"</t>
        </r>
      </text>
    </comment>
    <comment ref="AM7" authorId="0">
      <text>
        <r>
          <rPr>
            <sz val="9"/>
            <color indexed="81"/>
            <rFont val="Tahoma"/>
            <family val="2"/>
          </rPr>
          <t xml:space="preserve">Corresponde al valor proyectado al mes correspondiente en la distribución anual de la caracterización </t>
        </r>
      </text>
    </comment>
    <comment ref="AN7" authorId="0">
      <text>
        <r>
          <rPr>
            <sz val="9"/>
            <color indexed="81"/>
            <rFont val="Tahoma"/>
            <family val="2"/>
          </rPr>
          <t>Se registra el valor de la meta ejecutada sobre el valor de la meta proyectada</t>
        </r>
      </text>
    </comment>
    <comment ref="AO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0">
      <text>
        <r>
          <rPr>
            <sz val="9"/>
            <color indexed="81"/>
            <rFont val="Tahoma"/>
            <family val="2"/>
          </rPr>
          <t>Registrar la cantidad o % ejecutada en el mes (de acuerdo a la fórmula del Indicador)</t>
        </r>
      </text>
    </comment>
    <comment ref="AQ7" authorId="0">
      <text>
        <r>
          <rPr>
            <sz val="9"/>
            <color indexed="81"/>
            <rFont val="Tahoma"/>
            <family val="2"/>
          </rPr>
          <t>Registrar la cantidad o % del denominador programado en el mes (de acuerdo a la fórmula del Indicador)</t>
        </r>
      </text>
    </comment>
    <comment ref="AR7" authorId="0">
      <text>
        <r>
          <rPr>
            <sz val="9"/>
            <color indexed="81"/>
            <rFont val="Tahoma"/>
            <family val="2"/>
          </rPr>
          <t>Es la relación del Numerador sobre el denominador.
Si su fúmula no contiene un denominado, escribir en este campo "1 (uno)"</t>
        </r>
      </text>
    </comment>
    <comment ref="AS7" authorId="0">
      <text>
        <r>
          <rPr>
            <sz val="9"/>
            <color indexed="81"/>
            <rFont val="Tahoma"/>
            <family val="2"/>
          </rPr>
          <t xml:space="preserve">Corresponde al valor proyectado al mes correspondiente en la distribución anual de la caracterización </t>
        </r>
      </text>
    </comment>
    <comment ref="AT7" authorId="0">
      <text>
        <r>
          <rPr>
            <sz val="9"/>
            <color indexed="81"/>
            <rFont val="Tahoma"/>
            <family val="2"/>
          </rPr>
          <t>Se registra el valor de la meta ejecutada sobre el valor de la meta proyectada</t>
        </r>
      </text>
    </comment>
    <comment ref="AU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0">
      <text>
        <r>
          <rPr>
            <sz val="9"/>
            <color indexed="81"/>
            <rFont val="Tahoma"/>
            <family val="2"/>
          </rPr>
          <t>Registrar la cantidad o % ejecutada en el mes (de acuerdo a la fórmula del Indicador)</t>
        </r>
      </text>
    </comment>
    <comment ref="AW7" authorId="0">
      <text>
        <r>
          <rPr>
            <sz val="9"/>
            <color indexed="81"/>
            <rFont val="Tahoma"/>
            <family val="2"/>
          </rPr>
          <t>Registrar la cantidad o % del denominador programado en el mes (de acuerdo a la fórmula del Indicador)</t>
        </r>
      </text>
    </comment>
    <comment ref="AX7" authorId="0">
      <text>
        <r>
          <rPr>
            <sz val="9"/>
            <color indexed="81"/>
            <rFont val="Tahoma"/>
            <family val="2"/>
          </rPr>
          <t>Es la relación del Numerador sobre el denominador.
Si su fúmula no contiene un denominado, escribir en este campo "1 (uno)"</t>
        </r>
      </text>
    </comment>
    <comment ref="AY7" authorId="0">
      <text>
        <r>
          <rPr>
            <sz val="9"/>
            <color indexed="81"/>
            <rFont val="Tahoma"/>
            <family val="2"/>
          </rPr>
          <t xml:space="preserve">Corresponde al valor proyectado al mes correspondiente en la distribución anual de la caracterización </t>
        </r>
      </text>
    </comment>
    <comment ref="AZ7" authorId="0">
      <text>
        <r>
          <rPr>
            <sz val="9"/>
            <color indexed="81"/>
            <rFont val="Tahoma"/>
            <family val="2"/>
          </rPr>
          <t>Se registra el valor de la meta ejecutada sobre el valor de la meta proyectada</t>
        </r>
      </text>
    </comment>
    <comment ref="BA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0">
      <text>
        <r>
          <rPr>
            <sz val="9"/>
            <color indexed="81"/>
            <rFont val="Tahoma"/>
            <family val="2"/>
          </rPr>
          <t>Registrar la cantidad o % ejecutada en el mes (de acuerdo a la fórmula del Indicador)</t>
        </r>
      </text>
    </comment>
    <comment ref="BC7" authorId="0">
      <text>
        <r>
          <rPr>
            <sz val="9"/>
            <color indexed="81"/>
            <rFont val="Tahoma"/>
            <family val="2"/>
          </rPr>
          <t>Registrar la cantidad o % del denominador programado en el mes (de acuerdo a la fórmula del Indicador)</t>
        </r>
      </text>
    </comment>
    <comment ref="BD7" authorId="0">
      <text>
        <r>
          <rPr>
            <sz val="9"/>
            <color indexed="81"/>
            <rFont val="Tahoma"/>
            <family val="2"/>
          </rPr>
          <t>Es la relación del Numerador sobre el denominador.
Si su fúmula no contiene un denominado, escribir en este campo "1 (uno)"</t>
        </r>
      </text>
    </comment>
    <comment ref="BE7" authorId="0">
      <text>
        <r>
          <rPr>
            <sz val="9"/>
            <color indexed="81"/>
            <rFont val="Tahoma"/>
            <family val="2"/>
          </rPr>
          <t xml:space="preserve">Corresponde al valor proyectado al mes correspondiente en la distribución anual de la caracterización </t>
        </r>
      </text>
    </comment>
    <comment ref="BF7" authorId="0">
      <text>
        <r>
          <rPr>
            <sz val="9"/>
            <color indexed="81"/>
            <rFont val="Tahoma"/>
            <family val="2"/>
          </rPr>
          <t>Se registra el valor de la meta ejecutada sobre el valor de la meta proyectada</t>
        </r>
      </text>
    </comment>
    <comment ref="BG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0">
      <text>
        <r>
          <rPr>
            <sz val="9"/>
            <color indexed="81"/>
            <rFont val="Tahoma"/>
            <family val="2"/>
          </rPr>
          <t>Registrar la cantidad o % ejecutada en el mes (de acuerdo a la fórmula del Indicador)</t>
        </r>
      </text>
    </comment>
    <comment ref="BI7" authorId="0">
      <text>
        <r>
          <rPr>
            <sz val="9"/>
            <color indexed="81"/>
            <rFont val="Tahoma"/>
            <family val="2"/>
          </rPr>
          <t>Registrar la cantidad o % del denominador programado en el mes (de acuerdo a la fórmula del Indicador)</t>
        </r>
      </text>
    </comment>
    <comment ref="BJ7" authorId="0">
      <text>
        <r>
          <rPr>
            <sz val="9"/>
            <color indexed="81"/>
            <rFont val="Tahoma"/>
            <family val="2"/>
          </rPr>
          <t>Es la relación del Numerador sobre el denominador.
Si su fúmula no contiene un denominado, escribir en este campo "1 (uno)"</t>
        </r>
      </text>
    </comment>
    <comment ref="BK7" authorId="0">
      <text>
        <r>
          <rPr>
            <sz val="9"/>
            <color indexed="81"/>
            <rFont val="Tahoma"/>
            <family val="2"/>
          </rPr>
          <t xml:space="preserve">Corresponde al valor proyectado al mes correspondiente en la distribución anual de la caracterización </t>
        </r>
      </text>
    </comment>
    <comment ref="BL7" authorId="0">
      <text>
        <r>
          <rPr>
            <sz val="9"/>
            <color indexed="81"/>
            <rFont val="Tahoma"/>
            <family val="2"/>
          </rPr>
          <t>Se registra el valor de la meta ejecutada sobre el valor de la meta proyectada</t>
        </r>
      </text>
    </comment>
    <comment ref="BM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0">
      <text>
        <r>
          <rPr>
            <sz val="9"/>
            <color indexed="81"/>
            <rFont val="Tahoma"/>
            <family val="2"/>
          </rPr>
          <t>Registrar la cantidad o % ejecutada en el mes (de acuerdo a la fórmula del Indicador)</t>
        </r>
      </text>
    </comment>
    <comment ref="BO7" authorId="0">
      <text>
        <r>
          <rPr>
            <sz val="9"/>
            <color indexed="81"/>
            <rFont val="Tahoma"/>
            <family val="2"/>
          </rPr>
          <t>Registrar la cantidad o % del denominador programado en el mes (de acuerdo a la fórmula del Indicador)</t>
        </r>
      </text>
    </comment>
    <comment ref="BP7" authorId="0">
      <text>
        <r>
          <rPr>
            <sz val="9"/>
            <color indexed="81"/>
            <rFont val="Tahoma"/>
            <family val="2"/>
          </rPr>
          <t>Es la relación del Numerador sobre el denominador.
Si su fúmula no contiene un denominado, escribir en este campo "1 (uno)"</t>
        </r>
      </text>
    </comment>
    <comment ref="BQ7" authorId="0">
      <text>
        <r>
          <rPr>
            <sz val="9"/>
            <color indexed="81"/>
            <rFont val="Tahoma"/>
            <family val="2"/>
          </rPr>
          <t xml:space="preserve">Corresponde al valor proyectado al mes correspondiente en la distribución anual de la caracterización </t>
        </r>
      </text>
    </comment>
    <comment ref="BR7" authorId="0">
      <text>
        <r>
          <rPr>
            <sz val="9"/>
            <color indexed="81"/>
            <rFont val="Tahoma"/>
            <family val="2"/>
          </rPr>
          <t>Se registra el valor de la meta ejecutada sobre el valor de la meta proyectada</t>
        </r>
      </text>
    </comment>
    <comment ref="BS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0">
      <text>
        <r>
          <rPr>
            <sz val="9"/>
            <color indexed="81"/>
            <rFont val="Tahoma"/>
            <family val="2"/>
          </rPr>
          <t>Registrar la cantidad o % ejecutada en el mes (de acuerdo a la fórmula del Indicador)</t>
        </r>
      </text>
    </comment>
    <comment ref="BU7" authorId="0">
      <text>
        <r>
          <rPr>
            <sz val="9"/>
            <color indexed="81"/>
            <rFont val="Tahoma"/>
            <family val="2"/>
          </rPr>
          <t>Registrar la cantidad o % del denominador programado en el mes (de acuerdo a la fórmula del Indicador)</t>
        </r>
      </text>
    </comment>
    <comment ref="BV7" authorId="0">
      <text>
        <r>
          <rPr>
            <sz val="9"/>
            <color indexed="81"/>
            <rFont val="Tahoma"/>
            <family val="2"/>
          </rPr>
          <t>Es la relación del Numerador sobre el denominador.
Si su fúmula no contiene un denominado, escribir en este campo "1 (uno)"</t>
        </r>
      </text>
    </comment>
    <comment ref="BW7" authorId="0">
      <text>
        <r>
          <rPr>
            <sz val="9"/>
            <color indexed="81"/>
            <rFont val="Tahoma"/>
            <family val="2"/>
          </rPr>
          <t xml:space="preserve">Corresponde al valor proyectado al mes correspondiente en la distribución anual de la caracterización </t>
        </r>
      </text>
    </comment>
    <comment ref="BX7" authorId="0">
      <text>
        <r>
          <rPr>
            <sz val="9"/>
            <color indexed="81"/>
            <rFont val="Tahoma"/>
            <family val="2"/>
          </rPr>
          <t>Se registra el valor de la meta ejecutada sobre el valor de la meta proyectada</t>
        </r>
      </text>
    </comment>
    <comment ref="BY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0">
      <text>
        <r>
          <rPr>
            <sz val="9"/>
            <color indexed="81"/>
            <rFont val="Tahoma"/>
            <family val="2"/>
          </rPr>
          <t>Registrar la cantidad o % ejecutada en el mes (de acuerdo a la fórmula del Indicador)</t>
        </r>
      </text>
    </comment>
    <comment ref="CA7" authorId="0">
      <text>
        <r>
          <rPr>
            <sz val="9"/>
            <color indexed="81"/>
            <rFont val="Tahoma"/>
            <family val="2"/>
          </rPr>
          <t>Registrar la cantidad o % del denominador programado en el mes (de acuerdo a la fórmula del Indicador)</t>
        </r>
      </text>
    </comment>
    <comment ref="CB7" authorId="0">
      <text>
        <r>
          <rPr>
            <sz val="9"/>
            <color indexed="81"/>
            <rFont val="Tahoma"/>
            <family val="2"/>
          </rPr>
          <t>Es la relación del Numerador sobre el denominador.
Si su fúmula no contiene un denominado, escribir en este campo "1 (uno)"</t>
        </r>
      </text>
    </comment>
    <comment ref="CC7" authorId="0">
      <text>
        <r>
          <rPr>
            <sz val="9"/>
            <color indexed="81"/>
            <rFont val="Tahoma"/>
            <family val="2"/>
          </rPr>
          <t xml:space="preserve">Corresponde al valor proyectado al mes correspondiente en la distribución anual de la caracterización </t>
        </r>
      </text>
    </comment>
    <comment ref="CD7" authorId="0">
      <text>
        <r>
          <rPr>
            <sz val="9"/>
            <color indexed="81"/>
            <rFont val="Tahoma"/>
            <family val="2"/>
          </rPr>
          <t>Se registra el valor de la meta ejecutada sobre el valor de la meta proyectada</t>
        </r>
      </text>
    </comment>
    <comment ref="CE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0">
      <text>
        <r>
          <rPr>
            <sz val="9"/>
            <color indexed="81"/>
            <rFont val="Tahoma"/>
            <family val="2"/>
          </rPr>
          <t>Registrar la cantidad o % ejecutada en el mes (de acuerdo a la fórmula del Indicador)</t>
        </r>
      </text>
    </comment>
    <comment ref="CG7" authorId="0">
      <text>
        <r>
          <rPr>
            <sz val="9"/>
            <color indexed="81"/>
            <rFont val="Tahoma"/>
            <family val="2"/>
          </rPr>
          <t>Registrar la cantidad o % del denominador programado en el mes (de acuerdo a la fórmula del Indicador)</t>
        </r>
      </text>
    </comment>
    <comment ref="CH7" authorId="0">
      <text>
        <r>
          <rPr>
            <sz val="9"/>
            <color indexed="81"/>
            <rFont val="Tahoma"/>
            <family val="2"/>
          </rPr>
          <t>Es la relación del Numerador sobre el denominador.
Si su fúmula no contiene un denominado, escribir en este campo "1 (uno)"</t>
        </r>
      </text>
    </comment>
    <comment ref="CI7" authorId="0">
      <text>
        <r>
          <rPr>
            <sz val="9"/>
            <color indexed="81"/>
            <rFont val="Tahoma"/>
            <family val="2"/>
          </rPr>
          <t xml:space="preserve">Corresponde al valor proyectado al mes correspondiente en la distribución anual de la caracterización </t>
        </r>
      </text>
    </comment>
    <comment ref="CJ7" authorId="0">
      <text>
        <r>
          <rPr>
            <sz val="9"/>
            <color indexed="81"/>
            <rFont val="Tahoma"/>
            <family val="2"/>
          </rPr>
          <t>Se registra el valor de la meta ejecutada sobre el valor de la meta proyectada</t>
        </r>
      </text>
    </comment>
    <comment ref="CK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0">
      <text>
        <r>
          <rPr>
            <sz val="9"/>
            <color indexed="81"/>
            <rFont val="Tahoma"/>
            <family val="2"/>
          </rPr>
          <t>Registrar la cantidad o % ejecutada en el mes (de acuerdo a la fórmula del Indicador)</t>
        </r>
      </text>
    </comment>
    <comment ref="CM7" authorId="0">
      <text>
        <r>
          <rPr>
            <sz val="9"/>
            <color indexed="81"/>
            <rFont val="Tahoma"/>
            <family val="2"/>
          </rPr>
          <t>Registrar la cantidad o % del denominador programado en el mes (de acuerdo a la fórmula del Indicador)</t>
        </r>
      </text>
    </comment>
    <comment ref="CN7" authorId="0">
      <text>
        <r>
          <rPr>
            <sz val="9"/>
            <color indexed="81"/>
            <rFont val="Tahoma"/>
            <family val="2"/>
          </rPr>
          <t>Es la relación del Numerador sobre el denominador.
Si su fúmula no contiene un denominado, escribir en este campo "1 (uno)"</t>
        </r>
      </text>
    </comment>
    <comment ref="CO7" authorId="0">
      <text>
        <r>
          <rPr>
            <sz val="9"/>
            <color indexed="81"/>
            <rFont val="Tahoma"/>
            <family val="2"/>
          </rPr>
          <t xml:space="preserve">Corresponde al valor proyectado al mes correspondiente en la distribución anual de la caracterización </t>
        </r>
      </text>
    </comment>
    <comment ref="CP7" authorId="0">
      <text>
        <r>
          <rPr>
            <sz val="9"/>
            <color indexed="81"/>
            <rFont val="Tahoma"/>
            <family val="2"/>
          </rPr>
          <t>Se registra el valor de la meta ejecutada sobre el valor de la meta proyectada</t>
        </r>
      </text>
    </comment>
    <comment ref="CQ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0">
      <text>
        <r>
          <rPr>
            <sz val="9"/>
            <color indexed="81"/>
            <rFont val="Tahoma"/>
            <family val="2"/>
          </rPr>
          <t>Registrar la cantidad o % ejecutada(o) acumulada(o) (de acuerdo a la fórmula del Indicador)</t>
        </r>
      </text>
    </comment>
    <comment ref="CS7" authorId="0">
      <text>
        <r>
          <rPr>
            <sz val="9"/>
            <color indexed="81"/>
            <rFont val="Tahoma"/>
            <family val="2"/>
          </rPr>
          <t>Registrar la cantidad o % del denominador programada(o) acumulado (de acuerdo a la fórmula del Indicador)</t>
        </r>
      </text>
    </comment>
    <comment ref="CT7" authorId="0">
      <text>
        <r>
          <rPr>
            <sz val="9"/>
            <color indexed="81"/>
            <rFont val="Tahoma"/>
            <family val="2"/>
          </rPr>
          <t>Es la relación del Numerador sobre el denominador.
Si su fúmula no contiene un denominado, escribir en este campo "1 (uno)"</t>
        </r>
      </text>
    </comment>
    <comment ref="CU7" authorId="0">
      <text>
        <r>
          <rPr>
            <sz val="9"/>
            <color indexed="81"/>
            <rFont val="Tahoma"/>
            <family val="2"/>
          </rPr>
          <t xml:space="preserve">Corresponde al valor de la meta proyectada al año correspondiente a lo establecido en la caracterización </t>
        </r>
      </text>
    </comment>
    <comment ref="CV7" authorId="0">
      <text>
        <r>
          <rPr>
            <sz val="9"/>
            <color indexed="81"/>
            <rFont val="Tahoma"/>
            <family val="2"/>
          </rPr>
          <t>Se registra el valor de la meta ejecutada sobre el valor de la meta proyectada</t>
        </r>
      </text>
    </comment>
    <comment ref="CW7" authorId="0">
      <text>
        <r>
          <rPr>
            <sz val="9"/>
            <color indexed="81"/>
            <rFont val="Tahoma"/>
            <family val="2"/>
          </rPr>
          <t>Justifique el resultado de la meta ejecutada acumulada y la comparación entre la meta proyectada acumulada.</t>
        </r>
      </text>
    </comment>
    <comment ref="D21" authorId="0">
      <text>
        <r>
          <rPr>
            <sz val="8"/>
            <color indexed="81"/>
            <rFont val="Tahoma"/>
            <family val="2"/>
          </rPr>
          <t>El términos "Documentos del SIG" hace referencia a manuales, procedimientos, formatos, instructivos, guías en cada uno de los procesos</t>
        </r>
      </text>
    </comment>
    <comment ref="W21" authorId="1">
      <text>
        <r>
          <rPr>
            <sz val="9"/>
            <color indexed="81"/>
            <rFont val="Tahoma"/>
            <family val="2"/>
          </rPr>
          <t xml:space="preserve">
Usuario encargado:
OAP - John Quiroga
         Carlos Campos </t>
        </r>
      </text>
    </comment>
  </commentList>
</comments>
</file>

<file path=xl/comments27.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6" authorId="1">
      <text>
        <r>
          <rPr>
            <sz val="8"/>
            <color indexed="81"/>
            <rFont val="Tahoma"/>
            <family val="2"/>
          </rPr>
          <t>El términos "Documentos del SIG" hace referencia a manuales, procedimientos, formatos, instructivos, guías en cada uno de los procesos</t>
        </r>
      </text>
    </comment>
    <comment ref="W16" authorId="0">
      <text>
        <r>
          <rPr>
            <sz val="9"/>
            <color indexed="81"/>
            <rFont val="Tahoma"/>
            <family val="2"/>
          </rPr>
          <t xml:space="preserve">
Usuario encargado:
OAP - John Quiroga
         Carlos Campos </t>
        </r>
      </text>
    </comment>
    <comment ref="W17" authorId="0">
      <text>
        <r>
          <rPr>
            <sz val="9"/>
            <color indexed="81"/>
            <rFont val="Tahoma"/>
            <family val="2"/>
          </rPr>
          <t xml:space="preserve">
Usuario encargado:
OCI - Camilo Barajas </t>
        </r>
      </text>
    </comment>
    <comment ref="W18" authorId="0">
      <text>
        <r>
          <rPr>
            <sz val="9"/>
            <color indexed="81"/>
            <rFont val="Tahoma"/>
            <family val="2"/>
          </rPr>
          <t xml:space="preserve">
usuario encargado:
OCI - wilson Herrera
</t>
        </r>
      </text>
    </comment>
    <comment ref="W19" authorId="0">
      <text>
        <r>
          <rPr>
            <sz val="9"/>
            <color indexed="81"/>
            <rFont val="Tahoma"/>
            <family val="2"/>
          </rPr>
          <t xml:space="preserve">
Usuario encargado 
DTGC - Johana lamilla Sanchez
John Herry Cueca
</t>
        </r>
      </text>
    </comment>
  </commentList>
</comments>
</file>

<file path=xl/comments28.xml><?xml version="1.0" encoding="utf-8"?>
<comments xmlns="http://schemas.openxmlformats.org/spreadsheetml/2006/main">
  <authors>
    <author>John Alexander Quiroga Fuquene</author>
  </authors>
  <commentList>
    <comment ref="G6" authorId="0">
      <text>
        <r>
          <rPr>
            <b/>
            <sz val="9"/>
            <color indexed="81"/>
            <rFont val="Tahoma"/>
            <family val="2"/>
          </rPr>
          <t>De:
Eficacia
Eficiencia
Efectividad</t>
        </r>
      </text>
    </comment>
    <comment ref="V7" authorId="0">
      <text>
        <r>
          <rPr>
            <sz val="9"/>
            <color indexed="81"/>
            <rFont val="Tahoma"/>
            <family val="2"/>
          </rPr>
          <t>Registrar la cantidad o % ejecutada en el mes (de acuerdo a la fórmula del Indicador)</t>
        </r>
      </text>
    </comment>
    <comment ref="W7" authorId="0">
      <text>
        <r>
          <rPr>
            <sz val="9"/>
            <color indexed="81"/>
            <rFont val="Tahoma"/>
            <family val="2"/>
          </rPr>
          <t>Registrar la cantidad o % del denominador programado en el mes (de acuerdo a la fórmula del Indicador)</t>
        </r>
      </text>
    </comment>
    <comment ref="X7" authorId="0">
      <text>
        <r>
          <rPr>
            <sz val="9"/>
            <color indexed="81"/>
            <rFont val="Tahoma"/>
            <family val="2"/>
          </rPr>
          <t>Es la relación del Numerador sobre el denominador.
Si su fúmula no contiene un denominado, escribir en este campo "1 (uno)"</t>
        </r>
      </text>
    </comment>
    <comment ref="Y7" authorId="0">
      <text>
        <r>
          <rPr>
            <sz val="9"/>
            <color indexed="81"/>
            <rFont val="Tahoma"/>
            <family val="2"/>
          </rPr>
          <t xml:space="preserve">Corresponde al valor proyectado al mes correspondiente en la distribución anual de la caracterización </t>
        </r>
      </text>
    </comment>
    <comment ref="Z7" authorId="0">
      <text>
        <r>
          <rPr>
            <sz val="9"/>
            <color indexed="81"/>
            <rFont val="Tahoma"/>
            <family val="2"/>
          </rPr>
          <t>Se registra el valor de la meta ejecutada sobre el valor de la meta proyectada</t>
        </r>
      </text>
    </comment>
    <comment ref="AA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B7" authorId="0">
      <text>
        <r>
          <rPr>
            <sz val="9"/>
            <color indexed="81"/>
            <rFont val="Tahoma"/>
            <family val="2"/>
          </rPr>
          <t>Registrar la cantidad o % ejecutada en el mes (de acuerdo a la fórmula del Indicador)</t>
        </r>
      </text>
    </comment>
    <comment ref="AC7" authorId="0">
      <text>
        <r>
          <rPr>
            <sz val="9"/>
            <color indexed="81"/>
            <rFont val="Tahoma"/>
            <family val="2"/>
          </rPr>
          <t>Registrar la cantidad o % del denominador programado en el mes (de acuerdo a la fórmula del Indicador)</t>
        </r>
      </text>
    </comment>
    <comment ref="AD7" authorId="0">
      <text>
        <r>
          <rPr>
            <sz val="9"/>
            <color indexed="81"/>
            <rFont val="Tahoma"/>
            <family val="2"/>
          </rPr>
          <t>Es la relación del Numerador sobre el denominador.
Si su fúmula no contiene un denominado, escribir en este campo "1 (uno)"</t>
        </r>
      </text>
    </comment>
    <comment ref="AE7" authorId="0">
      <text>
        <r>
          <rPr>
            <sz val="9"/>
            <color indexed="81"/>
            <rFont val="Tahoma"/>
            <family val="2"/>
          </rPr>
          <t xml:space="preserve">Corresponde al valor proyectado al mes correspondiente en la distribución anual de la caracterización </t>
        </r>
      </text>
    </comment>
    <comment ref="AF7" authorId="0">
      <text>
        <r>
          <rPr>
            <sz val="9"/>
            <color indexed="81"/>
            <rFont val="Tahoma"/>
            <family val="2"/>
          </rPr>
          <t>Se registra el valor de la meta ejecutada sobre el valor de la meta proyectada</t>
        </r>
      </text>
    </comment>
    <comment ref="AG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H7" authorId="0">
      <text>
        <r>
          <rPr>
            <sz val="9"/>
            <color indexed="81"/>
            <rFont val="Tahoma"/>
            <family val="2"/>
          </rPr>
          <t>Registrar la cantidad o % ejecutada en el mes (de acuerdo a la fórmula del Indicador)</t>
        </r>
      </text>
    </comment>
    <comment ref="AI7" authorId="0">
      <text>
        <r>
          <rPr>
            <sz val="9"/>
            <color indexed="81"/>
            <rFont val="Tahoma"/>
            <family val="2"/>
          </rPr>
          <t>Registrar la cantidad o % del denominador programado en el mes (de acuerdo a la fórmula del Indicador)</t>
        </r>
      </text>
    </comment>
    <comment ref="AJ7" authorId="0">
      <text>
        <r>
          <rPr>
            <sz val="9"/>
            <color indexed="81"/>
            <rFont val="Tahoma"/>
            <family val="2"/>
          </rPr>
          <t>Es la relación del Numerador sobre el denominador.
Si su fúmula no contiene un denominado, escribir en este campo "1 (uno)"</t>
        </r>
      </text>
    </comment>
    <comment ref="AK7" authorId="0">
      <text>
        <r>
          <rPr>
            <sz val="9"/>
            <color indexed="81"/>
            <rFont val="Tahoma"/>
            <family val="2"/>
          </rPr>
          <t xml:space="preserve">Corresponde al valor proyectado al mes correspondiente en la distribución anual de la caracterización </t>
        </r>
      </text>
    </comment>
    <comment ref="AL7" authorId="0">
      <text>
        <r>
          <rPr>
            <sz val="9"/>
            <color indexed="81"/>
            <rFont val="Tahoma"/>
            <family val="2"/>
          </rPr>
          <t>Se registra el valor de la meta ejecutada sobre el valor de la meta proyectada</t>
        </r>
      </text>
    </comment>
    <comment ref="AM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N7" authorId="0">
      <text>
        <r>
          <rPr>
            <sz val="9"/>
            <color indexed="81"/>
            <rFont val="Tahoma"/>
            <family val="2"/>
          </rPr>
          <t>Registrar la cantidad o % ejecutada en el mes (de acuerdo a la fórmula del Indicador)</t>
        </r>
      </text>
    </comment>
    <comment ref="AO7" authorId="0">
      <text>
        <r>
          <rPr>
            <sz val="9"/>
            <color indexed="81"/>
            <rFont val="Tahoma"/>
            <family val="2"/>
          </rPr>
          <t>Registrar la cantidad o % del denominador programado en el mes (de acuerdo a la fórmula del Indicador)</t>
        </r>
      </text>
    </comment>
    <comment ref="AP7" authorId="0">
      <text>
        <r>
          <rPr>
            <sz val="9"/>
            <color indexed="81"/>
            <rFont val="Tahoma"/>
            <family val="2"/>
          </rPr>
          <t>Es la relación del Numerador sobre el denominador.
Si su fúmula no contiene un denominado, escribir en este campo "1 (uno)"</t>
        </r>
      </text>
    </comment>
    <comment ref="AQ7" authorId="0">
      <text>
        <r>
          <rPr>
            <sz val="9"/>
            <color indexed="81"/>
            <rFont val="Tahoma"/>
            <family val="2"/>
          </rPr>
          <t xml:space="preserve">Corresponde al valor proyectado al mes correspondiente en la distribución anual de la caracterización </t>
        </r>
      </text>
    </comment>
    <comment ref="AR7" authorId="0">
      <text>
        <r>
          <rPr>
            <sz val="9"/>
            <color indexed="81"/>
            <rFont val="Tahoma"/>
            <family val="2"/>
          </rPr>
          <t>Se registra el valor de la meta ejecutada sobre el valor de la meta proyectada</t>
        </r>
      </text>
    </comment>
    <comment ref="AS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T7" authorId="0">
      <text>
        <r>
          <rPr>
            <sz val="9"/>
            <color indexed="81"/>
            <rFont val="Tahoma"/>
            <family val="2"/>
          </rPr>
          <t>Registrar la cantidad o % ejecutada en el mes (de acuerdo a la fórmula del Indicador)</t>
        </r>
      </text>
    </comment>
    <comment ref="AU7" authorId="0">
      <text>
        <r>
          <rPr>
            <sz val="9"/>
            <color indexed="81"/>
            <rFont val="Tahoma"/>
            <family val="2"/>
          </rPr>
          <t>Registrar la cantidad o % del denominador programado en el mes (de acuerdo a la fórmula del Indicador)</t>
        </r>
      </text>
    </comment>
    <comment ref="AV7" authorId="0">
      <text>
        <r>
          <rPr>
            <sz val="9"/>
            <color indexed="81"/>
            <rFont val="Tahoma"/>
            <family val="2"/>
          </rPr>
          <t>Es la relación del Numerador sobre el denominador.
Si su fúmula no contiene un denominado, escribir en este campo "1 (uno)"</t>
        </r>
      </text>
    </comment>
    <comment ref="AW7" authorId="0">
      <text>
        <r>
          <rPr>
            <sz val="9"/>
            <color indexed="81"/>
            <rFont val="Tahoma"/>
            <family val="2"/>
          </rPr>
          <t xml:space="preserve">Corresponde al valor proyectado al mes correspondiente en la distribución anual de la caracterización </t>
        </r>
      </text>
    </comment>
    <comment ref="AX7" authorId="0">
      <text>
        <r>
          <rPr>
            <sz val="9"/>
            <color indexed="81"/>
            <rFont val="Tahoma"/>
            <family val="2"/>
          </rPr>
          <t>Se registra el valor de la meta ejecutada sobre el valor de la meta proyectada</t>
        </r>
      </text>
    </comment>
    <comment ref="AY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Z7" authorId="0">
      <text>
        <r>
          <rPr>
            <sz val="9"/>
            <color indexed="81"/>
            <rFont val="Tahoma"/>
            <family val="2"/>
          </rPr>
          <t>Registrar la cantidad o % ejecutada en el mes (de acuerdo a la fórmula del Indicador)</t>
        </r>
      </text>
    </comment>
    <comment ref="BA7" authorId="0">
      <text>
        <r>
          <rPr>
            <sz val="9"/>
            <color indexed="81"/>
            <rFont val="Tahoma"/>
            <family val="2"/>
          </rPr>
          <t>Registrar la cantidad o % del denominador programado en el mes (de acuerdo a la fórmula del Indicador)</t>
        </r>
      </text>
    </comment>
    <comment ref="BB7" authorId="0">
      <text>
        <r>
          <rPr>
            <sz val="9"/>
            <color indexed="81"/>
            <rFont val="Tahoma"/>
            <family val="2"/>
          </rPr>
          <t>Es la relación del Numerador sobre el denominador.
Si su fúmula no contiene un denominado, escribir en este campo "1 (uno)"</t>
        </r>
      </text>
    </comment>
    <comment ref="BC7" authorId="0">
      <text>
        <r>
          <rPr>
            <sz val="9"/>
            <color indexed="81"/>
            <rFont val="Tahoma"/>
            <family val="2"/>
          </rPr>
          <t xml:space="preserve">Corresponde al valor proyectado al mes correspondiente en la distribución anual de la caracterización </t>
        </r>
      </text>
    </comment>
    <comment ref="BD7" authorId="0">
      <text>
        <r>
          <rPr>
            <sz val="9"/>
            <color indexed="81"/>
            <rFont val="Tahoma"/>
            <family val="2"/>
          </rPr>
          <t>Se registra el valor de la meta ejecutada sobre el valor de la meta proyectada</t>
        </r>
      </text>
    </comment>
    <comment ref="BE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F7" authorId="0">
      <text>
        <r>
          <rPr>
            <sz val="9"/>
            <color indexed="81"/>
            <rFont val="Tahoma"/>
            <family val="2"/>
          </rPr>
          <t>Registrar la cantidad o % ejecutada(o) acumulada(o) (de acuerdo a la fórmula del Indicador)</t>
        </r>
      </text>
    </comment>
    <comment ref="BG7" authorId="0">
      <text>
        <r>
          <rPr>
            <sz val="9"/>
            <color indexed="81"/>
            <rFont val="Tahoma"/>
            <family val="2"/>
          </rPr>
          <t>Registrar la cantidad o % del denominador programada(o) acumulado (de acuerdo a la fórmula del Indicador)</t>
        </r>
      </text>
    </comment>
    <comment ref="BH7" authorId="0">
      <text>
        <r>
          <rPr>
            <sz val="9"/>
            <color indexed="81"/>
            <rFont val="Tahoma"/>
            <family val="2"/>
          </rPr>
          <t>Es la relación del Numerador sobre el denominador.
Si su fúmula no contiene un denominado, escribir en este campo "1 (uno)"</t>
        </r>
      </text>
    </comment>
    <comment ref="BI7" authorId="0">
      <text>
        <r>
          <rPr>
            <sz val="9"/>
            <color indexed="81"/>
            <rFont val="Tahoma"/>
            <family val="2"/>
          </rPr>
          <t xml:space="preserve">Corresponde al valor de la meta proyectada al año correspondiente a lo establecido en la caracterización </t>
        </r>
      </text>
    </comment>
    <comment ref="BJ7" authorId="0">
      <text>
        <r>
          <rPr>
            <sz val="9"/>
            <color indexed="81"/>
            <rFont val="Tahoma"/>
            <family val="2"/>
          </rPr>
          <t>Se registra el valor de la meta ejecutada sobre el valor de la meta proyectada</t>
        </r>
      </text>
    </comment>
    <comment ref="BK7" authorId="0">
      <text>
        <r>
          <rPr>
            <sz val="9"/>
            <color indexed="81"/>
            <rFont val="Tahoma"/>
            <family val="2"/>
          </rPr>
          <t>Justifique el resultado de la meta ejecutada acumulada y la comparación entre la meta proyectada acumulada.</t>
        </r>
      </text>
    </comment>
    <comment ref="D15" authorId="0">
      <text>
        <r>
          <rPr>
            <sz val="8"/>
            <color indexed="81"/>
            <rFont val="Tahoma"/>
            <family val="2"/>
          </rPr>
          <t>El términos "Documentos del SIG" hace referencia a manuales, procedimientos, formatos, instructivos, guías en cada uno de los procesos</t>
        </r>
      </text>
    </comment>
  </commentList>
</comments>
</file>

<file path=xl/comments29.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24" authorId="1">
      <text>
        <r>
          <rPr>
            <sz val="8"/>
            <color indexed="81"/>
            <rFont val="Tahoma"/>
            <family val="2"/>
          </rPr>
          <t>El términos "Documentos del SIG" hace referencia a manuales, procedimientos, formatos, instructivos, guías en cada uno de los procesos</t>
        </r>
      </text>
    </comment>
    <comment ref="W24" authorId="0">
      <text>
        <r>
          <rPr>
            <sz val="9"/>
            <color indexed="81"/>
            <rFont val="Tahoma"/>
            <family val="2"/>
          </rPr>
          <t xml:space="preserve">
Usuario encargado:
OAP - John Quiroga
         Carlos Campos </t>
        </r>
      </text>
    </comment>
    <comment ref="W25" authorId="0">
      <text>
        <r>
          <rPr>
            <sz val="9"/>
            <color indexed="81"/>
            <rFont val="Tahoma"/>
            <family val="2"/>
          </rPr>
          <t xml:space="preserve">
Usuario encargado:
OCI - Camilo Barajas </t>
        </r>
      </text>
    </comment>
    <comment ref="W26" authorId="0">
      <text>
        <r>
          <rPr>
            <sz val="9"/>
            <color indexed="81"/>
            <rFont val="Tahoma"/>
            <family val="2"/>
          </rPr>
          <t xml:space="preserve">
usuario encargado:
OCI - wilson Herrera
</t>
        </r>
      </text>
    </comment>
    <comment ref="W29" authorId="0">
      <text>
        <r>
          <rPr>
            <sz val="9"/>
            <color indexed="81"/>
            <rFont val="Tahoma"/>
            <family val="2"/>
          </rPr>
          <t xml:space="preserve">
Usuario encargado 
DTGC - Johana lamilla Sanchez
John Herry Cueca
</t>
        </r>
      </text>
    </comment>
  </commentList>
</comments>
</file>

<file path=xl/comments3.xml><?xml version="1.0" encoding="utf-8"?>
<comments xmlns="http://schemas.openxmlformats.org/spreadsheetml/2006/main">
  <authors>
    <author>pavel pinto</author>
    <author>John Alexander Quiroga Fuquene</author>
  </authors>
  <commentList>
    <comment ref="B6" authorId="0">
      <text>
        <r>
          <rPr>
            <sz val="9"/>
            <color indexed="81"/>
            <rFont val="Tahoma"/>
            <family val="2"/>
          </rPr>
          <t>SIGLA DEL ÁREA-CONSECUTIVO</t>
        </r>
      </text>
    </comment>
    <comment ref="F6" authorId="1">
      <text>
        <r>
          <rPr>
            <b/>
            <sz val="9"/>
            <color indexed="81"/>
            <rFont val="Tahoma"/>
            <family val="2"/>
          </rPr>
          <t>De:
Eficacia
Eficiencia
Efectividad</t>
        </r>
      </text>
    </comment>
    <comment ref="W7" authorId="1">
      <text>
        <r>
          <rPr>
            <sz val="9"/>
            <color indexed="81"/>
            <rFont val="Tahoma"/>
            <family val="2"/>
          </rPr>
          <t>Registrar la cantidad o % ejecutada en el mes (de acuerdo a la fórmula del Indicador)</t>
        </r>
      </text>
    </comment>
    <comment ref="X7" authorId="1">
      <text>
        <r>
          <rPr>
            <sz val="9"/>
            <color indexed="81"/>
            <rFont val="Tahoma"/>
            <family val="2"/>
          </rPr>
          <t>Registrar la cantidad o % del denominador programado en el mes (de acuerdo a la fórmula del Indicador)</t>
        </r>
      </text>
    </comment>
    <comment ref="Y7" authorId="1">
      <text>
        <r>
          <rPr>
            <sz val="9"/>
            <color indexed="81"/>
            <rFont val="Tahoma"/>
            <family val="2"/>
          </rPr>
          <t>Es la relación del Numerador sobre el denominador.
Si su fúmula no contiene un denominado, escribir en este campo "1 (uno)"</t>
        </r>
      </text>
    </comment>
    <comment ref="Z7" authorId="1">
      <text>
        <r>
          <rPr>
            <sz val="9"/>
            <color indexed="81"/>
            <rFont val="Tahoma"/>
            <family val="2"/>
          </rPr>
          <t xml:space="preserve">Corresponde al valor proyectado al mes correspondiente en la distribución anual de la caracterización </t>
        </r>
      </text>
    </comment>
    <comment ref="AA7" authorId="1">
      <text>
        <r>
          <rPr>
            <sz val="9"/>
            <color indexed="81"/>
            <rFont val="Tahoma"/>
            <family val="2"/>
          </rPr>
          <t>Se registra el valor de la meta ejecutada sobre el valor de la meta proyectada</t>
        </r>
      </text>
    </comment>
    <comment ref="AB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C7" authorId="1">
      <text>
        <r>
          <rPr>
            <sz val="9"/>
            <color indexed="81"/>
            <rFont val="Tahoma"/>
            <family val="2"/>
          </rPr>
          <t>Registrar la cantidad o % ejecutada en el mes (de acuerdo a la fórmula del Indicador)</t>
        </r>
      </text>
    </comment>
    <comment ref="AD7" authorId="1">
      <text>
        <r>
          <rPr>
            <sz val="9"/>
            <color indexed="81"/>
            <rFont val="Tahoma"/>
            <family val="2"/>
          </rPr>
          <t>Registrar la cantidad o % del denominador programado en el mes (de acuerdo a la fórmula del Indicador)</t>
        </r>
      </text>
    </comment>
    <comment ref="AE7" authorId="1">
      <text>
        <r>
          <rPr>
            <sz val="9"/>
            <color indexed="81"/>
            <rFont val="Tahoma"/>
            <family val="2"/>
          </rPr>
          <t>Es la relación del Numerador sobre el denominador.
Si su fúmula no contiene un denominado, escribir en este campo "1 (uno)"</t>
        </r>
      </text>
    </comment>
    <comment ref="AF7" authorId="1">
      <text>
        <r>
          <rPr>
            <sz val="9"/>
            <color indexed="81"/>
            <rFont val="Tahoma"/>
            <family val="2"/>
          </rPr>
          <t xml:space="preserve">Corresponde al valor proyectado al mes correspondiente en la distribución anual de la caracterización </t>
        </r>
      </text>
    </comment>
    <comment ref="AG7" authorId="1">
      <text>
        <r>
          <rPr>
            <sz val="9"/>
            <color indexed="81"/>
            <rFont val="Tahoma"/>
            <family val="2"/>
          </rPr>
          <t>Se registra el valor de la meta ejecutada sobre el valor de la meta proyectada</t>
        </r>
      </text>
    </comment>
    <comment ref="AH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I7" authorId="1">
      <text>
        <r>
          <rPr>
            <sz val="9"/>
            <color indexed="81"/>
            <rFont val="Tahoma"/>
            <family val="2"/>
          </rPr>
          <t>Registrar la cantidad o % ejecutada en el mes (de acuerdo a la fórmula del Indicador)</t>
        </r>
      </text>
    </comment>
    <comment ref="AJ7" authorId="1">
      <text>
        <r>
          <rPr>
            <sz val="9"/>
            <color indexed="81"/>
            <rFont val="Tahoma"/>
            <family val="2"/>
          </rPr>
          <t>Registrar la cantidad o % del denominador programado en el mes (de acuerdo a la fórmula del Indicador)</t>
        </r>
      </text>
    </comment>
    <comment ref="AK7" authorId="1">
      <text>
        <r>
          <rPr>
            <sz val="9"/>
            <color indexed="81"/>
            <rFont val="Tahoma"/>
            <family val="2"/>
          </rPr>
          <t>Es la relación del Numerador sobre el denominador.
Si su fúmula no contiene un denominado, escribir en este campo "1 (uno)"</t>
        </r>
      </text>
    </comment>
    <comment ref="AL7" authorId="1">
      <text>
        <r>
          <rPr>
            <sz val="9"/>
            <color indexed="81"/>
            <rFont val="Tahoma"/>
            <family val="2"/>
          </rPr>
          <t xml:space="preserve">Corresponde al valor proyectado al mes correspondiente en la distribución anual de la caracterización </t>
        </r>
      </text>
    </comment>
    <comment ref="AM7" authorId="1">
      <text>
        <r>
          <rPr>
            <sz val="9"/>
            <color indexed="81"/>
            <rFont val="Tahoma"/>
            <family val="2"/>
          </rPr>
          <t>Se registra el valor de la meta ejecutada sobre el valor de la meta proyectada</t>
        </r>
      </text>
    </comment>
    <comment ref="AN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O7" authorId="1">
      <text>
        <r>
          <rPr>
            <sz val="9"/>
            <color indexed="81"/>
            <rFont val="Tahoma"/>
            <family val="2"/>
          </rPr>
          <t>Registrar la cantidad o % ejecutada en el mes (de acuerdo a la fórmula del Indicador)</t>
        </r>
      </text>
    </comment>
    <comment ref="AP7" authorId="1">
      <text>
        <r>
          <rPr>
            <sz val="9"/>
            <color indexed="81"/>
            <rFont val="Tahoma"/>
            <family val="2"/>
          </rPr>
          <t>Registrar la cantidad o % del denominador programado en el mes (de acuerdo a la fórmula del Indicador)</t>
        </r>
      </text>
    </comment>
    <comment ref="AQ7" authorId="1">
      <text>
        <r>
          <rPr>
            <sz val="9"/>
            <color indexed="81"/>
            <rFont val="Tahoma"/>
            <family val="2"/>
          </rPr>
          <t>Es la relación del Numerador sobre el denominador.
Si su fúmula no contiene un denominado, escribir en este campo "1 (uno)"</t>
        </r>
      </text>
    </comment>
    <comment ref="AR7" authorId="1">
      <text>
        <r>
          <rPr>
            <sz val="9"/>
            <color indexed="81"/>
            <rFont val="Tahoma"/>
            <family val="2"/>
          </rPr>
          <t xml:space="preserve">Corresponde al valor proyectado al mes correspondiente en la distribución anual de la caracterización </t>
        </r>
      </text>
    </comment>
    <comment ref="AS7" authorId="1">
      <text>
        <r>
          <rPr>
            <sz val="9"/>
            <color indexed="81"/>
            <rFont val="Tahoma"/>
            <family val="2"/>
          </rPr>
          <t>Se registra el valor de la meta ejecutada sobre el valor de la meta proyectada</t>
        </r>
      </text>
    </comment>
    <comment ref="AT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U7" authorId="1">
      <text>
        <r>
          <rPr>
            <sz val="9"/>
            <color indexed="81"/>
            <rFont val="Tahoma"/>
            <family val="2"/>
          </rPr>
          <t>Registrar la cantidad o % ejecutada en el mes (de acuerdo a la fórmula del Indicador)</t>
        </r>
      </text>
    </comment>
    <comment ref="AV7" authorId="1">
      <text>
        <r>
          <rPr>
            <sz val="9"/>
            <color indexed="81"/>
            <rFont val="Tahoma"/>
            <family val="2"/>
          </rPr>
          <t>Registrar la cantidad o % del denominador programado en el mes (de acuerdo a la fórmula del Indicador)</t>
        </r>
      </text>
    </comment>
    <comment ref="AW7" authorId="1">
      <text>
        <r>
          <rPr>
            <sz val="9"/>
            <color indexed="81"/>
            <rFont val="Tahoma"/>
            <family val="2"/>
          </rPr>
          <t>Es la relación del Numerador sobre el denominador.
Si su fúmula no contiene un denominado, escribir en este campo "1 (uno)"</t>
        </r>
      </text>
    </comment>
    <comment ref="AX7" authorId="1">
      <text>
        <r>
          <rPr>
            <sz val="9"/>
            <color indexed="81"/>
            <rFont val="Tahoma"/>
            <family val="2"/>
          </rPr>
          <t xml:space="preserve">Corresponde al valor proyectado al mes correspondiente en la distribución anual de la caracterización </t>
        </r>
      </text>
    </comment>
    <comment ref="AY7" authorId="1">
      <text>
        <r>
          <rPr>
            <sz val="9"/>
            <color indexed="81"/>
            <rFont val="Tahoma"/>
            <family val="2"/>
          </rPr>
          <t>Se registra el valor de la meta ejecutada sobre el valor de la meta proyectada</t>
        </r>
      </text>
    </comment>
    <comment ref="AZ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A7" authorId="1">
      <text>
        <r>
          <rPr>
            <sz val="9"/>
            <color indexed="81"/>
            <rFont val="Tahoma"/>
            <family val="2"/>
          </rPr>
          <t>Registrar la cantidad o % ejecutada en el mes (de acuerdo a la fórmula del Indicador)</t>
        </r>
      </text>
    </comment>
    <comment ref="BB7" authorId="1">
      <text>
        <r>
          <rPr>
            <sz val="9"/>
            <color indexed="81"/>
            <rFont val="Tahoma"/>
            <family val="2"/>
          </rPr>
          <t>Registrar la cantidad o % del denominador programado en el mes (de acuerdo a la fórmula del Indicador)</t>
        </r>
      </text>
    </comment>
    <comment ref="BC7" authorId="1">
      <text>
        <r>
          <rPr>
            <sz val="9"/>
            <color indexed="81"/>
            <rFont val="Tahoma"/>
            <family val="2"/>
          </rPr>
          <t>Es la relación del Numerador sobre el denominador.
Si su fúmula no contiene un denominado, escribir en este campo "1 (uno)"</t>
        </r>
      </text>
    </comment>
    <comment ref="BD7" authorId="1">
      <text>
        <r>
          <rPr>
            <sz val="9"/>
            <color indexed="81"/>
            <rFont val="Tahoma"/>
            <family val="2"/>
          </rPr>
          <t xml:space="preserve">Corresponde al valor proyectado al mes correspondiente en la distribución anual de la caracterización </t>
        </r>
      </text>
    </comment>
    <comment ref="BE7" authorId="1">
      <text>
        <r>
          <rPr>
            <sz val="9"/>
            <color indexed="81"/>
            <rFont val="Tahoma"/>
            <family val="2"/>
          </rPr>
          <t>Se registra el valor de la meta ejecutada sobre el valor de la meta proyectada</t>
        </r>
      </text>
    </comment>
    <comment ref="BF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G7" authorId="1">
      <text>
        <r>
          <rPr>
            <sz val="9"/>
            <color indexed="81"/>
            <rFont val="Tahoma"/>
            <family val="2"/>
          </rPr>
          <t>Registrar la cantidad o % ejecutada en el mes (de acuerdo a la fórmula del Indicador)</t>
        </r>
      </text>
    </comment>
    <comment ref="BH7" authorId="1">
      <text>
        <r>
          <rPr>
            <sz val="9"/>
            <color indexed="81"/>
            <rFont val="Tahoma"/>
            <family val="2"/>
          </rPr>
          <t>Registrar la cantidad o % del denominador programado en el mes (de acuerdo a la fórmula del Indicador)</t>
        </r>
      </text>
    </comment>
    <comment ref="BI7" authorId="1">
      <text>
        <r>
          <rPr>
            <sz val="9"/>
            <color indexed="81"/>
            <rFont val="Tahoma"/>
            <family val="2"/>
          </rPr>
          <t>Es la relación del Numerador sobre el denominador.
Si su fúmula no contiene un denominado, escribir en este campo "1 (uno)"</t>
        </r>
      </text>
    </comment>
    <comment ref="BJ7" authorId="1">
      <text>
        <r>
          <rPr>
            <sz val="9"/>
            <color indexed="81"/>
            <rFont val="Tahoma"/>
            <family val="2"/>
          </rPr>
          <t xml:space="preserve">Corresponde al valor proyectado al mes correspondiente en la distribución anual de la caracterización </t>
        </r>
      </text>
    </comment>
    <comment ref="BK7" authorId="1">
      <text>
        <r>
          <rPr>
            <sz val="9"/>
            <color indexed="81"/>
            <rFont val="Tahoma"/>
            <family val="2"/>
          </rPr>
          <t>Se registra el valor de la meta ejecutada sobre el valor de la meta proyectada</t>
        </r>
      </text>
    </comment>
    <comment ref="BL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M7" authorId="1">
      <text>
        <r>
          <rPr>
            <sz val="9"/>
            <color indexed="81"/>
            <rFont val="Tahoma"/>
            <family val="2"/>
          </rPr>
          <t>Registrar la cantidad o % ejecutada en el mes (de acuerdo a la fórmula del Indicador)</t>
        </r>
      </text>
    </comment>
    <comment ref="BN7" authorId="1">
      <text>
        <r>
          <rPr>
            <sz val="9"/>
            <color indexed="81"/>
            <rFont val="Tahoma"/>
            <family val="2"/>
          </rPr>
          <t>Registrar la cantidad o % del denominador programado en el mes (de acuerdo a la fórmula del Indicador)</t>
        </r>
      </text>
    </comment>
    <comment ref="BO7" authorId="1">
      <text>
        <r>
          <rPr>
            <sz val="9"/>
            <color indexed="81"/>
            <rFont val="Tahoma"/>
            <family val="2"/>
          </rPr>
          <t>Es la relación del Numerador sobre el denominador.
Si su fúmula no contiene un denominado, escribir en este campo "1 (uno)"</t>
        </r>
      </text>
    </comment>
    <comment ref="BP7" authorId="1">
      <text>
        <r>
          <rPr>
            <sz val="9"/>
            <color indexed="81"/>
            <rFont val="Tahoma"/>
            <family val="2"/>
          </rPr>
          <t xml:space="preserve">Corresponde al valor proyectado al mes correspondiente en la distribución anual de la caracterización </t>
        </r>
      </text>
    </comment>
    <comment ref="BQ7" authorId="1">
      <text>
        <r>
          <rPr>
            <sz val="9"/>
            <color indexed="81"/>
            <rFont val="Tahoma"/>
            <family val="2"/>
          </rPr>
          <t>Se registra el valor de la meta ejecutada sobre el valor de la meta proyectada</t>
        </r>
      </text>
    </comment>
    <comment ref="BR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S7" authorId="1">
      <text>
        <r>
          <rPr>
            <sz val="9"/>
            <color indexed="81"/>
            <rFont val="Tahoma"/>
            <family val="2"/>
          </rPr>
          <t>Registrar la cantidad o % ejecutada en el mes (de acuerdo a la fórmula del Indicador)</t>
        </r>
      </text>
    </comment>
    <comment ref="BT7" authorId="1">
      <text>
        <r>
          <rPr>
            <sz val="9"/>
            <color indexed="81"/>
            <rFont val="Tahoma"/>
            <family val="2"/>
          </rPr>
          <t>Registrar la cantidad o % del denominador programado en el mes (de acuerdo a la fórmula del Indicador)</t>
        </r>
      </text>
    </comment>
    <comment ref="BU7" authorId="1">
      <text>
        <r>
          <rPr>
            <sz val="9"/>
            <color indexed="81"/>
            <rFont val="Tahoma"/>
            <family val="2"/>
          </rPr>
          <t>Es la relación del Numerador sobre el denominador.
Si su fúmula no contiene un denominado, escribir en este campo "1 (uno)"</t>
        </r>
      </text>
    </comment>
    <comment ref="BV7" authorId="1">
      <text>
        <r>
          <rPr>
            <sz val="9"/>
            <color indexed="81"/>
            <rFont val="Tahoma"/>
            <family val="2"/>
          </rPr>
          <t xml:space="preserve">Corresponde al valor proyectado al mes correspondiente en la distribución anual de la caracterización </t>
        </r>
      </text>
    </comment>
    <comment ref="BW7" authorId="1">
      <text>
        <r>
          <rPr>
            <sz val="9"/>
            <color indexed="81"/>
            <rFont val="Tahoma"/>
            <family val="2"/>
          </rPr>
          <t>Se registra el valor de la meta ejecutada sobre el valor de la meta proyectada</t>
        </r>
      </text>
    </comment>
    <comment ref="BX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Y7" authorId="1">
      <text>
        <r>
          <rPr>
            <sz val="9"/>
            <color indexed="81"/>
            <rFont val="Tahoma"/>
            <family val="2"/>
          </rPr>
          <t>Registrar la cantidad o % ejecutada en el mes (de acuerdo a la fórmula del Indicador)</t>
        </r>
      </text>
    </comment>
    <comment ref="BZ7" authorId="1">
      <text>
        <r>
          <rPr>
            <sz val="9"/>
            <color indexed="81"/>
            <rFont val="Tahoma"/>
            <family val="2"/>
          </rPr>
          <t>Registrar la cantidad o % del denominador programado en el mes (de acuerdo a la fórmula del Indicador)</t>
        </r>
      </text>
    </comment>
    <comment ref="CA7" authorId="1">
      <text>
        <r>
          <rPr>
            <sz val="9"/>
            <color indexed="81"/>
            <rFont val="Tahoma"/>
            <family val="2"/>
          </rPr>
          <t>Es la relación del Numerador sobre el denominador.
Si su fúmula no contiene un denominado, escribir en este campo "1 (uno)"</t>
        </r>
      </text>
    </comment>
    <comment ref="CB7" authorId="1">
      <text>
        <r>
          <rPr>
            <sz val="9"/>
            <color indexed="81"/>
            <rFont val="Tahoma"/>
            <family val="2"/>
          </rPr>
          <t xml:space="preserve">Corresponde al valor proyectado al mes correspondiente en la distribución anual de la caracterización </t>
        </r>
      </text>
    </comment>
    <comment ref="CC7" authorId="1">
      <text>
        <r>
          <rPr>
            <sz val="9"/>
            <color indexed="81"/>
            <rFont val="Tahoma"/>
            <family val="2"/>
          </rPr>
          <t>Se registra el valor de la meta ejecutada sobre el valor de la meta proyectada</t>
        </r>
      </text>
    </comment>
    <comment ref="CD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E7" authorId="1">
      <text>
        <r>
          <rPr>
            <sz val="9"/>
            <color indexed="81"/>
            <rFont val="Tahoma"/>
            <family val="2"/>
          </rPr>
          <t>Registrar la cantidad o % ejecutada en el mes (de acuerdo a la fórmula del Indicador)</t>
        </r>
      </text>
    </comment>
    <comment ref="CF7" authorId="1">
      <text>
        <r>
          <rPr>
            <sz val="9"/>
            <color indexed="81"/>
            <rFont val="Tahoma"/>
            <family val="2"/>
          </rPr>
          <t>Registrar la cantidad o % del denominador programado en el mes (de acuerdo a la fórmula del Indicador)</t>
        </r>
      </text>
    </comment>
    <comment ref="CG7" authorId="1">
      <text>
        <r>
          <rPr>
            <sz val="9"/>
            <color indexed="81"/>
            <rFont val="Tahoma"/>
            <family val="2"/>
          </rPr>
          <t>Es la relación del Numerador sobre el denominador.
Si su fúmula no contiene un denominado, escribir en este campo "1 (uno)"</t>
        </r>
      </text>
    </comment>
    <comment ref="CH7" authorId="1">
      <text>
        <r>
          <rPr>
            <sz val="9"/>
            <color indexed="81"/>
            <rFont val="Tahoma"/>
            <family val="2"/>
          </rPr>
          <t xml:space="preserve">Corresponde al valor proyectado al mes correspondiente en la distribución anual de la caracterización </t>
        </r>
      </text>
    </comment>
    <comment ref="CI7" authorId="1">
      <text>
        <r>
          <rPr>
            <sz val="9"/>
            <color indexed="81"/>
            <rFont val="Tahoma"/>
            <family val="2"/>
          </rPr>
          <t>Se registra el valor de la meta ejecutada sobre el valor de la meta proyectada</t>
        </r>
      </text>
    </comment>
    <comment ref="CJ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K7" authorId="1">
      <text>
        <r>
          <rPr>
            <sz val="9"/>
            <color indexed="81"/>
            <rFont val="Tahoma"/>
            <family val="2"/>
          </rPr>
          <t>Registrar la cantidad o % ejecutada en el mes (de acuerdo a la fórmula del Indicador)</t>
        </r>
      </text>
    </comment>
    <comment ref="CL7" authorId="1">
      <text>
        <r>
          <rPr>
            <sz val="9"/>
            <color indexed="81"/>
            <rFont val="Tahoma"/>
            <family val="2"/>
          </rPr>
          <t>Registrar la cantidad o % del denominador programado en el mes (de acuerdo a la fórmula del Indicador)</t>
        </r>
      </text>
    </comment>
    <comment ref="CM7" authorId="1">
      <text>
        <r>
          <rPr>
            <sz val="9"/>
            <color indexed="81"/>
            <rFont val="Tahoma"/>
            <family val="2"/>
          </rPr>
          <t>Es la relación del Numerador sobre el denominador.
Si su fúmula no contiene un denominado, escribir en este campo "1 (uno)"</t>
        </r>
      </text>
    </comment>
    <comment ref="CN7" authorId="1">
      <text>
        <r>
          <rPr>
            <sz val="9"/>
            <color indexed="81"/>
            <rFont val="Tahoma"/>
            <family val="2"/>
          </rPr>
          <t xml:space="preserve">Corresponde al valor proyectado al mes correspondiente en la distribución anual de la caracterización </t>
        </r>
      </text>
    </comment>
    <comment ref="CO7" authorId="1">
      <text>
        <r>
          <rPr>
            <sz val="9"/>
            <color indexed="81"/>
            <rFont val="Tahoma"/>
            <family val="2"/>
          </rPr>
          <t>Se registra el valor de la meta ejecutada sobre el valor de la meta proyectada</t>
        </r>
      </text>
    </comment>
    <comment ref="CP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Q7" authorId="1">
      <text>
        <r>
          <rPr>
            <sz val="9"/>
            <color indexed="81"/>
            <rFont val="Tahoma"/>
            <family val="2"/>
          </rPr>
          <t>Registrar la cantidad o % ejecutada(o) acumulada(o) (de acuerdo a la fórmula del Indicador)</t>
        </r>
      </text>
    </comment>
    <comment ref="CR7" authorId="1">
      <text>
        <r>
          <rPr>
            <sz val="9"/>
            <color indexed="81"/>
            <rFont val="Tahoma"/>
            <family val="2"/>
          </rPr>
          <t>Registrar la cantidad o % del denominador programada(o) acumulado (de acuerdo a la fórmula del Indicador)</t>
        </r>
      </text>
    </comment>
    <comment ref="CS7" authorId="1">
      <text>
        <r>
          <rPr>
            <sz val="9"/>
            <color indexed="81"/>
            <rFont val="Tahoma"/>
            <family val="2"/>
          </rPr>
          <t>Es la relación del Numerador sobre el denominador.
Si su fúmula no contiene un denominado, escribir en este campo "1 (uno)"</t>
        </r>
      </text>
    </comment>
    <comment ref="CT7" authorId="1">
      <text>
        <r>
          <rPr>
            <sz val="9"/>
            <color indexed="81"/>
            <rFont val="Tahoma"/>
            <family val="2"/>
          </rPr>
          <t xml:space="preserve">Corresponde al valor de la meta proyectada al año correspondiente a lo establecido en la caracterización </t>
        </r>
      </text>
    </comment>
    <comment ref="CU7" authorId="1">
      <text>
        <r>
          <rPr>
            <sz val="9"/>
            <color indexed="81"/>
            <rFont val="Tahoma"/>
            <family val="2"/>
          </rPr>
          <t>Se registra el valor de la meta ejecutada sobre el valor de la meta proyectada</t>
        </r>
      </text>
    </comment>
    <comment ref="CV7" authorId="1">
      <text>
        <r>
          <rPr>
            <sz val="9"/>
            <color indexed="81"/>
            <rFont val="Tahoma"/>
            <family val="2"/>
          </rPr>
          <t>Justifique el resultado de la meta ejecutada acumulada y la comparación entre la meta proyectada acumulada.</t>
        </r>
      </text>
    </comment>
    <comment ref="V16" authorId="0">
      <text>
        <r>
          <rPr>
            <sz val="9"/>
            <color indexed="81"/>
            <rFont val="Tahoma"/>
            <family val="2"/>
          </rPr>
          <t xml:space="preserve">
Usuario encargado:
OAP - John Quiroga
         Carlos Campos </t>
        </r>
      </text>
    </comment>
    <comment ref="V17" authorId="0">
      <text>
        <r>
          <rPr>
            <sz val="9"/>
            <color indexed="81"/>
            <rFont val="Tahoma"/>
            <family val="2"/>
          </rPr>
          <t xml:space="preserve">
Usuario encargado:
OCI - Camilo Barajas </t>
        </r>
      </text>
    </comment>
    <comment ref="V18" authorId="0">
      <text>
        <r>
          <rPr>
            <sz val="9"/>
            <color indexed="81"/>
            <rFont val="Tahoma"/>
            <family val="2"/>
          </rPr>
          <t xml:space="preserve">
usuario encargado:
OCI - wilson Herrera
</t>
        </r>
      </text>
    </comment>
    <comment ref="V19" authorId="0">
      <text>
        <r>
          <rPr>
            <sz val="9"/>
            <color indexed="81"/>
            <rFont val="Tahoma"/>
            <family val="2"/>
          </rPr>
          <t xml:space="preserve">
Usurario encargado 
STPC - Nelson mauricio Izasa
</t>
        </r>
      </text>
    </comment>
    <comment ref="V20" authorId="0">
      <text>
        <r>
          <rPr>
            <sz val="9"/>
            <color indexed="81"/>
            <rFont val="Tahoma"/>
            <family val="2"/>
          </rPr>
          <t xml:space="preserve">
Usurario encargado 
STPC - Nelson mauricio Izasa</t>
        </r>
        <r>
          <rPr>
            <sz val="9"/>
            <color indexed="81"/>
            <rFont val="Tahoma"/>
            <family val="2"/>
          </rPr>
          <t xml:space="preserve">
</t>
        </r>
      </text>
    </comment>
    <comment ref="V21" authorId="0">
      <text>
        <r>
          <rPr>
            <sz val="9"/>
            <color indexed="81"/>
            <rFont val="Tahoma"/>
            <family val="2"/>
          </rPr>
          <t xml:space="preserve">
Usuario encargado 
OAP - Luis Arnulfo Sarmiento
         Cesar Miranda</t>
        </r>
      </text>
    </comment>
    <comment ref="V22" authorId="0">
      <text>
        <r>
          <rPr>
            <sz val="9"/>
            <color indexed="81"/>
            <rFont val="Tahoma"/>
            <family val="2"/>
          </rPr>
          <t xml:space="preserve">
Usuario encargado 
STTR - Rodrigo Alvarez O
</t>
        </r>
      </text>
    </comment>
    <comment ref="V23" authorId="0">
      <text>
        <r>
          <rPr>
            <sz val="9"/>
            <color indexed="81"/>
            <rFont val="Tahoma"/>
            <family val="2"/>
          </rPr>
          <t xml:space="preserve">
Usuario encargado 
DTGC - Johana lamilla Sanchez
John Herry Cueca
</t>
        </r>
      </text>
    </comment>
  </commentList>
</comments>
</file>

<file path=xl/comments30.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formula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formula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formula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formula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formula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formula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formula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formula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formula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formula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formula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formula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formula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7" authorId="1">
      <text>
        <r>
          <rPr>
            <sz val="8"/>
            <color indexed="81"/>
            <rFont val="Tahoma"/>
            <family val="2"/>
          </rPr>
          <t>El términos "Documentos del SIG" hace referencia a manuales, procedimientos, formatos, instructivos, guías en cada uno de los procesos</t>
        </r>
      </text>
    </comment>
    <comment ref="W17" authorId="0">
      <text>
        <r>
          <rPr>
            <sz val="9"/>
            <color indexed="81"/>
            <rFont val="Tahoma"/>
            <family val="2"/>
          </rPr>
          <t xml:space="preserve">
Usuario encargado:
OAP - John Quiroga
         Carlos Campos </t>
        </r>
      </text>
    </comment>
    <comment ref="W18" authorId="0">
      <text>
        <r>
          <rPr>
            <sz val="9"/>
            <color indexed="81"/>
            <rFont val="Tahoma"/>
            <family val="2"/>
          </rPr>
          <t xml:space="preserve">
Usuario encargado:
OCI - Camilo Barajas </t>
        </r>
      </text>
    </comment>
    <comment ref="W19" authorId="0">
      <text>
        <r>
          <rPr>
            <sz val="9"/>
            <color indexed="81"/>
            <rFont val="Tahoma"/>
            <family val="2"/>
          </rPr>
          <t xml:space="preserve">
usuario encargado:
OCI - Wilson Herrera
</t>
        </r>
      </text>
    </comment>
    <comment ref="W20" authorId="0">
      <text>
        <r>
          <rPr>
            <sz val="9"/>
            <color indexed="81"/>
            <rFont val="Tahoma"/>
            <family val="2"/>
          </rPr>
          <t xml:space="preserve">
Usurario encargado 
STPC - Nelson Mauricio Isaza
</t>
        </r>
      </text>
    </comment>
    <comment ref="W21" authorId="0">
      <text>
        <r>
          <rPr>
            <sz val="9"/>
            <color indexed="81"/>
            <rFont val="Tahoma"/>
            <family val="2"/>
          </rPr>
          <t xml:space="preserve">
Usurario encargado 
STPC - Nelson Mauricio Isaza</t>
        </r>
        <r>
          <rPr>
            <sz val="9"/>
            <color indexed="81"/>
            <rFont val="Tahoma"/>
            <family val="2"/>
          </rPr>
          <t xml:space="preserve">
</t>
        </r>
      </text>
    </comment>
    <comment ref="W22" authorId="0">
      <text>
        <r>
          <rPr>
            <sz val="9"/>
            <color indexed="81"/>
            <rFont val="Tahoma"/>
            <family val="2"/>
          </rPr>
          <t xml:space="preserve">
Usuario encargado 
OAP - Luis Arnulfo Sarmiento
         Cesar Miranda</t>
        </r>
      </text>
    </comment>
    <comment ref="W23" authorId="0">
      <text>
        <r>
          <rPr>
            <sz val="9"/>
            <color indexed="81"/>
            <rFont val="Tahoma"/>
            <family val="2"/>
          </rPr>
          <t xml:space="preserve">
Usuario encargado 
STTR - Rodrigo Alvarez O
</t>
        </r>
      </text>
    </comment>
    <comment ref="W24" authorId="0">
      <text>
        <r>
          <rPr>
            <sz val="9"/>
            <color indexed="81"/>
            <rFont val="Tahoma"/>
            <family val="2"/>
          </rPr>
          <t xml:space="preserve">
Usuario encargado 
DTGC - Johana lamilla Sanchez
John Herry Cueca
</t>
        </r>
      </text>
    </comment>
  </commentList>
</comments>
</file>

<file path=xl/comments31.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7" authorId="1">
      <text>
        <r>
          <rPr>
            <sz val="11"/>
            <color indexed="81"/>
            <rFont val="Tahoma"/>
            <family val="2"/>
          </rPr>
          <t>El términos "Documentos del SIG" hace referencia a manuales, procedimientos, formatos, instructivos, guías en cada uno de los procesos</t>
        </r>
      </text>
    </comment>
    <comment ref="W17" authorId="0">
      <text>
        <r>
          <rPr>
            <sz val="9"/>
            <color indexed="81"/>
            <rFont val="Tahoma"/>
            <family val="2"/>
          </rPr>
          <t xml:space="preserve">
Usuario encargado:
OAP - John Quiroga
         Carlos Campos </t>
        </r>
      </text>
    </comment>
    <comment ref="W18" authorId="0">
      <text>
        <r>
          <rPr>
            <sz val="9"/>
            <color indexed="81"/>
            <rFont val="Tahoma"/>
            <family val="2"/>
          </rPr>
          <t xml:space="preserve">
Usuario encargado:
OCI - Camilo Barajas </t>
        </r>
      </text>
    </comment>
    <comment ref="W19" authorId="0">
      <text>
        <r>
          <rPr>
            <sz val="9"/>
            <color indexed="81"/>
            <rFont val="Tahoma"/>
            <family val="2"/>
          </rPr>
          <t xml:space="preserve">
usuario encargado:
OCI - wilson Herrera
</t>
        </r>
      </text>
    </comment>
    <comment ref="W20" authorId="0">
      <text>
        <r>
          <rPr>
            <sz val="9"/>
            <color indexed="81"/>
            <rFont val="Tahoma"/>
            <family val="2"/>
          </rPr>
          <t xml:space="preserve">
Usurario encargado 
STPC - Nelson mauricio Izasa
</t>
        </r>
      </text>
    </comment>
    <comment ref="W21" authorId="0">
      <text>
        <r>
          <rPr>
            <sz val="9"/>
            <color indexed="81"/>
            <rFont val="Tahoma"/>
            <family val="2"/>
          </rPr>
          <t xml:space="preserve">
Usurario encargado 
STPC - Nelson mauricio Izasa</t>
        </r>
        <r>
          <rPr>
            <sz val="9"/>
            <color indexed="81"/>
            <rFont val="Tahoma"/>
            <family val="2"/>
          </rPr>
          <t xml:space="preserve">
</t>
        </r>
      </text>
    </comment>
    <comment ref="W22" authorId="0">
      <text>
        <r>
          <rPr>
            <sz val="9"/>
            <color indexed="81"/>
            <rFont val="Tahoma"/>
            <family val="2"/>
          </rPr>
          <t xml:space="preserve">
Usuario encargado 
OAP - Luis Arnulfo Sarmiento
         Cesar Miranda</t>
        </r>
      </text>
    </comment>
    <comment ref="W23" authorId="0">
      <text>
        <r>
          <rPr>
            <sz val="9"/>
            <color indexed="81"/>
            <rFont val="Tahoma"/>
            <family val="2"/>
          </rPr>
          <t xml:space="preserve">
Usuario encargado 
STTR - Rodrigo Alvarez O
</t>
        </r>
      </text>
    </comment>
    <comment ref="W24" authorId="0">
      <text>
        <r>
          <rPr>
            <sz val="9"/>
            <color indexed="81"/>
            <rFont val="Tahoma"/>
            <family val="2"/>
          </rPr>
          <t xml:space="preserve">
Usuario encargado 
DTGC - Johana lamilla Sanchez
John Herry Cueca
</t>
        </r>
      </text>
    </comment>
  </commentList>
</comments>
</file>

<file path=xl/comments32.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6" authorId="1">
      <text>
        <r>
          <rPr>
            <sz val="8"/>
            <color indexed="81"/>
            <rFont val="Tahoma"/>
            <family val="2"/>
          </rPr>
          <t>El términos "Documentos del SIG" hace referencia a manuales, procedimientos, formatos, instructivos, guías en cada uno de los procesos</t>
        </r>
      </text>
    </comment>
    <comment ref="W16" authorId="0">
      <text>
        <r>
          <rPr>
            <sz val="9"/>
            <color indexed="81"/>
            <rFont val="Tahoma"/>
            <family val="2"/>
          </rPr>
          <t xml:space="preserve">
Usuario encargado:
OAP - John Quiroga
         Carlos Campos </t>
        </r>
      </text>
    </comment>
    <comment ref="W17" authorId="0">
      <text>
        <r>
          <rPr>
            <sz val="9"/>
            <color indexed="81"/>
            <rFont val="Tahoma"/>
            <family val="2"/>
          </rPr>
          <t xml:space="preserve">
Usuario encargado:
OCI - Camilo Barajas </t>
        </r>
      </text>
    </comment>
    <comment ref="W18" authorId="0">
      <text>
        <r>
          <rPr>
            <sz val="9"/>
            <color indexed="81"/>
            <rFont val="Tahoma"/>
            <family val="2"/>
          </rPr>
          <t xml:space="preserve">
usuario encargado:
OCI - wilson Herrera
</t>
        </r>
      </text>
    </comment>
    <comment ref="W19" authorId="0">
      <text>
        <r>
          <rPr>
            <sz val="9"/>
            <color indexed="81"/>
            <rFont val="Tahoma"/>
            <family val="2"/>
          </rPr>
          <t xml:space="preserve">
Usuario encargado 
DTGC - Johana lamilla Sanchez
John Herry Cueca
</t>
        </r>
      </text>
    </comment>
  </commentList>
</comments>
</file>

<file path=xl/comments4.xml><?xml version="1.0" encoding="utf-8"?>
<comments xmlns="http://schemas.openxmlformats.org/spreadsheetml/2006/main">
  <authors>
    <author>pavel pinto</author>
    <author>John Alexander Quiroga Fuquene</author>
    <author>Habib Leonardo Mejia Rivera</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Y7" authorId="1">
      <text>
        <r>
          <rPr>
            <sz val="9"/>
            <color indexed="81"/>
            <rFont val="Tahoma"/>
            <family val="2"/>
          </rPr>
          <t>Registrar la cantidad o % ejecutada en el mes (de acuerdo a la fórmula del Indicador)</t>
        </r>
      </text>
    </comment>
    <comment ref="Z7" authorId="1">
      <text>
        <r>
          <rPr>
            <sz val="9"/>
            <color indexed="81"/>
            <rFont val="Tahoma"/>
            <family val="2"/>
          </rPr>
          <t>Registrar la cantidad o % del denominador programado en el mes (de acuerdo a la fórmula del Indicador)</t>
        </r>
      </text>
    </comment>
    <comment ref="AA7" authorId="1">
      <text>
        <r>
          <rPr>
            <sz val="9"/>
            <color indexed="81"/>
            <rFont val="Tahoma"/>
            <family val="2"/>
          </rPr>
          <t>Es la relación del Numerador sobre el denominador.
Si su formula no contiene un denominado, escribir en este campo "1 (uno)"</t>
        </r>
      </text>
    </comment>
    <comment ref="AB7" authorId="1">
      <text>
        <r>
          <rPr>
            <sz val="9"/>
            <color indexed="81"/>
            <rFont val="Tahoma"/>
            <family val="2"/>
          </rPr>
          <t xml:space="preserve">Corresponde al valor proyectado al mes correspondiente en la distribución anual de la caracterización </t>
        </r>
      </text>
    </comment>
    <comment ref="AC7" authorId="1">
      <text>
        <r>
          <rPr>
            <sz val="9"/>
            <color indexed="81"/>
            <rFont val="Tahoma"/>
            <family val="2"/>
          </rPr>
          <t>Se registra el valor de la meta ejecutada sobre el valor de la meta proyectada</t>
        </r>
      </text>
    </comment>
    <comment ref="AD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E7" authorId="1">
      <text>
        <r>
          <rPr>
            <sz val="9"/>
            <color indexed="81"/>
            <rFont val="Tahoma"/>
            <family val="2"/>
          </rPr>
          <t>Registrar la cantidad o % ejecutada en el mes (de acuerdo a la fórmula del Indicador)</t>
        </r>
      </text>
    </comment>
    <comment ref="AF7" authorId="1">
      <text>
        <r>
          <rPr>
            <sz val="9"/>
            <color indexed="81"/>
            <rFont val="Tahoma"/>
            <family val="2"/>
          </rPr>
          <t>Registrar la cantidad o % del denominador programado en el mes (de acuerdo a la fórmula del Indicador)</t>
        </r>
      </text>
    </comment>
    <comment ref="AG7" authorId="1">
      <text>
        <r>
          <rPr>
            <sz val="9"/>
            <color indexed="81"/>
            <rFont val="Tahoma"/>
            <family val="2"/>
          </rPr>
          <t>Es la relación del Numerador sobre el denominador.
Si su formula no contiene un denominado, escribir en este campo "1 (uno)"</t>
        </r>
      </text>
    </comment>
    <comment ref="AH7" authorId="1">
      <text>
        <r>
          <rPr>
            <sz val="9"/>
            <color indexed="81"/>
            <rFont val="Tahoma"/>
            <family val="2"/>
          </rPr>
          <t xml:space="preserve">Corresponde al valor proyectado al mes correspondiente en la distribución anual de la caracterización </t>
        </r>
      </text>
    </comment>
    <comment ref="AI7" authorId="1">
      <text>
        <r>
          <rPr>
            <sz val="9"/>
            <color indexed="81"/>
            <rFont val="Tahoma"/>
            <family val="2"/>
          </rPr>
          <t>Se registra el valor de la meta ejecutada sobre el valor de la meta proyectada</t>
        </r>
      </text>
    </comment>
    <comment ref="AJ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K7" authorId="1">
      <text>
        <r>
          <rPr>
            <sz val="9"/>
            <color indexed="81"/>
            <rFont val="Tahoma"/>
            <family val="2"/>
          </rPr>
          <t>Registrar la cantidad o % ejecutada en el mes (de acuerdo a la fórmula del Indicador)</t>
        </r>
      </text>
    </comment>
    <comment ref="AL7" authorId="1">
      <text>
        <r>
          <rPr>
            <sz val="9"/>
            <color indexed="81"/>
            <rFont val="Tahoma"/>
            <family val="2"/>
          </rPr>
          <t>Registrar la cantidad o % del denominador programado en el mes (de acuerdo a la fórmula del Indicador)</t>
        </r>
      </text>
    </comment>
    <comment ref="AM7" authorId="1">
      <text>
        <r>
          <rPr>
            <sz val="9"/>
            <color indexed="81"/>
            <rFont val="Tahoma"/>
            <family val="2"/>
          </rPr>
          <t>Es la relación del Numerador sobre el denominador.
Si su formula no contiene un denominado, escribir en este campo "1 (uno)"</t>
        </r>
      </text>
    </comment>
    <comment ref="AN7" authorId="1">
      <text>
        <r>
          <rPr>
            <sz val="9"/>
            <color indexed="81"/>
            <rFont val="Tahoma"/>
            <family val="2"/>
          </rPr>
          <t xml:space="preserve">Corresponde al valor proyectado al mes correspondiente en la distribución anual de la caracterización </t>
        </r>
      </text>
    </comment>
    <comment ref="AO7" authorId="1">
      <text>
        <r>
          <rPr>
            <sz val="9"/>
            <color indexed="81"/>
            <rFont val="Tahoma"/>
            <family val="2"/>
          </rPr>
          <t>Se registra el valor de la meta ejecutada sobre el valor de la meta proyectada</t>
        </r>
      </text>
    </comment>
    <comment ref="AP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Q7" authorId="1">
      <text>
        <r>
          <rPr>
            <sz val="9"/>
            <color indexed="81"/>
            <rFont val="Tahoma"/>
            <family val="2"/>
          </rPr>
          <t>Registrar la cantidad o % ejecutada en el mes (de acuerdo a la fórmula del Indicador)</t>
        </r>
      </text>
    </comment>
    <comment ref="AR7" authorId="1">
      <text>
        <r>
          <rPr>
            <sz val="9"/>
            <color indexed="81"/>
            <rFont val="Tahoma"/>
            <family val="2"/>
          </rPr>
          <t>Registrar la cantidad o % del denominador programado en el mes (de acuerdo a la fórmula del Indicador)</t>
        </r>
      </text>
    </comment>
    <comment ref="AS7" authorId="1">
      <text>
        <r>
          <rPr>
            <sz val="9"/>
            <color indexed="81"/>
            <rFont val="Tahoma"/>
            <family val="2"/>
          </rPr>
          <t>Es la relación del Numerador sobre el denominador.
Si su formula no contiene un denominado, escribir en este campo "1 (uno)"</t>
        </r>
      </text>
    </comment>
    <comment ref="AT7" authorId="1">
      <text>
        <r>
          <rPr>
            <sz val="9"/>
            <color indexed="81"/>
            <rFont val="Tahoma"/>
            <family val="2"/>
          </rPr>
          <t xml:space="preserve">Corresponde al valor proyectado al mes correspondiente en la distribución anual de la caracterización </t>
        </r>
      </text>
    </comment>
    <comment ref="AU7" authorId="1">
      <text>
        <r>
          <rPr>
            <sz val="9"/>
            <color indexed="81"/>
            <rFont val="Tahoma"/>
            <family val="2"/>
          </rPr>
          <t>Se registra el valor de la meta ejecutada sobre el valor de la meta proyectada</t>
        </r>
      </text>
    </comment>
    <comment ref="AV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W7" authorId="1">
      <text>
        <r>
          <rPr>
            <sz val="9"/>
            <color indexed="81"/>
            <rFont val="Tahoma"/>
            <family val="2"/>
          </rPr>
          <t>Registrar la cantidad o % ejecutada en el mes (de acuerdo a la fórmula del Indicador)</t>
        </r>
      </text>
    </comment>
    <comment ref="AX7" authorId="1">
      <text>
        <r>
          <rPr>
            <sz val="9"/>
            <color indexed="81"/>
            <rFont val="Tahoma"/>
            <family val="2"/>
          </rPr>
          <t>Registrar la cantidad o % del denominador programado en el mes (de acuerdo a la fórmula del Indicador)</t>
        </r>
      </text>
    </comment>
    <comment ref="AY7" authorId="1">
      <text>
        <r>
          <rPr>
            <sz val="9"/>
            <color indexed="81"/>
            <rFont val="Tahoma"/>
            <family val="2"/>
          </rPr>
          <t>Es la relación del Numerador sobre el denominador.
Si su formula no contiene un denominado, escribir en este campo "1 (uno)"</t>
        </r>
      </text>
    </comment>
    <comment ref="AZ7" authorId="1">
      <text>
        <r>
          <rPr>
            <sz val="9"/>
            <color indexed="81"/>
            <rFont val="Tahoma"/>
            <family val="2"/>
          </rPr>
          <t xml:space="preserve">Corresponde al valor proyectado al mes correspondiente en la distribución anual de la caracterización </t>
        </r>
      </text>
    </comment>
    <comment ref="BA7" authorId="1">
      <text>
        <r>
          <rPr>
            <sz val="9"/>
            <color indexed="81"/>
            <rFont val="Tahoma"/>
            <family val="2"/>
          </rPr>
          <t>Se registra el valor de la meta ejecutada sobre el valor de la meta proyectada</t>
        </r>
      </text>
    </comment>
    <comment ref="BB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C7" authorId="1">
      <text>
        <r>
          <rPr>
            <sz val="9"/>
            <color indexed="81"/>
            <rFont val="Tahoma"/>
            <family val="2"/>
          </rPr>
          <t>Registrar la cantidad o % ejecutada en el mes (de acuerdo a la fórmula del Indicador)</t>
        </r>
      </text>
    </comment>
    <comment ref="BD7" authorId="1">
      <text>
        <r>
          <rPr>
            <sz val="9"/>
            <color indexed="81"/>
            <rFont val="Tahoma"/>
            <family val="2"/>
          </rPr>
          <t>Registrar la cantidad o % del denominador programado en el mes (de acuerdo a la fórmula del Indicador)</t>
        </r>
      </text>
    </comment>
    <comment ref="BE7" authorId="1">
      <text>
        <r>
          <rPr>
            <sz val="9"/>
            <color indexed="81"/>
            <rFont val="Tahoma"/>
            <family val="2"/>
          </rPr>
          <t>Es la relación del Numerador sobre el denominador.
Si su formula no contiene un denominado, escribir en este campo "1 (uno)"</t>
        </r>
      </text>
    </comment>
    <comment ref="BF7" authorId="1">
      <text>
        <r>
          <rPr>
            <sz val="9"/>
            <color indexed="81"/>
            <rFont val="Tahoma"/>
            <family val="2"/>
          </rPr>
          <t xml:space="preserve">Corresponde al valor proyectado al mes correspondiente en la distribución anual de la caracterización </t>
        </r>
      </text>
    </comment>
    <comment ref="BG7" authorId="1">
      <text>
        <r>
          <rPr>
            <sz val="9"/>
            <color indexed="81"/>
            <rFont val="Tahoma"/>
            <family val="2"/>
          </rPr>
          <t>Se registra el valor de la meta ejecutada sobre el valor de la meta proyectada</t>
        </r>
      </text>
    </comment>
    <comment ref="BH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J7" authorId="1">
      <text>
        <r>
          <rPr>
            <sz val="9"/>
            <color indexed="81"/>
            <rFont val="Tahoma"/>
            <family val="2"/>
          </rPr>
          <t>Registrar la cantidad o % ejecutada en el mes (de acuerdo a la fórmula del Indicador)</t>
        </r>
      </text>
    </comment>
    <comment ref="BK7" authorId="1">
      <text>
        <r>
          <rPr>
            <sz val="9"/>
            <color indexed="81"/>
            <rFont val="Tahoma"/>
            <family val="2"/>
          </rPr>
          <t>Registrar la cantidad o % del denominador programado en el mes (de acuerdo a la fórmula del Indicador)</t>
        </r>
      </text>
    </comment>
    <comment ref="BL7" authorId="1">
      <text>
        <r>
          <rPr>
            <sz val="9"/>
            <color indexed="81"/>
            <rFont val="Tahoma"/>
            <family val="2"/>
          </rPr>
          <t>Es la relación del Numerador sobre el denominador.
Si su formula no contiene un denominado, escribir en este campo "1 (uno)"</t>
        </r>
      </text>
    </comment>
    <comment ref="BM7" authorId="1">
      <text>
        <r>
          <rPr>
            <sz val="9"/>
            <color indexed="81"/>
            <rFont val="Tahoma"/>
            <family val="2"/>
          </rPr>
          <t xml:space="preserve">Corresponde al valor proyectado al mes correspondiente en la distribución anual de la caracterización </t>
        </r>
      </text>
    </comment>
    <comment ref="BN7" authorId="1">
      <text>
        <r>
          <rPr>
            <sz val="9"/>
            <color indexed="81"/>
            <rFont val="Tahoma"/>
            <family val="2"/>
          </rPr>
          <t>Se registra el valor de la meta ejecutada sobre el valor de la meta proyectada</t>
        </r>
      </text>
    </comment>
    <comment ref="B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P7" authorId="1">
      <text>
        <r>
          <rPr>
            <sz val="9"/>
            <color indexed="81"/>
            <rFont val="Tahoma"/>
            <family val="2"/>
          </rPr>
          <t>Registrar la cantidad o % ejecutada en el mes (de acuerdo a la fórmula del Indicador)</t>
        </r>
      </text>
    </comment>
    <comment ref="BQ7" authorId="1">
      <text>
        <r>
          <rPr>
            <sz val="9"/>
            <color indexed="81"/>
            <rFont val="Tahoma"/>
            <family val="2"/>
          </rPr>
          <t>Registrar la cantidad o % del denominador programado en el mes (de acuerdo a la fórmula del Indicador)</t>
        </r>
      </text>
    </comment>
    <comment ref="BR7" authorId="1">
      <text>
        <r>
          <rPr>
            <sz val="9"/>
            <color indexed="81"/>
            <rFont val="Tahoma"/>
            <family val="2"/>
          </rPr>
          <t>Es la relación del Numerador sobre el denominador.
Si su formula no contiene un denominado, escribir en este campo "1 (uno)"</t>
        </r>
      </text>
    </comment>
    <comment ref="BS7" authorId="1">
      <text>
        <r>
          <rPr>
            <sz val="9"/>
            <color indexed="81"/>
            <rFont val="Tahoma"/>
            <family val="2"/>
          </rPr>
          <t xml:space="preserve">Corresponde al valor proyectado al mes correspondiente en la distribución anual de la caracterización </t>
        </r>
      </text>
    </comment>
    <comment ref="BT7" authorId="1">
      <text>
        <r>
          <rPr>
            <sz val="9"/>
            <color indexed="81"/>
            <rFont val="Tahoma"/>
            <family val="2"/>
          </rPr>
          <t>Se registra el valor de la meta ejecutada sobre el valor de la meta proyectada</t>
        </r>
      </text>
    </comment>
    <comment ref="B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V7" authorId="1">
      <text>
        <r>
          <rPr>
            <sz val="9"/>
            <color indexed="81"/>
            <rFont val="Tahoma"/>
            <family val="2"/>
          </rPr>
          <t>Registrar la cantidad o % ejecutada en el mes (de acuerdo a la fórmula del Indicador)</t>
        </r>
      </text>
    </comment>
    <comment ref="BW7" authorId="1">
      <text>
        <r>
          <rPr>
            <sz val="9"/>
            <color indexed="81"/>
            <rFont val="Tahoma"/>
            <family val="2"/>
          </rPr>
          <t>Registrar la cantidad o % del denominador programado en el mes (de acuerdo a la fórmula del Indicador)</t>
        </r>
      </text>
    </comment>
    <comment ref="BX7" authorId="1">
      <text>
        <r>
          <rPr>
            <sz val="9"/>
            <color indexed="81"/>
            <rFont val="Tahoma"/>
            <family val="2"/>
          </rPr>
          <t>Es la relación del Numerador sobre el denominador.
Si su formula no contiene un denominado, escribir en este campo "1 (uno)"</t>
        </r>
      </text>
    </comment>
    <comment ref="BY7" authorId="1">
      <text>
        <r>
          <rPr>
            <sz val="9"/>
            <color indexed="81"/>
            <rFont val="Tahoma"/>
            <family val="2"/>
          </rPr>
          <t xml:space="preserve">Corresponde al valor proyectado al mes correspondiente en la distribución anual de la caracterización </t>
        </r>
      </text>
    </comment>
    <comment ref="BZ7" authorId="1">
      <text>
        <r>
          <rPr>
            <sz val="9"/>
            <color indexed="81"/>
            <rFont val="Tahoma"/>
            <family val="2"/>
          </rPr>
          <t>Se registra el valor de la meta ejecutada sobre el valor de la meta proyectada</t>
        </r>
      </text>
    </comment>
    <comment ref="C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B7" authorId="1">
      <text>
        <r>
          <rPr>
            <sz val="9"/>
            <color indexed="81"/>
            <rFont val="Tahoma"/>
            <family val="2"/>
          </rPr>
          <t>Registrar la cantidad o % ejecutada en el mes (de acuerdo a la fórmula del Indicador)</t>
        </r>
      </text>
    </comment>
    <comment ref="CC7" authorId="1">
      <text>
        <r>
          <rPr>
            <sz val="9"/>
            <color indexed="81"/>
            <rFont val="Tahoma"/>
            <family val="2"/>
          </rPr>
          <t>Registrar la cantidad o % del denominador programado en el mes (de acuerdo a la fórmula del Indicador)</t>
        </r>
      </text>
    </comment>
    <comment ref="CD7" authorId="1">
      <text>
        <r>
          <rPr>
            <sz val="9"/>
            <color indexed="81"/>
            <rFont val="Tahoma"/>
            <family val="2"/>
          </rPr>
          <t>Es la relación del Numerador sobre el denominador.
Si su formula no contiene un denominado, escribir en este campo "1 (uno)"</t>
        </r>
      </text>
    </comment>
    <comment ref="CE7" authorId="1">
      <text>
        <r>
          <rPr>
            <sz val="9"/>
            <color indexed="81"/>
            <rFont val="Tahoma"/>
            <family val="2"/>
          </rPr>
          <t xml:space="preserve">Corresponde al valor proyectado al mes correspondiente en la distribución anual de la caracterización </t>
        </r>
      </text>
    </comment>
    <comment ref="CF7" authorId="1">
      <text>
        <r>
          <rPr>
            <sz val="9"/>
            <color indexed="81"/>
            <rFont val="Tahoma"/>
            <family val="2"/>
          </rPr>
          <t>Se registra el valor de la meta ejecutada sobre el valor de la meta proyectada</t>
        </r>
      </text>
    </comment>
    <comment ref="C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H7" authorId="1">
      <text>
        <r>
          <rPr>
            <sz val="9"/>
            <color indexed="81"/>
            <rFont val="Tahoma"/>
            <family val="2"/>
          </rPr>
          <t>Registrar la cantidad o % ejecutada en el mes (de acuerdo a la fórmula del Indicador)</t>
        </r>
      </text>
    </comment>
    <comment ref="CI7" authorId="1">
      <text>
        <r>
          <rPr>
            <sz val="9"/>
            <color indexed="81"/>
            <rFont val="Tahoma"/>
            <family val="2"/>
          </rPr>
          <t>Registrar la cantidad o % del denominador programado en el mes (de acuerdo a la fórmula del Indicador)</t>
        </r>
      </text>
    </comment>
    <comment ref="CJ7" authorId="1">
      <text>
        <r>
          <rPr>
            <sz val="9"/>
            <color indexed="81"/>
            <rFont val="Tahoma"/>
            <family val="2"/>
          </rPr>
          <t>Es la relación del Numerador sobre el denominador.
Si su formula no contiene un denominado, escribir en este campo "1 (uno)"</t>
        </r>
      </text>
    </comment>
    <comment ref="CK7" authorId="1">
      <text>
        <r>
          <rPr>
            <sz val="9"/>
            <color indexed="81"/>
            <rFont val="Tahoma"/>
            <family val="2"/>
          </rPr>
          <t xml:space="preserve">Corresponde al valor proyectado al mes correspondiente en la distribución anual de la caracterización </t>
        </r>
      </text>
    </comment>
    <comment ref="CL7" authorId="1">
      <text>
        <r>
          <rPr>
            <sz val="9"/>
            <color indexed="81"/>
            <rFont val="Tahoma"/>
            <family val="2"/>
          </rPr>
          <t>Se registra el valor de la meta ejecutada sobre el valor de la meta proyectada</t>
        </r>
      </text>
    </comment>
    <comment ref="C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N7" authorId="1">
      <text>
        <r>
          <rPr>
            <sz val="9"/>
            <color indexed="81"/>
            <rFont val="Tahoma"/>
            <family val="2"/>
          </rPr>
          <t>Registrar la cantidad o % ejecutada en el mes (de acuerdo a la fórmula del Indicador)</t>
        </r>
      </text>
    </comment>
    <comment ref="CO7" authorId="1">
      <text>
        <r>
          <rPr>
            <sz val="9"/>
            <color indexed="81"/>
            <rFont val="Tahoma"/>
            <family val="2"/>
          </rPr>
          <t>Registrar la cantidad o % del denominador programado en el mes (de acuerdo a la fórmula del Indicador)</t>
        </r>
      </text>
    </comment>
    <comment ref="CP7" authorId="1">
      <text>
        <r>
          <rPr>
            <sz val="9"/>
            <color indexed="81"/>
            <rFont val="Tahoma"/>
            <family val="2"/>
          </rPr>
          <t>Es la relación del Numerador sobre el denominador.
Si su formula no contiene un denominado, escribir en este campo "1 (uno)"</t>
        </r>
      </text>
    </comment>
    <comment ref="CQ7" authorId="1">
      <text>
        <r>
          <rPr>
            <sz val="9"/>
            <color indexed="81"/>
            <rFont val="Tahoma"/>
            <family val="2"/>
          </rPr>
          <t xml:space="preserve">Corresponde al valor proyectado al mes correspondiente en la distribución anual de la caracterización </t>
        </r>
      </text>
    </comment>
    <comment ref="CR7" authorId="1">
      <text>
        <r>
          <rPr>
            <sz val="9"/>
            <color indexed="81"/>
            <rFont val="Tahoma"/>
            <family val="2"/>
          </rPr>
          <t>Se registra el valor de la meta ejecutada sobre el valor de la meta proyectada</t>
        </r>
      </text>
    </comment>
    <comment ref="C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T7" authorId="1">
      <text>
        <r>
          <rPr>
            <sz val="9"/>
            <color indexed="81"/>
            <rFont val="Tahoma"/>
            <family val="2"/>
          </rPr>
          <t>Registrar la cantidad o % ejecutada(o) acumulada(o) (de acuerdo a la fórmula del Indicador)</t>
        </r>
      </text>
    </comment>
    <comment ref="CU7" authorId="1">
      <text>
        <r>
          <rPr>
            <sz val="9"/>
            <color indexed="81"/>
            <rFont val="Tahoma"/>
            <family val="2"/>
          </rPr>
          <t>Registrar la cantidad o % del denominador programada(o) acumulado (de acuerdo a la fórmula del Indicador)</t>
        </r>
      </text>
    </comment>
    <comment ref="CV7" authorId="1">
      <text>
        <r>
          <rPr>
            <sz val="9"/>
            <color indexed="81"/>
            <rFont val="Tahoma"/>
            <family val="2"/>
          </rPr>
          <t>Es la relación del Numerador sobre el denominador.
Si su formula no contiene un denominado, escribir en este campo "1 (uno)"</t>
        </r>
      </text>
    </comment>
    <comment ref="CW7" authorId="1">
      <text>
        <r>
          <rPr>
            <sz val="9"/>
            <color indexed="81"/>
            <rFont val="Tahoma"/>
            <family val="2"/>
          </rPr>
          <t xml:space="preserve">Corresponde al valor de la meta proyectada al año correspondiente a lo establecido en la caracterización </t>
        </r>
      </text>
    </comment>
    <comment ref="CX7" authorId="1">
      <text>
        <r>
          <rPr>
            <sz val="9"/>
            <color indexed="81"/>
            <rFont val="Tahoma"/>
            <family val="2"/>
          </rPr>
          <t>Se registra el valor de la meta ejecutada sobre el valor de la meta proyectada</t>
        </r>
      </text>
    </comment>
    <comment ref="CY7" authorId="1">
      <text>
        <r>
          <rPr>
            <sz val="9"/>
            <color indexed="81"/>
            <rFont val="Tahoma"/>
            <family val="2"/>
          </rPr>
          <t>Justifique el resultado de la meta ejecutada acumulada y la comparación entre la meta proyectada acumulada.</t>
        </r>
      </text>
    </comment>
    <comment ref="K8" authorId="2">
      <text>
        <r>
          <rPr>
            <b/>
            <sz val="9"/>
            <color indexed="81"/>
            <rFont val="Tahoma"/>
            <family val="2"/>
          </rPr>
          <t>Habib Leonardo Mejia Rivera:</t>
        </r>
        <r>
          <rPr>
            <sz val="9"/>
            <color indexed="81"/>
            <rFont val="Tahoma"/>
            <family val="2"/>
          </rPr>
          <t xml:space="preserve">
2 de vial</t>
        </r>
      </text>
    </comment>
    <comment ref="V12" authorId="2">
      <text>
        <r>
          <rPr>
            <b/>
            <sz val="9"/>
            <color indexed="81"/>
            <rFont val="Tahoma"/>
            <family val="2"/>
          </rPr>
          <t>Habib Leonardo Mejia Rivera:</t>
        </r>
        <r>
          <rPr>
            <sz val="9"/>
            <color indexed="81"/>
            <rFont val="Tahoma"/>
            <family val="2"/>
          </rPr>
          <t xml:space="preserve">
averiguar agoberto mejia. Int
y San Antonio int
</t>
        </r>
      </text>
    </comment>
    <comment ref="L14" authorId="2">
      <text>
        <r>
          <rPr>
            <b/>
            <sz val="9"/>
            <color indexed="81"/>
            <rFont val="Tahoma"/>
            <family val="2"/>
          </rPr>
          <t>Habib Leonardo Mejia Rivera:</t>
        </r>
        <r>
          <rPr>
            <sz val="9"/>
            <color indexed="81"/>
            <rFont val="Tahoma"/>
            <family val="2"/>
          </rPr>
          <t xml:space="preserve">
1 T</t>
        </r>
      </text>
    </comment>
    <comment ref="M14" authorId="2">
      <text>
        <r>
          <rPr>
            <b/>
            <sz val="9"/>
            <color indexed="81"/>
            <rFont val="Tahoma"/>
            <family val="2"/>
          </rPr>
          <t>Habib Leonardo Mejia Rivera:</t>
        </r>
        <r>
          <rPr>
            <sz val="9"/>
            <color indexed="81"/>
            <rFont val="Tahoma"/>
            <family val="2"/>
          </rPr>
          <t xml:space="preserve">
1 T</t>
        </r>
      </text>
    </comment>
    <comment ref="N14" authorId="2">
      <text>
        <r>
          <rPr>
            <b/>
            <sz val="9"/>
            <color indexed="81"/>
            <rFont val="Tahoma"/>
            <family val="2"/>
          </rPr>
          <t>Habib Leonardo Mejia Rivera:</t>
        </r>
        <r>
          <rPr>
            <sz val="9"/>
            <color indexed="81"/>
            <rFont val="Tahoma"/>
            <family val="2"/>
          </rPr>
          <t xml:space="preserve">
1 T</t>
        </r>
      </text>
    </comment>
    <comment ref="O14" authorId="2">
      <text>
        <r>
          <rPr>
            <b/>
            <sz val="9"/>
            <color indexed="81"/>
            <rFont val="Tahoma"/>
            <family val="2"/>
          </rPr>
          <t>Habib Leonardo Mejia Rivera:</t>
        </r>
        <r>
          <rPr>
            <sz val="9"/>
            <color indexed="81"/>
            <rFont val="Tahoma"/>
            <family val="2"/>
          </rPr>
          <t xml:space="preserve">
1 T</t>
        </r>
      </text>
    </comment>
    <comment ref="P14" authorId="2">
      <text>
        <r>
          <rPr>
            <b/>
            <sz val="9"/>
            <color indexed="81"/>
            <rFont val="Tahoma"/>
            <family val="2"/>
          </rPr>
          <t>Habib Leonardo Mejia Rivera:</t>
        </r>
        <r>
          <rPr>
            <sz val="9"/>
            <color indexed="81"/>
            <rFont val="Tahoma"/>
            <family val="2"/>
          </rPr>
          <t xml:space="preserve">
1 T</t>
        </r>
      </text>
    </comment>
    <comment ref="Q14" authorId="2">
      <text>
        <r>
          <rPr>
            <b/>
            <sz val="9"/>
            <color indexed="81"/>
            <rFont val="Tahoma"/>
            <family val="2"/>
          </rPr>
          <t>Habib Leonardo Mejia Rivera:</t>
        </r>
        <r>
          <rPr>
            <sz val="9"/>
            <color indexed="81"/>
            <rFont val="Tahoma"/>
            <family val="2"/>
          </rPr>
          <t xml:space="preserve">
1 T</t>
        </r>
      </text>
    </comment>
    <comment ref="R14" authorId="2">
      <text>
        <r>
          <rPr>
            <b/>
            <sz val="9"/>
            <color indexed="81"/>
            <rFont val="Tahoma"/>
            <family val="2"/>
          </rPr>
          <t>Habib Leonardo Mejia Rivera:</t>
        </r>
        <r>
          <rPr>
            <sz val="9"/>
            <color indexed="81"/>
            <rFont val="Tahoma"/>
            <family val="2"/>
          </rPr>
          <t xml:space="preserve">
1 T</t>
        </r>
      </text>
    </comment>
    <comment ref="T14" authorId="2">
      <text>
        <r>
          <rPr>
            <b/>
            <sz val="9"/>
            <color indexed="81"/>
            <rFont val="Tahoma"/>
            <family val="2"/>
          </rPr>
          <t>Habib Leonardo Mejia Rivera:</t>
        </r>
        <r>
          <rPr>
            <sz val="9"/>
            <color indexed="81"/>
            <rFont val="Tahoma"/>
            <family val="2"/>
          </rPr>
          <t xml:space="preserve">
1 T</t>
        </r>
      </text>
    </comment>
    <comment ref="U14" authorId="2">
      <text>
        <r>
          <rPr>
            <b/>
            <sz val="9"/>
            <color indexed="81"/>
            <rFont val="Tahoma"/>
            <family val="2"/>
          </rPr>
          <t>Habib Leonardo Mejia Rivera:</t>
        </r>
        <r>
          <rPr>
            <sz val="9"/>
            <color indexed="81"/>
            <rFont val="Tahoma"/>
            <family val="2"/>
          </rPr>
          <t xml:space="preserve">
1 T</t>
        </r>
      </text>
    </comment>
    <comment ref="L19" authorId="2">
      <text>
        <r>
          <rPr>
            <b/>
            <sz val="9"/>
            <color indexed="81"/>
            <rFont val="Tahoma"/>
            <family val="2"/>
          </rPr>
          <t>Habib Leonardo Mejia Rivera:</t>
        </r>
        <r>
          <rPr>
            <sz val="9"/>
            <color indexed="81"/>
            <rFont val="Tahoma"/>
            <family val="2"/>
          </rPr>
          <t xml:space="preserve">
1T</t>
        </r>
      </text>
    </comment>
    <comment ref="M19" authorId="2">
      <text>
        <r>
          <rPr>
            <b/>
            <sz val="9"/>
            <color indexed="81"/>
            <rFont val="Tahoma"/>
            <family val="2"/>
          </rPr>
          <t>Habib Leonardo Mejia Rivera:</t>
        </r>
        <r>
          <rPr>
            <sz val="9"/>
            <color indexed="81"/>
            <rFont val="Tahoma"/>
            <family val="2"/>
          </rPr>
          <t xml:space="preserve">
1 T</t>
        </r>
      </text>
    </comment>
    <comment ref="Q19" authorId="2">
      <text>
        <r>
          <rPr>
            <b/>
            <sz val="9"/>
            <color indexed="81"/>
            <rFont val="Tahoma"/>
            <family val="2"/>
          </rPr>
          <t>Habib Leonardo Mejia Rivera:</t>
        </r>
        <r>
          <rPr>
            <sz val="9"/>
            <color indexed="81"/>
            <rFont val="Tahoma"/>
            <family val="2"/>
          </rPr>
          <t xml:space="preserve">
1T</t>
        </r>
      </text>
    </comment>
    <comment ref="S19" authorId="2">
      <text>
        <r>
          <rPr>
            <b/>
            <sz val="9"/>
            <color indexed="81"/>
            <rFont val="Tahoma"/>
            <family val="2"/>
          </rPr>
          <t>Habib Leonardo Mejia Rivera:</t>
        </r>
        <r>
          <rPr>
            <sz val="9"/>
            <color indexed="81"/>
            <rFont val="Tahoma"/>
            <family val="2"/>
          </rPr>
          <t xml:space="preserve">
1T</t>
        </r>
      </text>
    </comment>
    <comment ref="U19" authorId="2">
      <text>
        <r>
          <rPr>
            <b/>
            <sz val="9"/>
            <color indexed="81"/>
            <rFont val="Tahoma"/>
            <family val="2"/>
          </rPr>
          <t>Habib Leonardo Mejia Rivera:</t>
        </r>
        <r>
          <rPr>
            <sz val="9"/>
            <color indexed="81"/>
            <rFont val="Tahoma"/>
            <family val="2"/>
          </rPr>
          <t xml:space="preserve">
1 T</t>
        </r>
      </text>
    </comment>
    <comment ref="N22" authorId="2">
      <text>
        <r>
          <rPr>
            <b/>
            <sz val="9"/>
            <color indexed="81"/>
            <rFont val="Tahoma"/>
            <family val="2"/>
          </rPr>
          <t>Habib Leonardo Mejia Rivera:</t>
        </r>
        <r>
          <rPr>
            <sz val="9"/>
            <color indexed="81"/>
            <rFont val="Tahoma"/>
            <family val="2"/>
          </rPr>
          <t xml:space="preserve">
1 T</t>
        </r>
      </text>
    </comment>
    <comment ref="T22" authorId="2">
      <text>
        <r>
          <rPr>
            <b/>
            <sz val="9"/>
            <color indexed="81"/>
            <rFont val="Tahoma"/>
            <family val="2"/>
          </rPr>
          <t>Habib Leonardo Mejia Rivera:</t>
        </r>
        <r>
          <rPr>
            <sz val="9"/>
            <color indexed="81"/>
            <rFont val="Tahoma"/>
            <family val="2"/>
          </rPr>
          <t xml:space="preserve">
1T</t>
        </r>
      </text>
    </comment>
    <comment ref="U22" authorId="2">
      <text>
        <r>
          <rPr>
            <b/>
            <sz val="9"/>
            <color indexed="81"/>
            <rFont val="Tahoma"/>
            <family val="2"/>
          </rPr>
          <t>Habib Leonardo Mejia Rivera:</t>
        </r>
        <r>
          <rPr>
            <sz val="9"/>
            <color indexed="81"/>
            <rFont val="Tahoma"/>
            <family val="2"/>
          </rPr>
          <t xml:space="preserve">
1T</t>
        </r>
      </text>
    </comment>
    <comment ref="N25" authorId="2">
      <text>
        <r>
          <rPr>
            <b/>
            <sz val="9"/>
            <color indexed="81"/>
            <rFont val="Tahoma"/>
            <family val="2"/>
          </rPr>
          <t>Habib Leonardo Mejia Rivera:</t>
        </r>
        <r>
          <rPr>
            <sz val="9"/>
            <color indexed="81"/>
            <rFont val="Tahoma"/>
            <family val="2"/>
          </rPr>
          <t xml:space="preserve">
2T</t>
        </r>
      </text>
    </comment>
    <comment ref="P25" authorId="2">
      <text>
        <r>
          <rPr>
            <b/>
            <sz val="9"/>
            <color indexed="81"/>
            <rFont val="Tahoma"/>
            <family val="2"/>
          </rPr>
          <t>Habib Leonardo Mejia Rivera:</t>
        </r>
        <r>
          <rPr>
            <sz val="9"/>
            <color indexed="81"/>
            <rFont val="Tahoma"/>
            <family val="2"/>
          </rPr>
          <t xml:space="preserve">
1T</t>
        </r>
      </text>
    </comment>
    <comment ref="T25" authorId="2">
      <text>
        <r>
          <rPr>
            <b/>
            <sz val="9"/>
            <color indexed="81"/>
            <rFont val="Tahoma"/>
            <family val="2"/>
          </rPr>
          <t>Habib Leonardo Mejia Rivera:</t>
        </r>
        <r>
          <rPr>
            <sz val="9"/>
            <color indexed="81"/>
            <rFont val="Tahoma"/>
            <family val="2"/>
          </rPr>
          <t xml:space="preserve">
1T</t>
        </r>
      </text>
    </comment>
    <comment ref="Q27" authorId="2">
      <text>
        <r>
          <rPr>
            <b/>
            <sz val="9"/>
            <color indexed="81"/>
            <rFont val="Tahoma"/>
            <family val="2"/>
          </rPr>
          <t>Habib Leonardo Mejia Rivera:</t>
        </r>
        <r>
          <rPr>
            <sz val="9"/>
            <color indexed="81"/>
            <rFont val="Tahoma"/>
            <family val="2"/>
          </rPr>
          <t xml:space="preserve">
1t
</t>
        </r>
      </text>
    </comment>
    <comment ref="T27" authorId="2">
      <text>
        <r>
          <rPr>
            <b/>
            <sz val="9"/>
            <color indexed="81"/>
            <rFont val="Tahoma"/>
            <family val="2"/>
          </rPr>
          <t>Habib Leonardo Mejia Rivera:</t>
        </r>
        <r>
          <rPr>
            <sz val="9"/>
            <color indexed="81"/>
            <rFont val="Tahoma"/>
            <family val="2"/>
          </rPr>
          <t xml:space="preserve">
1t
</t>
        </r>
      </text>
    </comment>
    <comment ref="U27" authorId="2">
      <text>
        <r>
          <rPr>
            <b/>
            <sz val="9"/>
            <color indexed="81"/>
            <rFont val="Tahoma"/>
            <family val="2"/>
          </rPr>
          <t>Habib Leonardo Mejia Rivera:</t>
        </r>
        <r>
          <rPr>
            <sz val="9"/>
            <color indexed="81"/>
            <rFont val="Tahoma"/>
            <family val="2"/>
          </rPr>
          <t xml:space="preserve">
2t</t>
        </r>
      </text>
    </comment>
    <comment ref="M31" authorId="2">
      <text>
        <r>
          <rPr>
            <b/>
            <sz val="9"/>
            <color indexed="81"/>
            <rFont val="Tahoma"/>
            <family val="2"/>
          </rPr>
          <t>Habib Leonardo Mejia Rivera:</t>
        </r>
        <r>
          <rPr>
            <sz val="9"/>
            <color indexed="81"/>
            <rFont val="Tahoma"/>
            <family val="2"/>
          </rPr>
          <t xml:space="preserve">
1T</t>
        </r>
      </text>
    </comment>
    <comment ref="O31" authorId="2">
      <text>
        <r>
          <rPr>
            <b/>
            <sz val="9"/>
            <color indexed="81"/>
            <rFont val="Tahoma"/>
            <family val="2"/>
          </rPr>
          <t>Habib Leonardo Mejia Rivera:</t>
        </r>
        <r>
          <rPr>
            <sz val="9"/>
            <color indexed="81"/>
            <rFont val="Tahoma"/>
            <family val="2"/>
          </rPr>
          <t xml:space="preserve">
2T</t>
        </r>
      </text>
    </comment>
    <comment ref="P34" authorId="2">
      <text>
        <r>
          <rPr>
            <b/>
            <sz val="9"/>
            <color indexed="81"/>
            <rFont val="Tahoma"/>
            <family val="2"/>
          </rPr>
          <t>Habib Leonardo Mejia Rivera:</t>
        </r>
        <r>
          <rPr>
            <sz val="9"/>
            <color indexed="81"/>
            <rFont val="Tahoma"/>
            <family val="2"/>
          </rPr>
          <t xml:space="preserve">
1t</t>
        </r>
      </text>
    </comment>
    <comment ref="Q34" authorId="2">
      <text>
        <r>
          <rPr>
            <b/>
            <sz val="9"/>
            <color indexed="81"/>
            <rFont val="Tahoma"/>
            <family val="2"/>
          </rPr>
          <t>Habib Leonardo Mejia Rivera:</t>
        </r>
        <r>
          <rPr>
            <sz val="9"/>
            <color indexed="81"/>
            <rFont val="Tahoma"/>
            <family val="2"/>
          </rPr>
          <t xml:space="preserve">
1t</t>
        </r>
      </text>
    </comment>
    <comment ref="T34" authorId="2">
      <text>
        <r>
          <rPr>
            <b/>
            <sz val="9"/>
            <color indexed="81"/>
            <rFont val="Tahoma"/>
            <family val="2"/>
          </rPr>
          <t>Habib Leonardo Mejia Rivera:</t>
        </r>
        <r>
          <rPr>
            <sz val="9"/>
            <color indexed="81"/>
            <rFont val="Tahoma"/>
            <family val="2"/>
          </rPr>
          <t xml:space="preserve">
1t</t>
        </r>
      </text>
    </comment>
    <comment ref="V34" authorId="2">
      <text>
        <r>
          <rPr>
            <b/>
            <sz val="9"/>
            <color indexed="81"/>
            <rFont val="Tahoma"/>
            <family val="2"/>
          </rPr>
          <t>Habib Leonardo Mejia Rivera:</t>
        </r>
        <r>
          <rPr>
            <sz val="9"/>
            <color indexed="81"/>
            <rFont val="Tahoma"/>
            <family val="2"/>
          </rPr>
          <t xml:space="preserve">
1t</t>
        </r>
      </text>
    </comment>
    <comment ref="M37" authorId="2">
      <text>
        <r>
          <rPr>
            <b/>
            <sz val="9"/>
            <color indexed="81"/>
            <rFont val="Tahoma"/>
            <family val="2"/>
          </rPr>
          <t>Habib Leonardo Mejia Rivera:</t>
        </r>
        <r>
          <rPr>
            <sz val="9"/>
            <color indexed="81"/>
            <rFont val="Tahoma"/>
            <family val="2"/>
          </rPr>
          <t xml:space="preserve">
2t</t>
        </r>
      </text>
    </comment>
    <comment ref="P40" authorId="2">
      <text>
        <r>
          <rPr>
            <b/>
            <sz val="9"/>
            <color indexed="81"/>
            <rFont val="Tahoma"/>
            <family val="2"/>
          </rPr>
          <t>Habib Leonardo Mejia Rivera:</t>
        </r>
        <r>
          <rPr>
            <sz val="9"/>
            <color indexed="81"/>
            <rFont val="Tahoma"/>
            <family val="2"/>
          </rPr>
          <t xml:space="preserve">
1t
</t>
        </r>
      </text>
    </comment>
    <comment ref="Q40" authorId="2">
      <text>
        <r>
          <rPr>
            <b/>
            <sz val="9"/>
            <color indexed="81"/>
            <rFont val="Tahoma"/>
            <family val="2"/>
          </rPr>
          <t>Habib Leonardo Mejia Rivera:</t>
        </r>
        <r>
          <rPr>
            <sz val="9"/>
            <color indexed="81"/>
            <rFont val="Tahoma"/>
            <family val="2"/>
          </rPr>
          <t xml:space="preserve">
1t</t>
        </r>
      </text>
    </comment>
    <comment ref="T40" authorId="2">
      <text>
        <r>
          <rPr>
            <b/>
            <sz val="9"/>
            <color indexed="81"/>
            <rFont val="Tahoma"/>
            <family val="2"/>
          </rPr>
          <t>Habib Leonardo Mejia Rivera:</t>
        </r>
        <r>
          <rPr>
            <sz val="9"/>
            <color indexed="81"/>
            <rFont val="Tahoma"/>
            <family val="2"/>
          </rPr>
          <t xml:space="preserve">
1t
</t>
        </r>
      </text>
    </comment>
    <comment ref="V40" authorId="2">
      <text>
        <r>
          <rPr>
            <b/>
            <sz val="9"/>
            <color indexed="81"/>
            <rFont val="Tahoma"/>
            <family val="2"/>
          </rPr>
          <t>Habib Leonardo Mejia Rivera:</t>
        </r>
        <r>
          <rPr>
            <sz val="9"/>
            <color indexed="81"/>
            <rFont val="Tahoma"/>
            <family val="2"/>
          </rPr>
          <t xml:space="preserve">
1t
</t>
        </r>
      </text>
    </comment>
    <comment ref="D70" authorId="1">
      <text>
        <r>
          <rPr>
            <sz val="8"/>
            <color indexed="81"/>
            <rFont val="Tahoma"/>
            <family val="2"/>
          </rPr>
          <t>El términos "Documentos del SIG" hace referencia a manuales, procedimientos, formatos, instructivos, guías en cada uno de los procesos</t>
        </r>
      </text>
    </comment>
    <comment ref="W70" authorId="0">
      <text>
        <r>
          <rPr>
            <sz val="9"/>
            <color indexed="81"/>
            <rFont val="Tahoma"/>
            <family val="2"/>
          </rPr>
          <t xml:space="preserve">
Usuario encargado:
OAP - John Quiroga
         Carlos Campos </t>
        </r>
      </text>
    </comment>
    <comment ref="W71" authorId="0">
      <text>
        <r>
          <rPr>
            <sz val="9"/>
            <color indexed="81"/>
            <rFont val="Tahoma"/>
            <family val="2"/>
          </rPr>
          <t xml:space="preserve">
Usuario encargado:
OCI - Camilo Barajas </t>
        </r>
      </text>
    </comment>
    <comment ref="W72" authorId="0">
      <text>
        <r>
          <rPr>
            <sz val="9"/>
            <color indexed="81"/>
            <rFont val="Tahoma"/>
            <family val="2"/>
          </rPr>
          <t xml:space="preserve">
usuario encargado:
OCI - Wilson Herrera
</t>
        </r>
      </text>
    </comment>
    <comment ref="W73" authorId="0">
      <text>
        <r>
          <rPr>
            <sz val="9"/>
            <color indexed="81"/>
            <rFont val="Tahoma"/>
            <family val="2"/>
          </rPr>
          <t xml:space="preserve">
Usurario encargado 
STPC - Nelson Mauricio Izasa
</t>
        </r>
      </text>
    </comment>
    <comment ref="W74" authorId="0">
      <text>
        <r>
          <rPr>
            <sz val="9"/>
            <color indexed="81"/>
            <rFont val="Tahoma"/>
            <family val="2"/>
          </rPr>
          <t xml:space="preserve">
Usurario encargado 
STPC - Nelson Mauricio Izasa</t>
        </r>
        <r>
          <rPr>
            <sz val="9"/>
            <color indexed="81"/>
            <rFont val="Tahoma"/>
            <family val="2"/>
          </rPr>
          <t xml:space="preserve">
</t>
        </r>
      </text>
    </comment>
    <comment ref="W75" authorId="0">
      <text>
        <r>
          <rPr>
            <sz val="9"/>
            <color indexed="81"/>
            <rFont val="Tahoma"/>
            <family val="2"/>
          </rPr>
          <t xml:space="preserve">
Usuario encargado 
OAP - Luis Arnulfo Sarmiento
         Cesar Miranda</t>
        </r>
      </text>
    </comment>
    <comment ref="W76" authorId="0">
      <text>
        <r>
          <rPr>
            <sz val="9"/>
            <color indexed="81"/>
            <rFont val="Tahoma"/>
            <family val="2"/>
          </rPr>
          <t xml:space="preserve">
Usuario encargado 
STTR - Rodrigo Álvarez O
</t>
        </r>
      </text>
    </comment>
    <comment ref="W77" authorId="0">
      <text>
        <r>
          <rPr>
            <sz val="9"/>
            <color indexed="81"/>
            <rFont val="Tahoma"/>
            <family val="2"/>
          </rPr>
          <t xml:space="preserve">
Usuario encargado 
DTGC - Johana lamilla Sanchez
John Herry Cueca
</t>
        </r>
      </text>
    </comment>
  </commentList>
</comments>
</file>

<file path=xl/comments5.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fámula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7" authorId="1">
      <text>
        <r>
          <rPr>
            <sz val="8"/>
            <color indexed="81"/>
            <rFont val="Tahoma"/>
            <family val="2"/>
          </rPr>
          <t>El términos "Documentos del SIG" hace referencia a manuales, procedimientos, formatos, instructivos, guías en cada uno de los procesos</t>
        </r>
      </text>
    </comment>
  </commentList>
</comments>
</file>

<file path=xl/comments6.xml><?xml version="1.0" encoding="utf-8"?>
<comments xmlns="http://schemas.openxmlformats.org/spreadsheetml/2006/main">
  <authors>
    <author>John Alexander Quiroga Fuquene</author>
  </authors>
  <commentList>
    <comment ref="BR7" authorId="0">
      <text>
        <r>
          <rPr>
            <sz val="9"/>
            <color indexed="81"/>
            <rFont val="Tahoma"/>
            <family val="2"/>
          </rPr>
          <t>Se registra el valor de la meta ejecutada sobre el valor de la meta proyectada</t>
        </r>
      </text>
    </comment>
  </commentList>
</comments>
</file>

<file path=xl/comments7.xml><?xml version="1.0" encoding="utf-8"?>
<comments xmlns="http://schemas.openxmlformats.org/spreadsheetml/2006/main">
  <authors>
    <author>pavel pinto</author>
    <author>John Alexander Quiroga Fuquene</author>
  </authors>
  <commentList>
    <comment ref="D5" authorId="0">
      <text>
        <r>
          <rPr>
            <sz val="9"/>
            <color indexed="81"/>
            <rFont val="Tahoma"/>
            <family val="2"/>
          </rPr>
          <t>SIGLA DEL ÁREA-CONSECUTIVO</t>
        </r>
      </text>
    </comment>
    <comment ref="H5" authorId="1">
      <text>
        <r>
          <rPr>
            <b/>
            <sz val="9"/>
            <color indexed="81"/>
            <rFont val="Tahoma"/>
            <family val="2"/>
          </rPr>
          <t>De:
Eficacia
Eficiencia
Efectividad</t>
        </r>
      </text>
    </comment>
    <comment ref="AA6" authorId="1">
      <text>
        <r>
          <rPr>
            <sz val="9"/>
            <color indexed="81"/>
            <rFont val="Tahoma"/>
            <family val="2"/>
          </rPr>
          <t>Registrar la cantidad o % ejecutada en el mes (de acuerdo a la fórmula del Indicador)</t>
        </r>
      </text>
    </comment>
    <comment ref="AB6" authorId="1">
      <text>
        <r>
          <rPr>
            <sz val="9"/>
            <color indexed="81"/>
            <rFont val="Tahoma"/>
            <family val="2"/>
          </rPr>
          <t>Registrar la cantidad o % del denominador programado en el mes (de acuerdo a la fórmula del Indicador)</t>
        </r>
      </text>
    </comment>
    <comment ref="AC6" authorId="1">
      <text>
        <r>
          <rPr>
            <sz val="9"/>
            <color indexed="81"/>
            <rFont val="Tahoma"/>
            <family val="2"/>
          </rPr>
          <t>Es la relación del Numerador sobre el denominador.
Si su fúmula no contiene un denominado, escribir en este campo "1 (uno)"</t>
        </r>
      </text>
    </comment>
    <comment ref="AD6" authorId="1">
      <text>
        <r>
          <rPr>
            <sz val="9"/>
            <color indexed="81"/>
            <rFont val="Tahoma"/>
            <family val="2"/>
          </rPr>
          <t xml:space="preserve">Corresponde al valor proyectado al mes correspondiente en la distribución anual de la caracterización </t>
        </r>
      </text>
    </comment>
    <comment ref="AE6" authorId="1">
      <text>
        <r>
          <rPr>
            <sz val="9"/>
            <color indexed="81"/>
            <rFont val="Tahoma"/>
            <family val="2"/>
          </rPr>
          <t>Se registra el valor de la meta ejecutada sobre el valor de la meta proyectada</t>
        </r>
      </text>
    </comment>
    <comment ref="AF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G6" authorId="1">
      <text>
        <r>
          <rPr>
            <sz val="9"/>
            <color indexed="81"/>
            <rFont val="Tahoma"/>
            <family val="2"/>
          </rPr>
          <t>Registrar la cantidad o % ejecutada en el mes (de acuerdo a la fórmula del Indicador)</t>
        </r>
      </text>
    </comment>
    <comment ref="AH6" authorId="1">
      <text>
        <r>
          <rPr>
            <sz val="9"/>
            <color indexed="81"/>
            <rFont val="Tahoma"/>
            <family val="2"/>
          </rPr>
          <t>Registrar la cantidad o % del denominador programado en el mes (de acuerdo a la fórmula del Indicador)</t>
        </r>
      </text>
    </comment>
    <comment ref="AI6" authorId="1">
      <text>
        <r>
          <rPr>
            <sz val="9"/>
            <color indexed="81"/>
            <rFont val="Tahoma"/>
            <family val="2"/>
          </rPr>
          <t>Es la relación del Numerador sobre el denominador.
Si su fúmula no contiene un denominado, escribir en este campo "1 (uno)"</t>
        </r>
      </text>
    </comment>
    <comment ref="AJ6" authorId="1">
      <text>
        <r>
          <rPr>
            <sz val="9"/>
            <color indexed="81"/>
            <rFont val="Tahoma"/>
            <family val="2"/>
          </rPr>
          <t xml:space="preserve">Corresponde al valor proyectado al mes correspondiente en la distribución anual de la caracterización </t>
        </r>
      </text>
    </comment>
    <comment ref="AK6" authorId="1">
      <text>
        <r>
          <rPr>
            <sz val="9"/>
            <color indexed="81"/>
            <rFont val="Tahoma"/>
            <family val="2"/>
          </rPr>
          <t>Se registra el valor de la meta ejecutada sobre el valor de la meta proyectada</t>
        </r>
      </text>
    </comment>
    <comment ref="AL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M6" authorId="1">
      <text>
        <r>
          <rPr>
            <sz val="9"/>
            <color indexed="81"/>
            <rFont val="Tahoma"/>
            <family val="2"/>
          </rPr>
          <t>Registrar la cantidad o % ejecutada en el mes (de acuerdo a la fórmula del Indicador)</t>
        </r>
      </text>
    </comment>
    <comment ref="AN6" authorId="1">
      <text>
        <r>
          <rPr>
            <sz val="9"/>
            <color indexed="81"/>
            <rFont val="Tahoma"/>
            <family val="2"/>
          </rPr>
          <t>Registrar la cantidad o % del denominador programado en el mes (de acuerdo a la fórmula del Indicador)</t>
        </r>
      </text>
    </comment>
    <comment ref="AO6" authorId="1">
      <text>
        <r>
          <rPr>
            <sz val="9"/>
            <color indexed="81"/>
            <rFont val="Tahoma"/>
            <family val="2"/>
          </rPr>
          <t>Es la relación del Numerador sobre el denominador.
Si su fúmula no contiene un denominado, escribir en este campo "1 (uno)"</t>
        </r>
      </text>
    </comment>
    <comment ref="AP6" authorId="1">
      <text>
        <r>
          <rPr>
            <sz val="9"/>
            <color indexed="81"/>
            <rFont val="Tahoma"/>
            <family val="2"/>
          </rPr>
          <t xml:space="preserve">Corresponde al valor proyectado al mes correspondiente en la distribución anual de la caracterización </t>
        </r>
      </text>
    </comment>
    <comment ref="AQ6" authorId="1">
      <text>
        <r>
          <rPr>
            <sz val="9"/>
            <color indexed="81"/>
            <rFont val="Tahoma"/>
            <family val="2"/>
          </rPr>
          <t>Se registra el valor de la meta ejecutada sobre el valor de la meta proyectada</t>
        </r>
      </text>
    </comment>
    <comment ref="AR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S6" authorId="1">
      <text>
        <r>
          <rPr>
            <sz val="9"/>
            <color indexed="81"/>
            <rFont val="Tahoma"/>
            <family val="2"/>
          </rPr>
          <t>Registrar la cantidad o % ejecutada en el mes (de acuerdo a la fórmula del Indicador)</t>
        </r>
      </text>
    </comment>
    <comment ref="AT6" authorId="1">
      <text>
        <r>
          <rPr>
            <sz val="9"/>
            <color indexed="81"/>
            <rFont val="Tahoma"/>
            <family val="2"/>
          </rPr>
          <t>Registrar la cantidad o % del denominador programado en el mes (de acuerdo a la fórmula del Indicador)</t>
        </r>
      </text>
    </comment>
    <comment ref="AU6" authorId="1">
      <text>
        <r>
          <rPr>
            <sz val="9"/>
            <color indexed="81"/>
            <rFont val="Tahoma"/>
            <family val="2"/>
          </rPr>
          <t>Es la relación del Numerador sobre el denominador.
Si su fúmula no contiene un denominado, escribir en este campo "1 (uno)"</t>
        </r>
      </text>
    </comment>
    <comment ref="AV6" authorId="1">
      <text>
        <r>
          <rPr>
            <sz val="9"/>
            <color indexed="81"/>
            <rFont val="Tahoma"/>
            <family val="2"/>
          </rPr>
          <t xml:space="preserve">Corresponde al valor proyectado al mes correspondiente en la distribución anual de la caracterización </t>
        </r>
      </text>
    </comment>
    <comment ref="AW6" authorId="1">
      <text>
        <r>
          <rPr>
            <sz val="9"/>
            <color indexed="81"/>
            <rFont val="Tahoma"/>
            <family val="2"/>
          </rPr>
          <t>Se registra el valor de la meta ejecutada sobre el valor de la meta proyectada</t>
        </r>
      </text>
    </comment>
    <comment ref="AX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Y6" authorId="1">
      <text>
        <r>
          <rPr>
            <sz val="9"/>
            <color indexed="81"/>
            <rFont val="Tahoma"/>
            <family val="2"/>
          </rPr>
          <t>Registrar la cantidad o % ejecutada en el mes (de acuerdo a la fórmula del Indicador)</t>
        </r>
      </text>
    </comment>
    <comment ref="AZ6" authorId="1">
      <text>
        <r>
          <rPr>
            <sz val="9"/>
            <color indexed="81"/>
            <rFont val="Tahoma"/>
            <family val="2"/>
          </rPr>
          <t>Registrar la cantidad o % del denominador programado en el mes (de acuerdo a la fórmula del Indicador)</t>
        </r>
      </text>
    </comment>
    <comment ref="BA6" authorId="1">
      <text>
        <r>
          <rPr>
            <sz val="9"/>
            <color indexed="81"/>
            <rFont val="Tahoma"/>
            <family val="2"/>
          </rPr>
          <t>Es la relación del Numerador sobre el denominador.
Si su fúmula no contiene un denominado, escribir en este campo "1 (uno)"</t>
        </r>
      </text>
    </comment>
    <comment ref="BB6" authorId="1">
      <text>
        <r>
          <rPr>
            <sz val="9"/>
            <color indexed="81"/>
            <rFont val="Tahoma"/>
            <family val="2"/>
          </rPr>
          <t xml:space="preserve">Corresponde al valor proyectado al mes correspondiente en la distribución anual de la caracterización </t>
        </r>
      </text>
    </comment>
    <comment ref="BC6" authorId="1">
      <text>
        <r>
          <rPr>
            <sz val="9"/>
            <color indexed="81"/>
            <rFont val="Tahoma"/>
            <family val="2"/>
          </rPr>
          <t>Se registra el valor de la meta ejecutada sobre el valor de la meta proyectada</t>
        </r>
      </text>
    </comment>
    <comment ref="BD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E6" authorId="1">
      <text>
        <r>
          <rPr>
            <sz val="9"/>
            <color indexed="81"/>
            <rFont val="Tahoma"/>
            <family val="2"/>
          </rPr>
          <t>Registrar la cantidad o % ejecutada en el mes (de acuerdo a la fórmula del Indicador)</t>
        </r>
      </text>
    </comment>
    <comment ref="BF6" authorId="1">
      <text>
        <r>
          <rPr>
            <sz val="9"/>
            <color indexed="81"/>
            <rFont val="Tahoma"/>
            <family val="2"/>
          </rPr>
          <t>Registrar la cantidad o % del denominador programado en el mes (de acuerdo a la fórmula del Indicador)</t>
        </r>
      </text>
    </comment>
    <comment ref="BG6" authorId="1">
      <text>
        <r>
          <rPr>
            <sz val="9"/>
            <color indexed="81"/>
            <rFont val="Tahoma"/>
            <family val="2"/>
          </rPr>
          <t>Es la relación del Numerador sobre el denominador.
Si su fúmula no contiene un denominado, escribir en este campo "1 (uno)"</t>
        </r>
      </text>
    </comment>
    <comment ref="BH6" authorId="1">
      <text>
        <r>
          <rPr>
            <sz val="9"/>
            <color indexed="81"/>
            <rFont val="Tahoma"/>
            <family val="2"/>
          </rPr>
          <t xml:space="preserve">Corresponde al valor proyectado al mes correspondiente en la distribución anual de la caracterización </t>
        </r>
      </text>
    </comment>
    <comment ref="BI6" authorId="1">
      <text>
        <r>
          <rPr>
            <sz val="9"/>
            <color indexed="81"/>
            <rFont val="Tahoma"/>
            <family val="2"/>
          </rPr>
          <t>Se registra el valor de la meta ejecutada sobre el valor de la meta proyectada</t>
        </r>
      </text>
    </comment>
    <comment ref="BJ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K6" authorId="1">
      <text>
        <r>
          <rPr>
            <sz val="9"/>
            <color indexed="81"/>
            <rFont val="Tahoma"/>
            <family val="2"/>
          </rPr>
          <t>Registrar la cantidad o % ejecutada en el mes (de acuerdo a la fórmula del Indicador)</t>
        </r>
      </text>
    </comment>
    <comment ref="BL6" authorId="1">
      <text>
        <r>
          <rPr>
            <sz val="9"/>
            <color indexed="81"/>
            <rFont val="Tahoma"/>
            <family val="2"/>
          </rPr>
          <t>Registrar la cantidad o % del denominador programado en el mes (de acuerdo a la fórmula del Indicador)</t>
        </r>
      </text>
    </comment>
    <comment ref="BM6" authorId="1">
      <text>
        <r>
          <rPr>
            <sz val="9"/>
            <color indexed="81"/>
            <rFont val="Tahoma"/>
            <family val="2"/>
          </rPr>
          <t>Es la relación del Numerador sobre el denominador.
Si su fúmula no contiene un denominado, escribir en este campo "1 (uno)"</t>
        </r>
      </text>
    </comment>
    <comment ref="BN6" authorId="1">
      <text>
        <r>
          <rPr>
            <sz val="9"/>
            <color indexed="81"/>
            <rFont val="Tahoma"/>
            <family val="2"/>
          </rPr>
          <t xml:space="preserve">Corresponde al valor proyectado al mes correspondiente en la distribución anual de la caracterización </t>
        </r>
      </text>
    </comment>
    <comment ref="BO6" authorId="1">
      <text>
        <r>
          <rPr>
            <sz val="9"/>
            <color indexed="81"/>
            <rFont val="Tahoma"/>
            <family val="2"/>
          </rPr>
          <t>Se registra el valor de la meta ejecutada sobre el valor de la meta proyectada</t>
        </r>
      </text>
    </comment>
    <comment ref="BP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Q6" authorId="1">
      <text>
        <r>
          <rPr>
            <sz val="9"/>
            <color indexed="81"/>
            <rFont val="Tahoma"/>
            <family val="2"/>
          </rPr>
          <t>Registrar la cantidad o % ejecutada en el mes (de acuerdo a la fórmula del Indicador)</t>
        </r>
      </text>
    </comment>
    <comment ref="BR6" authorId="1">
      <text>
        <r>
          <rPr>
            <sz val="9"/>
            <color indexed="81"/>
            <rFont val="Tahoma"/>
            <family val="2"/>
          </rPr>
          <t>Registrar la cantidad o % del denominador programado en el mes (de acuerdo a la fórmula del Indicador)</t>
        </r>
      </text>
    </comment>
    <comment ref="BS6" authorId="1">
      <text>
        <r>
          <rPr>
            <sz val="9"/>
            <color indexed="81"/>
            <rFont val="Tahoma"/>
            <family val="2"/>
          </rPr>
          <t>Es la relación del Numerador sobre el denominador.
Si su fúmula no contiene un denominado, escribir en este campo "1 (uno)"</t>
        </r>
      </text>
    </comment>
    <comment ref="BT6" authorId="1">
      <text>
        <r>
          <rPr>
            <sz val="9"/>
            <color indexed="81"/>
            <rFont val="Tahoma"/>
            <family val="2"/>
          </rPr>
          <t xml:space="preserve">Corresponde al valor proyectado al mes correspondiente en la distribución anual de la caracterización </t>
        </r>
      </text>
    </comment>
    <comment ref="BU6" authorId="1">
      <text>
        <r>
          <rPr>
            <sz val="9"/>
            <color indexed="81"/>
            <rFont val="Tahoma"/>
            <family val="2"/>
          </rPr>
          <t>Se registra el valor de la meta ejecutada sobre el valor de la meta proyectada</t>
        </r>
      </text>
    </comment>
    <comment ref="BV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W6" authorId="1">
      <text>
        <r>
          <rPr>
            <sz val="9"/>
            <color indexed="81"/>
            <rFont val="Tahoma"/>
            <family val="2"/>
          </rPr>
          <t>Registrar la cantidad o % ejecutada en el mes (de acuerdo a la fórmula del Indicador)</t>
        </r>
      </text>
    </comment>
    <comment ref="BX6" authorId="1">
      <text>
        <r>
          <rPr>
            <sz val="9"/>
            <color indexed="81"/>
            <rFont val="Tahoma"/>
            <family val="2"/>
          </rPr>
          <t>Registrar la cantidad o % del denominador programado en el mes (de acuerdo a la fórmula del Indicador)</t>
        </r>
      </text>
    </comment>
    <comment ref="BY6" authorId="1">
      <text>
        <r>
          <rPr>
            <sz val="9"/>
            <color indexed="81"/>
            <rFont val="Tahoma"/>
            <family val="2"/>
          </rPr>
          <t>Es la relación del Numerador sobre el denominador.
Si su fúmula no contiene un denominado, escribir en este campo "1 (uno)"</t>
        </r>
      </text>
    </comment>
    <comment ref="BZ6" authorId="1">
      <text>
        <r>
          <rPr>
            <sz val="9"/>
            <color indexed="81"/>
            <rFont val="Tahoma"/>
            <family val="2"/>
          </rPr>
          <t xml:space="preserve">Corresponde al valor proyectado al mes correspondiente en la distribución anual de la caracterización </t>
        </r>
      </text>
    </comment>
    <comment ref="CA6" authorId="1">
      <text>
        <r>
          <rPr>
            <sz val="9"/>
            <color indexed="81"/>
            <rFont val="Tahoma"/>
            <family val="2"/>
          </rPr>
          <t>Se registra el valor de la meta ejecutada sobre el valor de la meta proyectada</t>
        </r>
      </text>
    </comment>
    <comment ref="CB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C6" authorId="1">
      <text>
        <r>
          <rPr>
            <sz val="9"/>
            <color indexed="81"/>
            <rFont val="Tahoma"/>
            <family val="2"/>
          </rPr>
          <t>Registrar la cantidad o % ejecutada en el mes (de acuerdo a la fórmula del Indicador)</t>
        </r>
      </text>
    </comment>
    <comment ref="CD6" authorId="1">
      <text>
        <r>
          <rPr>
            <sz val="9"/>
            <color indexed="81"/>
            <rFont val="Tahoma"/>
            <family val="2"/>
          </rPr>
          <t>Registrar la cantidad o % del denominador programado en el mes (de acuerdo a la fórmula del Indicador)</t>
        </r>
      </text>
    </comment>
    <comment ref="CE6" authorId="1">
      <text>
        <r>
          <rPr>
            <sz val="9"/>
            <color indexed="81"/>
            <rFont val="Tahoma"/>
            <family val="2"/>
          </rPr>
          <t>Es la relación del Numerador sobre el denominador.
Si su fúmula no contiene un denominado, escribir en este campo "1 (uno)"</t>
        </r>
      </text>
    </comment>
    <comment ref="CF6" authorId="1">
      <text>
        <r>
          <rPr>
            <sz val="9"/>
            <color indexed="81"/>
            <rFont val="Tahoma"/>
            <family val="2"/>
          </rPr>
          <t xml:space="preserve">Corresponde al valor proyectado al mes correspondiente en la distribución anual de la caracterización </t>
        </r>
      </text>
    </comment>
    <comment ref="CG6" authorId="1">
      <text>
        <r>
          <rPr>
            <sz val="9"/>
            <color indexed="81"/>
            <rFont val="Tahoma"/>
            <family val="2"/>
          </rPr>
          <t>Se registra el valor de la meta ejecutada sobre el valor de la meta proyectada</t>
        </r>
      </text>
    </comment>
    <comment ref="CH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I6" authorId="1">
      <text>
        <r>
          <rPr>
            <sz val="9"/>
            <color indexed="81"/>
            <rFont val="Tahoma"/>
            <family val="2"/>
          </rPr>
          <t>Registrar la cantidad o % ejecutada en el mes (de acuerdo a la fórmula del Indicador)</t>
        </r>
      </text>
    </comment>
    <comment ref="CJ6" authorId="1">
      <text>
        <r>
          <rPr>
            <sz val="9"/>
            <color indexed="81"/>
            <rFont val="Tahoma"/>
            <family val="2"/>
          </rPr>
          <t>Registrar la cantidad o % del denominador programado en el mes (de acuerdo a la fórmula del Indicador)</t>
        </r>
      </text>
    </comment>
    <comment ref="CK6" authorId="1">
      <text>
        <r>
          <rPr>
            <sz val="9"/>
            <color indexed="81"/>
            <rFont val="Tahoma"/>
            <family val="2"/>
          </rPr>
          <t>Es la relación del Numerador sobre el denominador.
Si su fúmula no contiene un denominado, escribir en este campo "1 (uno)"</t>
        </r>
      </text>
    </comment>
    <comment ref="CL6" authorId="1">
      <text>
        <r>
          <rPr>
            <sz val="9"/>
            <color indexed="81"/>
            <rFont val="Tahoma"/>
            <family val="2"/>
          </rPr>
          <t xml:space="preserve">Corresponde al valor proyectado al mes correspondiente en la distribución anual de la caracterización </t>
        </r>
      </text>
    </comment>
    <comment ref="CM6" authorId="1">
      <text>
        <r>
          <rPr>
            <sz val="9"/>
            <color indexed="81"/>
            <rFont val="Tahoma"/>
            <family val="2"/>
          </rPr>
          <t>Se registra el valor de la meta ejecutada sobre el valor de la meta proyectada</t>
        </r>
      </text>
    </comment>
    <comment ref="CN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O6" authorId="1">
      <text>
        <r>
          <rPr>
            <sz val="9"/>
            <color indexed="81"/>
            <rFont val="Tahoma"/>
            <family val="2"/>
          </rPr>
          <t>Registrar la cantidad o % ejecutada en el mes (de acuerdo a la fórmula del Indicador)</t>
        </r>
      </text>
    </comment>
    <comment ref="CP6" authorId="1">
      <text>
        <r>
          <rPr>
            <sz val="9"/>
            <color indexed="81"/>
            <rFont val="Tahoma"/>
            <family val="2"/>
          </rPr>
          <t>Registrar la cantidad o % del denominador programado en el mes (de acuerdo a la fórmula del Indicador)</t>
        </r>
      </text>
    </comment>
    <comment ref="CQ6" authorId="1">
      <text>
        <r>
          <rPr>
            <sz val="9"/>
            <color indexed="81"/>
            <rFont val="Tahoma"/>
            <family val="2"/>
          </rPr>
          <t>Es la relación del Numerador sobre el denominador.
Si su fúmula no contiene un denominado, escribir en este campo "1 (uno)"</t>
        </r>
      </text>
    </comment>
    <comment ref="CR6" authorId="1">
      <text>
        <r>
          <rPr>
            <sz val="9"/>
            <color indexed="81"/>
            <rFont val="Tahoma"/>
            <family val="2"/>
          </rPr>
          <t xml:space="preserve">Corresponde al valor proyectado al mes correspondiente en la distribución anual de la caracterización </t>
        </r>
      </text>
    </comment>
    <comment ref="CS6" authorId="1">
      <text>
        <r>
          <rPr>
            <sz val="9"/>
            <color indexed="81"/>
            <rFont val="Tahoma"/>
            <family val="2"/>
          </rPr>
          <t>Se registra el valor de la meta ejecutada sobre el valor de la meta proyectada</t>
        </r>
      </text>
    </comment>
    <comment ref="CT6"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U6" authorId="1">
      <text>
        <r>
          <rPr>
            <sz val="9"/>
            <color indexed="81"/>
            <rFont val="Tahoma"/>
            <family val="2"/>
          </rPr>
          <t>Registrar la cantidad o % ejecutada(o) acumulada(o) (de acuerdo a la fórmula del Indicador)</t>
        </r>
      </text>
    </comment>
    <comment ref="CV6" authorId="1">
      <text>
        <r>
          <rPr>
            <sz val="9"/>
            <color indexed="81"/>
            <rFont val="Tahoma"/>
            <family val="2"/>
          </rPr>
          <t>Registrar la cantidad o % del denominador programada(o) acumulado (de acuerdo a la fórmula del Indicador)</t>
        </r>
      </text>
    </comment>
    <comment ref="CW6" authorId="1">
      <text>
        <r>
          <rPr>
            <sz val="9"/>
            <color indexed="81"/>
            <rFont val="Tahoma"/>
            <family val="2"/>
          </rPr>
          <t>Es la relación del Numerador sobre el denominador.
Si su fúmula no contiene un denominado, escribir en este campo "1 (uno)"</t>
        </r>
      </text>
    </comment>
    <comment ref="CX6" authorId="1">
      <text>
        <r>
          <rPr>
            <sz val="9"/>
            <color indexed="81"/>
            <rFont val="Tahoma"/>
            <family val="2"/>
          </rPr>
          <t xml:space="preserve">Corresponde al valor de la meta proyectada al año correspondiente a lo establecido en la caracterización </t>
        </r>
      </text>
    </comment>
    <comment ref="CY6" authorId="1">
      <text>
        <r>
          <rPr>
            <sz val="9"/>
            <color indexed="81"/>
            <rFont val="Tahoma"/>
            <family val="2"/>
          </rPr>
          <t>Se registra el valor de la meta ejecutada sobre el valor de la meta proyectada</t>
        </r>
      </text>
    </comment>
    <comment ref="CZ6" authorId="1">
      <text>
        <r>
          <rPr>
            <sz val="9"/>
            <color indexed="81"/>
            <rFont val="Tahoma"/>
            <family val="2"/>
          </rPr>
          <t>Justifique el resultado de la meta ejecutada acumulada y la comparación entre la meta proyectada acumulada.</t>
        </r>
      </text>
    </comment>
    <comment ref="H14" authorId="1">
      <text>
        <r>
          <rPr>
            <b/>
            <sz val="9"/>
            <color indexed="81"/>
            <rFont val="Tahoma"/>
            <family val="2"/>
          </rPr>
          <t>De:
Eficacia
Eficiencia
Efectividad</t>
        </r>
      </text>
    </comment>
    <comment ref="CY14" authorId="1">
      <text>
        <r>
          <rPr>
            <sz val="9"/>
            <color indexed="81"/>
            <rFont val="Tahoma"/>
            <family val="2"/>
          </rPr>
          <t>Se registra el valor de la meta ejecutada sobre el valor de la meta proyectada</t>
        </r>
      </text>
    </comment>
    <comment ref="CZ14" authorId="1">
      <text>
        <r>
          <rPr>
            <sz val="9"/>
            <color indexed="81"/>
            <rFont val="Tahoma"/>
            <family val="2"/>
          </rPr>
          <t>Justifique el resultado de la meta ejecutada acumulada y la comparación entre la meta proyectada acumulada.</t>
        </r>
      </text>
    </comment>
    <comment ref="AA15" authorId="1">
      <text>
        <r>
          <rPr>
            <sz val="9"/>
            <color indexed="81"/>
            <rFont val="Tahoma"/>
            <family val="2"/>
          </rPr>
          <t>Registrar la cantidad o % ejecutada en el mes (de acuerdo a la fórmula del Indicador)</t>
        </r>
      </text>
    </comment>
    <comment ref="AB15" authorId="1">
      <text>
        <r>
          <rPr>
            <sz val="9"/>
            <color indexed="81"/>
            <rFont val="Tahoma"/>
            <family val="2"/>
          </rPr>
          <t>Registrar la cantidad o % del denominador programado en el mes (de acuerdo a la fórmula del Indicador)</t>
        </r>
      </text>
    </comment>
    <comment ref="AC15" authorId="1">
      <text>
        <r>
          <rPr>
            <sz val="9"/>
            <color indexed="81"/>
            <rFont val="Tahoma"/>
            <family val="2"/>
          </rPr>
          <t>Es la relación del Numerador sobre el denominador.
Si su fúmula no contiene un denominado, escribir en este campo "1 (uno)"</t>
        </r>
      </text>
    </comment>
    <comment ref="AD15" authorId="1">
      <text>
        <r>
          <rPr>
            <sz val="9"/>
            <color indexed="81"/>
            <rFont val="Tahoma"/>
            <family val="2"/>
          </rPr>
          <t xml:space="preserve">Corresponde al valor proyectado al mes correspondiente en la distribución anual de la caracterización </t>
        </r>
      </text>
    </comment>
    <comment ref="AE15" authorId="1">
      <text>
        <r>
          <rPr>
            <sz val="9"/>
            <color indexed="81"/>
            <rFont val="Tahoma"/>
            <family val="2"/>
          </rPr>
          <t>Se registra el valor de la meta ejecutada sobre el valor de la meta proyectada</t>
        </r>
      </text>
    </comment>
    <comment ref="AF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G15" authorId="1">
      <text>
        <r>
          <rPr>
            <sz val="9"/>
            <color indexed="81"/>
            <rFont val="Tahoma"/>
            <family val="2"/>
          </rPr>
          <t>Registrar la cantidad o % ejecutada en el mes (de acuerdo a la fórmula del Indicador)</t>
        </r>
      </text>
    </comment>
    <comment ref="AH15" authorId="1">
      <text>
        <r>
          <rPr>
            <sz val="9"/>
            <color indexed="81"/>
            <rFont val="Tahoma"/>
            <family val="2"/>
          </rPr>
          <t>Registrar la cantidad o % del denominador programado en el mes (de acuerdo a la fórmula del Indicador)</t>
        </r>
      </text>
    </comment>
    <comment ref="AI15" authorId="1">
      <text>
        <r>
          <rPr>
            <sz val="9"/>
            <color indexed="81"/>
            <rFont val="Tahoma"/>
            <family val="2"/>
          </rPr>
          <t>Es la relación del Numerador sobre el denominador.
Si su fúmula no contiene un denominado, escribir en este campo "1 (uno)"</t>
        </r>
      </text>
    </comment>
    <comment ref="AJ15" authorId="1">
      <text>
        <r>
          <rPr>
            <sz val="9"/>
            <color indexed="81"/>
            <rFont val="Tahoma"/>
            <family val="2"/>
          </rPr>
          <t xml:space="preserve">Corresponde al valor proyectado al mes correspondiente en la distribución anual de la caracterización </t>
        </r>
      </text>
    </comment>
    <comment ref="AK15" authorId="1">
      <text>
        <r>
          <rPr>
            <sz val="9"/>
            <color indexed="81"/>
            <rFont val="Tahoma"/>
            <family val="2"/>
          </rPr>
          <t>Se registra el valor de la meta ejecutada sobre el valor de la meta proyectada</t>
        </r>
      </text>
    </comment>
    <comment ref="AL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M15" authorId="1">
      <text>
        <r>
          <rPr>
            <sz val="9"/>
            <color indexed="81"/>
            <rFont val="Tahoma"/>
            <family val="2"/>
          </rPr>
          <t>Registrar la cantidad o % ejecutada en el mes (de acuerdo a la fórmula del Indicador)</t>
        </r>
      </text>
    </comment>
    <comment ref="AN15" authorId="1">
      <text>
        <r>
          <rPr>
            <sz val="9"/>
            <color indexed="81"/>
            <rFont val="Tahoma"/>
            <family val="2"/>
          </rPr>
          <t>Registrar la cantidad o % del denominador programado en el mes (de acuerdo a la fórmula del Indicador)</t>
        </r>
      </text>
    </comment>
    <comment ref="AO15" authorId="1">
      <text>
        <r>
          <rPr>
            <sz val="9"/>
            <color indexed="81"/>
            <rFont val="Tahoma"/>
            <family val="2"/>
          </rPr>
          <t>Es la relación del Numerador sobre el denominador.
Si su fúmula no contiene un denominado, escribir en este campo "1 (uno)"</t>
        </r>
      </text>
    </comment>
    <comment ref="AP15" authorId="1">
      <text>
        <r>
          <rPr>
            <sz val="9"/>
            <color indexed="81"/>
            <rFont val="Tahoma"/>
            <family val="2"/>
          </rPr>
          <t xml:space="preserve">Corresponde al valor proyectado al mes correspondiente en la distribución anual de la caracterización </t>
        </r>
      </text>
    </comment>
    <comment ref="AQ15" authorId="1">
      <text>
        <r>
          <rPr>
            <sz val="9"/>
            <color indexed="81"/>
            <rFont val="Tahoma"/>
            <family val="2"/>
          </rPr>
          <t>Se registra el valor de la meta ejecutada sobre el valor de la meta proyectada</t>
        </r>
      </text>
    </comment>
    <comment ref="AR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S15" authorId="1">
      <text>
        <r>
          <rPr>
            <sz val="9"/>
            <color indexed="81"/>
            <rFont val="Tahoma"/>
            <family val="2"/>
          </rPr>
          <t>Registrar la cantidad o % ejecutada en el mes (de acuerdo a la fórmula del Indicador)</t>
        </r>
      </text>
    </comment>
    <comment ref="AT15" authorId="1">
      <text>
        <r>
          <rPr>
            <sz val="9"/>
            <color indexed="81"/>
            <rFont val="Tahoma"/>
            <family val="2"/>
          </rPr>
          <t>Registrar la cantidad o % del denominador programado en el mes (de acuerdo a la fórmula del Indicador)</t>
        </r>
      </text>
    </comment>
    <comment ref="AU15" authorId="1">
      <text>
        <r>
          <rPr>
            <sz val="9"/>
            <color indexed="81"/>
            <rFont val="Tahoma"/>
            <family val="2"/>
          </rPr>
          <t>Es la relación del Numerador sobre el denominador.
Si su fúmula no contiene un denominado, escribir en este campo "1 (uno)"</t>
        </r>
      </text>
    </comment>
    <comment ref="AV15" authorId="1">
      <text>
        <r>
          <rPr>
            <sz val="9"/>
            <color indexed="81"/>
            <rFont val="Tahoma"/>
            <family val="2"/>
          </rPr>
          <t xml:space="preserve">Corresponde al valor proyectado al mes correspondiente en la distribución anual de la caracterización </t>
        </r>
      </text>
    </comment>
    <comment ref="AW15" authorId="1">
      <text>
        <r>
          <rPr>
            <sz val="9"/>
            <color indexed="81"/>
            <rFont val="Tahoma"/>
            <family val="2"/>
          </rPr>
          <t>Se registra el valor de la meta ejecutada sobre el valor de la meta proyectada</t>
        </r>
      </text>
    </comment>
    <comment ref="AX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Y15" authorId="1">
      <text>
        <r>
          <rPr>
            <sz val="9"/>
            <color indexed="81"/>
            <rFont val="Tahoma"/>
            <family val="2"/>
          </rPr>
          <t>Registrar la cantidad o % ejecutada en el mes (de acuerdo a la fórmula del Indicador)</t>
        </r>
      </text>
    </comment>
    <comment ref="AZ15" authorId="1">
      <text>
        <r>
          <rPr>
            <sz val="9"/>
            <color indexed="81"/>
            <rFont val="Tahoma"/>
            <family val="2"/>
          </rPr>
          <t>Registrar la cantidad o % del denominador programado en el mes (de acuerdo a la fórmula del Indicador)</t>
        </r>
      </text>
    </comment>
    <comment ref="BA15" authorId="1">
      <text>
        <r>
          <rPr>
            <sz val="9"/>
            <color indexed="81"/>
            <rFont val="Tahoma"/>
            <family val="2"/>
          </rPr>
          <t>Es la relación del Numerador sobre el denominador.
Si su fúmula no contiene un denominado, escribir en este campo "1 (uno)"</t>
        </r>
      </text>
    </comment>
    <comment ref="BB15" authorId="1">
      <text>
        <r>
          <rPr>
            <sz val="9"/>
            <color indexed="81"/>
            <rFont val="Tahoma"/>
            <family val="2"/>
          </rPr>
          <t xml:space="preserve">Corresponde al valor proyectado al mes correspondiente en la distribución anual de la caracterización </t>
        </r>
      </text>
    </comment>
    <comment ref="BC15" authorId="1">
      <text>
        <r>
          <rPr>
            <sz val="9"/>
            <color indexed="81"/>
            <rFont val="Tahoma"/>
            <family val="2"/>
          </rPr>
          <t>Se registra el valor de la meta ejecutada sobre el valor de la meta proyectada</t>
        </r>
      </text>
    </comment>
    <comment ref="BD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E15" authorId="1">
      <text>
        <r>
          <rPr>
            <sz val="9"/>
            <color indexed="81"/>
            <rFont val="Tahoma"/>
            <family val="2"/>
          </rPr>
          <t>Registrar la cantidad o % ejecutada en el mes (de acuerdo a la fórmula del Indicador)</t>
        </r>
      </text>
    </comment>
    <comment ref="BF15" authorId="1">
      <text>
        <r>
          <rPr>
            <sz val="9"/>
            <color indexed="81"/>
            <rFont val="Tahoma"/>
            <family val="2"/>
          </rPr>
          <t>Registrar la cantidad o % del denominador programado en el mes (de acuerdo a la fórmula del Indicador)</t>
        </r>
      </text>
    </comment>
    <comment ref="BG15" authorId="1">
      <text>
        <r>
          <rPr>
            <sz val="9"/>
            <color indexed="81"/>
            <rFont val="Tahoma"/>
            <family val="2"/>
          </rPr>
          <t>Es la relación del Numerador sobre el denominador.
Si su fúmula no contiene un denominado, escribir en este campo "1 (uno)"</t>
        </r>
      </text>
    </comment>
    <comment ref="BH15" authorId="1">
      <text>
        <r>
          <rPr>
            <sz val="9"/>
            <color indexed="81"/>
            <rFont val="Tahoma"/>
            <family val="2"/>
          </rPr>
          <t xml:space="preserve">Corresponde al valor proyectado al mes correspondiente en la distribución anual de la caracterización </t>
        </r>
      </text>
    </comment>
    <comment ref="BI15" authorId="1">
      <text>
        <r>
          <rPr>
            <sz val="9"/>
            <color indexed="81"/>
            <rFont val="Tahoma"/>
            <family val="2"/>
          </rPr>
          <t>Se registra el valor de la meta ejecutada sobre el valor de la meta proyectada</t>
        </r>
      </text>
    </comment>
    <comment ref="BJ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K15" authorId="1">
      <text>
        <r>
          <rPr>
            <sz val="9"/>
            <color indexed="81"/>
            <rFont val="Tahoma"/>
            <family val="2"/>
          </rPr>
          <t>Registrar la cantidad o % ejecutada en el mes (de acuerdo a la fórmula del Indicador)</t>
        </r>
      </text>
    </comment>
    <comment ref="BL15" authorId="1">
      <text>
        <r>
          <rPr>
            <sz val="9"/>
            <color indexed="81"/>
            <rFont val="Tahoma"/>
            <family val="2"/>
          </rPr>
          <t>Registrar la cantidad o % del denominador programado en el mes (de acuerdo a la fórmula del Indicador)</t>
        </r>
      </text>
    </comment>
    <comment ref="BM15" authorId="1">
      <text>
        <r>
          <rPr>
            <sz val="9"/>
            <color indexed="81"/>
            <rFont val="Tahoma"/>
            <family val="2"/>
          </rPr>
          <t>Es la relación del Numerador sobre el denominador.
Si su fúmula no contiene un denominado, escribir en este campo "1 (uno)"</t>
        </r>
      </text>
    </comment>
    <comment ref="BN15" authorId="1">
      <text>
        <r>
          <rPr>
            <sz val="9"/>
            <color indexed="81"/>
            <rFont val="Tahoma"/>
            <family val="2"/>
          </rPr>
          <t xml:space="preserve">Corresponde al valor proyectado al mes correspondiente en la distribución anual de la caracterización </t>
        </r>
      </text>
    </comment>
    <comment ref="BO15" authorId="1">
      <text>
        <r>
          <rPr>
            <sz val="9"/>
            <color indexed="81"/>
            <rFont val="Tahoma"/>
            <family val="2"/>
          </rPr>
          <t>Se registra el valor de la meta ejecutada sobre el valor de la meta proyectada</t>
        </r>
      </text>
    </comment>
    <comment ref="BP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Q15" authorId="1">
      <text>
        <r>
          <rPr>
            <sz val="9"/>
            <color indexed="81"/>
            <rFont val="Tahoma"/>
            <family val="2"/>
          </rPr>
          <t>Registrar la cantidad o % ejecutada en el mes (de acuerdo a la fórmula del Indicador)</t>
        </r>
      </text>
    </comment>
    <comment ref="BR15" authorId="1">
      <text>
        <r>
          <rPr>
            <sz val="9"/>
            <color indexed="81"/>
            <rFont val="Tahoma"/>
            <family val="2"/>
          </rPr>
          <t>Registrar la cantidad o % del denominador programado en el mes (de acuerdo a la fórmula del Indicador)</t>
        </r>
      </text>
    </comment>
    <comment ref="BS15" authorId="1">
      <text>
        <r>
          <rPr>
            <sz val="9"/>
            <color indexed="81"/>
            <rFont val="Tahoma"/>
            <family val="2"/>
          </rPr>
          <t>Es la relación del Numerador sobre el denominador.
Si su fúmula no contiene un denominado, escribir en este campo "1 (uno)"</t>
        </r>
      </text>
    </comment>
    <comment ref="BT15" authorId="1">
      <text>
        <r>
          <rPr>
            <sz val="9"/>
            <color indexed="81"/>
            <rFont val="Tahoma"/>
            <family val="2"/>
          </rPr>
          <t xml:space="preserve">Corresponde al valor proyectado al mes correspondiente en la distribución anual de la caracterización </t>
        </r>
      </text>
    </comment>
    <comment ref="BU15" authorId="1">
      <text>
        <r>
          <rPr>
            <sz val="9"/>
            <color indexed="81"/>
            <rFont val="Tahoma"/>
            <family val="2"/>
          </rPr>
          <t>Se registra el valor de la meta ejecutada sobre el valor de la meta proyectada</t>
        </r>
      </text>
    </comment>
    <comment ref="BV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W15" authorId="1">
      <text>
        <r>
          <rPr>
            <sz val="9"/>
            <color indexed="81"/>
            <rFont val="Tahoma"/>
            <family val="2"/>
          </rPr>
          <t>Registrar la cantidad o % ejecutada en el mes (de acuerdo a la fórmula del Indicador)</t>
        </r>
      </text>
    </comment>
    <comment ref="BX15" authorId="1">
      <text>
        <r>
          <rPr>
            <sz val="9"/>
            <color indexed="81"/>
            <rFont val="Tahoma"/>
            <family val="2"/>
          </rPr>
          <t>Registrar la cantidad o % del denominador programado en el mes (de acuerdo a la fórmula del Indicador)</t>
        </r>
      </text>
    </comment>
    <comment ref="BY15" authorId="1">
      <text>
        <r>
          <rPr>
            <sz val="9"/>
            <color indexed="81"/>
            <rFont val="Tahoma"/>
            <family val="2"/>
          </rPr>
          <t>Es la relación del Numerador sobre el denominador.
Si su fúmula no contiene un denominado, escribir en este campo "1 (uno)"</t>
        </r>
      </text>
    </comment>
    <comment ref="BZ15" authorId="1">
      <text>
        <r>
          <rPr>
            <sz val="9"/>
            <color indexed="81"/>
            <rFont val="Tahoma"/>
            <family val="2"/>
          </rPr>
          <t xml:space="preserve">Corresponde al valor proyectado al mes correspondiente en la distribución anual de la caracterización </t>
        </r>
      </text>
    </comment>
    <comment ref="CA15" authorId="1">
      <text>
        <r>
          <rPr>
            <sz val="9"/>
            <color indexed="81"/>
            <rFont val="Tahoma"/>
            <family val="2"/>
          </rPr>
          <t>Se registra el valor de la meta ejecutada sobre el valor de la meta proyectada</t>
        </r>
      </text>
    </comment>
    <comment ref="CB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C15" authorId="1">
      <text>
        <r>
          <rPr>
            <sz val="9"/>
            <color indexed="81"/>
            <rFont val="Tahoma"/>
            <family val="2"/>
          </rPr>
          <t>Registrar la cantidad o % ejecutada en el mes (de acuerdo a la fórmula del Indicador)</t>
        </r>
      </text>
    </comment>
    <comment ref="CD15" authorId="1">
      <text>
        <r>
          <rPr>
            <sz val="9"/>
            <color indexed="81"/>
            <rFont val="Tahoma"/>
            <family val="2"/>
          </rPr>
          <t>Registrar la cantidad o % del denominador programado en el mes (de acuerdo a la fórmula del Indicador)</t>
        </r>
      </text>
    </comment>
    <comment ref="CE15" authorId="1">
      <text>
        <r>
          <rPr>
            <sz val="9"/>
            <color indexed="81"/>
            <rFont val="Tahoma"/>
            <family val="2"/>
          </rPr>
          <t>Es la relación del Numerador sobre el denominador.
Si su fúmula no contiene un denominado, escribir en este campo "1 (uno)"</t>
        </r>
      </text>
    </comment>
    <comment ref="CF15" authorId="1">
      <text>
        <r>
          <rPr>
            <sz val="9"/>
            <color indexed="81"/>
            <rFont val="Tahoma"/>
            <family val="2"/>
          </rPr>
          <t xml:space="preserve">Corresponde al valor proyectado al mes correspondiente en la distribución anual de la caracterización </t>
        </r>
      </text>
    </comment>
    <comment ref="CG15" authorId="1">
      <text>
        <r>
          <rPr>
            <sz val="9"/>
            <color indexed="81"/>
            <rFont val="Tahoma"/>
            <family val="2"/>
          </rPr>
          <t>Se registra el valor de la meta ejecutada sobre el valor de la meta proyectada</t>
        </r>
      </text>
    </comment>
    <comment ref="CH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I15" authorId="1">
      <text>
        <r>
          <rPr>
            <sz val="9"/>
            <color indexed="81"/>
            <rFont val="Tahoma"/>
            <family val="2"/>
          </rPr>
          <t>Registrar la cantidad o % ejecutada en el mes (de acuerdo a la fórmula del Indicador)</t>
        </r>
      </text>
    </comment>
    <comment ref="CJ15" authorId="1">
      <text>
        <r>
          <rPr>
            <sz val="9"/>
            <color indexed="81"/>
            <rFont val="Tahoma"/>
            <family val="2"/>
          </rPr>
          <t>Registrar la cantidad o % del denominador programado en el mes (de acuerdo a la fórmula del Indicador)</t>
        </r>
      </text>
    </comment>
    <comment ref="CK15" authorId="1">
      <text>
        <r>
          <rPr>
            <sz val="9"/>
            <color indexed="81"/>
            <rFont val="Tahoma"/>
            <family val="2"/>
          </rPr>
          <t>Es la relación del Numerador sobre el denominador.
Si su fúmula no contiene un denominado, escribir en este campo "1 (uno)"</t>
        </r>
      </text>
    </comment>
    <comment ref="CL15" authorId="1">
      <text>
        <r>
          <rPr>
            <sz val="9"/>
            <color indexed="81"/>
            <rFont val="Tahoma"/>
            <family val="2"/>
          </rPr>
          <t xml:space="preserve">Corresponde al valor proyectado al mes correspondiente en la distribución anual de la caracterización </t>
        </r>
      </text>
    </comment>
    <comment ref="CM15" authorId="1">
      <text>
        <r>
          <rPr>
            <sz val="9"/>
            <color indexed="81"/>
            <rFont val="Tahoma"/>
            <family val="2"/>
          </rPr>
          <t>Se registra el valor de la meta ejecutada sobre el valor de la meta proyectada</t>
        </r>
      </text>
    </comment>
    <comment ref="CN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O15" authorId="1">
      <text>
        <r>
          <rPr>
            <sz val="9"/>
            <color indexed="81"/>
            <rFont val="Tahoma"/>
            <family val="2"/>
          </rPr>
          <t>Registrar la cantidad o % ejecutada en el mes (de acuerdo a la fórmula del Indicador)</t>
        </r>
      </text>
    </comment>
    <comment ref="CP15" authorId="1">
      <text>
        <r>
          <rPr>
            <sz val="9"/>
            <color indexed="81"/>
            <rFont val="Tahoma"/>
            <family val="2"/>
          </rPr>
          <t>Registrar la cantidad o % del denominador programado en el mes (de acuerdo a la fórmula del Indicador)</t>
        </r>
      </text>
    </comment>
    <comment ref="CQ15" authorId="1">
      <text>
        <r>
          <rPr>
            <sz val="9"/>
            <color indexed="81"/>
            <rFont val="Tahoma"/>
            <family val="2"/>
          </rPr>
          <t>Es la relación del Numerador sobre el denominador.
Si su fúmula no contiene un denominado, escribir en este campo "1 (uno)"</t>
        </r>
      </text>
    </comment>
    <comment ref="CR15" authorId="1">
      <text>
        <r>
          <rPr>
            <sz val="9"/>
            <color indexed="81"/>
            <rFont val="Tahoma"/>
            <family val="2"/>
          </rPr>
          <t xml:space="preserve">Corresponde al valor proyectado al mes correspondiente en la distribución anual de la caracterización </t>
        </r>
      </text>
    </comment>
    <comment ref="CS15" authorId="1">
      <text>
        <r>
          <rPr>
            <sz val="9"/>
            <color indexed="81"/>
            <rFont val="Tahoma"/>
            <family val="2"/>
          </rPr>
          <t>Se registra el valor de la meta ejecutada sobre el valor de la meta proyectada</t>
        </r>
      </text>
    </comment>
    <comment ref="CT15"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U15" authorId="1">
      <text>
        <r>
          <rPr>
            <sz val="9"/>
            <color indexed="81"/>
            <rFont val="Tahoma"/>
            <family val="2"/>
          </rPr>
          <t>Registrar la cantidad o % ejecutada(o) acumulada(o) (de acuerdo a la fórmula del Indicador)</t>
        </r>
      </text>
    </comment>
    <comment ref="CV15" authorId="1">
      <text>
        <r>
          <rPr>
            <sz val="9"/>
            <color indexed="81"/>
            <rFont val="Tahoma"/>
            <family val="2"/>
          </rPr>
          <t>Registrar la cantidad o % del denominador programada(o) acumulado (de acuerdo a la fórmula del Indicador)</t>
        </r>
      </text>
    </comment>
    <comment ref="CW15" authorId="1">
      <text>
        <r>
          <rPr>
            <sz val="9"/>
            <color indexed="81"/>
            <rFont val="Tahoma"/>
            <family val="2"/>
          </rPr>
          <t>Es la relación del Numerador sobre el denominador.
Si su fúmula no contiene un denominado, escribir en este campo "1 (uno)"</t>
        </r>
      </text>
    </comment>
    <comment ref="CX15" authorId="1">
      <text>
        <r>
          <rPr>
            <sz val="9"/>
            <color indexed="81"/>
            <rFont val="Tahoma"/>
            <family val="2"/>
          </rPr>
          <t xml:space="preserve">Corresponde al valor de la meta proyectada al año correspondiente a lo establecido en la caracterización </t>
        </r>
      </text>
    </comment>
    <comment ref="CY15" authorId="1">
      <text>
        <r>
          <rPr>
            <sz val="9"/>
            <color indexed="81"/>
            <rFont val="Tahoma"/>
            <family val="2"/>
          </rPr>
          <t>Se registra el valor de la meta ejecutada sobre el valor de la meta proyectada</t>
        </r>
      </text>
    </comment>
    <comment ref="CZ15" authorId="1">
      <text>
        <r>
          <rPr>
            <sz val="9"/>
            <color indexed="81"/>
            <rFont val="Tahoma"/>
            <family val="2"/>
          </rPr>
          <t>Justifique el resultado de la meta ejecutada acumulada y la comparación entre la meta proyectada acumulada.</t>
        </r>
      </text>
    </comment>
    <comment ref="E17" authorId="1">
      <text>
        <r>
          <rPr>
            <sz val="8"/>
            <color indexed="81"/>
            <rFont val="Tahoma"/>
            <family val="2"/>
          </rPr>
          <t>El términos "Documentos del SIG" hace referencia a manuales, procedimientos, formatos, instructivos, guías en cada uno de los procesos</t>
        </r>
      </text>
    </comment>
    <comment ref="Y17" authorId="0">
      <text>
        <r>
          <rPr>
            <sz val="9"/>
            <color indexed="81"/>
            <rFont val="Tahoma"/>
            <family val="2"/>
          </rPr>
          <t xml:space="preserve">
Usuario encargado:
OAP - John Quiroga
         Carlos Campos </t>
        </r>
      </text>
    </comment>
    <comment ref="Y18" authorId="0">
      <text>
        <r>
          <rPr>
            <sz val="9"/>
            <color indexed="81"/>
            <rFont val="Tahoma"/>
            <family val="2"/>
          </rPr>
          <t xml:space="preserve">
Usuario encargado:
OCI - Camilo Barajas </t>
        </r>
      </text>
    </comment>
    <comment ref="Y19" authorId="0">
      <text>
        <r>
          <rPr>
            <sz val="9"/>
            <color indexed="81"/>
            <rFont val="Tahoma"/>
            <family val="2"/>
          </rPr>
          <t xml:space="preserve">
usuario encargado:
OCI - wilson Herrera
</t>
        </r>
      </text>
    </comment>
    <comment ref="Y20" authorId="0">
      <text>
        <r>
          <rPr>
            <sz val="9"/>
            <color indexed="81"/>
            <rFont val="Tahoma"/>
            <family val="2"/>
          </rPr>
          <t xml:space="preserve">
Usurario encargado 
STPC - Nelson mauricio Izasa
</t>
        </r>
      </text>
    </comment>
    <comment ref="Y21" authorId="0">
      <text>
        <r>
          <rPr>
            <sz val="9"/>
            <color indexed="81"/>
            <rFont val="Tahoma"/>
            <family val="2"/>
          </rPr>
          <t xml:space="preserve">
Usurario encargado 
STPC - Nelson mauricio Izasa</t>
        </r>
        <r>
          <rPr>
            <sz val="9"/>
            <color indexed="81"/>
            <rFont val="Tahoma"/>
            <family val="2"/>
          </rPr>
          <t xml:space="preserve">
</t>
        </r>
      </text>
    </comment>
    <comment ref="Y22" authorId="0">
      <text>
        <r>
          <rPr>
            <sz val="9"/>
            <color indexed="81"/>
            <rFont val="Tahoma"/>
            <family val="2"/>
          </rPr>
          <t xml:space="preserve">
Usuario encargado 
OAP - Luis Arnulfo Sarmiento
         Cesar Miranda</t>
        </r>
      </text>
    </comment>
    <comment ref="Y23" authorId="0">
      <text>
        <r>
          <rPr>
            <sz val="9"/>
            <color indexed="81"/>
            <rFont val="Tahoma"/>
            <family val="2"/>
          </rPr>
          <t xml:space="preserve">
Usuario encargado 
STTR - Rodrigo Alvarez O
</t>
        </r>
      </text>
    </comment>
    <comment ref="Y24" authorId="0">
      <text>
        <r>
          <rPr>
            <sz val="9"/>
            <color indexed="81"/>
            <rFont val="Tahoma"/>
            <family val="2"/>
          </rPr>
          <t xml:space="preserve">
Usuario encargado 
DTGC - Johana lamilla Sanchez
John Herry Cueca
</t>
        </r>
      </text>
    </comment>
  </commentList>
</comments>
</file>

<file path=xl/comments8.xml><?xml version="1.0" encoding="utf-8"?>
<comments xmlns="http://schemas.openxmlformats.org/spreadsheetml/2006/main">
  <authors>
    <author>pavel pinto</author>
    <author>John Alexander Quiroga Fuquene</author>
  </authors>
  <commentList>
    <comment ref="C6" authorId="0">
      <text>
        <r>
          <rPr>
            <sz val="9"/>
            <color indexed="81"/>
            <rFont val="Tahoma"/>
            <family val="2"/>
          </rPr>
          <t>SIGLA DEL ÁREA-CONSECUTIVO</t>
        </r>
      </text>
    </comment>
    <comment ref="G6" authorId="1">
      <text>
        <r>
          <rPr>
            <b/>
            <sz val="9"/>
            <color indexed="81"/>
            <rFont val="Tahoma"/>
            <family val="2"/>
          </rPr>
          <t>De:
Eficacia
Eficiencia
Efectividad</t>
        </r>
      </text>
    </comment>
    <comment ref="X7" authorId="1">
      <text>
        <r>
          <rPr>
            <sz val="9"/>
            <color indexed="81"/>
            <rFont val="Tahoma"/>
            <family val="2"/>
          </rPr>
          <t>Registrar la cantidad o % ejecutada en el mes (de acuerdo a la fórmula del Indicador)</t>
        </r>
      </text>
    </comment>
    <comment ref="Y7" authorId="1">
      <text>
        <r>
          <rPr>
            <sz val="9"/>
            <color indexed="81"/>
            <rFont val="Tahoma"/>
            <family val="2"/>
          </rPr>
          <t>Registrar la cantidad o % del denominador programado en el mes (de acuerdo a la fórmula del Indicador)</t>
        </r>
      </text>
    </comment>
    <comment ref="Z7" authorId="1">
      <text>
        <r>
          <rPr>
            <sz val="9"/>
            <color indexed="81"/>
            <rFont val="Tahoma"/>
            <family val="2"/>
          </rPr>
          <t>Es la relación del Numerador sobre el denominador.
Si su fúmula no contiene un denominado, escribir en este campo "1 (uno)"</t>
        </r>
      </text>
    </comment>
    <comment ref="AA7" authorId="1">
      <text>
        <r>
          <rPr>
            <sz val="9"/>
            <color indexed="81"/>
            <rFont val="Tahoma"/>
            <family val="2"/>
          </rPr>
          <t xml:space="preserve">Corresponde al valor proyectado al mes correspondiente en la distribución anual de la caracterización </t>
        </r>
      </text>
    </comment>
    <comment ref="AB7" authorId="1">
      <text>
        <r>
          <rPr>
            <sz val="9"/>
            <color indexed="81"/>
            <rFont val="Tahoma"/>
            <family val="2"/>
          </rPr>
          <t>Se registra el valor de la meta ejecutada sobre el valor de la meta proyectada</t>
        </r>
      </text>
    </comment>
    <comment ref="AC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1">
      <text>
        <r>
          <rPr>
            <sz val="9"/>
            <color indexed="81"/>
            <rFont val="Tahoma"/>
            <family val="2"/>
          </rPr>
          <t>Registrar la cantidad o % ejecutada en el mes (de acuerdo a la fórmula del Indicador)</t>
        </r>
      </text>
    </comment>
    <comment ref="AE7" authorId="1">
      <text>
        <r>
          <rPr>
            <sz val="9"/>
            <color indexed="81"/>
            <rFont val="Tahoma"/>
            <family val="2"/>
          </rPr>
          <t>Registrar la cantidad o % del denominador programado en el mes (de acuerdo a la fórmula del Indicador)</t>
        </r>
      </text>
    </comment>
    <comment ref="AF7" authorId="1">
      <text>
        <r>
          <rPr>
            <sz val="9"/>
            <color indexed="81"/>
            <rFont val="Tahoma"/>
            <family val="2"/>
          </rPr>
          <t>Es la relación del Numerador sobre el denominador.
Si su fúmula no contiene un denominado, escribir en este campo "1 (uno)"</t>
        </r>
      </text>
    </comment>
    <comment ref="AG7" authorId="1">
      <text>
        <r>
          <rPr>
            <sz val="9"/>
            <color indexed="81"/>
            <rFont val="Tahoma"/>
            <family val="2"/>
          </rPr>
          <t xml:space="preserve">Corresponde al valor proyectado al mes correspondiente en la distribución anual de la caracterización </t>
        </r>
      </text>
    </comment>
    <comment ref="AH7" authorId="1">
      <text>
        <r>
          <rPr>
            <sz val="9"/>
            <color indexed="81"/>
            <rFont val="Tahoma"/>
            <family val="2"/>
          </rPr>
          <t>Se registra el valor de la meta ejecutada sobre el valor de la meta proyectada</t>
        </r>
      </text>
    </comment>
    <comment ref="AI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1">
      <text>
        <r>
          <rPr>
            <sz val="9"/>
            <color indexed="81"/>
            <rFont val="Tahoma"/>
            <family val="2"/>
          </rPr>
          <t>Registrar la cantidad o % ejecutada en el mes (de acuerdo a la fórmula del Indicador)</t>
        </r>
      </text>
    </comment>
    <comment ref="AK7" authorId="1">
      <text>
        <r>
          <rPr>
            <sz val="9"/>
            <color indexed="81"/>
            <rFont val="Tahoma"/>
            <family val="2"/>
          </rPr>
          <t>Registrar la cantidad o % del denominador programado en el mes (de acuerdo a la fórmula del Indicador)</t>
        </r>
      </text>
    </comment>
    <comment ref="AL7" authorId="1">
      <text>
        <r>
          <rPr>
            <sz val="9"/>
            <color indexed="81"/>
            <rFont val="Tahoma"/>
            <family val="2"/>
          </rPr>
          <t>Es la relación del Numerador sobre el denominador.
Si su fúmula no contiene un denominado, escribir en este campo "1 (uno)"</t>
        </r>
      </text>
    </comment>
    <comment ref="AM7" authorId="1">
      <text>
        <r>
          <rPr>
            <sz val="9"/>
            <color indexed="81"/>
            <rFont val="Tahoma"/>
            <family val="2"/>
          </rPr>
          <t xml:space="preserve">Corresponde al valor proyectado al mes correspondiente en la distribución anual de la caracterización </t>
        </r>
      </text>
    </comment>
    <comment ref="AN7" authorId="1">
      <text>
        <r>
          <rPr>
            <sz val="9"/>
            <color indexed="81"/>
            <rFont val="Tahoma"/>
            <family val="2"/>
          </rPr>
          <t>Se registra el valor de la meta ejecutada sobre el valor de la meta proyectada</t>
        </r>
      </text>
    </comment>
    <comment ref="AO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1">
      <text>
        <r>
          <rPr>
            <sz val="9"/>
            <color indexed="81"/>
            <rFont val="Tahoma"/>
            <family val="2"/>
          </rPr>
          <t>Registrar la cantidad o % ejecutada en el mes (de acuerdo a la fórmula del Indicador)</t>
        </r>
      </text>
    </comment>
    <comment ref="AQ7" authorId="1">
      <text>
        <r>
          <rPr>
            <sz val="9"/>
            <color indexed="81"/>
            <rFont val="Tahoma"/>
            <family val="2"/>
          </rPr>
          <t>Registrar la cantidad o % del denominador programado en el mes (de acuerdo a la fórmula del Indicador)</t>
        </r>
      </text>
    </comment>
    <comment ref="AR7" authorId="1">
      <text>
        <r>
          <rPr>
            <sz val="9"/>
            <color indexed="81"/>
            <rFont val="Tahoma"/>
            <family val="2"/>
          </rPr>
          <t>Es la relación del Numerador sobre el denominador.
Si su fúmula no contiene un denominado, escribir en este campo "1 (uno)"</t>
        </r>
      </text>
    </comment>
    <comment ref="AS7" authorId="1">
      <text>
        <r>
          <rPr>
            <sz val="9"/>
            <color indexed="81"/>
            <rFont val="Tahoma"/>
            <family val="2"/>
          </rPr>
          <t xml:space="preserve">Corresponde al valor proyectado al mes correspondiente en la distribución anual de la caracterización </t>
        </r>
      </text>
    </comment>
    <comment ref="AT7" authorId="1">
      <text>
        <r>
          <rPr>
            <sz val="9"/>
            <color indexed="81"/>
            <rFont val="Tahoma"/>
            <family val="2"/>
          </rPr>
          <t>Se registra el valor de la meta ejecutada sobre el valor de la meta proyectada</t>
        </r>
      </text>
    </comment>
    <comment ref="AU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1">
      <text>
        <r>
          <rPr>
            <sz val="9"/>
            <color indexed="81"/>
            <rFont val="Tahoma"/>
            <family val="2"/>
          </rPr>
          <t>Registrar la cantidad o % ejecutada en el mes (de acuerdo a la fórmula del Indicador)</t>
        </r>
      </text>
    </comment>
    <comment ref="AW7" authorId="1">
      <text>
        <r>
          <rPr>
            <sz val="9"/>
            <color indexed="81"/>
            <rFont val="Tahoma"/>
            <family val="2"/>
          </rPr>
          <t>Registrar la cantidad o % del denominador programado en el mes (de acuerdo a la fórmula del Indicador)</t>
        </r>
      </text>
    </comment>
    <comment ref="AX7" authorId="1">
      <text>
        <r>
          <rPr>
            <sz val="9"/>
            <color indexed="81"/>
            <rFont val="Tahoma"/>
            <family val="2"/>
          </rPr>
          <t>Es la relación del Numerador sobre el denominador.
Si su fúmula no contiene un denominado, escribir en este campo "1 (uno)"</t>
        </r>
      </text>
    </comment>
    <comment ref="AY7" authorId="1">
      <text>
        <r>
          <rPr>
            <sz val="9"/>
            <color indexed="81"/>
            <rFont val="Tahoma"/>
            <family val="2"/>
          </rPr>
          <t xml:space="preserve">Corresponde al valor proyectado al mes correspondiente en la distribución anual de la caracterización </t>
        </r>
      </text>
    </comment>
    <comment ref="AZ7" authorId="1">
      <text>
        <r>
          <rPr>
            <sz val="9"/>
            <color indexed="81"/>
            <rFont val="Tahoma"/>
            <family val="2"/>
          </rPr>
          <t>Se registra el valor de la meta ejecutada sobre el valor de la meta proyectada</t>
        </r>
      </text>
    </comment>
    <comment ref="BA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1">
      <text>
        <r>
          <rPr>
            <sz val="9"/>
            <color indexed="81"/>
            <rFont val="Tahoma"/>
            <family val="2"/>
          </rPr>
          <t>Registrar la cantidad o % ejecutada en el mes (de acuerdo a la fórmula del Indicador)</t>
        </r>
      </text>
    </comment>
    <comment ref="BC7" authorId="1">
      <text>
        <r>
          <rPr>
            <sz val="9"/>
            <color indexed="81"/>
            <rFont val="Tahoma"/>
            <family val="2"/>
          </rPr>
          <t>Registrar la cantidad o % del denominador programado en el mes (de acuerdo a la fórmula del Indicador)</t>
        </r>
      </text>
    </comment>
    <comment ref="BD7" authorId="1">
      <text>
        <r>
          <rPr>
            <sz val="9"/>
            <color indexed="81"/>
            <rFont val="Tahoma"/>
            <family val="2"/>
          </rPr>
          <t>Es la relación del Numerador sobre el denominador.
Si su fúmula no contiene un denominado, escribir en este campo "1 (uno)"</t>
        </r>
      </text>
    </comment>
    <comment ref="BE7" authorId="1">
      <text>
        <r>
          <rPr>
            <sz val="9"/>
            <color indexed="81"/>
            <rFont val="Tahoma"/>
            <family val="2"/>
          </rPr>
          <t xml:space="preserve">Corresponde al valor proyectado al mes correspondiente en la distribución anual de la caracterización </t>
        </r>
      </text>
    </comment>
    <comment ref="BF7" authorId="1">
      <text>
        <r>
          <rPr>
            <sz val="9"/>
            <color indexed="81"/>
            <rFont val="Tahoma"/>
            <family val="2"/>
          </rPr>
          <t>Se registra el valor de la meta ejecutada sobre el valor de la meta proyectada</t>
        </r>
      </text>
    </comment>
    <comment ref="BG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1">
      <text>
        <r>
          <rPr>
            <sz val="9"/>
            <color indexed="81"/>
            <rFont val="Tahoma"/>
            <family val="2"/>
          </rPr>
          <t>Registrar la cantidad o % ejecutada en el mes (de acuerdo a la fórmula del Indicador)</t>
        </r>
      </text>
    </comment>
    <comment ref="BI7" authorId="1">
      <text>
        <r>
          <rPr>
            <sz val="9"/>
            <color indexed="81"/>
            <rFont val="Tahoma"/>
            <family val="2"/>
          </rPr>
          <t>Registrar la cantidad o % del denominador programado en el mes (de acuerdo a la fórmula del Indicador)</t>
        </r>
      </text>
    </comment>
    <comment ref="BJ7" authorId="1">
      <text>
        <r>
          <rPr>
            <sz val="9"/>
            <color indexed="81"/>
            <rFont val="Tahoma"/>
            <family val="2"/>
          </rPr>
          <t>Es la relación del Numerador sobre el denominador.
Si su fúmula no contiene un denominado, escribir en este campo "1 (uno)"</t>
        </r>
      </text>
    </comment>
    <comment ref="BK7" authorId="1">
      <text>
        <r>
          <rPr>
            <sz val="9"/>
            <color indexed="81"/>
            <rFont val="Tahoma"/>
            <family val="2"/>
          </rPr>
          <t xml:space="preserve">Corresponde al valor proyectado al mes correspondiente en la distribución anual de la caracterización </t>
        </r>
      </text>
    </comment>
    <comment ref="BL7" authorId="1">
      <text>
        <r>
          <rPr>
            <sz val="9"/>
            <color indexed="81"/>
            <rFont val="Tahoma"/>
            <family val="2"/>
          </rPr>
          <t>Se registra el valor de la meta ejecutada sobre el valor de la meta proyectada</t>
        </r>
      </text>
    </comment>
    <comment ref="BM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1">
      <text>
        <r>
          <rPr>
            <sz val="9"/>
            <color indexed="81"/>
            <rFont val="Tahoma"/>
            <family val="2"/>
          </rPr>
          <t>Registrar la cantidad o % ejecutada en el mes (de acuerdo a la fórmula del Indicador)</t>
        </r>
      </text>
    </comment>
    <comment ref="BO7" authorId="1">
      <text>
        <r>
          <rPr>
            <sz val="9"/>
            <color indexed="81"/>
            <rFont val="Tahoma"/>
            <family val="2"/>
          </rPr>
          <t>Registrar la cantidad o % del denominador programado en el mes (de acuerdo a la fórmula del Indicador)</t>
        </r>
      </text>
    </comment>
    <comment ref="BP7" authorId="1">
      <text>
        <r>
          <rPr>
            <sz val="9"/>
            <color indexed="81"/>
            <rFont val="Tahoma"/>
            <family val="2"/>
          </rPr>
          <t>Es la relación del Numerador sobre el denominador.
Si su fúmula no contiene un denominado, escribir en este campo "1 (uno)"</t>
        </r>
      </text>
    </comment>
    <comment ref="BQ7" authorId="1">
      <text>
        <r>
          <rPr>
            <sz val="9"/>
            <color indexed="81"/>
            <rFont val="Tahoma"/>
            <family val="2"/>
          </rPr>
          <t xml:space="preserve">Corresponde al valor proyectado al mes correspondiente en la distribución anual de la caracterización </t>
        </r>
      </text>
    </comment>
    <comment ref="BR7" authorId="1">
      <text>
        <r>
          <rPr>
            <sz val="9"/>
            <color indexed="81"/>
            <rFont val="Tahoma"/>
            <family val="2"/>
          </rPr>
          <t>Se registra el valor de la meta ejecutada sobre el valor de la meta proyectada</t>
        </r>
      </text>
    </comment>
    <comment ref="BS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1">
      <text>
        <r>
          <rPr>
            <sz val="9"/>
            <color indexed="81"/>
            <rFont val="Tahoma"/>
            <family val="2"/>
          </rPr>
          <t>Registrar la cantidad o % ejecutada en el mes (de acuerdo a la fórmula del Indicador)</t>
        </r>
      </text>
    </comment>
    <comment ref="BU7" authorId="1">
      <text>
        <r>
          <rPr>
            <sz val="9"/>
            <color indexed="81"/>
            <rFont val="Tahoma"/>
            <family val="2"/>
          </rPr>
          <t>Registrar la cantidad o % del denominador programado en el mes (de acuerdo a la fórmula del Indicador)</t>
        </r>
      </text>
    </comment>
    <comment ref="BV7" authorId="1">
      <text>
        <r>
          <rPr>
            <sz val="9"/>
            <color indexed="81"/>
            <rFont val="Tahoma"/>
            <family val="2"/>
          </rPr>
          <t>Es la relación del Numerador sobre el denominador.
Si su fúmula no contiene un denominado, escribir en este campo "1 (uno)"</t>
        </r>
      </text>
    </comment>
    <comment ref="BW7" authorId="1">
      <text>
        <r>
          <rPr>
            <sz val="9"/>
            <color indexed="81"/>
            <rFont val="Tahoma"/>
            <family val="2"/>
          </rPr>
          <t xml:space="preserve">Corresponde al valor proyectado al mes correspondiente en la distribución anual de la caracterización </t>
        </r>
      </text>
    </comment>
    <comment ref="BX7" authorId="1">
      <text>
        <r>
          <rPr>
            <sz val="9"/>
            <color indexed="81"/>
            <rFont val="Tahoma"/>
            <family val="2"/>
          </rPr>
          <t>Se registra el valor de la meta ejecutada sobre el valor de la meta proyectada</t>
        </r>
      </text>
    </comment>
    <comment ref="BY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1">
      <text>
        <r>
          <rPr>
            <sz val="9"/>
            <color indexed="81"/>
            <rFont val="Tahoma"/>
            <family val="2"/>
          </rPr>
          <t>Registrar la cantidad o % ejecutada en el mes (de acuerdo a la fórmula del Indicador)</t>
        </r>
      </text>
    </comment>
    <comment ref="CA7" authorId="1">
      <text>
        <r>
          <rPr>
            <sz val="9"/>
            <color indexed="81"/>
            <rFont val="Tahoma"/>
            <family val="2"/>
          </rPr>
          <t>Registrar la cantidad o % del denominador programado en el mes (de acuerdo a la fórmula del Indicador)</t>
        </r>
      </text>
    </comment>
    <comment ref="CB7" authorId="1">
      <text>
        <r>
          <rPr>
            <sz val="9"/>
            <color indexed="81"/>
            <rFont val="Tahoma"/>
            <family val="2"/>
          </rPr>
          <t>Es la relación del Numerador sobre el denominador.
Si su fúmula no contiene un denominado, escribir en este campo "1 (uno)"</t>
        </r>
      </text>
    </comment>
    <comment ref="CC7" authorId="1">
      <text>
        <r>
          <rPr>
            <sz val="9"/>
            <color indexed="81"/>
            <rFont val="Tahoma"/>
            <family val="2"/>
          </rPr>
          <t xml:space="preserve">Corresponde al valor proyectado al mes correspondiente en la distribución anual de la caracterización </t>
        </r>
      </text>
    </comment>
    <comment ref="CD7" authorId="1">
      <text>
        <r>
          <rPr>
            <sz val="9"/>
            <color indexed="81"/>
            <rFont val="Tahoma"/>
            <family val="2"/>
          </rPr>
          <t>Se registra el valor de la meta ejecutada sobre el valor de la meta proyectada</t>
        </r>
      </text>
    </comment>
    <comment ref="CE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1">
      <text>
        <r>
          <rPr>
            <sz val="9"/>
            <color indexed="81"/>
            <rFont val="Tahoma"/>
            <family val="2"/>
          </rPr>
          <t>Registrar la cantidad o % ejecutada en el mes (de acuerdo a la fórmula del Indicador)</t>
        </r>
      </text>
    </comment>
    <comment ref="CG7" authorId="1">
      <text>
        <r>
          <rPr>
            <sz val="9"/>
            <color indexed="81"/>
            <rFont val="Tahoma"/>
            <family val="2"/>
          </rPr>
          <t>Registrar la cantidad o % del denominador programado en el mes (de acuerdo a la fórmula del Indicador)</t>
        </r>
      </text>
    </comment>
    <comment ref="CH7" authorId="1">
      <text>
        <r>
          <rPr>
            <sz val="9"/>
            <color indexed="81"/>
            <rFont val="Tahoma"/>
            <family val="2"/>
          </rPr>
          <t>Es la relación del Numerador sobre el denominador.
Si su fúmula no contiene un denominado, escribir en este campo "1 (uno)"</t>
        </r>
      </text>
    </comment>
    <comment ref="CI7" authorId="1">
      <text>
        <r>
          <rPr>
            <sz val="9"/>
            <color indexed="81"/>
            <rFont val="Tahoma"/>
            <family val="2"/>
          </rPr>
          <t xml:space="preserve">Corresponde al valor proyectado al mes correspondiente en la distribución anual de la caracterización </t>
        </r>
      </text>
    </comment>
    <comment ref="CJ7" authorId="1">
      <text>
        <r>
          <rPr>
            <sz val="9"/>
            <color indexed="81"/>
            <rFont val="Tahoma"/>
            <family val="2"/>
          </rPr>
          <t>Se registra el valor de la meta ejecutada sobre el valor de la meta proyectada</t>
        </r>
      </text>
    </comment>
    <comment ref="CK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1">
      <text>
        <r>
          <rPr>
            <sz val="9"/>
            <color indexed="81"/>
            <rFont val="Tahoma"/>
            <family val="2"/>
          </rPr>
          <t>Registrar la cantidad o % ejecutada en el mes (de acuerdo a la fórmula del Indicador)</t>
        </r>
      </text>
    </comment>
    <comment ref="CM7" authorId="1">
      <text>
        <r>
          <rPr>
            <sz val="9"/>
            <color indexed="81"/>
            <rFont val="Tahoma"/>
            <family val="2"/>
          </rPr>
          <t>Registrar la cantidad o % del denominador programado en el mes (de acuerdo a la fórmula del Indicador)</t>
        </r>
      </text>
    </comment>
    <comment ref="CN7" authorId="1">
      <text>
        <r>
          <rPr>
            <sz val="9"/>
            <color indexed="81"/>
            <rFont val="Tahoma"/>
            <family val="2"/>
          </rPr>
          <t>Es la relación del Numerador sobre el denominador.
Si su fúmula no contiene un denominado, escribir en este campo "1 (uno)"</t>
        </r>
      </text>
    </comment>
    <comment ref="CO7" authorId="1">
      <text>
        <r>
          <rPr>
            <sz val="9"/>
            <color indexed="81"/>
            <rFont val="Tahoma"/>
            <family val="2"/>
          </rPr>
          <t xml:space="preserve">Corresponde al valor proyectado al mes correspondiente en la distribución anual de la caracterización </t>
        </r>
      </text>
    </comment>
    <comment ref="CP7" authorId="1">
      <text>
        <r>
          <rPr>
            <sz val="9"/>
            <color indexed="81"/>
            <rFont val="Tahoma"/>
            <family val="2"/>
          </rPr>
          <t>Se registra el valor de la meta ejecutada sobre el valor de la meta proyectada</t>
        </r>
      </text>
    </comment>
    <comment ref="CQ7" authorId="1">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1">
      <text>
        <r>
          <rPr>
            <sz val="9"/>
            <color indexed="81"/>
            <rFont val="Tahoma"/>
            <family val="2"/>
          </rPr>
          <t>Registrar la cantidad o % ejecutada(o) acumulada(o) (de acuerdo a la fórmula del Indicador)</t>
        </r>
      </text>
    </comment>
    <comment ref="CS7" authorId="1">
      <text>
        <r>
          <rPr>
            <sz val="9"/>
            <color indexed="81"/>
            <rFont val="Tahoma"/>
            <family val="2"/>
          </rPr>
          <t>Registrar la cantidad o % del denominador programada(o) acumulado (de acuerdo a la fórmula del Indicador)</t>
        </r>
      </text>
    </comment>
    <comment ref="CT7" authorId="1">
      <text>
        <r>
          <rPr>
            <sz val="9"/>
            <color indexed="81"/>
            <rFont val="Tahoma"/>
            <family val="2"/>
          </rPr>
          <t>Es la relación del Numerador sobre el denominador.
Si su fúmula no contiene un denominado, escribir en este campo "1 (uno)"</t>
        </r>
      </text>
    </comment>
    <comment ref="CU7" authorId="1">
      <text>
        <r>
          <rPr>
            <sz val="9"/>
            <color indexed="81"/>
            <rFont val="Tahoma"/>
            <family val="2"/>
          </rPr>
          <t xml:space="preserve">Corresponde al valor de la meta proyectada al año correspondiente a lo establecido en la caracterización </t>
        </r>
      </text>
    </comment>
    <comment ref="CV7" authorId="1">
      <text>
        <r>
          <rPr>
            <sz val="9"/>
            <color indexed="81"/>
            <rFont val="Tahoma"/>
            <family val="2"/>
          </rPr>
          <t>Se registra el valor de la meta ejecutada sobre el valor de la meta proyectada</t>
        </r>
      </text>
    </comment>
    <comment ref="CW7" authorId="1">
      <text>
        <r>
          <rPr>
            <sz val="9"/>
            <color indexed="81"/>
            <rFont val="Tahoma"/>
            <family val="2"/>
          </rPr>
          <t>Justifique el resultado de la meta ejecutada acumulada y la comparación entre la meta proyectada acumulada.</t>
        </r>
      </text>
    </comment>
    <comment ref="D13" authorId="1">
      <text>
        <r>
          <rPr>
            <sz val="8"/>
            <color indexed="81"/>
            <rFont val="Tahoma"/>
            <family val="2"/>
          </rPr>
          <t>El términos "Documentos del SIG" hace referencia a manuales, procedimientos, formatos, instructivos, guías en cada uno de los procesos</t>
        </r>
      </text>
    </comment>
    <comment ref="W13" authorId="0">
      <text>
        <r>
          <rPr>
            <sz val="9"/>
            <color indexed="81"/>
            <rFont val="Tahoma"/>
            <family val="2"/>
          </rPr>
          <t xml:space="preserve">
Usuario encargado:
OAP - John Quiroga
         Carlos Campos </t>
        </r>
      </text>
    </comment>
    <comment ref="W14" authorId="0">
      <text>
        <r>
          <rPr>
            <sz val="9"/>
            <color indexed="81"/>
            <rFont val="Tahoma"/>
            <family val="2"/>
          </rPr>
          <t xml:space="preserve">
Usuario encargado:
OCI - Camilo Barajas </t>
        </r>
      </text>
    </comment>
    <comment ref="W15" authorId="0">
      <text>
        <r>
          <rPr>
            <sz val="9"/>
            <color indexed="81"/>
            <rFont val="Tahoma"/>
            <family val="2"/>
          </rPr>
          <t xml:space="preserve">
usuario encargado:
OCI - wilson Herrera
</t>
        </r>
      </text>
    </comment>
    <comment ref="W16" authorId="0">
      <text>
        <r>
          <rPr>
            <sz val="9"/>
            <color indexed="81"/>
            <rFont val="Tahoma"/>
            <family val="2"/>
          </rPr>
          <t xml:space="preserve">
Usurario encargado 
STPC - Nelson mauricio Izasa
</t>
        </r>
      </text>
    </comment>
    <comment ref="W17" authorId="0">
      <text>
        <r>
          <rPr>
            <sz val="9"/>
            <color indexed="81"/>
            <rFont val="Tahoma"/>
            <family val="2"/>
          </rPr>
          <t xml:space="preserve">
Usurario encargado 
STPC - Nelson mauricio Izasa</t>
        </r>
        <r>
          <rPr>
            <sz val="9"/>
            <color indexed="81"/>
            <rFont val="Tahoma"/>
            <family val="2"/>
          </rPr>
          <t xml:space="preserve">
</t>
        </r>
      </text>
    </comment>
    <comment ref="W18" authorId="0">
      <text>
        <r>
          <rPr>
            <sz val="9"/>
            <color indexed="81"/>
            <rFont val="Tahoma"/>
            <family val="2"/>
          </rPr>
          <t xml:space="preserve">
Usuario encargado 
OAP - Luis Arnulfo Sarmiento
         Cesar Miranda</t>
        </r>
      </text>
    </comment>
    <comment ref="W19" authorId="0">
      <text>
        <r>
          <rPr>
            <sz val="9"/>
            <color indexed="81"/>
            <rFont val="Tahoma"/>
            <family val="2"/>
          </rPr>
          <t xml:space="preserve">
Usuario encargado 
DTGC - Johana lamilla Sanchez
John Herry Cueca
</t>
        </r>
      </text>
    </comment>
  </commentList>
</comments>
</file>

<file path=xl/comments9.xml><?xml version="1.0" encoding="utf-8"?>
<comments xmlns="http://schemas.openxmlformats.org/spreadsheetml/2006/main">
  <authors>
    <author>John Alexander Quiroga Fuquene</author>
  </authors>
  <commentList>
    <comment ref="G6" authorId="0">
      <text>
        <r>
          <rPr>
            <b/>
            <sz val="9"/>
            <color indexed="81"/>
            <rFont val="Tahoma"/>
            <family val="2"/>
          </rPr>
          <t>De:
Eficacia
Eficiencia
Efectividad</t>
        </r>
      </text>
    </comment>
    <comment ref="X7" authorId="0">
      <text>
        <r>
          <rPr>
            <sz val="9"/>
            <color indexed="81"/>
            <rFont val="Tahoma"/>
            <family val="2"/>
          </rPr>
          <t>Registrar la cantidad o % ejecutada en el mes (de acuerdo a la fórmula del Indicador)</t>
        </r>
      </text>
    </comment>
    <comment ref="Y7" authorId="0">
      <text>
        <r>
          <rPr>
            <sz val="9"/>
            <color indexed="81"/>
            <rFont val="Tahoma"/>
            <family val="2"/>
          </rPr>
          <t>Registrar la cantidad o % del denominador programado en el mes (de acuerdo a la fórmula del Indicador)</t>
        </r>
      </text>
    </comment>
    <comment ref="Z7" authorId="0">
      <text>
        <r>
          <rPr>
            <sz val="9"/>
            <color indexed="81"/>
            <rFont val="Tahoma"/>
            <family val="2"/>
          </rPr>
          <t>Es la relación del Numerador sobre el denominador.
Si su fúmula no contiene un denominado, escribir en este campo "1 (uno)"</t>
        </r>
      </text>
    </comment>
    <comment ref="AA7" authorId="0">
      <text>
        <r>
          <rPr>
            <sz val="9"/>
            <color indexed="81"/>
            <rFont val="Tahoma"/>
            <family val="2"/>
          </rPr>
          <t xml:space="preserve">Corresponde al valor proyectado al mes correspondiente en la distribución anual de la caracterización </t>
        </r>
      </text>
    </comment>
    <comment ref="AB7" authorId="0">
      <text>
        <r>
          <rPr>
            <sz val="9"/>
            <color indexed="81"/>
            <rFont val="Tahoma"/>
            <family val="2"/>
          </rPr>
          <t>Se registra el valor de la meta ejecutada sobre el valor de la meta proyectada</t>
        </r>
      </text>
    </comment>
    <comment ref="AC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D7" authorId="0">
      <text>
        <r>
          <rPr>
            <sz val="9"/>
            <color indexed="81"/>
            <rFont val="Tahoma"/>
            <family val="2"/>
          </rPr>
          <t>Registrar la cantidad o % ejecutada en el mes (de acuerdo a la fórmula del Indicador)</t>
        </r>
      </text>
    </comment>
    <comment ref="AE7" authorId="0">
      <text>
        <r>
          <rPr>
            <sz val="9"/>
            <color indexed="81"/>
            <rFont val="Tahoma"/>
            <family val="2"/>
          </rPr>
          <t>Registrar la cantidad o % del denominador programado en el mes (de acuerdo a la fórmula del Indicador)</t>
        </r>
      </text>
    </comment>
    <comment ref="AF7" authorId="0">
      <text>
        <r>
          <rPr>
            <sz val="9"/>
            <color indexed="81"/>
            <rFont val="Tahoma"/>
            <family val="2"/>
          </rPr>
          <t>Es la relación del Numerador sobre el denominador.
Si su fúmula no contiene un denominado, escribir en este campo "1 (uno)"</t>
        </r>
      </text>
    </comment>
    <comment ref="AG7" authorId="0">
      <text>
        <r>
          <rPr>
            <sz val="9"/>
            <color indexed="81"/>
            <rFont val="Tahoma"/>
            <family val="2"/>
          </rPr>
          <t xml:space="preserve">Corresponde al valor proyectado al mes correspondiente en la distribución anual de la caracterización </t>
        </r>
      </text>
    </comment>
    <comment ref="AH7" authorId="0">
      <text>
        <r>
          <rPr>
            <sz val="9"/>
            <color indexed="81"/>
            <rFont val="Tahoma"/>
            <family val="2"/>
          </rPr>
          <t>Se registra el valor de la meta ejecutada sobre el valor de la meta proyectada</t>
        </r>
      </text>
    </comment>
    <comment ref="AI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J7" authorId="0">
      <text>
        <r>
          <rPr>
            <sz val="9"/>
            <color indexed="81"/>
            <rFont val="Tahoma"/>
            <family val="2"/>
          </rPr>
          <t>Registrar la cantidad o % ejecutada en el mes (de acuerdo a la fórmula del Indicador)</t>
        </r>
      </text>
    </comment>
    <comment ref="AK7" authorId="0">
      <text>
        <r>
          <rPr>
            <sz val="9"/>
            <color indexed="81"/>
            <rFont val="Tahoma"/>
            <family val="2"/>
          </rPr>
          <t>Registrar la cantidad o % del denominador programado en el mes (de acuerdo a la fórmula del Indicador)</t>
        </r>
      </text>
    </comment>
    <comment ref="AL7" authorId="0">
      <text>
        <r>
          <rPr>
            <sz val="9"/>
            <color indexed="81"/>
            <rFont val="Tahoma"/>
            <family val="2"/>
          </rPr>
          <t>Es la relación del Numerador sobre el denominador.
Si su fúmula no contiene un denominado, escribir en este campo "1 (uno)"</t>
        </r>
      </text>
    </comment>
    <comment ref="AM7" authorId="0">
      <text>
        <r>
          <rPr>
            <sz val="9"/>
            <color indexed="81"/>
            <rFont val="Tahoma"/>
            <family val="2"/>
          </rPr>
          <t xml:space="preserve">Corresponde al valor proyectado al mes correspondiente en la distribución anual de la caracterización </t>
        </r>
      </text>
    </comment>
    <comment ref="AN7" authorId="0">
      <text>
        <r>
          <rPr>
            <sz val="9"/>
            <color indexed="81"/>
            <rFont val="Tahoma"/>
            <family val="2"/>
          </rPr>
          <t>Se registra el valor de la meta ejecutada sobre el valor de la meta proyectada</t>
        </r>
      </text>
    </comment>
    <comment ref="AO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P7" authorId="0">
      <text>
        <r>
          <rPr>
            <sz val="9"/>
            <color indexed="81"/>
            <rFont val="Tahoma"/>
            <family val="2"/>
          </rPr>
          <t>Registrar la cantidad o % ejecutada en el mes (de acuerdo a la fórmula del Indicador)</t>
        </r>
      </text>
    </comment>
    <comment ref="AQ7" authorId="0">
      <text>
        <r>
          <rPr>
            <sz val="9"/>
            <color indexed="81"/>
            <rFont val="Tahoma"/>
            <family val="2"/>
          </rPr>
          <t>Registrar la cantidad o % del denominador programado en el mes (de acuerdo a la fórmula del Indicador)</t>
        </r>
      </text>
    </comment>
    <comment ref="AR7" authorId="0">
      <text>
        <r>
          <rPr>
            <sz val="9"/>
            <color indexed="81"/>
            <rFont val="Tahoma"/>
            <family val="2"/>
          </rPr>
          <t>Es la relación del Numerador sobre el denominador.
Si su fúmula no contiene un denominado, escribir en este campo "1 (uno)"</t>
        </r>
      </text>
    </comment>
    <comment ref="AS7" authorId="0">
      <text>
        <r>
          <rPr>
            <sz val="9"/>
            <color indexed="81"/>
            <rFont val="Tahoma"/>
            <family val="2"/>
          </rPr>
          <t xml:space="preserve">Corresponde al valor proyectado al mes correspondiente en la distribución anual de la caracterización </t>
        </r>
      </text>
    </comment>
    <comment ref="AT7" authorId="0">
      <text>
        <r>
          <rPr>
            <sz val="9"/>
            <color indexed="81"/>
            <rFont val="Tahoma"/>
            <family val="2"/>
          </rPr>
          <t>Se registra el valor de la meta ejecutada sobre el valor de la meta proyectada</t>
        </r>
      </text>
    </comment>
    <comment ref="AU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AV7" authorId="0">
      <text>
        <r>
          <rPr>
            <sz val="9"/>
            <color indexed="81"/>
            <rFont val="Tahoma"/>
            <family val="2"/>
          </rPr>
          <t>Registrar la cantidad o % ejecutada en el mes (de acuerdo a la fórmula del Indicador)</t>
        </r>
      </text>
    </comment>
    <comment ref="AW7" authorId="0">
      <text>
        <r>
          <rPr>
            <sz val="9"/>
            <color indexed="81"/>
            <rFont val="Tahoma"/>
            <family val="2"/>
          </rPr>
          <t>Registrar la cantidad o % del denominador programado en el mes (de acuerdo a la fórmula del Indicador)</t>
        </r>
      </text>
    </comment>
    <comment ref="AX7" authorId="0">
      <text>
        <r>
          <rPr>
            <sz val="9"/>
            <color indexed="81"/>
            <rFont val="Tahoma"/>
            <family val="2"/>
          </rPr>
          <t>Es la relación del Numerador sobre el denominador.
Si su fúmula no contiene un denominado, escribir en este campo "1 (uno)"</t>
        </r>
      </text>
    </comment>
    <comment ref="AY7" authorId="0">
      <text>
        <r>
          <rPr>
            <sz val="9"/>
            <color indexed="81"/>
            <rFont val="Tahoma"/>
            <family val="2"/>
          </rPr>
          <t xml:space="preserve">Corresponde al valor proyectado al mes correspondiente en la distribución anual de la caracterización </t>
        </r>
      </text>
    </comment>
    <comment ref="AZ7" authorId="0">
      <text>
        <r>
          <rPr>
            <sz val="9"/>
            <color indexed="81"/>
            <rFont val="Tahoma"/>
            <family val="2"/>
          </rPr>
          <t>Se registra el valor de la meta ejecutada sobre el valor de la meta proyectada</t>
        </r>
      </text>
    </comment>
    <comment ref="BA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B7" authorId="0">
      <text>
        <r>
          <rPr>
            <sz val="9"/>
            <color indexed="81"/>
            <rFont val="Tahoma"/>
            <family val="2"/>
          </rPr>
          <t>Registrar la cantidad o % ejecutada en el mes (de acuerdo a la fórmula del Indicador)</t>
        </r>
      </text>
    </comment>
    <comment ref="BC7" authorId="0">
      <text>
        <r>
          <rPr>
            <sz val="9"/>
            <color indexed="81"/>
            <rFont val="Tahoma"/>
            <family val="2"/>
          </rPr>
          <t>Registrar la cantidad o % del denominador programado en el mes (de acuerdo a la fórmula del Indicador)</t>
        </r>
      </text>
    </comment>
    <comment ref="BD7" authorId="0">
      <text>
        <r>
          <rPr>
            <sz val="9"/>
            <color indexed="81"/>
            <rFont val="Tahoma"/>
            <family val="2"/>
          </rPr>
          <t>Es la relación del Numerador sobre el denominador.
Si su fúmula no contiene un denominado, escribir en este campo "1 (uno)"</t>
        </r>
      </text>
    </comment>
    <comment ref="BE7" authorId="0">
      <text>
        <r>
          <rPr>
            <sz val="9"/>
            <color indexed="81"/>
            <rFont val="Tahoma"/>
            <family val="2"/>
          </rPr>
          <t xml:space="preserve">Corresponde al valor proyectado al mes correspondiente en la distribución anual de la caracterización </t>
        </r>
      </text>
    </comment>
    <comment ref="BF7" authorId="0">
      <text>
        <r>
          <rPr>
            <sz val="9"/>
            <color indexed="81"/>
            <rFont val="Tahoma"/>
            <family val="2"/>
          </rPr>
          <t>Se registra el valor de la meta ejecutada sobre el valor de la meta proyectada</t>
        </r>
      </text>
    </comment>
    <comment ref="BG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H7" authorId="0">
      <text>
        <r>
          <rPr>
            <sz val="9"/>
            <color indexed="81"/>
            <rFont val="Tahoma"/>
            <family val="2"/>
          </rPr>
          <t>Registrar la cantidad o % ejecutada en el mes (de acuerdo a la fórmula del Indicador)</t>
        </r>
      </text>
    </comment>
    <comment ref="BI7" authorId="0">
      <text>
        <r>
          <rPr>
            <sz val="9"/>
            <color indexed="81"/>
            <rFont val="Tahoma"/>
            <family val="2"/>
          </rPr>
          <t>Registrar la cantidad o % del denominador programado en el mes (de acuerdo a la fórmula del Indicador)</t>
        </r>
      </text>
    </comment>
    <comment ref="BJ7" authorId="0">
      <text>
        <r>
          <rPr>
            <sz val="9"/>
            <color indexed="81"/>
            <rFont val="Tahoma"/>
            <family val="2"/>
          </rPr>
          <t>Es la relación del Numerador sobre el denominador.
Si su fúmula no contiene un denominado, escribir en este campo "1 (uno)"</t>
        </r>
      </text>
    </comment>
    <comment ref="BK7" authorId="0">
      <text>
        <r>
          <rPr>
            <sz val="9"/>
            <color indexed="81"/>
            <rFont val="Tahoma"/>
            <family val="2"/>
          </rPr>
          <t xml:space="preserve">Corresponde al valor proyectado al mes correspondiente en la distribución anual de la caracterización </t>
        </r>
      </text>
    </comment>
    <comment ref="BL7" authorId="0">
      <text>
        <r>
          <rPr>
            <sz val="9"/>
            <color indexed="81"/>
            <rFont val="Tahoma"/>
            <family val="2"/>
          </rPr>
          <t>Se registra el valor de la meta ejecutada sobre el valor de la meta proyectada</t>
        </r>
      </text>
    </comment>
    <comment ref="BM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N7" authorId="0">
      <text>
        <r>
          <rPr>
            <sz val="9"/>
            <color indexed="81"/>
            <rFont val="Tahoma"/>
            <family val="2"/>
          </rPr>
          <t>Registrar la cantidad o % ejecutada en el mes (de acuerdo a la fórmula del Indicador)</t>
        </r>
      </text>
    </comment>
    <comment ref="BO7" authorId="0">
      <text>
        <r>
          <rPr>
            <sz val="9"/>
            <color indexed="81"/>
            <rFont val="Tahoma"/>
            <family val="2"/>
          </rPr>
          <t>Registrar la cantidad o % del denominador programado en el mes (de acuerdo a la fórmula del Indicador)</t>
        </r>
      </text>
    </comment>
    <comment ref="BP7" authorId="0">
      <text>
        <r>
          <rPr>
            <sz val="9"/>
            <color indexed="81"/>
            <rFont val="Tahoma"/>
            <family val="2"/>
          </rPr>
          <t>Es la relación del Numerador sobre el denominador.
Si su fúmula no contiene un denominado, escribir en este campo "1 (uno)"</t>
        </r>
      </text>
    </comment>
    <comment ref="BQ7" authorId="0">
      <text>
        <r>
          <rPr>
            <sz val="9"/>
            <color indexed="81"/>
            <rFont val="Tahoma"/>
            <family val="2"/>
          </rPr>
          <t xml:space="preserve">Corresponde al valor proyectado al mes correspondiente en la distribución anual de la caracterización </t>
        </r>
      </text>
    </comment>
    <comment ref="BR7" authorId="0">
      <text>
        <r>
          <rPr>
            <sz val="9"/>
            <color indexed="81"/>
            <rFont val="Tahoma"/>
            <family val="2"/>
          </rPr>
          <t>Se registra el valor de la meta ejecutada sobre el valor de la meta proyectada</t>
        </r>
      </text>
    </comment>
    <comment ref="BS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T7" authorId="0">
      <text>
        <r>
          <rPr>
            <sz val="9"/>
            <color indexed="81"/>
            <rFont val="Tahoma"/>
            <family val="2"/>
          </rPr>
          <t>Registrar la cantidad o % ejecutada en el mes (de acuerdo a la fórmula del Indicador)</t>
        </r>
      </text>
    </comment>
    <comment ref="BU7" authorId="0">
      <text>
        <r>
          <rPr>
            <sz val="9"/>
            <color indexed="81"/>
            <rFont val="Tahoma"/>
            <family val="2"/>
          </rPr>
          <t>Registrar la cantidad o % del denominador programado en el mes (de acuerdo a la fórmula del Indicador)</t>
        </r>
      </text>
    </comment>
    <comment ref="BV7" authorId="0">
      <text>
        <r>
          <rPr>
            <sz val="9"/>
            <color indexed="81"/>
            <rFont val="Tahoma"/>
            <family val="2"/>
          </rPr>
          <t>Es la relación del Numerador sobre el denominador.
Si su fúmula no contiene un denominado, escribir en este campo "1 (uno)"</t>
        </r>
      </text>
    </comment>
    <comment ref="BW7" authorId="0">
      <text>
        <r>
          <rPr>
            <sz val="9"/>
            <color indexed="81"/>
            <rFont val="Tahoma"/>
            <family val="2"/>
          </rPr>
          <t xml:space="preserve">Corresponde al valor proyectado al mes correspondiente en la distribución anual de la caracterización </t>
        </r>
      </text>
    </comment>
    <comment ref="BX7" authorId="0">
      <text>
        <r>
          <rPr>
            <sz val="9"/>
            <color indexed="81"/>
            <rFont val="Tahoma"/>
            <family val="2"/>
          </rPr>
          <t>Se registra el valor de la meta ejecutada sobre el valor de la meta proyectada</t>
        </r>
      </text>
    </comment>
    <comment ref="BY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BZ7" authorId="0">
      <text>
        <r>
          <rPr>
            <sz val="9"/>
            <color indexed="81"/>
            <rFont val="Tahoma"/>
            <family val="2"/>
          </rPr>
          <t>Registrar la cantidad o % ejecutada en el mes (de acuerdo a la fórmula del Indicador)</t>
        </r>
      </text>
    </comment>
    <comment ref="CA7" authorId="0">
      <text>
        <r>
          <rPr>
            <sz val="9"/>
            <color indexed="81"/>
            <rFont val="Tahoma"/>
            <family val="2"/>
          </rPr>
          <t>Registrar la cantidad o % del denominador programado en el mes (de acuerdo a la fórmula del Indicador)</t>
        </r>
      </text>
    </comment>
    <comment ref="CB7" authorId="0">
      <text>
        <r>
          <rPr>
            <sz val="9"/>
            <color indexed="81"/>
            <rFont val="Tahoma"/>
            <family val="2"/>
          </rPr>
          <t>Es la relación del Numerador sobre el denominador.
Si su fúmula no contiene un denominado, escribir en este campo "1 (uno)"</t>
        </r>
      </text>
    </comment>
    <comment ref="CC7" authorId="0">
      <text>
        <r>
          <rPr>
            <sz val="9"/>
            <color indexed="81"/>
            <rFont val="Tahoma"/>
            <family val="2"/>
          </rPr>
          <t xml:space="preserve">Corresponde al valor proyectado al mes correspondiente en la distribución anual de la caracterización </t>
        </r>
      </text>
    </comment>
    <comment ref="CD7" authorId="0">
      <text>
        <r>
          <rPr>
            <sz val="9"/>
            <color indexed="81"/>
            <rFont val="Tahoma"/>
            <family val="2"/>
          </rPr>
          <t>Se registra el valor de la meta ejecutada sobre el valor de la meta proyectada</t>
        </r>
      </text>
    </comment>
    <comment ref="CE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F7" authorId="0">
      <text>
        <r>
          <rPr>
            <sz val="9"/>
            <color indexed="81"/>
            <rFont val="Tahoma"/>
            <family val="2"/>
          </rPr>
          <t>Registrar la cantidad o % ejecutada en el mes (de acuerdo a la fórmula del Indicador)</t>
        </r>
      </text>
    </comment>
    <comment ref="CG7" authorId="0">
      <text>
        <r>
          <rPr>
            <sz val="9"/>
            <color indexed="81"/>
            <rFont val="Tahoma"/>
            <family val="2"/>
          </rPr>
          <t>Registrar la cantidad o % del denominador programado en el mes (de acuerdo a la fórmula del Indicador)</t>
        </r>
      </text>
    </comment>
    <comment ref="CH7" authorId="0">
      <text>
        <r>
          <rPr>
            <sz val="9"/>
            <color indexed="81"/>
            <rFont val="Tahoma"/>
            <family val="2"/>
          </rPr>
          <t>Es la relación del Numerador sobre el denominador.
Si su fúmula no contiene un denominado, escribir en este campo "1 (uno)"</t>
        </r>
      </text>
    </comment>
    <comment ref="CI7" authorId="0">
      <text>
        <r>
          <rPr>
            <sz val="9"/>
            <color indexed="81"/>
            <rFont val="Tahoma"/>
            <family val="2"/>
          </rPr>
          <t xml:space="preserve">Corresponde al valor proyectado al mes correspondiente en la distribución anual de la caracterización </t>
        </r>
      </text>
    </comment>
    <comment ref="CJ7" authorId="0">
      <text>
        <r>
          <rPr>
            <sz val="9"/>
            <color indexed="81"/>
            <rFont val="Tahoma"/>
            <family val="2"/>
          </rPr>
          <t>Se registra el valor de la meta ejecutada sobre el valor de la meta proyectada</t>
        </r>
      </text>
    </comment>
    <comment ref="CK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L7" authorId="0">
      <text>
        <r>
          <rPr>
            <sz val="9"/>
            <color indexed="81"/>
            <rFont val="Tahoma"/>
            <family val="2"/>
          </rPr>
          <t>Registrar la cantidad o % ejecutada en el mes (de acuerdo a la fórmula del Indicador)</t>
        </r>
      </text>
    </comment>
    <comment ref="CM7" authorId="0">
      <text>
        <r>
          <rPr>
            <sz val="9"/>
            <color indexed="81"/>
            <rFont val="Tahoma"/>
            <family val="2"/>
          </rPr>
          <t>Registrar la cantidad o % del denominador programado en el mes (de acuerdo a la fórmula del Indicador)</t>
        </r>
      </text>
    </comment>
    <comment ref="CN7" authorId="0">
      <text>
        <r>
          <rPr>
            <sz val="9"/>
            <color indexed="81"/>
            <rFont val="Tahoma"/>
            <family val="2"/>
          </rPr>
          <t>Es la relación del Numerador sobre el denominador.
Si su fúmula no contiene un denominado, escribir en este campo "1 (uno)"</t>
        </r>
      </text>
    </comment>
    <comment ref="CO7" authorId="0">
      <text>
        <r>
          <rPr>
            <sz val="9"/>
            <color indexed="81"/>
            <rFont val="Tahoma"/>
            <family val="2"/>
          </rPr>
          <t xml:space="preserve">Corresponde al valor proyectado al mes correspondiente en la distribución anual de la caracterización </t>
        </r>
      </text>
    </comment>
    <comment ref="CP7" authorId="0">
      <text>
        <r>
          <rPr>
            <sz val="9"/>
            <color indexed="81"/>
            <rFont val="Tahoma"/>
            <family val="2"/>
          </rPr>
          <t>Se registra el valor de la meta ejecutada sobre el valor de la meta proyectada</t>
        </r>
      </text>
    </comment>
    <comment ref="CQ7" authorId="0">
      <text>
        <r>
          <rPr>
            <sz val="9"/>
            <color indexed="81"/>
            <rFont val="Tahoma"/>
            <family val="2"/>
          </rPr>
          <t>Justifique el resultado de la meta ejecutada y la comparación entre la meta proyectada del mes. Además justifique el avance acumulado considerando todos los meses anteriores cuando aplique.</t>
        </r>
      </text>
    </comment>
    <comment ref="CR7" authorId="0">
      <text>
        <r>
          <rPr>
            <sz val="9"/>
            <color indexed="81"/>
            <rFont val="Tahoma"/>
            <family val="2"/>
          </rPr>
          <t>Registrar la cantidad o % ejecutada(o) acumulada(o) (de acuerdo a la fórmula del Indicador)</t>
        </r>
      </text>
    </comment>
    <comment ref="CS7" authorId="0">
      <text>
        <r>
          <rPr>
            <sz val="9"/>
            <color indexed="81"/>
            <rFont val="Tahoma"/>
            <family val="2"/>
          </rPr>
          <t>Registrar la cantidad o % del denominador programada(o) acumulado (de acuerdo a la fórmula del Indicador)</t>
        </r>
      </text>
    </comment>
    <comment ref="CT7" authorId="0">
      <text>
        <r>
          <rPr>
            <sz val="9"/>
            <color indexed="81"/>
            <rFont val="Tahoma"/>
            <family val="2"/>
          </rPr>
          <t>Es la relación del Numerador sobre el denominador.
Si su fúmula no contiene un denominado, escribir en este campo "1 (uno)"</t>
        </r>
      </text>
    </comment>
    <comment ref="CU7" authorId="0">
      <text>
        <r>
          <rPr>
            <sz val="9"/>
            <color indexed="81"/>
            <rFont val="Tahoma"/>
            <family val="2"/>
          </rPr>
          <t xml:space="preserve">Corresponde al valor de la meta proyectada al año correspondiente a lo establecido en la caracterización </t>
        </r>
      </text>
    </comment>
    <comment ref="CV7" authorId="0">
      <text>
        <r>
          <rPr>
            <sz val="9"/>
            <color indexed="81"/>
            <rFont val="Tahoma"/>
            <family val="2"/>
          </rPr>
          <t>Se registra el valor de la meta ejecutada sobre el valor de la meta proyectada</t>
        </r>
      </text>
    </comment>
    <comment ref="CW7" authorId="0">
      <text>
        <r>
          <rPr>
            <sz val="9"/>
            <color indexed="81"/>
            <rFont val="Tahoma"/>
            <family val="2"/>
          </rPr>
          <t>Justifique el resultado de la meta ejecutada acumulada y la comparación entre la meta proyectada acumulada.</t>
        </r>
      </text>
    </comment>
    <comment ref="P13" authorId="0">
      <text>
        <r>
          <rPr>
            <sz val="7"/>
            <color indexed="81"/>
            <rFont val="Arial"/>
            <family val="2"/>
          </rPr>
          <t>A = REPORTE CORTE AL 30 DE ABRIL DE 2013
B = REPORTE CORTE AL 30 DE JUNIO DE 2013
C =  REPORTE CORTE AL 31 DE AGOSTO DE 2013
D =  REPORTE CORTE AL 31 DE OCTUBRE DE 2013</t>
        </r>
      </text>
    </comment>
    <comment ref="R13" authorId="0">
      <text>
        <r>
          <rPr>
            <sz val="7"/>
            <color indexed="81"/>
            <rFont val="Arial"/>
            <family val="2"/>
          </rPr>
          <t>A = REPORTE CORTE AL 30 DE ABRIL DE 2013
B = REPORTE CORTE AL 30 DE JUNIO DE 2013
C =  REPORTE CORTE AL 31 DE AGOSTO DE 2013
D =  REPORTE CORTE AL 31 DE OCTUBRE DE 2013</t>
        </r>
      </text>
    </comment>
    <comment ref="T13" authorId="0">
      <text>
        <r>
          <rPr>
            <sz val="7"/>
            <color indexed="81"/>
            <rFont val="Arial"/>
            <family val="2"/>
          </rPr>
          <t>A = REPORTE CORTE AL 30 DE ABRIL DE 2013
B = REPORTE CORTE AL 30 DE JUNIO DE 2013
C =  REPORTE CORTE AL 31 DE AGOSTO DE 2013
D =  REPORTE CORTE AL 31 DE OCTUBRE DE 2013</t>
        </r>
      </text>
    </comment>
    <comment ref="V13" authorId="0">
      <text>
        <r>
          <rPr>
            <sz val="7"/>
            <color indexed="81"/>
            <rFont val="Arial"/>
            <family val="2"/>
          </rPr>
          <t>A = REPORTE CORTE AL 30 DE ABRIL DE 2013
B = REPORTE CORTE AL 30 DE JUNIO DE 2013
C =  REPORTE CORTE AL 31 DE AGOSTO DE 2013
D =  REPORTE CORTE AL 31 DE OCTUBRE DE 2013</t>
        </r>
      </text>
    </comment>
  </commentList>
</comments>
</file>

<file path=xl/sharedStrings.xml><?xml version="1.0" encoding="utf-8"?>
<sst xmlns="http://schemas.openxmlformats.org/spreadsheetml/2006/main" count="16397" uniqueCount="3977">
  <si>
    <t>FEB</t>
  </si>
  <si>
    <t>MAR</t>
  </si>
  <si>
    <t>MAY</t>
  </si>
  <si>
    <t>JUN</t>
  </si>
  <si>
    <t>JUL</t>
  </si>
  <si>
    <t>AGO</t>
  </si>
  <si>
    <t>SEP</t>
  </si>
  <si>
    <t>OCT</t>
  </si>
  <si>
    <t>NOV</t>
  </si>
  <si>
    <t>DIC</t>
  </si>
  <si>
    <t>ID DE INDICADOR</t>
  </si>
  <si>
    <t>OBJETIVO DEL INDICADOR</t>
  </si>
  <si>
    <t>FÓRMULA DE INDICADOR</t>
  </si>
  <si>
    <t>ENE</t>
  </si>
  <si>
    <t>ABR</t>
  </si>
  <si>
    <t>TIPO DE INDICADOR</t>
  </si>
  <si>
    <t>UNIDAD DE MEDIDA</t>
  </si>
  <si>
    <t>Firma Jefe de Área:</t>
  </si>
  <si>
    <t>ÁREA:</t>
  </si>
  <si>
    <t>NOMBRE DEL INDICADOR</t>
  </si>
  <si>
    <t>FUENTE DE DATOS</t>
  </si>
  <si>
    <t>PERIODO:</t>
  </si>
  <si>
    <r>
      <t xml:space="preserve">FORMATO
</t>
    </r>
    <r>
      <rPr>
        <sz val="9"/>
        <rFont val="Arial"/>
        <family val="2"/>
      </rPr>
      <t>CARACTERIZACIÓN DE INDICADORES DE GESTIÓN</t>
    </r>
  </si>
  <si>
    <t>META ANUAL
(Compromiso del área)</t>
  </si>
  <si>
    <t>DISTRIBUCIÓN DE LA META ANUAL DEL ÁREA</t>
  </si>
  <si>
    <t>Espacio para firma del Jefe de área</t>
  </si>
  <si>
    <t>Meta Estratégica
2013-2016</t>
  </si>
  <si>
    <t>Usuario</t>
  </si>
  <si>
    <t>,</t>
  </si>
  <si>
    <t>REPORTE MENSUAL DE INDICADORES</t>
  </si>
  <si>
    <t>ACUMULADO DE INDICADORES</t>
  </si>
  <si>
    <t>Dato Numerador</t>
  </si>
  <si>
    <t>Dato Denominador</t>
  </si>
  <si>
    <t>Meta Ejecutada</t>
  </si>
  <si>
    <t>Meta Proyectada</t>
  </si>
  <si>
    <t>COMPARACION METAS
EJE vs PRO</t>
  </si>
  <si>
    <t>Análisis</t>
  </si>
  <si>
    <t>ENERO</t>
  </si>
  <si>
    <t>FEBRERO</t>
  </si>
  <si>
    <t>MARZO</t>
  </si>
  <si>
    <t>ABRIL</t>
  </si>
  <si>
    <t>MAYO</t>
  </si>
  <si>
    <t>JUNIO</t>
  </si>
  <si>
    <t>JULIO</t>
  </si>
  <si>
    <t>AGOSTO</t>
  </si>
  <si>
    <t>SEPTIEMBRE</t>
  </si>
  <si>
    <t>OCTUBRE</t>
  </si>
  <si>
    <t>NOVIEMBRE</t>
  </si>
  <si>
    <r>
      <rPr>
        <b/>
        <sz val="9"/>
        <rFont val="Arial"/>
        <family val="2"/>
      </rPr>
      <t>VERSIÓN</t>
    </r>
    <r>
      <rPr>
        <sz val="9"/>
        <rFont val="Arial"/>
        <family val="2"/>
      </rPr>
      <t xml:space="preserve">
3.0</t>
    </r>
  </si>
  <si>
    <t>TRANSVERSALES</t>
  </si>
  <si>
    <r>
      <rPr>
        <b/>
        <sz val="9"/>
        <rFont val="Arial"/>
        <family val="2"/>
      </rPr>
      <t>PROCESO</t>
    </r>
    <r>
      <rPr>
        <sz val="9"/>
        <rFont val="Arial"/>
        <family val="2"/>
      </rPr>
      <t xml:space="preserve">
PLANEACIÓN ESTRATÉGICA</t>
    </r>
  </si>
  <si>
    <t>CONSOLIDADO AÑO:</t>
  </si>
  <si>
    <r>
      <rPr>
        <b/>
        <sz val="9"/>
        <rFont val="Arial"/>
        <family val="2"/>
      </rPr>
      <t>CÓDIGO</t>
    </r>
    <r>
      <rPr>
        <sz val="9"/>
        <rFont val="Arial"/>
        <family val="2"/>
      </rPr>
      <t xml:space="preserve">   
FO-PE-01                                                                                                                                                                                                                                                                                                                                                                                       </t>
    </r>
  </si>
  <si>
    <t>Eficacia</t>
  </si>
  <si>
    <t>%</t>
  </si>
  <si>
    <t>Cumplir la totalidad de los planes de mejoramiento establecidos por los entes de control internos y externos, en la vigencia correspondiente</t>
  </si>
  <si>
    <t>Cumplir oportunamente el 100% de las acciones de mejora establecidas en los Planes de Mejoramiento Internos por Procesos durante la vigencia  2014</t>
  </si>
  <si>
    <t>Acciones de mejora  oportunamente cumplidas</t>
  </si>
  <si>
    <t>Medir el cumplimiento oportuno de las acciones de mejora establecidas en los Planes de Mejoramiento Internos por Procesos</t>
  </si>
  <si>
    <t>Cumple todas las acciones=100%
Incumple alguna acción=0%
Se evalúan las acciones a cumplir en el periodo análizado.</t>
  </si>
  <si>
    <t>Matriz de Análisis y Evaluación a Planes de Mejoramiento Internos diligenciada por la OCI</t>
  </si>
  <si>
    <t>Cumplir oportunamente el 100% de las acciones de mejora establecidas en los Planes de Mejoramiento con las Contralorías de Bogotá y General de la República durante la vigencia  2014</t>
  </si>
  <si>
    <t>Medir el cumplimiento oportuno de las acciones de mejora establecidas en los Planes de Mejoramiento con las Contralorías de Bogotá y General de la República.</t>
  </si>
  <si>
    <t>Cumple todas las acciones acumuladas a la fecha de corte=100%
Incumple alguna acción=0%
Se evalúan las acciones acumuladas a cumplir en la fecha de corte.</t>
  </si>
  <si>
    <t>Matriz de Análisis y Evaluación a Planes de mejoramiento diligenciado por la OCI para Contraloría de Bogotá y para Contraloría General de la República.</t>
  </si>
  <si>
    <t xml:space="preserve">Areas que aplica el indicador </t>
  </si>
  <si>
    <t xml:space="preserve">Eficiacia </t>
  </si>
  <si>
    <t>5,1 Mantener por encima del 90% la ejecución presupuestal</t>
  </si>
  <si>
    <t>Presupuesto ejecutado</t>
  </si>
  <si>
    <t>Medir el nivel de ejecución presupuestal de la dependencia en el cumplimientos de las metas pactadas.</t>
  </si>
  <si>
    <t>(Presupuesto ejecutado de la dependencia) / (Apropiación presupuestal definitiva asignada a la dependencia)</t>
  </si>
  <si>
    <t>Sistema de Información Financiera IDU
STONE - PREDIS</t>
  </si>
  <si>
    <t>DTAI - DTAF - DTAV - DTC - DTDP - DTGC - DTGJ - DTM - DTDP - DTP - DTE - OAC - OAP - OTC - SGJ</t>
  </si>
  <si>
    <t>5.1. Mantener por encima del 90% la ejecución presupuestal (eficiencia)de la vigencia, pasivos exigibles y reservas.</t>
  </si>
  <si>
    <t>Lograr el 80% en el indicador mensual y anual de Gestión del PAC</t>
  </si>
  <si>
    <t>Gestión del PAC</t>
  </si>
  <si>
    <t>Programar y ejecutar de manera eficaz los recursos disponibles para el pago de las obligaciones contraidas por cada una de las áreas ordenadoras del pago</t>
  </si>
  <si>
    <t>No. de puntos obetenidos / 100</t>
  </si>
  <si>
    <t>El numero de puntos obtenidos es basado en la metodología establecida por la STTR, según anexo 1</t>
  </si>
  <si>
    <t>Todas las Areas</t>
  </si>
  <si>
    <t>DTE - DTP - DTD - DTDP - DTC - DTM - DTAI - DTGJ - DTAF - DTVA-SGCC-SGJ</t>
  </si>
  <si>
    <t>Contar con la información integral, veraz y oportuna que soporte la planeación, el seguimiento y el control de la gestión de la Entidad.</t>
  </si>
  <si>
    <t>Garantizar el registro de la información contractual responsabilidad del área de manera coordinada y ágil en el sistema SIAG asegurando la designación del personal idóneo así como de los recursos necesarios.</t>
  </si>
  <si>
    <t>Registrar el 100% de la información actualizada en el aplicativo SIAC</t>
  </si>
  <si>
    <t xml:space="preserve">Seguimiento al registro de la información contractual </t>
  </si>
  <si>
    <t>Aplicativo SIAC</t>
  </si>
  <si>
    <t>No. de Solicitudes de Acompañamiento, asesoría y elaboración de tramites contractuales Cargados en el SIAG / Total de solicitudes de acompañamiento, asesoría y elaboración de tramites contractuales. X1 00</t>
  </si>
  <si>
    <t>DICIEMBRE</t>
  </si>
  <si>
    <t>TOCI-02</t>
  </si>
  <si>
    <t>T-OCI-01</t>
  </si>
  <si>
    <t>T-OAP-02</t>
  </si>
  <si>
    <t>T-STTR-01</t>
  </si>
  <si>
    <t>T-DTGC-01</t>
  </si>
  <si>
    <t>A 31 de diciembre ejecutar el 100% del presupuesto asignado en  la vigencia.</t>
  </si>
  <si>
    <t>4.3. Implementar un plan de intervención para mejorar el clima organizacional  y que promueva una cultura institucional en el marco del fortalecimiento de la entidad</t>
  </si>
  <si>
    <t xml:space="preserve"> Solicitud de un infome donde se presenten la implementación del plan de intervención para mejorar el clima organizacional.</t>
  </si>
  <si>
    <t>Seguimiento a la implementación de un plan de intervención del clima organizacional</t>
  </si>
  <si>
    <t>Realizar seguimiento eficaz sobre el avance de ejecución y desarrollo de lla meta estrategica</t>
  </si>
  <si>
    <t xml:space="preserve">Eficacia </t>
  </si>
  <si>
    <t>(No. Informes solicitados/No. Informes Proyectados)x100</t>
  </si>
  <si>
    <t>Documentos de requerimientos seguimiento y aprobación</t>
  </si>
  <si>
    <t xml:space="preserve">unidad  </t>
  </si>
  <si>
    <t>Solicitud de informes trimestrales  de control y seguimiento a la STTR   de los  Ingresos y/o Recaudo,  pagos, portafolio de inversión, cta cte y cta de ahorros,</t>
  </si>
  <si>
    <t>Seguimiento de los  Ingresos y/o Recaudo,  pagos, portafolio de inversión, cta cte y cta de ahorros.</t>
  </si>
  <si>
    <t>Reportes por fuentes de ingresos</t>
  </si>
  <si>
    <t>5.2. Ejecutar el 100% de los proyectos institucionales de acuerdo con los cronogramas establecidos.</t>
  </si>
  <si>
    <t xml:space="preserve">Solicitud de informes trimestrales de control y seguimiento a la STRF sobre el avance, ejecución y desarrollo  de Monitoreo y seguimiento al Programa de Gestión Documental, mediante solicitudes formales de información.
</t>
  </si>
  <si>
    <t>Seguimiento  al Programa de Gestión Documental, mediante solicitudes formales de información.</t>
  </si>
  <si>
    <t>(No. Memorandos solicitados/No. de procesos)x100</t>
  </si>
  <si>
    <t>solicitudes de informes sobre la implementación  y actualización del programa de gestión documental</t>
  </si>
  <si>
    <t>Solicitud de informes trimestrales de control y seguimiento a la STRF sobre el avance, ejecución y desarrollo  de los  procesos de adecuaciones locativas y Mantenimientos preventivos y/o correctivosestratégica, mediante solicitudes formales de información.</t>
  </si>
  <si>
    <t>Seguimiento  alos procesos de adecuaciones locativas y Mantenimientos preventivos y/o correctivosestratégica, mediante solicitudes formales de información.</t>
  </si>
  <si>
    <t xml:space="preserve">solicitudes de informes sobre los requerimientos de adecuaciones locativas y mantenimiento preventivo y/o correctivo de las instalaciones de la Entidad.   </t>
  </si>
  <si>
    <t>5.14 Desarrollar una estrategia que articule la implementación de los subsistemas SGSI, SIGA y S&amp;SO.</t>
  </si>
  <si>
    <t xml:space="preserve">Solicitud de informes trimestrales de control y seguimiento a la STRT sobre el avance, ejecución y desarrollo  a la implementación del SGSI mediante solicitudes formales de información.
</t>
  </si>
  <si>
    <t xml:space="preserve">Seguimiento   a la implementación del SGSI </t>
  </si>
  <si>
    <t>solicitudes de informes sobre la implementación del SGSI</t>
  </si>
  <si>
    <t>Monitoreo a la implementación, mediante solicitudes formales de información del Modelo de gestión "Cero Papel"</t>
  </si>
  <si>
    <t>Seguimiento   a la implementación del Modelo de gestión "Cero Papel"</t>
  </si>
  <si>
    <t>Seguimiento a las actividades y controles proyectados por la Subdirección Técnica de Recursos Tecnológicos</t>
  </si>
  <si>
    <t>unidad</t>
  </si>
  <si>
    <t>Solicitud de informes a la Subdirección Técnica de Presupuesto y Contabilidad en donde se detalle el monitoreo que ha realizado dicha área para la ejecución de los pasivos exigibles.</t>
  </si>
  <si>
    <t>Seguimiento a la ejecución de pasivos exigibles</t>
  </si>
  <si>
    <t>Seguimiento a la ejecución de pasivos y reservas en cada área adscrita a la dirección</t>
  </si>
  <si>
    <t>No aplica para este periodo, no se realizó programación</t>
  </si>
  <si>
    <t>Se  cumplio  registrando la información  en el SIAC  de la Dirección Técnica Administrativa y Financiera.</t>
  </si>
  <si>
    <t>La programación Inicial (PI) del PAC es de $15.556.627.058    y la Reprogramación del mes ( RM )fue de $12.020.545.918   . La Ejecución del PAC  en este mes fue de $10.896.800.713  . Por lo tanto se ejecutó el 70   % frente a la programación Inicial y el 91   % frente a la Reprogramación del mes. Adicionalmente la información  SI se entregó dentro del plazo estipulado. Esto arroja  90     puntos en el Indicador de Gestión del PAC.</t>
  </si>
  <si>
    <t>La programación Inicial (PI) del PAC es de $ 11.784.065.721   y la Reprogramación del mes ( RM )fue de $ 10.719.996.973  . La Ejecución del PAC  en este mes fue de $9.867.283.920  . Por lo tanto se ejecutó el  84  % frente a la programación Inicial y el  92  % frente a la Reprogramación del mes. Adicionalmente la información  SI se entregó dentro del plazo estipulado. Esto arroja   90    puntos en el Indicador de Gestión del PAC.</t>
  </si>
  <si>
    <t>La programación Inicial (PI) del PAC es de $ 14.038.755.216    y la Reprogramación del mes ( RM )fue de $ 8.350.968.793    . La Ejecución del PAC  en este mes fue de $9.124.813.289  . Por lo tanto se ejecutó el  65  % frente a la programación Inicial y el    109% frente a la Reprogramación del mes. Adicionalmente la información  SI se entregó dentro del plazo estipulado. Esto arroja   80    puntos en el Indicador de Gestión del PAC.</t>
  </si>
  <si>
    <t>La programación Inicial (PI) del PAC es de $ 12.341,089.915    y la Reprogramación del mes ( RM )fue de $ 12.341.089.915    . La Ejecución del PAC  en este mes fue de $5.353.973.869  . Por lo tanto se ejecutó el  43  % frente a la programación Inicial y el    43% frente a la Reprogramación del mes. Adicionalmente la información  SI se entregó dentro del plazo estipulado. Esto arroja   35     puntos en el Indicador de Gestión del PAC.</t>
  </si>
  <si>
    <t>NO APLICA EVALUACIÓN EN PLAN MEJORAMIENTO CONTRALORÍA DE BOGOTÁ y CONTRALORÍA GENERAL DE LA REPÚBLICA,  PARA EL PERIODO</t>
  </si>
  <si>
    <t xml:space="preserve">Se realizó Seguimiento a la implementación de un plan de intervención del clima organizacional, Se Solicito un  informe donde se  establece las actividades realizadas, </t>
  </si>
  <si>
    <t xml:space="preserve">Seguimiento de los  Ingresos y/o Recaudo,  pagos, portafolio de inversión, cta cte y cta de ahorros., Se Solicito un  informe donde se  establece las actividades realizadas, </t>
  </si>
  <si>
    <t xml:space="preserve">Se realizó Seguimiento   al Programa de Gestión Documental, mediante solicitudes formales de información, Se Solicito un  informe donde se  establece las actividades realizadas, </t>
  </si>
  <si>
    <t>Se realizó Seguimiento  a los procesos de adecuaciones locativas y Mantenimientos preventivos y/o correctivosestratégica, mediante solicitudes formales de información, Se Solicito un  informe donde se  establece las actividades realizadas.</t>
  </si>
  <si>
    <t xml:space="preserve">Se realizó Seguimiento a la implementación del SGSI  , Se Solicito un  informe donde se  establece las actividades realizadas, </t>
  </si>
  <si>
    <t xml:space="preserve">Se realizó Seguimiento a la  implementación del Modelo de gestión "Cero Papel", Se Solicito un  informe donde se  establece las actividades realizadas, </t>
  </si>
  <si>
    <t>Se realizó Seguimiento a la ejecución de pasivos exigibles, Se Solicito un  informe donde se  establece las actividades realizadas.</t>
  </si>
  <si>
    <t>Las acciones están en cabeza de las áreas técnicas adscritas a esta Dirección</t>
  </si>
  <si>
    <t>La programación Inicial (PI) del PAC es de $11.507.657.,660   y la Reprogramación del mes ( RM )fue de $11.810.157.857 .  La Ejecución del PAC  en este mes fue de $10.569.354.998  . Por lo tanto se ejecutó el 92% frente a la programación Inicial y el 89% frente a la Reprogramación del mes.  Adicionalmente la información  SI se entregó dentro del plazo estipulado.  Esto arroja  85  puntos en el Indicador de Gestión del PAC.</t>
  </si>
  <si>
    <t>La DTAF, realizó seguimiento  a los planes de mejoramiento, ya que Las acciones están en cabeza de las áreas técnicas adscritas a esta Dirección</t>
  </si>
  <si>
    <t>La programación Inicial (PI) del PAC es de $10,808,792,730  y la Reprogramación del mes ( RM )fue de $18,689,684,022.  La Ejecución del PAC  en este mes fue de $19,268,399,490 . Por lo tanto se ejecutó el 178% frente a la programación Inicial y el 103% frente a la Reprogramación del mes.  Adicionalmente la información  SI se entregó dentro del plazo estipulado.  Esto arroja  75  puntos en el Indicador de Gestión del PAC.</t>
  </si>
  <si>
    <t>Una vez verificado el Sistema de Información y Acompañamiento Contractual – SIAC, y de acuerdo a los parámetros establecidos de medición se establece que la información correspondiente a los contratos a cargo de la Dirección Técnica  Administrativa y Financiera se encuentra actualizada.</t>
  </si>
  <si>
    <t>Nombre:  CECILIA MALTE  ALVAREZ</t>
  </si>
  <si>
    <t>La programación Inicial (PI) del PAC es de $11,737.718.556  y la Reprogramación del mes ( RM )fue de $10.756.455.385.  La Ejecución del PAC  en este mes fue de $10.597.800.891.  Por lo tanto se ejecutó el 90% frente a la programación Inicial y el 99% frente a la Reprogramación del mes.  Adicionalmente la información  SI se entregó dentro del plazo estipulado.  Esto arroja  100  puntos en el Indicador de Gestión del PAC.</t>
  </si>
  <si>
    <t>Cargo: Directora Técnica Administrativa y Financiera</t>
  </si>
  <si>
    <t>La programación Inicial (PI) del PAC es de $10.143.996.677  y la Reprogramación del mes ( RM )fue de $10.561.653.233.  La Ejecución del PAC  en este mes fue de $9.490.352.567. Por lo tanto se ejecutó el 94% frente a la programación Inicial y el 90% frente a la Reprogramación del mes.  Adicionalmente la información  SI se entregó dentro del plazo estipulado.  Esto arroja  100  puntos en el Indicador de Gestión del PAC.</t>
  </si>
  <si>
    <t>La ejecución presupuestal  en el primer semestre  es del 67,86 %  cumpliendo el 100% de la meta proyectada</t>
  </si>
  <si>
    <t>NO APLICA EVALUACIÓN DEL INDICADOR DE PLANES DE MEJORAMIENTO EN ESTE PERIODO</t>
  </si>
  <si>
    <t>La programación Inicial (PI) del PAC es de $9,749,665,505 y la Reprogramación del mes (RM )fue de $9,655,726,573. La Ejecución del PAC  en este mes fue de $9,321,452,623. Por lo tanto se ejecutó el 96% frente a la programación Inicial y el 97% frente a la Reprogramación del mes. Adicionalmente la información SI se entregó dentro del plazo estipulado. Esto arroja 100 puntos en el Indicador de Gestión del PAC.</t>
  </si>
  <si>
    <t>La ejecución presupuestal  en el tercer semestre  es del 87,70 %  cumpliendo el 100% de la meta proyectada</t>
  </si>
  <si>
    <t>Una vez revisados los estados de los contratos de la Dirección Técnica Administrativa y Financiera  se encuentra la información en el SIAC,  los seis (6)  contratos que se encuentran desactualización  no pertenecen a la DTAF, corresponde a otra área por ejemplo:  el contrato 1043 de 2014 pertenece a la DTAI, el contrato 1044 de 2014 pertenece a la DTAI,el contrato 487 de 2014 pertenece a la STRF, el contrato 842 del 2013 pertenece a la STRF, el contrato 1144 del 2014 pertenece a la STRH, el contrato  8 del 2013 pertenece a la STRF. el contrato 1487 del 2013 es un contrato de PS  y el  sistema lo  reporta por error.</t>
  </si>
  <si>
    <t>La programación Inicial (PI) del PAC es de $9.377.094.481 y la Reprogramación del mes ( RM )fue de $10.271.027.233.  La Ejecución del PAC  en este mes fue de $9.610.060.471. Por lo tanto se ejecutó el 102% frente a la programación Inicial y el 94% frente a la Reprogramación del mes. Adicionalmente la información  SI se entregó dentro del plazo estipulado. Esto arroja 100 puntos en el Indicador de Gestión del PAC.</t>
  </si>
  <si>
    <t>La programación Inicial (PI) del PAC es de $9,465,194,451 y la Reprogramación del mes ( RM ) fue de $10,344,734,893.  La Ejecución del PAC  en este mes fue de $10,862,626,847. Por lo tanto se ejecutó el 115% frente a la programación Inicial y el 105% frente a la Reprogramación del mes. Adicionalmente la información  SI se entregó dentro del plazo estipulado.  Esto arroja 75 puntos en el Indicador de Gestión del PAC. Para  un porcentaje de cumplimiento del indicador tranversal del PAC del 93,75%,</t>
  </si>
  <si>
    <t>(No. informes solicitados/No. de  informes proyestados)x100</t>
  </si>
  <si>
    <t>5.6. Implementar, evaluar y auditar el 100% del Sistema Integrado de Gestión del IDU.</t>
  </si>
  <si>
    <t>T-OAP-01</t>
  </si>
  <si>
    <t>Ejecutar el 100% de los productos y documentos requeridos para el Sistema Integrado de Gestión - SIG de acuerdo al Plan de Acción SIG y del Plan de Actualización documental</t>
  </si>
  <si>
    <t>Gestión en la implementación del SIG</t>
  </si>
  <si>
    <t>Lograr la implmentación del SIG de acuerdo a los lineamientos definidos en la norma SIG distrital.</t>
  </si>
  <si>
    <t>(No. de productos SIG entregados + No. de Documentos SIG tramitados) / (No. de productos SIG programados + No. de documentos SIG programados) x 100%</t>
  </si>
  <si>
    <t>Plan de Acción SIG
Plan documental Consolidado por la OAP</t>
  </si>
  <si>
    <t>ANALIZADAS LAS ACCIONES A CUMPLIR EN EL PERIODO Y LOS RESULTADOS  OBTENIDOS POR EL ÁREA, NO APLICA EVALUACIÓN DEL INDICADOR DE PLANES DE MEJORAMIENTO CON LA CONTRALORÍA DE BOGOTÁ Y/O LA CONTRALORÍA GENERAL DE LA REPÚBLICA.</t>
  </si>
  <si>
    <t>La ejecución presupuestal  en el segundo semestre  es del 98,33 %  cumpliendo el 100% de la meta proyectada</t>
  </si>
  <si>
    <t xml:space="preserve">De los trámites programados  para ejecutar desde el 1° de enero hasta el 31 de diciembre,  se realizaron 135 cumplio el  92%  </t>
  </si>
  <si>
    <t>La programación Inicial (PI) del PAC es de $12,651,823,575 y la Reprogramación del mes ( RM ) fue de $14,468,943,315.  La Ejecución del PAC  en este mes fue de $15,695,386,345. Por lo tanto se ejecutó el 124% frente a la programación Inicial y el 108% frente a la Reprogramación del mes. Adicionalmente la información  SI se entregó dentro del plazo estipulado. Esto arroja 75 puntos en el Indicador de Gestión del PAC.Para  un porcentaje de cumplimiento del indicador tranversal del PAC del 93,75%,</t>
  </si>
  <si>
    <t>De la vigewncia del 2014 se cumplio el 100% de la meta programada</t>
  </si>
  <si>
    <t>De la vigewncia del 2014 se cumplio el 92% de la meta programada</t>
  </si>
  <si>
    <t>Una vez revisados los estados de los contratos de la Dirección Técnica Administrativa y Financiera  se  actualizaron 19 contratos cumpliendo el 86%</t>
  </si>
  <si>
    <t>De la vigewncia del 2014 se cumplio el 97% de la meta programada</t>
  </si>
  <si>
    <t>De la vigewncia del 2014 se cumplio el 98,33% del  100 % de la meta programada</t>
  </si>
  <si>
    <t>DIRECCIÓN TÉCNICA DE ADMINISTRACIÓN DE INFRAESTRUCTURA</t>
  </si>
  <si>
    <t>VIGENCIA 2014</t>
  </si>
  <si>
    <t>Responsable Indicador</t>
  </si>
  <si>
    <t>5.2. Ejecutar el 100% de los proyectos institucionales de acuerdo con los cronogramas establecidos</t>
  </si>
  <si>
    <t>Garantizar el 100% de la gestión para el seguimiento a los contratos con póliza de estabilidad vigente</t>
  </si>
  <si>
    <t>Seguimiento a pólizas de estabilidad</t>
  </si>
  <si>
    <t>Garantizar el seguimiento a los contratos con póliza de estabilidad de obra vigente</t>
  </si>
  <si>
    <t>Eficiencia</t>
  </si>
  <si>
    <t>(# contratos con póliza de estabilidad vigente en seguimiento / total contratos con póliza de estabilidad vigente, recibidos y aprobados por la DTAI para seguimiento) *100</t>
  </si>
  <si>
    <t>Aplicativo SIP (Sistema de información de pólizas)</t>
  </si>
  <si>
    <t>DTAI 
Edgar Mossos Lozano</t>
  </si>
  <si>
    <t>Para este mes no se programo reporte de metas</t>
  </si>
  <si>
    <t>A marzo 31 de 2014 la DTAI adelanta el seguimiento a 239 contratos con póliza vigente recibidos y aprobados.</t>
  </si>
  <si>
    <t>De la totalidad de contratos recibidos y aprobados para seguimiento, el 100% se encuentran cubierto.</t>
  </si>
  <si>
    <t>De la totalidad de contratos recibidos y aprobados para seguimiento en el período, el 100% se encuentran cubierto.</t>
  </si>
  <si>
    <t>Los datos indicados corresponden al número de contratos recibidos y aprobados por la DTAI para seguimiento a la fecha de corte. Al mes de Diciembre la DTAI adelantó seguimiento a un total de 220 contratos, garantizando el 100% de la meta proyectada.</t>
  </si>
  <si>
    <t>Los datos indicados corresponden al número de contratos recibidos y aprobados por la DTAI para seguimiento durante el transcurso del año 2014. En lo corrido del año la DTAI adelantó seguimiento a un total de 264 contratos, garantizando el 100% de la meta proyectada.</t>
  </si>
  <si>
    <t>3.3. Actualizar el 100% del inventario y diagnóstico de la malla vial, espacio público y ciclorutas competencia de la entidad</t>
  </si>
  <si>
    <t>Inspeccionar el estado de 300 pasos elevados vehiculares y peatonales de la ciudad</t>
  </si>
  <si>
    <t>Monitoreo a pasos elevados</t>
  </si>
  <si>
    <t xml:space="preserve">Cumplir con el total de la inspección de los pasos elevados vehiculares y peatonales programados </t>
  </si>
  <si>
    <t>(# pasos elevados vehiculares y peatonales inspeccionados y con informe / 300 pasos elevados programados para monitorear) *100</t>
  </si>
  <si>
    <t>Informe de resultado de inspección</t>
  </si>
  <si>
    <t>% acumulado</t>
  </si>
  <si>
    <t xml:space="preserve">DTAI 
Andres Mauricio Rincón </t>
  </si>
  <si>
    <t xml:space="preserve">En el primer trimestre de 2014 se inspeccionaron 73 puentes entre vehiculares y peatonales, a los cuales se les realizo el informe respectivo. </t>
  </si>
  <si>
    <t xml:space="preserve">En el segundo trimestre de 2014 se inspeccionaron 78 puentes entre vehiculares y peatonales, a los cuales se les realizo el informe respectivo. </t>
  </si>
  <si>
    <t xml:space="preserve">En el tercer trimestre de 2014 se inspeccionaron 78 puentes entre vehiculares y peatonales, a los cuales se les realizó el informe respectivo. </t>
  </si>
  <si>
    <t>En el cuarto trimestre de 2014 se inspeccionaron 73 puentes entre vehiculares y peatonales, a los cuales se les realizo el informe respectivo</t>
  </si>
  <si>
    <t>En el año 2014 se inspeccionaron 302 puentes entre vehiculares y peatonales, a los cuales se les realizo el informe respectivo, cumpliendo con la meta proyectada.</t>
  </si>
  <si>
    <t>Garantizar el trámite del 100% de las solicitudes de Licencias de Intervención y Ocupación del Espacio Público con requisitos completos</t>
  </si>
  <si>
    <t>Licencias de intervención y ocupación del Espacio Público</t>
  </si>
  <si>
    <t>Garantizar el tramite del total de solicitudes de Licencias de Intervención y Ocupación del Espacio Público</t>
  </si>
  <si>
    <t>(# Licencias de Intervención y Ocupación del Espacio Público evaluadas y tramitadas / # Licencias de Intervención y Ocupación del Espacio Público solicitadas con requisitos completos) *100</t>
  </si>
  <si>
    <t>Resolución que otorga la Licencia de Intervención y Ocupación</t>
  </si>
  <si>
    <t>DTAI 
Edgar Donado Arias</t>
  </si>
  <si>
    <t>Se expidieron 26 resoluciones otorgando Licencia de Intervención y Ocupación del Espacio Público a igual número de solicitudes radicadas en legal y debida forma, según lo expuesto en el Decreto Nacional 1469 de 2010.</t>
  </si>
  <si>
    <t>Se expidieron 26 resoluciones otorgando Licencia de Intervención y Ocupación del Espacio Público a igual número de solicitudes radicadas en legal y debida forma, según lo expuesto en el Decreto Nacional 1469 de 2010.
Es importante anotar que mediante Auto fechado el día 27 de marzo de 2014, el Consejo de Estado, en Sala de lo Contencioso Administrativo, Sección Primera, Sala Unitaria, resolvió suspender provisionalmente el Decreto Distrital 364 del 26 de Agosto de 2013, y que como consecuencia de la suspensión provisional citada, se deberán aplicar las disposiciones contenidas en el Decreto Distrital 190 de 2004, la competencia para otorgar Licencias de Intervención y Ocupación del Espacio Público retorno a la Secretaría Distrital de Planeación, por lo que el IDU ya no expedirá dichas Licencias.</t>
  </si>
  <si>
    <t>No se reporta indicador, por cuanto mediante Auto del 27 de marzo de 2014, el Consejo de Estado suspendió provisionalmente el Decreto Distrital 364 del 26 de Agosto de 2013, y como consecuencia de la suspensión provisional citada, se deben aplicar las disposiciones contenidas en el Decreto Distrital 190 de 2004, por lo que la competencia para otorgar Licencias de Intervención y Ocupación del Espacio Público retornó a la Secretaría Distrital de Planeación.</t>
  </si>
  <si>
    <t>Elaborar 4 documentos técnicos que estructuren las actividades a cargo del IDU, previstas en el Marco Regulatorio de Aprovechamiento Económico del Espacio Público - Decreto 456/2013</t>
  </si>
  <si>
    <t>Aprovechamiento económico del espacio público</t>
  </si>
  <si>
    <t>Establecer los documentos técnicos para el Aprovechamiento Económico del Espacio Público</t>
  </si>
  <si>
    <t>Cantidad documentos técnicos elaborados (Marco Regulatorio de Aprovechamiento)  / Cantidad  de documentos técnicos requeridos (Marco Regulatorio de Aprovechamiento).</t>
  </si>
  <si>
    <t>Documentos técnicos definitivos</t>
  </si>
  <si>
    <t>DTAI 
Fredy Hernan Garzón Prieto</t>
  </si>
  <si>
    <r>
      <rPr>
        <b/>
        <sz val="9"/>
        <rFont val="Arial"/>
        <family val="2"/>
      </rPr>
      <t xml:space="preserve">1. Indicador: </t>
    </r>
    <r>
      <rPr>
        <sz val="9"/>
        <rFont val="Arial"/>
        <family val="2"/>
      </rPr>
      <t xml:space="preserve">Cantidad documentos técnicos elaborados (Marco Regulatorio de Aprovechamiento)  / Cantidad  de documentos técnicos requeridos (Marco Regulatorio de Aprovechamiento).
</t>
    </r>
    <r>
      <rPr>
        <b/>
        <sz val="9"/>
        <rFont val="Arial"/>
        <family val="2"/>
      </rPr>
      <t>2. Los productos elaborados:</t>
    </r>
    <r>
      <rPr>
        <sz val="9"/>
        <rFont val="Arial"/>
        <family val="2"/>
      </rPr>
      <t xml:space="preserve">
a). Documento de protocolo interinstitucional y fórmula de retribución económica para las actividades de aprovechamiento económico de corto plazo, hoy denominado Sistema Único para el Manejo del Espacio Público (SUMA).
b). Documento técnico (Cartilla) y fórmula de retribución económica de la actividad de “Campamentos de Obra en Altura” sobre el espacio público.
c). Documento técnico y fórmula de retribución económica de la actividad de  “Venta de Alimentos en Vía” sobre el espacio público.
d). Documento técnico y fórmula de retribución económica de la actividad de “Enlaces Peatonales” entre inmuebles privados; y entre inmuebles privados y elementos del espacio público. </t>
    </r>
  </si>
  <si>
    <t>Este indicador ya se cumplió en el mes de Julio</t>
  </si>
  <si>
    <t>1.3. Realizar el 100% de la gestión y coordinación interinstitucional para la ejecución de obras</t>
  </si>
  <si>
    <t>Garantizar el trámite del 100% de las solicitudes de Licencias de Excavación con requisitos completos</t>
  </si>
  <si>
    <t>Expedición de Licencias de Excavación</t>
  </si>
  <si>
    <t>Garantizar el tramite del total de solicitudes de Licencias de Excavación</t>
  </si>
  <si>
    <t>(# Licencias de Excavación tramitadas / # Licencias de Excavación solicitadas con requisitos completos) *100</t>
  </si>
  <si>
    <t>Resolución que otorga la Licencia de Excavación</t>
  </si>
  <si>
    <t>DTAI 
Alvaro Enrique Reinoso Guerra</t>
  </si>
  <si>
    <t xml:space="preserve">En lo corrido del primer trimestre se tramitaron 256 solicitudes, de las cuales 14 no tenían documentos (requisitos) completos.  </t>
  </si>
  <si>
    <t xml:space="preserve">En lo corrido del segundo trimestre se tramitaron 200 solicitudes, de las cuales 5 no tenían documentos (requisitos) completos.  </t>
  </si>
  <si>
    <t xml:space="preserve">En lo corrido del segundo trimestre se tramitaron 213 solicitudes, de las cuales 10 no tenían documentos (requisitos) completos.  </t>
  </si>
  <si>
    <t xml:space="preserve">En lo corrido del cuarto trimestre se tramitaron 169 solicitudes, de las cuales 21 no tenían documentos (requisitos) completos.  </t>
  </si>
  <si>
    <t>Se aclara que fue necesario cambiar la información reportada los trimestres anteriores, puesto que lo reportado correspondía a información mensual y no trimestral como lo exige el indicador. Adicionalmente se evidencio que la formula del indicador no se planteó adecuadamente, por cuanto se invirtió el numerador con el denominador, así las cosas, para obtener una medición objetiva, la formula del indicador debería ser: [#Licencias de Excavación solicitadas con requisitos completos / #Licencias de Excavación tramitadas]. 
Si aplicáramos la formula antes mencionada para el consolidado obtendríamos [788/838=94%], lo que significa que se obtuvo un cumplimiento del 94%, más el 6% restante se encuentra reflejando en las 50 solicitudes que se encuentran en tramite, debido a que se radicaron con documentos (requisitos) incompletos.</t>
  </si>
  <si>
    <t xml:space="preserve">Garantizar el seguimiento del 100% de las Licencias de Excavación con plazo de entrega finalizado </t>
  </si>
  <si>
    <t>Recibo de Licencias de Excavación</t>
  </si>
  <si>
    <t>Garantizar el seguimiento a las Licencias de Excavación expedidas</t>
  </si>
  <si>
    <t>(# visitas realizadas / # visitas programadas) *100</t>
  </si>
  <si>
    <t>Informe de visita</t>
  </si>
  <si>
    <t>DTAI 
Humberto Ramirez Gómez</t>
  </si>
  <si>
    <t>El 4% faltante se encuentra programado para la ejecución por parte del contratista externo, sin embargo aun no se ha recibido el reporte físico de las visitas</t>
  </si>
  <si>
    <t xml:space="preserve">Se cumplió con la meta propuesta ya que tanto el contratista externo como los funcionarios  encargados de las visitas muestran compromiso , buscando un mejoramiento continuo para  estas actividades. </t>
  </si>
  <si>
    <t>El pequeño porcentaje faltante, se encuentra programado para la ejecución por parte del grupo interno de recibo de obras del IDU</t>
  </si>
  <si>
    <t>El 2% faltante se encuentra programado para la ejecución por parte del grupo interno de recibo de obras del IDU</t>
  </si>
  <si>
    <t>El1% faltante se encuentra programado para la ejecución por parte del grupo interno de recibo de obras del IDU</t>
  </si>
  <si>
    <t>Realizar el cruce de cuentas del 100% de las actas de recibo de obra suscritas con las ESP con las maniobras claramente soportadas y entregadas por las áreas ejecutoras a la DTAI antes del 31/11/2014</t>
  </si>
  <si>
    <t>Cruce de cuentas</t>
  </si>
  <si>
    <t>Garantizar el cruce de cuentas de las actas de recibo de obra suscritas</t>
  </si>
  <si>
    <t>(# actas de recibo de obra suscritas con las ESP cruzadas / # actas de recibo de obra suscritas con las ESP enviadas a la DTAI) *100</t>
  </si>
  <si>
    <t>Acta de cruce de cuentas</t>
  </si>
  <si>
    <t xml:space="preserve">DTAI 
Martha Lucia Corredor Quintero </t>
  </si>
  <si>
    <t>A la fecha se encuentran 3 actas de recibo de este año en proceso de cruce de cuentas (Las actas de cruce de cuentas están aprobadas y en proceso de gestión de recursos en las ESP y en TM).
Adicionalmente, de 31 actas que se tenían del año 2013, se han cruzado 6 esta año y las restantes están dentro de las actas en proceso de gestión de recursos en las ESP y TM.</t>
  </si>
  <si>
    <t>no a reportadoA la fecha se encuentran 3 actas de recibo de este año en proceso de cruce de cuentas (Las actas de cruce de cuentas están aprobadas y en proceso de gestión de recursos en las ESP y en TM).
Adicionalmente, de 31 actas que se tenían del año 2013, se han cruzado 6 y las restantes están dentro de las actas en proceso de gestión de recursos en las ESP.</t>
  </si>
  <si>
    <t>A 31 de noviembre de 2014, quedó pendiente el cruce de 5 Actas, las cuales estan en proceso de gestion de recursos en las ESP y TM.                      Adicionalmente, de 31 actas que se tenían del año 2013, se han cruzado 15 y las 10 restantes son de la EAB las cuales se incluirán en la liquidación del convenio 10 de 2008.</t>
  </si>
  <si>
    <t>5.9. Implementar, evaluar y auditar el 100% del Sistema Integrado de Gestión del IDU.</t>
  </si>
  <si>
    <t>Lograr la implementación del SIG de acuerdo a los lineamientos definidos en la norma SIG distrital.</t>
  </si>
  <si>
    <t>(# productos SIG entregados + # documentos SIG tramitados) / (# productos SIG programados + # documentos SIG programados) *100</t>
  </si>
  <si>
    <t xml:space="preserve">OAP
◦ John Quiroga
◦ Carlos Campos </t>
  </si>
  <si>
    <t>En el primer cuatrimestre la DTAI no propuso ningún trámite documental.</t>
  </si>
  <si>
    <t xml:space="preserve">En el segundo corte la DTAI ejecuto lo programado, el formato se publicó el 2 de julio del 2014. </t>
  </si>
  <si>
    <t>De los trámites programados inicialmente para ejecutar desde el 1° de enero hasta el 30 de septiembre, quedaron pendientes un total de 3 trámites. El detalle de los documentos se puede observar en el plan documental consolidado por la OAP o el plan específico en cada área.</t>
  </si>
  <si>
    <r>
      <t>De los trámites programados inicialmente para ejecutar desde el 1° de enero hasta el 31 de diciembre, quedaron pendientes un total de 5 trámites. El detalle de los documentos se puede observar en el plan documental consolidado por la OAP o el plan específico en cada área.</t>
    </r>
    <r>
      <rPr>
        <b/>
        <sz val="10"/>
        <rFont val="Arial"/>
        <family val="2"/>
      </rPr>
      <t xml:space="preserve"> (De acuerdo a conversacione establecida con la oficina de planeacion queda sujeto a moficación)</t>
    </r>
  </si>
  <si>
    <t>Cumple todas las acciones=100%
Incumple alguna acción=0%
Se evalúan las acciones a cumplir en el periodo analizado.</t>
  </si>
  <si>
    <t>Todas las Áreas</t>
  </si>
  <si>
    <t>5.1. Mantener por encima del 90% la ejecución presupuestal (eficiencia) de la vigencia, pasivos exigibles y reservas.</t>
  </si>
  <si>
    <t>T-STPC-01</t>
  </si>
  <si>
    <t>Ejecutar el 100% de los pasivos exigibles programados para la vigencia.</t>
  </si>
  <si>
    <t>Ejecución Presupuestal Pasivos Exigibles</t>
  </si>
  <si>
    <t>A 31 de Diciembre cumplir con la ejecución del 100% del presupuesto asignado de pasivos exigibles ó el aprobado en el Acuerdo de Gestión del Área</t>
  </si>
  <si>
    <t xml:space="preserve">Eficiencia </t>
  </si>
  <si>
    <t>(valor giros presupuestales P.E. del mes + liberaciones del mes / valor presupuesto P.E. asignado al área para el mismo mes ó lo establecido en el Acuerdo de Gestión para el mes) *100</t>
  </si>
  <si>
    <t>Ejecución Presupuestal (STPC)</t>
  </si>
  <si>
    <t>STPC
Nelson Mauricio Izasa</t>
  </si>
  <si>
    <t>Sin ejecución. Sin programación</t>
  </si>
  <si>
    <t>Ejecución del mes correspondiente a giros por $140.055.631. 
Programación inicial de $140.018.811,36</t>
  </si>
  <si>
    <t>Sin ejecución para el mes. Sin programación para el mes.</t>
  </si>
  <si>
    <t>EJECUCIÓN AL 100%</t>
  </si>
  <si>
    <t>T-STPC-02</t>
  </si>
  <si>
    <t>Ejecutar el 100% de las Reservas Presupuestales programadas para la vigencia .</t>
  </si>
  <si>
    <t xml:space="preserve">Ejecución Presupuestal Reservas </t>
  </si>
  <si>
    <t>A 31 de Diciembre cumplir con la ejecución del 100% del presupuesto asignado de reservas presupuestales ó el aprobado en el Acuerdo de Gestión del Área</t>
  </si>
  <si>
    <t>(Valor giros reservas presupuestales del mes + liberaciones del mes / valor reservas presupuestales asignadas ó lo establecido en el Acuerdo de Gestión para el mes) *100</t>
  </si>
  <si>
    <t>Ejecución del mes correspondiente a giros por $144.145.080. 
Programación inicial de $144.716.219,6</t>
  </si>
  <si>
    <t>Ejecución del mes correspondiente a giros por $160.417.458. 
Programación inicial de $160.022.742,88</t>
  </si>
  <si>
    <t>Ejecución del mes correspondiente a giros presupuestales por $112.240.969.</t>
  </si>
  <si>
    <t>Ejecución del mes correspondiente a giros presupuestales por $160.161.200.</t>
  </si>
  <si>
    <t>Ejecución del mes correspondiente a giros presupuestales por $108.012.713.</t>
  </si>
  <si>
    <t>Ejecución del mes correspondiente a giros presupuestales por $160.289.329. Ejecución esperada del 12%.</t>
  </si>
  <si>
    <t>Ejecución del mes correspondiente a giros presupuestales por $67.684.123. Ejecución esperada del 9%.</t>
  </si>
  <si>
    <t>Sin ejecución para el mes. Ejecución esperada del 10%.</t>
  </si>
  <si>
    <t>Ejecución esperada del 100%. Ejecución real acumulada del 66%</t>
  </si>
  <si>
    <t>A 31 de diciembre ejecutar el 90% del presupuesto asignado en  la vigencia.</t>
  </si>
  <si>
    <t>(presupuesto ejecutado de la dependencia / apropiación presupuestal definitiva asignada a la dependencia) *100</t>
  </si>
  <si>
    <r>
      <t xml:space="preserve">OAP
</t>
    </r>
    <r>
      <rPr>
        <sz val="9"/>
        <rFont val="Calibri"/>
        <family val="2"/>
      </rPr>
      <t>◦</t>
    </r>
    <r>
      <rPr>
        <sz val="9"/>
        <rFont val="Arial"/>
        <family val="2"/>
      </rPr>
      <t xml:space="preserve"> Luis Arnulfo Sarmiento
◦ Cesar Miranda</t>
    </r>
  </si>
  <si>
    <t xml:space="preserve">Fue necesario reprogramar la ejecución del presupuesto de la vigencia, debido a que la licitación para adquisición de elementos se dividió en tres grupos, de los cuales, tan solo 1 se adjudico y los restantes siguen en curso. </t>
  </si>
  <si>
    <t>Se cumplió con la meta programada.</t>
  </si>
  <si>
    <t>Fue necesario reprogramar la ejecución del presupuesto de la vigencia, debido a que la licitación para adquisición de elementos se dividió en tres grupos, de los cuales, tan solo 1 se adjudico y para los restantes  fue necesario sacar un nuevo proceso de selección</t>
  </si>
  <si>
    <t>Se reprogramó el 94.1% para el mes de octubre</t>
  </si>
  <si>
    <t>Mediante memorando 20143750056713 de 07 de abril de 2014, se radicó en la DTPS el proceso de adquisición de elementos de la DTAI, como resultado se efectúo el proceso No. IDU-MC10%-DTAI-012-2014 debidamente publicado en el SECOP y CAV. Dadas las características de los elementos se abre dicho proceso en tres grupos, y se adjudica solo el grupo 01 mediante memorando 20144150552881 de 10 de junio de 2014 bajo contrato IDU-297-2014,  por valor de $ 586.000. Dicho contrato es ejecutado y supervisado por la DTAI donde se adquieren los elementos, y a la fecha el proceso se encuentra debidamente liquidado. Se solicita liberar los recursos sobrantes del CDP No.1833 por valor de $10.000.000, con CDP No. 2441, se actualizan condiciones presupuestales  por valor de $9.413.238, mediante memorando 20143750535953 se radica en la DTPS solicitud de apertura de un nuevo proceso con los correspondientes anexos para abrir nuevamente proceso para los dos grupos pendientes de contratar. Como resultado se efectuó el proceso IDU-MC10%-DTAI-026-2014 debidamente publicado en el SECOP y CAV. Mediante comunicados  20144151077481 y 20144151077421 de fecha 05 de septiembre de 2014, se adjudican los dos grupos mediante contratos IDU-1043-2014 e IDU-1044-2014 por valor de $ 7.256.500. Dichos contratos son ejecutados y supervisados por la DTAI donde se adquieren los elementos, y a la fecha se encuentran en proceso de liquidación. Sin ejecución para el mes. Ejecución esperada del 10%. Mediante memorando  20143750610543 del 10 de octubre de 2014 se liberan los recursos sobrantes correspondientes a $ 2.156.738. 
De acuerdo con las funciones DTAI, se requiere de la adquisición de una cámara de video para las audiencias de conciliación de los contratos con pólizas de estabilidad vigentes se ve la necesidad de tener un registro fílmico donde se detalle pormenorizadamente cada proceso. Dado lo anterior se solicitan los recursos a través de CDP No. 5420 de fecha 21 de noviembre de 2014 por valor de $ 1.500.000, mediante memorando 20143750648633 con fecha 21 de noviembre de 2014 se radica ante la DTPS, solicitud de apertura de proceso de selección por la modalidad de mínima cuantía para la adquisición de una cámara de video, el proceso es convocado en dos oportunidades y declarado desierto. Dado el cierre de año y de vigencia de los recursos mediante correo electrónico de fecha 31 de diciembre de 2014 se solicita su liberación y devolución a la Subdirección General de Infraestructura.</t>
  </si>
  <si>
    <t>Mediante memorando 20143750056713 de 07 de abril de 2014, se radicó en la DTPS el proceso de adquisición de elementos de la DTAI, como resultado se efectúo el proceso No. IDU-MC10%-DTAI-012-2014 debidamente publicado en el SECOP y CAV. Dadas las características de los elementos se abre dicho proceso en tres grupos, y se adjudica solo el grupo 01 mediante memorando 20144150552881 de 10 de junio de 2014 bajo contrato IDU-297-2014,  por valor de $ 586.000. Dicho contrato es ejecutado y supervisado por la DTAI donde se adquieren los elementos, y a la fecha el proceso se encuentra debidamente liquidado. Se solicita liberar los recursos sobrantes del CDP No.1833 por valor de $10.000.000, con CDP No. 2441, se actualizan condiciones presupuestales  por valor de $9.413.238, mediante memorando 20143750535953 se radica en la DTPS solicitud de apertura de un nuevo proceso con los correspondientes anexos para abrir nuevamente proceso para los dos grupos pendientes de contratar. Como resultado se efectuó el proceso IDU-MC10%-DTAI-026-2014 debidamente publicado en el SECOP y CAV. Mediante comunicados  20144151077481 y 20144151077421 de fecha 05 de septiembre de 2014, se adjudican los dos grupos mediante contratos IDU-1043-2014 e IDU-1044-2014 por valor de $ 7.256.500. Dichos contratos son ejecutados y supervisados por la DTAI donde se adquieren los elementos, y a la fecha se encuentran en proceso de liquidación. Sin ejecución para el mes. Ejecución esperada del 10%. Mediante memorando  20143750610543 del 10 de octubre de 2014 se liberan los recursos sobrantes correspondientes a $ 2.156.738. 
De acuerdo con las funciones DTAI, se requiere de la adquisición de una cámara de video para las audiencias de conciliación de los contratos con pólizas de estabilidad vigentes se ve la necesidad de tener un registro fílmico donde se detalle pormenorizadamente cada proceso. Dado lo anterior se solicitan los recursos a través de CDP No. 5420 de fecha 21 de noviembre de 2014 por valor de $ 1.500.000, mediante memorando 20143750648633 con fecha 21 de noviembre de 2014 se radica ante la DTPS, solicitud de apertura de proceso de selección por la modalidad de mínima cuantía para la adquisición de una cámara de video, el proceso es convocado en dos oportunidades y declarado desierto.</t>
  </si>
  <si>
    <t>Programar y ejecutar de manera eficaz los recursos disponibles para el pago de las obligaciones contraídas por cada una de las áreas ordenadoras del pago</t>
  </si>
  <si>
    <t>(# de puntos obtenidos / 100) *100</t>
  </si>
  <si>
    <t>STTR
Myriam Baracaldo Clavijo</t>
  </si>
  <si>
    <t>La programación Inicial (PI) del PAC es de $0 y la Reprogramación del mes (RM) fue de $0. La Ejecución del PAC en este mes fue de $0. Por lo tanto se ejecutó el 100% frente a la programación Inicial y el 100% frente a la Reprogramación del mes. Adicionalmente la información SI se entregó dentro del plazo estipulado. Esto arroja 100 puntos en el Indicador de Gestión del PAC.</t>
  </si>
  <si>
    <t>La programación Inicial (PI) del PAC es de $58.333.333 y la Reprogramación del mes (RM) fue de $0. La Ejecución del PAC  en este mes fue de $0. Por lo tanto se ejecutó el 0% frente a la programación Inicial y el 100% frente a la Reprogramación del mes. Adicionalmente la información SI se entregó dentro del plazo estipulado. Esto arroja 65 puntos en el Indicador de Gestión del PAC.</t>
  </si>
  <si>
    <t>La programación Inicial (PI) del PAC es de $116.666.667 y la Reprogramación del mes (RM) fue de $284.246.631. La Ejecución del PAC en este mes fue de $284.200.711. Por lo tanto se ejecutó el  244% frente a la programación Inicial y el 100% frente a la Reprogramación del mes. Adicionalmente la información SI se entregó dentro del plazo estipulado. Esto arroja 75 puntos en el Indicador de Gestión del PAC.</t>
  </si>
  <si>
    <t>La programación Inicial (PI) del PAC es de $126.666.667 y la Reprogramación del mes (RM) fue de $160.161.200. La Ejecución del PAC en este mes fue de $160.417.458. Por lo tanto se ejecutó el 127% frente a la programación Inicial y el 100% frente a la Reprogramación del mes. Adicionalmente la información SI se entregó dentro del plazo estipulado. Esto arroja 75 puntos en el Indicador de Gestión del PAC.</t>
  </si>
  <si>
    <t xml:space="preserve">La programación Inicial (PI) del PAC es de $116.666.667 y la Reprogramación del mes (RM) fue de $112.112.840. La Ejecución del PAC en este mes fue de $112.240.969. Por lo tanto se ejecutó el 96% frente a la programación Inicial y el 100% frente a la Reprogramación del mes. Adicionalmente la información SI se entregó dentro del plazo estipulado. </t>
  </si>
  <si>
    <t>La programación Inicial (PI) del PAC es de $116.666.667   y la Reprogramación del mes (RM) fue de $160.1161.200.  La Ejecución del PAC  en este mes fue de $160,161,200.  Por lo tanto se ejecutó el 137% frente a la programación Inicial y el  100  % frente a la Reprogramación del mes.  Adicionalmente la información  SI se entregó dentro del plazo estipulado. Esto arroja 75 puntos en el Indicador de Gestión del PAC.</t>
  </si>
  <si>
    <t>La programación Inicial (PI) del PAC es de $175.000.000  y la Reprogramación del mes ( RM )fue de $138.325.394.  La Ejecución del PAC  en este mes fue de $108.599.475.   Por lo tanto se ejecutó el 62% frente a la programación Inicial y el 79% frente a la Reprogramación del mes.  Adicionalmente la información  SI se entregó dentro del plazo estipulado.  Esto arroja 65 puntos en el Indicador de Gestión del PAC.</t>
  </si>
  <si>
    <t>La programación Inicial (PI) del PAC es de $116.666.667   y la Reprogramación del mes ( RM )fue de $160.161.200. La ejecución del PAC  en este mes fue de $160.289.329.  Por lo tanto se ejecutó el 137% frente a la programación Inicial y el  100% frente a la Reprogramación del mes.  Adicionalmente la información  SI se entregó dentro del plazo estipulado. Esto arroja 75 puntos en el Indicador de Gestión del PAC.</t>
  </si>
  <si>
    <t>La programación Inicial (PI) del PAC es de $116,666,667 y la Reprogramación del mes (RM )fue de $64,064,000. La Ejecución del PAC  en este mes fue de $228,629,465. Por lo tanto se ejecutó el 196% frente a la programación Inicial y el 357% frente a la Reprogramación del mes. Adicionalmente la información  SI se entregó dentro del plazo estipulado. Esto arroja 30 puntos en el Indicador de Gestión del PAC.</t>
  </si>
  <si>
    <t>La programación Inicial (PI) del PAC es de $116.666.666. y la Reprogramación del mes ( RM )fue de $0.00. La Ejecución del PAC  en este mes fue de $0.00. Por lo tanto se ejecutó el  0.00% frente a la programación Inicial y el 100% frente a la Reprogramación del mes. Adicionalmente la información  SI se entregó dentro del plazo estipulado. Esto arroja 65 puntos en el Indicador de Gestión del PAC.</t>
  </si>
  <si>
    <t>La programación Inicial (PI) del PAC es de $116,666,667 y la Reprogramación del mes ( RM )fue de $0,00.  La Ejecución del PAC  en este mes fue de $0,00. Por lo tanto se ejecutó el 0,00% frente a la programación Inicial y el 100% frente a la Reprogramación del mes. Adicionalmente la información  SI se entregó dentro del plazo estipulado. Esto arroja  65 puntos en el Indicador de Gestión del PAC.</t>
  </si>
  <si>
    <t>La programación Inicial (PI) del PAC es de $233,333,333 y la Reprogramación del mes ( RM ) fue de $7,256,500.  La Ejecución del PAC  en este mes fue de $7,256,500. Por lo tanto se ejecutó el 3% frente a la programación Inicial y el 100% frente a la Reprogramación del mes. Adicionalmente la información  SI se entregó dentro del plazo estipulado. Esto arroja 65 puntos en el Indicador de Gestión del PAC.</t>
  </si>
  <si>
    <t>(# solicitudes de acompañamiento, asesoría y elaboración de tramites contractuales cargados en el SIAC / total de solicitudes de acompañamiento, asesoría y elaboración de tramites contractuales) *100</t>
  </si>
  <si>
    <r>
      <t xml:space="preserve">DTGC
</t>
    </r>
    <r>
      <rPr>
        <sz val="9"/>
        <rFont val="Calibri"/>
        <family val="2"/>
      </rPr>
      <t>◦</t>
    </r>
    <r>
      <rPr>
        <sz val="9"/>
        <rFont val="Arial"/>
        <family val="2"/>
      </rPr>
      <t xml:space="preserve"> Johana Lamilla Sanchez
</t>
    </r>
  </si>
  <si>
    <t>Con corte a 30 de septiembre de 2014 se encuentra que la Dirección Técnica de Administración de Infraestructura tiene un (1) contrato desactualizado.</t>
  </si>
  <si>
    <t>Con corte a 31 de diciembre de 2014 se encuentra que la Dirección Técnica de Administración de Infraestructura tiene dos (2) contratos desactualizados.</t>
  </si>
  <si>
    <t>Aunque se refleja una buena administración del SIAC frente a los estados de los contratos es importante hacer permanente el seguimiento y control al sistema.</t>
  </si>
  <si>
    <t>Medir el cumplimiento oportuno de las acciones de mejora establecidas en los Planes de Mejoramiento Interno</t>
  </si>
  <si>
    <t>100%
A</t>
  </si>
  <si>
    <t>100%
B</t>
  </si>
  <si>
    <t>100%
C</t>
  </si>
  <si>
    <t>100%
D</t>
  </si>
  <si>
    <t>OC I
Camilo Barajas</t>
  </si>
  <si>
    <t>Se evidencia cumplimiento del indicador una vez verificada la información reportada en el SIAC por parte de la Dirección Técnica de Administración de Infraestructura.</t>
  </si>
  <si>
    <t>Verificado el Sistema de Información y Acompañamiento Contractual SIAC se evidencia la desactualización de un (1) contrato a cargo de la Dirección Técnica de Administración de Infraestructura , el cual se encuentra en estado En firmas cuando ya esta en ejecución.</t>
  </si>
  <si>
    <t>NO APLICA EVALUACIÓN EN EL PERIODO, DADO QUE NO TIENE COMPROMISOS A CUMPLIR CON CORTE AL 30 DE SEPTIEMBRE DE 2014</t>
  </si>
  <si>
    <t>N/A</t>
  </si>
  <si>
    <t xml:space="preserve">Los resultados reflejan el cálculo sobre los reportes efectuados por cada uno de los auditores designados </t>
  </si>
  <si>
    <t>El valor reportado es el promedio de las cuatro calificaciones del año.
Si no se calificó algún período, el promedio se calcula sobre el resto de períodos en que aplica el indicador.
Si no hubo calificaciones en el año, el indicador no aplica.</t>
  </si>
  <si>
    <t>ADRIANA PARRA CASALLAS</t>
  </si>
  <si>
    <t>Directora Técnica de Administración de Infraestructura</t>
  </si>
  <si>
    <t>OC I
Wilson Herrera</t>
  </si>
  <si>
    <t>INCUMPLIDA LA ACCIÓN DEL HALLAZGO 3,1,8,5,2</t>
  </si>
  <si>
    <t xml:space="preserve"> </t>
  </si>
  <si>
    <t>INCUMPLIDA LA ACCIÓN DEL HALLAZGO 3,1,8,5,2 CUMPLIÓ (1)</t>
  </si>
  <si>
    <r>
      <t xml:space="preserve">FORMATO
</t>
    </r>
    <r>
      <rPr>
        <sz val="10"/>
        <rFont val="Arial"/>
        <family val="2"/>
      </rPr>
      <t>CARACTERIZACIÓN DE INDICADORES DE GESTIÓN</t>
    </r>
  </si>
  <si>
    <r>
      <rPr>
        <b/>
        <sz val="10"/>
        <rFont val="Arial"/>
        <family val="2"/>
      </rPr>
      <t>PROCESO</t>
    </r>
    <r>
      <rPr>
        <sz val="10"/>
        <rFont val="Arial"/>
        <family val="2"/>
      </rPr>
      <t xml:space="preserve">
PLANEACIÓN ESTRATÉGICA</t>
    </r>
  </si>
  <si>
    <r>
      <rPr>
        <b/>
        <sz val="10"/>
        <rFont val="Arial"/>
        <family val="2"/>
      </rPr>
      <t>VERSIÓN</t>
    </r>
    <r>
      <rPr>
        <sz val="10"/>
        <rFont val="Arial"/>
        <family val="2"/>
      </rPr>
      <t xml:space="preserve">
3.0</t>
    </r>
  </si>
  <si>
    <t>DIRECCION TECNICA DE APOYO A LA VALORIZACION</t>
  </si>
  <si>
    <t>DICIEMBRE 31 DE 2014</t>
  </si>
  <si>
    <t>2.4 Estructurar la propuesta de modificación del Acuerdo 7 de 1987-Estatuto de Valorizacion</t>
  </si>
  <si>
    <t xml:space="preserve">Modificación del Acuerdo 7 de 1987-Estatuto de Valorización </t>
  </si>
  <si>
    <t>Modificación del Acuerdo 7 de 1987.</t>
  </si>
  <si>
    <t>Entrega de la propuesta de la modificacion del Acuerdo 7 de 1987 ante la Dirección Técnia de Valorización</t>
  </si>
  <si>
    <t>No. De Etapas ejecutadas/No de Etapas Planteadas</t>
  </si>
  <si>
    <t>Articulado de la propuesta</t>
  </si>
  <si>
    <t>Porcentaje</t>
  </si>
  <si>
    <t>Se realiza la entrega de la propuesta de la modificacion del Acuerdo 7 de 1987 ante la Dirección Técnia de Valorización, cumpliendo al 100% con la meta y el objetivo propuesto.</t>
  </si>
  <si>
    <t>En el mes de abril de 2014, se realizó la entrega de la propuesta de la modificacion del Acuerdo 7 de 1987 ante la Dirección Tecnica  de Apoyo a la Valorización cumpliendo al 100% con la meta y el obejtivo propuesto.</t>
  </si>
  <si>
    <t>2.5 Recuperar el 72% de la cartera vencida por concepto de valorización</t>
  </si>
  <si>
    <t>Recuperación del 15% del total de la cartera con corte a diciembre 31 de 2013.</t>
  </si>
  <si>
    <t>Recuperación de la cartera con corte a diciembre 31 de 2013.</t>
  </si>
  <si>
    <t>Recuperación de $10.641.256.793 que corresponde al 15% del total de la cartera con corte al 31 de diciembre de 2013 que era $70.941.711.955</t>
  </si>
  <si>
    <t>Efectividad</t>
  </si>
  <si>
    <t>Valor de la cartera recuperada/valor total de la cartera al 31 de diciembre de 2013 x 100</t>
  </si>
  <si>
    <t>Informe de recaudo y cartera mensual</t>
  </si>
  <si>
    <t>La cartera con corte al 31 de diciembre fue de $70.941.711.955, la meta de recuado propuesta para el primer trimestre es del 2% que corresponde a $1.418.834.239. Durante el trimestre ésta Dirección Técnica realizó una gestión de recaudo del 1.76% equivalente a $1.251.937.200.</t>
  </si>
  <si>
    <t>El valor total de la cartera con corte al 31 de diciembre de 2013 fue de $70.941.711.955, la meta de recuado propuesta para el cuarto trimestre es del 2% que corresponde a $1.418.834.239 Durante el trimestre ésta Dirección Técnica realizó una gestión de recaudo del 3 % equivalente a $2.304.627.961. Con corte a diciembre 31 de 2014 se alcanzó un recaudo de $6.784.515.980 por concepto de toda la cartera generada por los diferentes acuerdos.</t>
  </si>
  <si>
    <t>El valor total de la cartera con corte al 31 de diciembre de 2013 fue de $70.941.711.955, la meta de recuado propuesta para el año 2014 fue del 15% que corresponde a $10.641.256.793 Durante la vigencia del 2014 ésta Dirección Técnica realizó una gestión de recaudo del 10% equivalente a $6.784.515.980.</t>
  </si>
  <si>
    <t>5.2 Ejecutar el 100% de los proyectos institucionales de acuerdo con los cronogramas establecidos.</t>
  </si>
  <si>
    <t>Responder el 100% de las radicaciones recibidas con corte a noviembre 30 de 2014  por devoluciones efectuadas por los contribuyentes por concepto del Acuerdo 523 de 2013.</t>
  </si>
  <si>
    <t>Devolución a los contribuyentes por concepto del Acuerdo 523 de 2013.</t>
  </si>
  <si>
    <t>Devolución del 100% de las radicaciones realizadas por los contribuyentes con corte al 30 de noviembre de 2014.</t>
  </si>
  <si>
    <t>No de solicitudes con estudio /No de solicitudes de devoluciones radicadas con corte a noviembre de 2014 x 100</t>
  </si>
  <si>
    <t>Aplicativo valoricemos</t>
  </si>
  <si>
    <t>Entre los meses de junio a noviembre de  2014 , la comunidad ha radicado por concepto de devolución por el Acuerdo 523 de 2014, 64.611 solicitudes de las cuales 81.404 han tenido algún trámite, discriminadas de la siguiente manera: Giradas 76.180, Autos inadmisorios 5.224 , arrojando un porcentaje de cumplimiento del 126%, debido a las modificaciones en las ordenes de pago las cuales  se realizan de forma masiva lo que permite ser mas proactivos en los resultados. Asi mismo la implementación de la firma mecánica y la numeración automatica.</t>
  </si>
  <si>
    <t>Con corte a noviembre 30 de 2014 y según lo propuesto en el indicador , la comunidad ha radicado por concepto de devolución por el Acuerdo 523 de 2014, 118.436 solicitudes de las cuales 118.397 fueron tramitadas arrojando un porcentaje de cumplimiento del 100%.</t>
  </si>
  <si>
    <t>Estructurar, diseñar y socializar el programa de Obra por Tu Lugar a través de las Ocho fases propuestas por la DTAV, en el desarrollo de proyectos encaminados a atender problemáticas locales de espacio público, movilidad y equipamiento urbano.</t>
  </si>
  <si>
    <t>Proyectos Obra por Tu lugar</t>
  </si>
  <si>
    <t>Entrega de los documentos asociados para el Programa de Obra por Tu Lugar</t>
  </si>
  <si>
    <t>No. de fases de la meta anual  ejecutadass/No. de fases de la meta anual planeadas</t>
  </si>
  <si>
    <t>Informe de actividades mensual</t>
  </si>
  <si>
    <t xml:space="preserve">1- Gestionar ante la SGJ y la DTP,  el estado actual de la Resolución del programa OPTL y las pre factibilidades solicitadas en el primer semestre, ya que a la fecha no tenemos respuesta oficial………………………………………… (10%)
SGJ. Memorando DTAV No. 20145650693193 del 30/12/2014 a la SGJ (Borrador de la Resolución del programa OBRA POR TU LUGAR), Reunión del pasado 19/12/2014 con la Asesora SGJ –Dra. Sagal. La SGJ nos envió un mail el día 16/01/2014, informándonos del borrador respuesta a nuestro memorando del 30/12/2014, la cual está por llegar a la DTAV. DTP. Memorando DTAV No. 20145650566193 del 05/09/2014 dirigido a la SGDU (DTP), al cual el área (DTP),  dio respuesta con el memorando DTAV No. 20142250649463 del 21/11/2014. Cumplimiento del 100%.
2- Socializar el Programa Obra Por Tu Lugar con las Alcaldías Locales, en busca de la participación financiera, técnica y social de proyectos que beneficien a las comunidades que representan……………………………………………………………. (10%)
GESTION SGGC. Se proyectó un borrador de oficio a la SGGC, dirigido a la Secretaria Distrital de Gobierno, solicitándoles un espacio para presentar el programa de OBRA POR TU LUGAR en el Consejo de Alcalde Locales, pero esta gestión no fue aprobada, al considerar que no era el momento político indicado para esto. A la fecha este oficio no ha sido generado, teniéndolo dentro de las prioridades del programa, una vez se aclaren los temas de la Resolución, manual y definición de recursos financieros. Cumplimiento del 0%.
3- Socializar el Programa Obra Por Tu Lugar con el sector Privado, en busca de la participación financiera y técnica de proyectos que beneficien a las comunidades que representan……………………………………………………………… (10%)
GESTION UNIVERSIDAD CATOLICA DE COLOMBIA. Ante las comunicaciones telefónicas con el Arq. Gonzalo Ortiz de la Universidad en cuestión, en las cuales se mostró interés en el programa de OBRA POR TU LUGAR, se coordinó reunión el pasado 21/11/2014 ,  informándoles de los alcances del programa y los beneficios para un proyecto de esta escala urbana para el sector (Chapinero – Teusaquillo). Estamos a la espera de la radicación oficial de la solicitud de iniciar un proyecto bajo este esquema. GESTION DTP. Ante la solicitud de la DTP memorando No. 20142250617963 del 21/10/2014 (Anexo No.9),  le solicitaron a la DTAV revisar el proyecto de la peatonalización de la carrera 7 desde el programa de OBRA POR TU LUGAR, a lo cual se le dio respuesta con el memorando DTAV 20145650660973 del 03/12/2014 (Anexo 10), generándose finalmente la reunión del pasado 11/12/2014 (Anexo No. 11), quedando como tarea para este año la revisión jurídica para intervenir en predios privados como el de Avianca y Banco Popular. Cumplimiento del 100%. 4- Inscripción de solicitudes de proyectos OPTL, por parte de los sectores atendidos en el segundo semestre del año, para gestionar el inicio del proceso (Pre factibilidad, filtros CIVS, estudios y diseños, entre otros)…………………………………(10%) GESTION ANTE LA DTAV. Nos encontramos a la espera de la Radicación de la solicitud de la Universidad Católica de Colombia, proceso que requería de presentaciones previas ante las Alcaldías Locales participantes (Chapinero y Teusaquillo) y de la comunidad de las zonas de influencia. De igual manera, estamos en la revisión del caso de la peatonalización de la carrera 7 y la aplicación del programa de OBRA POR TU LUGAR y del recibo de los cronogramas de ejecución y posibles intervenciones en los sitios definidos por la DTP. Cumplimiento del 0%. SUBTOTAL …. (20%)…..TOTAL…..….(80%)
</t>
  </si>
  <si>
    <t>Durante el año 2014, la DTAV realizo actividades en la busqueda de la reactivación y actualización de los procesos del programa OBRA POR TU LUGAR, generando los formatos y revisando los procesos con la OAP. De igual manera realizo una socialización con las comunidades de las Localidades de Usme y Ciudad Bolivar principalmente en el primer semestre del año, generando una gran expectativa con la ciudadania y su interes en el programa. De manera paralela se trabajo en la actualización de la Resolucion  No. 7405 del 2005, la cual se encuentra en revision de la SGJ. Tambien se gestionaron labores para actualizar el Manual de Valoriazcion del 2013, incluyendole un capitulo del programa OBRA POR TU LUGAR.  Este Manual se encuentra en revisión de la OAP, SGGC y la SGJ y a la fecha no ha sido aprobado. Estamos a la espera de la autorización de la SGGC para socializar este programa con las Alcaldias Locales de la Ciudad, enviando un oficio a la Secretaria de Gobierno y pedir un espacio en el comite semanal donde se reunen loa Alcaldes Locales. Tambien estamos a la espra de la Autorización de la Dirección General del IDU de utilizar recursos propios de la DTAV (Cartera recogida  y Devoluciones no reclamadas), que apalanquen el programa. A la fecha nos encontramos a la espera de la radicación del proyecto con la Universidad Catolica de Colombia y la D/T de Proyectos (Peatonalización Cra 7).</t>
  </si>
  <si>
    <t>5.9 Implementar, evaluar y auditar el 100% del Sistema Integrado de Gestión del IDU.</t>
  </si>
  <si>
    <t>27 propuestas de aseguramiento del proceso de valorización</t>
  </si>
  <si>
    <t>Aseguramiento del proceso de valorización</t>
  </si>
  <si>
    <t>Analisis de la viabilidad de las acciones propuestas para apoyar el  proyecto de aseguramiento del proceso de valorización.</t>
  </si>
  <si>
    <t>Nos de acciones propuestas/ No. de acciones requeridas x 100</t>
  </si>
  <si>
    <t xml:space="preserve"> Se establecieron las siguientes propuestas con corte 30 de Dic/2014 luego de realizar visitas en sitio de algunos de los procesos de valoricemos  y  de conocer el manejo de la operación en ambiente producción: 8 propuestas de mejoramiento a nivel técnico, funcional  y de  procedimiento he implementando políticas a nivel de seguridad de información del proceso Certificación de Estados de Cuenta para Tramites Notariales y una (1).Propuestas de mejoramiento técnico como funcional y del procedimiento  para el proceso de Generación y Liquidación : a. Unificacion de la informacin  utilizando  la Base de Datos Valoricemos que es la actual. b.solictar a STRT un diagnostico realizado  al proceso  para que se determine  el porque de la lentitud y los bloqueos constantes si es el caso mejora  a la plataforma tecnologica, c. Esteblecer un plan de segumiento  por parte de proceso STOP STJEF, de los depositos  de garantia  y la expedicion  de los actos  administrativos  y su aplicacion de pago al predio en producción.d. Crear divulgaciones mediante avisos (cartelera) para todos los procesos que se realizan en las ventanillas de atención al contribuyente, no solo del acuerdo 523. Que estas divulgaciones sean  de fácil comprensión, especificando que pasos debe seguir los contribuyentes,  evitándole  así  la perdida de tiempo al realizar varias filas. Adicionalmente, se  propone contar con asesores de fila en tiempo completo y reforzado en  horas pico con el fin de agilizar y de orientar al contribuyente en el tramite real de lo que debe hacer .
Crear un espacio en la pagina  WEB  de  “Preguntas Frecuentes” y guía  de tramites . e.Institucionalizar reuniones quincenales, con el fin de  retroalimentar los  procesos del área en el periodo correspondiente. f.Capacitación al personal de ventanilla y descentralización del proceso de facturación. g, Crear buzón de sugerencias, que no se necesite realizar un radicado. h.Generar un documento de  plan  de contingencia qué indique el manejo de la operación para horas pico de atención al contribuyente, ausencia de personal de ventanilla fallas del sistema y/o sistema interno y aplicativos externos etc.  A su ves socializarlo con toda la STOP ., I. Solicitar la actualización de los programas utilizados para la liquidación y generación del proceso de DTAV, actualizar los equipos utilizados para este proceso .Por otro lado verificar y/o corregir el bloqueo que presenta frente al aplicativo.</t>
  </si>
  <si>
    <t>Con forme al trabajo realizado y al análisis logrados frente a cada  periodo (Junio, Septiembre y Diciembre ) se logró cumplir  27 propuestas de aseguramiento del proceso de valorización y  la meta  estratégica implementar, evaluar y auditar el 100%  del sistema Integrado de Gestión IDU  con la cual se establecerá  creación de Políticas de Seguridad de la Información , mejora en los procedimientos de la parte Administrativa , mejora a traves de la plataforma tecnológica y a su ves en cuanto a su funcionalidad.</t>
  </si>
  <si>
    <t>El documento propuesto de Resolución que adopta OPTL está en revisión de la DTAV (0%).
El indicador incluye los documentos asociados a las áreas STOP(NA ) y STJEF (100%).</t>
  </si>
  <si>
    <t>De los trámites programados inicialmente para ejecutar desde el 1° de enero hasta el 31 de diciembre, quedaron pendientes un total de 5 trámites. El detalle de los documentos se puede observar en el plan documental consolidado por la OAP o el plan específico en cada área.</t>
  </si>
  <si>
    <t>De los trámites programados inicialmente para ejecutar desde el 1° de enero hasta el 31 de diciembre de 2014, quedaron pendientes un total de 5 trámites. El detalle de los documentos se puede observar en el plan documental consolidado por la OAP o el plan específico en cada área.</t>
  </si>
  <si>
    <t>5.8 Cumplir la totalidad de los planes de mejoramiento establecidos por los entes de control internos y externos, en la vigencia correspondiente</t>
  </si>
  <si>
    <t>El área no contaba con acciones de mejora para analizar en este período, según lo reportado en el correo del  21/04/2014 por la Oficina Asesora de Planeación.</t>
  </si>
  <si>
    <t>N.A</t>
  </si>
  <si>
    <t>Los resultados reflejan el cálculo sobre los reportes efectuados por cada uno de los auditores designados .</t>
  </si>
  <si>
    <t>No aplica evaluación del indicador de planes de mejoramiento en este periodo, según lo reportado por la Oficina de Control Interno en el correo del 15/04/2014.</t>
  </si>
  <si>
    <t>No  aplica evaluación del indicador de planes de mejorameinto en este periodo.</t>
  </si>
  <si>
    <t>Cumplio con la acción.</t>
  </si>
  <si>
    <t>Valor de los giros presupuestales de P.E. del mes + Liberaciones del mes / Valor del presupuesto de P.E. asignado al Área para el mismo mes ó lo establecido en el Acuerdo de Gestión para el mes * 100</t>
  </si>
  <si>
    <t>Porcentual  / Mensual
Porcentual  / Acumulada</t>
  </si>
  <si>
    <t>DTAV</t>
  </si>
  <si>
    <t>Ejecución acumulada al 100%</t>
  </si>
  <si>
    <t>Valor giros de reservas presupuestales del mes + Liberaciones del mes / Valor de reservas presupuestales asignadas ó lo establecido en el Acuerdo de Gestión para el mes *100</t>
  </si>
  <si>
    <t xml:space="preserve">Ejecución presupuestal correspondiente a giros presupuestales por $754.658.331. Programación del semestre del 60%. </t>
  </si>
  <si>
    <t>Ejecución esperada del 100% Ejecución real acumulada del 70%</t>
  </si>
  <si>
    <t>Ejecución del semestre del 85%.</t>
  </si>
  <si>
    <t>Ejecución acumulada al 98%</t>
  </si>
  <si>
    <t>La programación Inicial (PI) del PAC es de $52.612.180     y la Reprogramación del mes ( RM )fue de $ 52.612.180    . La Ejecución del PAC  en este mes fue de $14.291.244  . Por lo tanto se ejecutó el  27% frente a la programación Inicial y el  27  % frente a la Reprogramación del mes. Adicionalmente la información  SI se entregó dentro del plazo estipulado. Esto arroja  20  puntos en el Indicador de Gestión del PAC.</t>
  </si>
  <si>
    <t>La programación Inicial (PI) del PAC es de $342.208.798  y  la Reprogramación del mes ( RM ) fue de $ 52.062.000 .  La Ejecución del PAC  en este mes fue de $8.442.000  . Por lo tanto se ejecutó el   2% frente a la programación Inicial y el  16  % frente a la Reprogramación del mes. Adicionalmente la información  SI se entregó dentro del plazo estipulado. Esto arroja  15  puntos en el Indicador de Gestión del PAC.</t>
  </si>
  <si>
    <t>La programación Inicial (PI) del PAC es de $584.245.015    y la Reprogramación del mes ( RM )fue de $72.680.000   . La Ejecución del PAC  en este mes fue de $73.734.558  . Por lo tanto se ejecutó el   13 % frente a la programación Inicial y el  101  % frente a la Reprogramación del mes. Adicionalmente la información  SI se entregó dentro del plazo estipulado. Esto arroja  65  puntos en el Indicador de Gestión del PAC.</t>
  </si>
  <si>
    <t>La programación Inicial (PI) del PAC es de $62.191.790  y la Reprogramación del mes ( RM ) fue de $52.391.018 . La Ejecución del PAC  en este mes fue de $8.551.189  . Por lo tanto se ejecutó el 14  % frente a la programación Inicial y el  16% frente a la Reprogramación del mes. Adicionalmente la información  SI se entregó dentro del plazo estipulado. Esto arroja 15  puntos en el Indicador de Gestión del PAC.</t>
  </si>
  <si>
    <t>La programación Inicial (PI) del PAC es de $108,846,569 y la Reprogramación del mes ( RM ) fue de $200,362,842.  La Ejecución del PAC  en este mes fue de $199,160,090. Por lo tanto se ejecutó el 183% frente a la programación Inicial y el 99% frente a la Reprogramación del mes. Adicionalmente la información  SI se entregó dentro del plazo estipulado. Esto arroja 75  puntos en el Indicador de Gestión del PAC.</t>
  </si>
  <si>
    <t>La programación Inicial (PI) del PAC es de $1.875.615.086 y la Reprogramación del mes ( RM ) fue de $1.112.767.919.  La Ejecución del PAC  consolidada  fue de $1.050.978.783. Por lo tanto se ejecutó el  56% frente a la programación Inicial y el 94% frente a la Reprogramación anual. Adicionalmente la información  SI se entregó dentro del plazo estipulado. Esto arroja 80 puntos en el Indicador de Gestión del PAC.</t>
  </si>
  <si>
    <t>La información se encuentra actualizada al 100%  en cuanto a los contratos de prestación de servicios y a los contratos adjudicados por procesos licitatorios.</t>
  </si>
  <si>
    <t>Se evidencia la actualización de los estados de los contratos a cargo de la Subdirección Técnica de Apoyo a la Valorización.</t>
  </si>
  <si>
    <t>Nombre:  HERNANDO ARENAS CASTRO</t>
  </si>
  <si>
    <t xml:space="preserve">Cargo:  DIRECTOR TECNICO DE APOYO A LA VALORIZACION </t>
  </si>
  <si>
    <r>
      <rPr>
        <b/>
        <sz val="9"/>
        <rFont val="Arial"/>
        <family val="2"/>
      </rPr>
      <t>CÓDIGO</t>
    </r>
    <r>
      <rPr>
        <sz val="9"/>
        <rFont val="Arial"/>
        <family val="2"/>
      </rPr>
      <t xml:space="preserve">
FO-PE-01                                                                                                                                                                                                                                                                                                                                                                                       </t>
    </r>
  </si>
  <si>
    <t>DIRECCION TECNICA DE CONSTRUCCIONES</t>
  </si>
  <si>
    <t>CONSOLIDADO AÑO: 2014</t>
  </si>
  <si>
    <t xml:space="preserve">Áreas que aplica el indicador </t>
  </si>
  <si>
    <t>OTROS</t>
  </si>
  <si>
    <t>COMPARACIÓN METAS
EJE vs PRO</t>
  </si>
  <si>
    <t>observación</t>
  </si>
  <si>
    <t>1.1. Cumplir con las metas del plan de desarrollo de la Bogotá Humana en lo que compete al IDU</t>
  </si>
  <si>
    <r>
      <t>A 31 de diciembre de 2014, haber dado inicio de Diez</t>
    </r>
    <r>
      <rPr>
        <sz val="7"/>
        <color indexed="10"/>
        <rFont val="Arial Narrow"/>
        <family val="2"/>
      </rPr>
      <t xml:space="preserve"> (10)</t>
    </r>
    <r>
      <rPr>
        <sz val="7"/>
        <rFont val="Arial Narrow"/>
        <family val="2"/>
      </rPr>
      <t xml:space="preserve"> contratos de obra. </t>
    </r>
  </si>
  <si>
    <t>Contratos iniciados</t>
  </si>
  <si>
    <t>Establecer el número de contratos que se iniciaron en la vigencia, a partir de las actas de inicio suscritas.</t>
  </si>
  <si>
    <t>(Total de Contratos con acta de inicio) / ( Total de Contratos programados por iniciar) * 100</t>
  </si>
  <si>
    <r>
      <rPr>
        <sz val="7"/>
        <color indexed="10"/>
        <rFont val="Arial"/>
        <family val="2"/>
      </rPr>
      <t>Acta de inicio</t>
    </r>
    <r>
      <rPr>
        <sz val="7"/>
        <rFont val="Arial"/>
        <family val="2"/>
      </rPr>
      <t xml:space="preserve"> en las carpetas de los contratos</t>
    </r>
  </si>
  <si>
    <t>Se cumplieron con las metas proyectadas</t>
  </si>
  <si>
    <t>NA</t>
  </si>
  <si>
    <t>No se programaron metas para este mes</t>
  </si>
  <si>
    <t>No se programo para este periodo</t>
  </si>
  <si>
    <t>No se tenia programado para este periodo</t>
  </si>
  <si>
    <t>Se reprograma esta meta mediante el memorando DTC, 20143350631523 y se da inicio al contrato IDU-1320-2014 - PPL6</t>
  </si>
  <si>
    <t>En este mes no se tenía programada meta física, ya se cumplió con  la meta programada en esta vigencia</t>
  </si>
  <si>
    <t>Esta meta no se tenia programada para este periodo, ya se ha cumplido en un 100%</t>
  </si>
  <si>
    <t>Se da cumplimiento al 100% de las metas programadas en el año</t>
  </si>
  <si>
    <t>1638-2013
1636-2013
kfw</t>
  </si>
  <si>
    <t>PL3
PL 4
PL 5</t>
  </si>
  <si>
    <t>CLL45
PL2
7 MA</t>
  </si>
  <si>
    <t>PPL 6</t>
  </si>
  <si>
    <t xml:space="preserve">Unidad  </t>
  </si>
  <si>
    <r>
      <t xml:space="preserve">Según el cronograma de cupo de Endeudamiento y Valorización, a 31 de diciembre de 2014 haber dado inicio a Diez </t>
    </r>
    <r>
      <rPr>
        <sz val="7"/>
        <color indexed="10"/>
        <rFont val="Arial"/>
        <family val="2"/>
      </rPr>
      <t>(10</t>
    </r>
    <r>
      <rPr>
        <sz val="7"/>
        <rFont val="Arial"/>
        <family val="2"/>
      </rPr>
      <t xml:space="preserve">) </t>
    </r>
    <r>
      <rPr>
        <sz val="7"/>
        <rFont val="Arial Narrow"/>
        <family val="2"/>
      </rPr>
      <t xml:space="preserve"> contratos de obra. (El cumplimiento depende de otras áreas del IDU)</t>
    </r>
  </si>
  <si>
    <t>Acta de inicio en las carpetas de los contratos</t>
  </si>
  <si>
    <t>Mediante memorando OAP 20141150383623 se aprueba la modificación de esta meta física, por los cambios en los cronogramas. Para este mes no se programaron metas físicas.</t>
  </si>
  <si>
    <t>Se programaron iniciar tres contratos de acuerdo a los cronogramas de cupo y de valorización, la llegada de estos contratos a la DTC depende de otras áreas del IDU, las cuales no cumplieron con el cronograma inicial</t>
  </si>
  <si>
    <t>Mediante Memorando STESV 20143360558293 del 28 de Agosto de 2014, se solicita la reprogramación de esta meta, teniendo en cuenta que se han realizado modificaciones a los cronogramas de cupo y de Valorización.</t>
  </si>
  <si>
    <r>
      <t>Se reprograma esta meta mediante el memorando DTC, 20143350631523, Se inicia el contrato IDU-1259-2014 Av. Colombia</t>
    </r>
    <r>
      <rPr>
        <sz val="28"/>
        <color indexed="10"/>
        <rFont val="Arial"/>
        <family val="2"/>
      </rPr>
      <t xml:space="preserve"> </t>
    </r>
  </si>
  <si>
    <t>Se da inicio a los contratos: IDU-714-2014 RAPS NIEVES,  IDU-715-2014 RAPS TEUSAQUILLO, IDU-1345-2014 RAPS CARVAJAL, IDU-1346-2014 RAPS  RESTREPO, IDU-1347-2014 RAPS  KENNEDY y IDU-1662-2014 AVENIDA CIUDAD DE CALI,</t>
  </si>
  <si>
    <t>Se da inicio a los contratos: IDU-1654-2014 LA AVENIDA LA SIRENA, IDU-1725-2014 AVENIDA RINCÓN - AVENIDA TABOR y IDU-1746-2014 AV LOS CERROS.</t>
  </si>
  <si>
    <t>Av. Colombia</t>
  </si>
  <si>
    <t xml:space="preserve">20- sirena
13-Av bosa
7-raps nieves
15- Raps Teusaquillo
4- Raps Carvajal
4- Raps Kennedy
4- Raps Restrepo
</t>
  </si>
  <si>
    <t>Av. tabor y Av. Rincon
Av. cerros
}san Antonio</t>
  </si>
  <si>
    <r>
      <t xml:space="preserve">A 31 de diciembre de 2014, haber iniciado la fase de ejecución de Catorce </t>
    </r>
    <r>
      <rPr>
        <sz val="7"/>
        <color indexed="10"/>
        <rFont val="Arial Narrow"/>
        <family val="2"/>
      </rPr>
      <t>(14</t>
    </r>
    <r>
      <rPr>
        <sz val="7"/>
        <rFont val="Arial Narrow"/>
        <family val="2"/>
      </rPr>
      <t>) contratos de obra.</t>
    </r>
  </si>
  <si>
    <t>Contratos que iniciaron su fase de ejecución</t>
  </si>
  <si>
    <t>Establecer el número de contratos que iniciaron su fase de ejecución.</t>
  </si>
  <si>
    <r>
      <t>(Total de Contratos que</t>
    </r>
    <r>
      <rPr>
        <sz val="7"/>
        <color indexed="10"/>
        <rFont val="Arial"/>
        <family val="2"/>
      </rPr>
      <t xml:space="preserve"> iniciaron su fase de ejecución</t>
    </r>
    <r>
      <rPr>
        <sz val="7"/>
        <rFont val="Arial"/>
        <family val="2"/>
      </rPr>
      <t>) / ( Total de Contratos programados a ejecutar) * 100</t>
    </r>
  </si>
  <si>
    <t>lista de chequeo verificación de requisitos inicio fase de ejecución de obras (FO-C-155)</t>
  </si>
  <si>
    <t>No se inicio el contrato IDU-895-2013, contrato suspendido</t>
  </si>
  <si>
    <t>El contrato IDU-1510 -2013, inicio su fase de construcción el 2 de Mayo</t>
  </si>
  <si>
    <t>Se cumple con el 100% de la meta programada, toda vez que se logró que el  contrato IDU-1724-2013 iniciara su fase de ejecución.</t>
  </si>
  <si>
    <t>se da inicio al contrato IDU-895-2013 programado para el mes de Marzo y el 1885-2013 programado para este periodo</t>
  </si>
  <si>
    <t>2 actas</t>
  </si>
  <si>
    <t>Se reprograman las metas de la DTC. Se da inicio al contrato IDU-1727-2013</t>
  </si>
  <si>
    <t>Se dio inicio a la fase de ejecución del contrato de la peatonalización de la carrera séptima</t>
  </si>
  <si>
    <t>Cumple según el contrato IDU-1636-2013, con el Acta N° 8 de inicio etapa de Construcción y el contrato IDU-1878-2013 Pavimentos locales grupo 3, que inicio su ejecución en los meses anteriores pero no se había reportado</t>
  </si>
  <si>
    <t>En este mes no se tenía programa meta física.  se reprograma mediante memorando DTC-20143350656903  la iniciación de un contrato esta meta para la siguiente vigencia.</t>
  </si>
  <si>
    <t>Esta meta no se tenia programada para este periodo.</t>
  </si>
  <si>
    <t xml:space="preserve">Por inconvenientes jurídicos con la conformación del consorcio del interventor, no se pudo dar inicio en la etapa de ejecución al contrato IDU-1638 -2013 </t>
  </si>
  <si>
    <t>845-2013
169b
PL1
KFW</t>
  </si>
  <si>
    <t>895-2013
 972-2013</t>
  </si>
  <si>
    <t>PL3
PL 4</t>
  </si>
  <si>
    <t>PL2</t>
  </si>
  <si>
    <t>Cll 45</t>
  </si>
  <si>
    <t>pl5</t>
  </si>
  <si>
    <t>7ma</t>
  </si>
  <si>
    <t>1638-2013
1636-2013</t>
  </si>
  <si>
    <r>
      <t xml:space="preserve">A 31 de diciembre de 2014, haber terminado Nueve </t>
    </r>
    <r>
      <rPr>
        <sz val="7"/>
        <color indexed="10"/>
        <rFont val="Arial Narrow"/>
        <family val="2"/>
      </rPr>
      <t>(9)</t>
    </r>
    <r>
      <rPr>
        <sz val="7"/>
        <color indexed="8"/>
        <rFont val="Arial Narrow"/>
        <family val="2"/>
      </rPr>
      <t xml:space="preserve"> contratos.</t>
    </r>
  </si>
  <si>
    <t>Contratos terminados</t>
  </si>
  <si>
    <t>Establecer el número de contratos terminados en el área.</t>
  </si>
  <si>
    <t>(Total de Contratos con acta de terminación) / ( Total de Contratos programados a terminar en la vigencia) * 100</t>
  </si>
  <si>
    <r>
      <rPr>
        <sz val="7"/>
        <color indexed="10"/>
        <rFont val="Arial"/>
        <family val="2"/>
      </rPr>
      <t>Acta de terminación</t>
    </r>
    <r>
      <rPr>
        <sz val="7"/>
        <rFont val="Arial"/>
        <family val="2"/>
      </rPr>
      <t xml:space="preserve"> firmada, guardada en las carpetas de los contratos  </t>
    </r>
  </si>
  <si>
    <t>En este mes no se tenía programa meta física.</t>
  </si>
  <si>
    <t>Se logró, la terminación de los contratos IDU-868-2013 e IDU-972-2013; está pendiente la terminación del contrato IDU-1279-2013 para el mes de julio del año en curso.</t>
  </si>
  <si>
    <t>No se cumple con la meta programada por que El contrato IDU-074-2011, realizó reprogramación de metas físicas, adicionalmente solicitó adición y prorroga; ahora bien el contrato IDU-032-2011 solicita adición de recursos para poder culminar las obras.</t>
  </si>
  <si>
    <t>Se da terminación al contrato IDU-074-2012 el 26 de septiembre de 2014, esta meta se tenia programada para el mes de Agosto de Agosto del 2014.</t>
  </si>
  <si>
    <t>Aunque no se tiene programada meta para este periodo, se reporta la terminación del contrato IDU-1279-2013 mediante acta No. 10</t>
  </si>
  <si>
    <t>Se da terminación al contrato IDU-945-2013. puente peatonal de la calle 192 por Auto Norte. Y el contrato IDU-032-2011 Avenida la Sirena</t>
  </si>
  <si>
    <t>137-2007</t>
  </si>
  <si>
    <t>019-2012</t>
  </si>
  <si>
    <t>37-2011</t>
  </si>
  <si>
    <t>868-2013
kfw
limas</t>
  </si>
  <si>
    <t>sirena
cantón</t>
  </si>
  <si>
    <t xml:space="preserve">945-2013
</t>
  </si>
  <si>
    <r>
      <t xml:space="preserve">A 31 de diciembre de 2014, haber recibido diez </t>
    </r>
    <r>
      <rPr>
        <sz val="7"/>
        <color indexed="10"/>
        <rFont val="Arial Narrow"/>
        <family val="2"/>
      </rPr>
      <t>(10)</t>
    </r>
    <r>
      <rPr>
        <sz val="7"/>
        <color indexed="8"/>
        <rFont val="Arial Narrow"/>
        <family val="2"/>
      </rPr>
      <t xml:space="preserve"> obras.</t>
    </r>
  </si>
  <si>
    <t>Contratos con actas de recibo final de obra</t>
  </si>
  <si>
    <t>Establecer el número de contratos terminados con actas de recibo final de obra en el área.</t>
  </si>
  <si>
    <t>(Total de Contratos con acta de recibo final de obra) / ( Total de Contratos programados a terminar en la vigencia con actas de recibo final de obra) * 100</t>
  </si>
  <si>
    <r>
      <rPr>
        <sz val="7"/>
        <color indexed="10"/>
        <rFont val="Arial"/>
        <family val="2"/>
      </rPr>
      <t>Acta de recibo final</t>
    </r>
    <r>
      <rPr>
        <sz val="7"/>
        <rFont val="Arial"/>
        <family val="2"/>
      </rPr>
      <t xml:space="preserve"> de obra firmada, guardada en las carpetas de los contratos  </t>
    </r>
  </si>
  <si>
    <t>No se cumple con la meta proyectada (IDU-019-2012)</t>
  </si>
  <si>
    <t>No se cumple con la meta programada por las siguientes razones; *Aunque el contrato IDU-084-2012 terminó su fase de ejecución de obras el 18/12/2013, se  esta a la espera de la aprobación de las modificaciones de señalización por parte de Movilidad, *El contrato IDU-037-2011 terminó obra hasta el 30 de abril de 2014.</t>
  </si>
  <si>
    <t>Se suscribió el acta de recibo final de obra del contrato IDU-037-2011.</t>
  </si>
  <si>
    <t>1 acta</t>
  </si>
  <si>
    <t>Se recibió el contrato IDU-972-2013 el 11 de Julio de 2014,  El contrato IDU-868-2013  no cuenta con el acta de recibo final de obra, por compromisos  pendientes en relación al arreglo de tapas para cajas de CODENSA, y remates de los andenes entre otros.  De igual manera El contrato IDU-1279-2013 no cuenta por ampliación de un mes en la ejecución del contrato.</t>
  </si>
  <si>
    <t>Se  suscribe el acta  recibo de obra del contrato IDU-1279-2014. (Doña Liliana) Programado para el mes de Julio.  El contrato IDU-74-2012 había solicitado prorroga por un mes por el traslado de la subestación del costado occidental y fue terminado el 26 de septiembre su acta de recibo final se encuentra en trámite, de igual manera el contrato IDU-032-2011 (Av. la Sirena) se proyecta la terminación para el mes de Octubre ya que su ejecución se vio afectada por las nuevas exigencias de las ESP´S</t>
  </si>
  <si>
    <t xml:space="preserve">
El 15 de octubre se firma el acta 19 de recibo final de obra  del contrato IDU-868-2013 (santa Lucia) , el  1 de octubre se suscribe el acta 24 de recibo final de obra de contrato IDU-47-2012 y el 16 de octubre el acta recibo final del contrato IDU-18-2009.
De igual manera se reporta el recibo de la obra del contrato IDU-111-2009.</t>
  </si>
  <si>
    <t>No se tenia programado ejecución en este periodo, no obstante se da el recibo final del contrato IDU-019-2012 programado en meses anteriores</t>
  </si>
  <si>
    <t>El contrato IDU-137-2007 cuenta con terminación según la resolución 1768 del 13 de febrero de 2014, dicha resolución es el documento de terminación del contrato en mención, y los valores finales del contrato quedaran establecidos en el acta de liquidación del contrato, mencionada resolución ordenó la terminación del contrato y no establece el recibo, sino acta de liquidación
Se da el recibo del contrato IDU-32-2011 (Avenida la Sirena)</t>
  </si>
  <si>
    <t xml:space="preserve">19-2012
</t>
  </si>
  <si>
    <t xml:space="preserve">
37-2011
Gonzalo Ariza</t>
  </si>
  <si>
    <t>tramonti</t>
  </si>
  <si>
    <t>santa lucia
 kfk
limas</t>
  </si>
  <si>
    <t xml:space="preserve">
sirena 
cantón</t>
  </si>
  <si>
    <r>
      <t xml:space="preserve">A 31 de diciembre de 2014, haber liquidado Tres </t>
    </r>
    <r>
      <rPr>
        <sz val="7"/>
        <color indexed="10"/>
        <rFont val="Arial Narrow"/>
        <family val="2"/>
      </rPr>
      <t>(3)</t>
    </r>
    <r>
      <rPr>
        <sz val="7"/>
        <rFont val="Arial Narrow"/>
        <family val="2"/>
      </rPr>
      <t xml:space="preserve"> Contratos.</t>
    </r>
  </si>
  <si>
    <t>Contratos liquidados</t>
  </si>
  <si>
    <t>Establecer el número de contratos liquidados</t>
  </si>
  <si>
    <t>(Total de Contratos con acta de liquidación) / ( Total de Contratos programados a terminar en la vigencia con actas de recibo final de obra) * 100</t>
  </si>
  <si>
    <r>
      <rPr>
        <sz val="7"/>
        <color indexed="10"/>
        <rFont val="Arial"/>
        <family val="2"/>
      </rPr>
      <t>Acta de liquidación</t>
    </r>
    <r>
      <rPr>
        <sz val="7"/>
        <rFont val="Arial"/>
        <family val="2"/>
      </rPr>
      <t xml:space="preserve"> de obra firmada, guardada en las carpetas de los contratos  </t>
    </r>
  </si>
  <si>
    <t>Contratos</t>
  </si>
  <si>
    <t>No se alcanzo a liquidar el contrato IDU-033-2010</t>
  </si>
  <si>
    <t>Se liquidó el contrato IDU-033-2010.</t>
  </si>
  <si>
    <t xml:space="preserve">Se liquida el contrato IDU-047-2009 (Tramonti), que no estaba programado para este mes.
</t>
  </si>
  <si>
    <t>Se liquida el contrato IDU-047-2012 e IDU-060-2010</t>
  </si>
  <si>
    <t xml:space="preserve"> IDU-33-2010</t>
  </si>
  <si>
    <t>IDU-19-2012</t>
  </si>
  <si>
    <t>60-2010</t>
  </si>
  <si>
    <t>No se cumple con la meta proyectada (IDU-033-2010)</t>
  </si>
  <si>
    <t>2.1. Realizar el 100% de la gestión y  coordinación interinstitucional para la ejecución de las obras.</t>
  </si>
  <si>
    <r>
      <t xml:space="preserve">A 31 de diciembre de 2014, haber recibido cinco  </t>
    </r>
    <r>
      <rPr>
        <sz val="7"/>
        <color indexed="10"/>
        <rFont val="Arial"/>
        <family val="2"/>
      </rPr>
      <t>(5</t>
    </r>
    <r>
      <rPr>
        <sz val="7"/>
        <color indexed="10"/>
        <rFont val="Arial"/>
        <family val="2"/>
      </rPr>
      <t>)</t>
    </r>
    <r>
      <rPr>
        <sz val="7"/>
        <rFont val="Arial"/>
        <family val="2"/>
      </rPr>
      <t xml:space="preserve"> Contratos actas de recibo por parte de las E.S.P.</t>
    </r>
  </si>
  <si>
    <t>Recibo de las obras por parte de la E.S.P</t>
  </si>
  <si>
    <t>Establecer el numero de contratos con  Acta de recibo de obras por parte de la E.S.P</t>
  </si>
  <si>
    <t>(Total de Contratos con acta de recibo de obras por parte de la E.S.P) / ( Total de Contratos programados a terminar en la vigencia con actas de recibo de obras por parte de la E.S.P) * 100</t>
  </si>
  <si>
    <r>
      <t xml:space="preserve">Acta de recibo de las obras  por parte de </t>
    </r>
    <r>
      <rPr>
        <sz val="7"/>
        <color indexed="10"/>
        <rFont val="Arial"/>
        <family val="2"/>
      </rPr>
      <t>las ESP</t>
    </r>
    <r>
      <rPr>
        <sz val="7"/>
        <rFont val="Arial"/>
        <family val="2"/>
      </rPr>
      <t>, guardada en las carpetas de los contratos</t>
    </r>
  </si>
  <si>
    <t>Se logró suscribir el acta de recibo  de  obras por parte  de EPS del  contrato IDU-047-2012.</t>
  </si>
  <si>
    <t>se suscribió la ultima acta para el recibo del contrato IDU-66-2011 con la ETB</t>
  </si>
  <si>
    <t>Se encuentran pendientes las actas de Acueducto grupo 3 y Colombia Telecomunicaciones para el contrato IDU-37-2011.</t>
  </si>
  <si>
    <t xml:space="preserve">No se ha recibido por parte de las ESP el contrato IDU-060-2011 </t>
  </si>
  <si>
    <t xml:space="preserve">Se da cumplimiento con el contrato IDU-137-2007 y el contrato IDU-972-2013 (Quebrada Limas). 
  El contrato IDU-134-2007 se reprogramo la meta según el memorando N° 20143350656903 del 27 de noviembre de 2014.
</t>
  </si>
  <si>
    <t>Se da el recibo de empresas de servicios públicos del contrato IDU-60- 2010, Esta meta no esta programado para este mes.</t>
  </si>
  <si>
    <t>Virgilio barco</t>
  </si>
  <si>
    <t>37-2011 Col Hum</t>
  </si>
  <si>
    <t xml:space="preserve">Calle 94
</t>
  </si>
  <si>
    <t>137 2007</t>
  </si>
  <si>
    <t>4.5. El 100% de los proyectos a cargo del IDU contarán con los medios y condiciones para promover procesos de participación ciudadana, gestión social y gestión ambiental en cada una de sus etapas.</t>
  </si>
  <si>
    <r>
      <t>A 31 de diciembre de 2014 aprobar el  Plan de acción y Plan de Gestión social de</t>
    </r>
    <r>
      <rPr>
        <sz val="7"/>
        <color indexed="10"/>
        <rFont val="Arial"/>
        <family val="2"/>
      </rPr>
      <t xml:space="preserve"> once (11)</t>
    </r>
    <r>
      <rPr>
        <sz val="7"/>
        <rFont val="Arial"/>
        <family val="2"/>
      </rPr>
      <t xml:space="preserve">  contratos indicados en la vigencia, a cargo de la DTC y sus Subdirecciones</t>
    </r>
  </si>
  <si>
    <t>Plan de acción y Plan de Gestión social, aprobados</t>
  </si>
  <si>
    <t>Establecer el Número  de Planes de acción y Planes  de Gestión social, aprobados</t>
  </si>
  <si>
    <t>(Total de Planes de acción y Planes de Gestión aprobados) / ( Total de Planes de acción y Planes de Gestión elaborados) * 100</t>
  </si>
  <si>
    <r>
      <t xml:space="preserve"> </t>
    </r>
    <r>
      <rPr>
        <sz val="7"/>
        <color indexed="10"/>
        <rFont val="Arial"/>
        <family val="2"/>
      </rPr>
      <t>Plan de acción y Plan de Gestión social</t>
    </r>
    <r>
      <rPr>
        <sz val="7"/>
        <rFont val="Arial"/>
        <family val="2"/>
      </rPr>
      <t>, aprobados y guardados en las carpetas de los contratos en la vigencia a cargo de la DTC</t>
    </r>
  </si>
  <si>
    <t>Se cumple con el 100% de la meta programada, toda vez que se logró la firma y/o aprobación del Planes de Acción y Plan de Gestión social del contrato IDU-1724-2013.</t>
  </si>
  <si>
    <t>Se logró la firma y/o aprobación del Planes de Acción y Plan de Gestión social del contrato IDU-1885-2013.</t>
  </si>
  <si>
    <t>oficio numero de radicado</t>
  </si>
  <si>
    <t>Se firma y/o aprueba el Plane de Acción y Plan de Gestión social del contrato IDU-1510-2013.</t>
  </si>
  <si>
    <t>Se aprueba el plan de acción social y plan de gestión social del contrato IDU-2239-2013 el 3 de Septiembre de 2014, el cual estaba programado para mes de Julio de 2014.</t>
  </si>
  <si>
    <t>Se reporta la aprobación del plan de acción social y plan de gestión social del contrato IDU-972-2013 y el contrato IDU-1636-2013 (radicado IDU 2014346125871)</t>
  </si>
  <si>
    <t>kfw</t>
  </si>
  <si>
    <t>945-2013
895-2013</t>
  </si>
  <si>
    <t>pl3
pl4</t>
  </si>
  <si>
    <t>pl2</t>
  </si>
  <si>
    <t xml:space="preserve">Cll45
</t>
  </si>
  <si>
    <t xml:space="preserve">pl 5 
7ma
</t>
  </si>
  <si>
    <t>1636-2013
1638-2013</t>
  </si>
  <si>
    <t>Unidad</t>
  </si>
  <si>
    <t>4.5. El 100% de los proyectos a cargo del IDU contaran con los medios y condiciones para promover procesos de participación ciudadana, gestión social y gestión ambiental en cada una de sus etapas.</t>
  </si>
  <si>
    <r>
      <t xml:space="preserve">A 31 de diciembre de 2014, suscribir el Acta de cierre social de cinco </t>
    </r>
    <r>
      <rPr>
        <sz val="7"/>
        <color indexed="10"/>
        <rFont val="Arial"/>
        <family val="2"/>
      </rPr>
      <t>(5)</t>
    </r>
    <r>
      <rPr>
        <sz val="7"/>
        <rFont val="Arial"/>
        <family val="2"/>
      </rPr>
      <t xml:space="preserve">  contratos.</t>
    </r>
  </si>
  <si>
    <t>Contratos Pendientes por Liquidar</t>
  </si>
  <si>
    <t>Establecer el Número  de Contratos liquidados</t>
  </si>
  <si>
    <t>(Total de actas de cierre social firmada, guardada en las carpetas de los contratos) / ( Total de actas de cierre elaboradas) * 100</t>
  </si>
  <si>
    <r>
      <rPr>
        <sz val="7"/>
        <color indexed="10"/>
        <rFont val="Arial"/>
        <family val="2"/>
      </rPr>
      <t>Acta de  cierre social</t>
    </r>
    <r>
      <rPr>
        <sz val="7"/>
        <rFont val="Arial"/>
        <family val="2"/>
      </rPr>
      <t xml:space="preserve"> firmada, guardada en las carpetas de los contratos</t>
    </r>
  </si>
  <si>
    <t>aporta meta física el contrato IDU-019-2012 y el 47-2012</t>
  </si>
  <si>
    <t xml:space="preserve">se encuentra en tramite el acta  de cierre social del contrato IDU-66-2011 </t>
  </si>
  <si>
    <t>Mediante radicado STESV 20143361252671 se solicitó correcciones al informe final social radicado en el 5 de septiembre de 2014, las correcciones se encuentran pendientes por subsanar.</t>
  </si>
  <si>
    <t xml:space="preserve">Cumple con el contrato IDU-60-2010 </t>
  </si>
  <si>
    <t xml:space="preserve">Aunque en este mes no se tenía programado se reporta se reporta el cierre social de los contratos IDU-027-2009 y IDU-82-2008 completando así la meta programada para este año </t>
  </si>
  <si>
    <t>19-2012
47-2012 (Tramonti)</t>
  </si>
  <si>
    <t>Virgilio Barco</t>
  </si>
  <si>
    <t xml:space="preserve">37-2011
</t>
  </si>
  <si>
    <t xml:space="preserve">
p. Calle 94 </t>
  </si>
  <si>
    <t xml:space="preserve">134-2007
</t>
  </si>
  <si>
    <r>
      <t xml:space="preserve">A 31 de diciembre de 2014 aprobar el PIPMA, de catorce </t>
    </r>
    <r>
      <rPr>
        <sz val="7"/>
        <color indexed="10"/>
        <rFont val="Arial"/>
        <family val="2"/>
      </rPr>
      <t xml:space="preserve">(14) </t>
    </r>
    <r>
      <rPr>
        <sz val="7"/>
        <rFont val="Arial"/>
        <family val="2"/>
      </rPr>
      <t>contratos iniciados en la vigencia a cargo de la DTC y sus Subdirecciones</t>
    </r>
  </si>
  <si>
    <t>PIPMA aprobados</t>
  </si>
  <si>
    <t>(Total de PIPMA aprobados) / ( Total de PIPMA elaborados) * 100</t>
  </si>
  <si>
    <r>
      <rPr>
        <sz val="7"/>
        <color indexed="10"/>
        <rFont val="Arial"/>
        <family val="2"/>
      </rPr>
      <t xml:space="preserve"> PlPMA</t>
    </r>
    <r>
      <rPr>
        <sz val="7"/>
        <rFont val="Arial"/>
        <family val="2"/>
      </rPr>
      <t xml:space="preserve"> guardado en las carpetas de los contratos</t>
    </r>
  </si>
  <si>
    <t>Se cumple con la meta programa en un 50%, toda vez que el contrato IDU-1510-2013 no se dio de acuerdo a la programación inicial, por la suspendió  por un termino de 1 mes.</t>
  </si>
  <si>
    <t>Se cumple con más del 100% de la meta programada , toda vez que se aprobó el  PlPMA del IDU-1510-2013 que estaba programado para el mes anterior.  Por otro lado, se aprueba el PIPMA del contrato IDU-1724-2013 .</t>
  </si>
  <si>
    <t>Se  logró la aprobación del  PlPMA del  contrato IDU-1885-2013.</t>
  </si>
  <si>
    <t>pipma</t>
  </si>
  <si>
    <t>El contrato IDU-1727-2013 inicio su fase de ejecución  el 24 de julio de 2014 tal y como se tenía programado,</t>
  </si>
  <si>
    <t>Se aprobó el PIPMA del contrato de la Peatonalización de la Séptima</t>
  </si>
  <si>
    <t>Se reporta la aprobación del PIPMa del contrato IDU-2172-2013, y del contrato IDU-759-2013, IDU-1636-2013 aprobados con oficios números, 20143361209181, 20143360993011 y 20143461130871 respectivamente</t>
  </si>
  <si>
    <t>kfw
Pl1</t>
  </si>
  <si>
    <t>945-2013
845-2013
972-2013</t>
  </si>
  <si>
    <t>PL3 
pl 4</t>
  </si>
  <si>
    <t xml:space="preserve">
PL2</t>
  </si>
  <si>
    <t xml:space="preserve">
Calle 45</t>
  </si>
  <si>
    <t xml:space="preserve">759-2013
</t>
  </si>
  <si>
    <t>4.1. El 100% de los proyectos IDU contaran  con mecanismos de seguimiento y evaluación que permitan medir la satisfacción y percepción ciudadana frente al desarrollo de los mismos.</t>
  </si>
  <si>
    <r>
      <t xml:space="preserve">A 31 de diciembre de 2014, suscribir el Acta de cierre ambiental de </t>
    </r>
    <r>
      <rPr>
        <sz val="7"/>
        <color indexed="10"/>
        <rFont val="Arial"/>
        <family val="2"/>
      </rPr>
      <t>cinco (5)</t>
    </r>
    <r>
      <rPr>
        <sz val="7"/>
        <rFont val="Arial"/>
        <family val="2"/>
      </rPr>
      <t xml:space="preserve"> contratos.</t>
    </r>
  </si>
  <si>
    <t>(Total de actas de cierre ambiental firmada, guardada en las carpetas de los contratos) / ( Total de actas de cierre elaboradas) * 100</t>
  </si>
  <si>
    <r>
      <rPr>
        <sz val="7"/>
        <color indexed="10"/>
        <rFont val="Arial"/>
        <family val="2"/>
      </rPr>
      <t>Acta de  cierre ambiental</t>
    </r>
    <r>
      <rPr>
        <sz val="7"/>
        <rFont val="Arial"/>
        <family val="2"/>
      </rPr>
      <t xml:space="preserve"> firmada, guardada en las carpetas de los contratos</t>
    </r>
  </si>
  <si>
    <t>Según el contrato IDU-19-2012 no lo exige. Por tanto para el contrato se presume cumplido.  no se cumple para el contrato IDU-047-2012</t>
  </si>
  <si>
    <t>Se aprueba el Informe Final Sisoma del contrato IDU-85-2012 en septiembre 30.</t>
  </si>
  <si>
    <t>Se suscribe el acta de cierre ambiental del contrato IDU-047-2012. el acta se firma en el mes de Octubre por otro lado, en el contrato IDU-60-2010 no se cumple  debido a que a la fecha se encuentra pendiente el  pronunciamiento del Jardín Botánico de Bogotá respecto a la compensaciones por mantenimiento no incluido en el alcance del contrato.</t>
  </si>
  <si>
    <t>Se reportan las actas de cierre ambiental del contrato IDU-027-2009 correspondientes a los códigos de obra 414 y 406 de el acuerdo 180 de 2005. y el acta de cierre ambiental del contrato IDU-043-2009 dando cumplimiento para la vigencia</t>
  </si>
  <si>
    <t>No se tenia meta programada para esta periodo, no obstante, se suscribe el acta de cierre ambiental del contrato IDU-060-2010</t>
  </si>
  <si>
    <t xml:space="preserve">19-2012
tramonti
</t>
  </si>
  <si>
    <t xml:space="preserve">137-2007
p. Calle 94 </t>
  </si>
  <si>
    <r>
      <t>A 31 de diciembre de 2014 esta programado construir 12,91</t>
    </r>
    <r>
      <rPr>
        <sz val="7"/>
        <color indexed="10"/>
        <rFont val="Arial Narrow"/>
        <family val="2"/>
      </rPr>
      <t xml:space="preserve"> Km-carril</t>
    </r>
    <r>
      <rPr>
        <sz val="7"/>
        <rFont val="Arial Narrow"/>
        <family val="2"/>
      </rPr>
      <t xml:space="preserve"> de vía arteria.</t>
    </r>
  </si>
  <si>
    <t xml:space="preserve"> Km-carril de vía arteria  construidos</t>
  </si>
  <si>
    <t>Establecer la Meta Física de cada contrato en Ejecución</t>
  </si>
  <si>
    <t>Total de Meta Física</t>
  </si>
  <si>
    <t>FO - 173</t>
  </si>
  <si>
    <t>km-carril</t>
  </si>
  <si>
    <t xml:space="preserve">Se cumple con el 63% de la meta programada, toda vez que se logró la construcción de 0,823 Km - carril de vía de los 1,31 Km programados y corresponden a los contratos IDU-070-2012, IDU-868-2013, IDU-032-2011 y el IDU-074-2012. </t>
  </si>
  <si>
    <t xml:space="preserve">Se cumple con mas del 100% de la meta programada, se logró la construcción de 1,43 Km - carril de vía de los 0,93 Km programados y corresponden a los contratos IDU-070-2012, IDU-868-2013, IDU-032-2011 y el IDU-074-2012. </t>
  </si>
  <si>
    <r>
      <t>Aunque los contratos IDU-070-2012  y el IDU-928-2013 alcanzaron a ejecutar lo programado, solo se cumple con el 59</t>
    </r>
    <r>
      <rPr>
        <b/>
        <sz val="7"/>
        <rFont val="Arial"/>
        <family val="2"/>
      </rPr>
      <t>%</t>
    </r>
    <r>
      <rPr>
        <sz val="7"/>
        <rFont val="Arial"/>
        <family val="2"/>
      </rPr>
      <t xml:space="preserve"> por que los contratos IDU-074-2011, reprogramaron metas físicas, por  adición y prorroga  y el contrato IDU-032-2011 solicita adición de recursos para culminar las obras.</t>
    </r>
  </si>
  <si>
    <t>Se cumple con mas  del 100% de la meta programada; Los contratos que aportan meta física a este indicador son:  IDU-070-2012, IDU-928-2013  y el contrato IDU-032-2011.</t>
  </si>
  <si>
    <t>fo 3 contratos</t>
  </si>
  <si>
    <t xml:space="preserve">Se supera el 100% de la meta programada, toda vez que se ejecutaron metas programadas en meses anteriores, los  contratos que ejecutaron meta física son: IDU-032-2011 e   IDU-070-2012, </t>
  </si>
  <si>
    <t>Se supera el 100% de la meta programada, toda vez que se construyeron Km- carril de vías  que no se habían ejecutado en meses anteriores, los  contratos que ejecutaron meta física son: IDU-032-2011,   IDU-070-2012 y el IDU-928-2013.</t>
  </si>
  <si>
    <t>Mediante Memorando STESV 20143360558293 del 28 de Agosto de 2014, se solicita la reprogramación de esta meta para pasar de 8,06 a 9,54km /carril de Vías, debido a la ejecución de metas físicas de los contratos del programa de pavimentos Locales, Se supera el 100% de la meta programada,  los  contratos que ejecutaron meta física son: IDU-74-2012,   IDU-70-2012, IDU-928-2013, IDU-1724-2013 Y IDU-1885-2013.</t>
  </si>
  <si>
    <t>Los contratos que aportan meta física son : IDU-70-2012, IDU-928-2013, IDU-1724-2013, IDU-1878-2013, IDU-1510 -2013 y IDU-1885-2013.</t>
  </si>
  <si>
    <t>No se cumple con la meta programada para este mes porque contratos como el IDU-70-2012, IDU1885-2013, IDU-1510-2013,IDU-1727-2013, presentaron retrasos a causa de las lluvias</t>
  </si>
  <si>
    <t>Vial</t>
  </si>
  <si>
    <t>Transporte</t>
  </si>
  <si>
    <r>
      <t>A 31 de diciembre de 2014 construir 4,09</t>
    </r>
    <r>
      <rPr>
        <sz val="7"/>
        <color indexed="10"/>
        <rFont val="Arial Narrow"/>
        <family val="2"/>
      </rPr>
      <t xml:space="preserve">  Km </t>
    </r>
    <r>
      <rPr>
        <sz val="7"/>
        <rFont val="Arial Narrow"/>
        <family val="2"/>
      </rPr>
      <t>de vía arteria.</t>
    </r>
  </si>
  <si>
    <t>Km de vía arteria construida</t>
  </si>
  <si>
    <t>Km de Vía</t>
  </si>
  <si>
    <t>Se cumple con el 81% de la meta programada toda vez que el contrato IDU-074-2012 por reprogramación de la des energización de redes de media tensión,  solo ejecutó 0,04 Km de vía de los 0,086 Km que se tenían programados.</t>
  </si>
  <si>
    <t xml:space="preserve">Se cumple con el 102% de la meta programada, toda vez que se logró la construcción de 0,316 Km de vía de los 0,311 programados y corresponden a los contratos 070-2012, IDU-868-2013, IDU-032-2011 y el IDU-074-2012. </t>
  </si>
  <si>
    <t xml:space="preserve">Se cumple con más del 100% de la meta programada, toda vez que se logró la construcción de 0,444 Km de vía de los 0,275 programados y corresponden a los contratos 070-2012, IDU-868-2013 y el IDU-032-2011, de los cuales este último ejecutó mas de lo que tenía programado. </t>
  </si>
  <si>
    <r>
      <t>Aunque los contratos IDU-070-2012  y el IDU-928-2013 alcanzaron a ejecutar lo programado, solo se cumple con el 50</t>
    </r>
    <r>
      <rPr>
        <b/>
        <sz val="7"/>
        <rFont val="Arial"/>
        <family val="2"/>
      </rPr>
      <t>%</t>
    </r>
    <r>
      <rPr>
        <sz val="7"/>
        <rFont val="Arial"/>
        <family val="2"/>
      </rPr>
      <t xml:space="preserve"> por que los contratos IDU-074-2011, reprogramaron metas físicas, por  adición y prorroga  y el contrato IDU-032-2011 solicita adición de recursos para culminar las obras.</t>
    </r>
  </si>
  <si>
    <t>Los contrato que nos aportaron meta física a este indicador son:  IDU-070-2012, e IDU-032-2011.</t>
  </si>
  <si>
    <t>fo 2 contratos</t>
  </si>
  <si>
    <t>Se supera el 100% de la meta programada, toda vez que se construyeron Km- carril de vías  que no se habían ejecutado en meses anteriores, los  contratos que ejecutaron meta física son: IDU-032-2011,   IDU-070-2012.</t>
  </si>
  <si>
    <t>Se supera el 100% de la meta programada, los contratos que ejecutaron meta física son: IDU-74-2012, IDU-70-2012, IDU-17-24-2013 Y IDU-1885-2013.</t>
  </si>
  <si>
    <t>Los contratos que aportan meta física son : IDU-70-2012 y IDU-1885-2013</t>
  </si>
  <si>
    <t>Los contratos que aportan meta física son IDU-32-2011, IDU-70-2012 e IDU-1885-2013. No se alcanza la meta programada, debido a que para la ejecución de la meta física restante, se debía contar con  las áreas de los predios del colegio San Tarsicio y Hard Body afectando la ejecución en el  contrato IDU-070-2012</t>
  </si>
  <si>
    <t>No se logra la meta programada para este mes debido a atrasos que genera la implementación de accesos a garajes en el contrato IDU-1885-2013 (Cll 45) e inconvenientes con lluvias, adicionalmente el contrato IDU-70-2012 presenta retrasos por predios.</t>
  </si>
  <si>
    <t>No se alcanza la meta programada debido a retrasos en la ejecución de los contratos, especialmente en los -contratos IDU-070-2012 e IDU-1885-2013</t>
  </si>
  <si>
    <t xml:space="preserve">Se cumple con el 81% de la meta programada toda vez que el contrato IDU-074-2012 por reprogramación de la des energización de redes de media tensión en el mismo,  solo ejecutó 0,04 Km de vía de los 0,086 Km que se tenían programados.  Los contratos que aportan a esta meta son IDU-868-2013 y el IDU-074-2013. </t>
  </si>
  <si>
    <r>
      <t xml:space="preserve">A 31 de diciembre de 2014 está programado la construcción de </t>
    </r>
    <r>
      <rPr>
        <sz val="7"/>
        <color indexed="10"/>
        <rFont val="Arial"/>
        <family val="2"/>
      </rPr>
      <t xml:space="preserve">dos </t>
    </r>
    <r>
      <rPr>
        <sz val="7"/>
        <color indexed="10"/>
        <rFont val="Arial Narrow"/>
        <family val="2"/>
      </rPr>
      <t xml:space="preserve">(2) </t>
    </r>
    <r>
      <rPr>
        <sz val="7"/>
        <rFont val="Arial Narrow"/>
        <family val="2"/>
      </rPr>
      <t>paso peatonal y/o puente peatonal.</t>
    </r>
  </si>
  <si>
    <t>Paso peatonal y/o  Puente peatonal Construido</t>
  </si>
  <si>
    <t>Paso Peatonal y/o Puente peatonal</t>
  </si>
  <si>
    <t>Se realiza un plan de contingencia para terminar la construcción del puente IDU-945-20013</t>
  </si>
  <si>
    <t>Se reprograman actividades para el contrato del puente peatonal de la 192.</t>
  </si>
  <si>
    <t xml:space="preserve">No cumple con la meta del mes, según el cont. IDU-945-2013, ya que se realiza cronograma de contingencia para cumplir con el general. </t>
  </si>
  <si>
    <t>Se adelanta la meta física del mes de julio por la construcción del puente sobre la quebrada Limas</t>
  </si>
  <si>
    <t>fo 1 contrato</t>
  </si>
  <si>
    <t>La construcción del puente sobre Q limas se realizo anticipadamente en el mes anterior.</t>
  </si>
  <si>
    <t>Este indicador corresponde al contrato IDU-945-2013. No esta proyectado para este mes ya que presento atrasos en las metas de los meses pasados y se encuentra en ejecución. La razón del atraso esta directamente relacionada con los tiempos de importación del material una vez fueron aprobados los planos de taller.</t>
  </si>
  <si>
    <t xml:space="preserve">Este indicador corresponde al contrato IDU-945-2013. No esta proyectado para este mes, pero presento ejecución. </t>
  </si>
  <si>
    <t>El aporte de este indicador lo hace el contrato IDU-945-2013, y corresponde a ejecución de meses anteriores.</t>
  </si>
  <si>
    <t>Se termina la construcción del puente de la 192 con Auto Norte</t>
  </si>
  <si>
    <r>
      <t>A 31 de diciembre de 2014 está programado la Construcción de</t>
    </r>
    <r>
      <rPr>
        <sz val="7"/>
        <color indexed="10"/>
        <rFont val="Arial"/>
        <family val="2"/>
      </rPr>
      <t xml:space="preserve"> 1,80</t>
    </r>
    <r>
      <rPr>
        <sz val="7"/>
        <rFont val="Arial"/>
        <family val="2"/>
      </rPr>
      <t xml:space="preserve"> puentes vehiculares</t>
    </r>
  </si>
  <si>
    <t>Puente vehicular Construido</t>
  </si>
  <si>
    <t>Puente vehicular</t>
  </si>
  <si>
    <t>La ejecución de este indicador corresponde a el contrato IDU-44-2010</t>
  </si>
  <si>
    <t>La ejecución de este indicador corresponde a el contrato IDU-44-2010 TM Calle 6</t>
  </si>
  <si>
    <t>La ejecución de este indicador corresponde a un puente del contrato IDU-44-2010 No se cumple con la meta programada porque el contrato IDU-032-2011 solicita adición de recursos para poder culminar las obras.</t>
  </si>
  <si>
    <t>Se continua con la construcción de un puente vehicular del contrato IDU-044-2010.</t>
  </si>
  <si>
    <t>Se terminó la construcción del puente vehicular del contrato IDU-32-2011 (Av. La Sirena) y el contrato 044-2012 aporta meta física del 0,067</t>
  </si>
  <si>
    <r>
      <t>A 31 de diciembre de 2014 construir</t>
    </r>
    <r>
      <rPr>
        <sz val="7"/>
        <color indexed="10"/>
        <rFont val="Arial Narrow"/>
        <family val="2"/>
      </rPr>
      <t xml:space="preserve"> 1,88 Km</t>
    </r>
    <r>
      <rPr>
        <sz val="7"/>
        <rFont val="Arial Narrow"/>
        <family val="2"/>
      </rPr>
      <t xml:space="preserve"> de Ciclo ruta. </t>
    </r>
  </si>
  <si>
    <t>Km de Ciclo ruta construida</t>
  </si>
  <si>
    <t>Km</t>
  </si>
  <si>
    <t>Durante este mes no se ejecuta por innumerables inconvenientes no se ejecuta meta física de ciclo ruta en los contratos  IDU-868-2013, IDU-032-2011 y el IDU-074-2012.</t>
  </si>
  <si>
    <t>Durante este mes se cumple con el 53% de la meta programada por las siguientes razones: 1. El contrato IDU-868-2013 se encuentra enfocado en la construcción del espacio público, 2. Se realizó reprogramación de esta meta física para el contrato  IDU-074-2012 porque falta la definición del traslado de la subestación eléctrica que permita la adecuación de la calzada occidental de la vía, y 3. El contrato   IDU-032-2011 ejecutó 0,17 Km de ciclo ruta.</t>
  </si>
  <si>
    <t>El contrato IDU-032-2011 ejecutó ciclo ruta, durante este mes se cumple con más del 100% de la meta programada toda vez que los contratos que han debido reportar en meses anteriores, lo hicieron para este periodo</t>
  </si>
  <si>
    <t>Los contratos IDU-032-2011 e IDU-868-2013 que aportaban meta física, realizaron el reporte de la totalidad de meta física ejecutada en el mes de mayo, el contrato IDU-074-2012 no reporto lo estimado por el traslado de la subestación eléctrica frente al Colegio Patria</t>
  </si>
  <si>
    <t>fo de esta meta física</t>
  </si>
  <si>
    <t>No se cumple con la meta programada porque una vez realizados los ajustes al PMR, de los predios del Cantón Norte, en especial los ubicados sobre el acceso a la guardia PM 15 o área administrativa, se evidenció disminución en la longitud de la ciclo ruta para el contrato IDU-074-2012.</t>
  </si>
  <si>
    <t>El contrato IDU-74-2012 ejecuto meta de meses anteriores, adicionalmente los contratos IDU-1885-2013 y IDU-2172-2013 aportaron meta física</t>
  </si>
  <si>
    <t>Aunque en este mes no se tenía programado reportan avance en esta meta el contrato IDU-2172-2013 (k séptima) y IDU-32-2011 (La Sirena)</t>
  </si>
  <si>
    <t>Ya se reporto la ejecución de esta meta física en los contratos en esta vigencia</t>
  </si>
  <si>
    <t>No se tenia contemplado la ejecución de esta meta, no obstante se adelanta la meta del  contrato IDU-44-2010 que estaba programada para la vigencia 2015</t>
  </si>
  <si>
    <r>
      <t>A 31 de diciembre de 2014 construir</t>
    </r>
    <r>
      <rPr>
        <sz val="7"/>
        <color indexed="10"/>
        <rFont val="Arial"/>
        <family val="2"/>
      </rPr>
      <t xml:space="preserve"> 44,082</t>
    </r>
    <r>
      <rPr>
        <sz val="7"/>
        <color indexed="10"/>
        <rFont val="Arial Narrow"/>
        <family val="2"/>
      </rPr>
      <t xml:space="preserve">  M2</t>
    </r>
    <r>
      <rPr>
        <sz val="7"/>
        <rFont val="Arial Narrow"/>
        <family val="2"/>
      </rPr>
      <t xml:space="preserve"> de Espacio Público.</t>
    </r>
  </si>
  <si>
    <t>M2 de Espacio Público Construido</t>
  </si>
  <si>
    <t>Metro cuadrado</t>
  </si>
  <si>
    <t>Se cumple con el 97,3% de la meta programada toda vez que de los contratos  IDU-868-2013, el IDU-032-2011, IDU-074-2012  y el IDU-1279-2013, este ejecutó la meta física que tenía programada.</t>
  </si>
  <si>
    <t>Se cumple con el 56% de la meta programada, los contratos  IDU-032-2011, IDU-074-2012  y el IDU-1279-2013, aportaran el restante en los próximos meses</t>
  </si>
  <si>
    <t>Se cumple con el 48,5% de la meta programada por las siguientes razones: 1. El contrato IDU-868-2013 cumple con más de lo programado,  2. El contrato  IDU-074-2012 reinició con la instalación de material reciclado, una vez evaluados los resultado de los ensayos realizados al material de siga que  se utiliza en la conformación de la estructura, 3. El contrato IDU-1279-2013, iniciará proceso de incumplimiento por los atrasos presentado en la ejecución de las metas programadas.</t>
  </si>
  <si>
    <t xml:space="preserve">Se cumple con el 98,7% de la meta programada, los contratos que aportaron meta física en este período fueron: IDU-070-2012, IDU-074-2012,  IDU-032-2011,  IDU-1279-2013, IDU-928-2013 y el IDU-868-2013 </t>
  </si>
  <si>
    <t xml:space="preserve">Los contratos que aportaron meta física en este período fueron: IDU-070-2012, IDU-074-2012,  IDU-032-2011,  IDU-1279-2013, IDU-928-2013  y el IDU-972-2013. </t>
  </si>
  <si>
    <t>fo de estos contratos</t>
  </si>
  <si>
    <t>Se supera el 100% de la meta programada, toda vez que se ejecutaron metas programadas en meses anteriores, los  contratos que ejecutaron meta física son: IDU-070-2012, IDU-074-2012,  IDU-032-2011,   y el IDU-1279-2013.</t>
  </si>
  <si>
    <t>Se supera el 100% de la meta programada, toda vez que se ejecutaron metas programadas que no se habían ejecutado en meses anteriores; adicionalmente porque el contrato IDU-928-2013, que no estaba priorizado, ejecutó en este mes 2021 m2 de espacio público;  los  contratos que ejecutaron meta física adicional al anterior son: IDU-070-2012, IDU-074-2012 y el   IDU-032-2011.</t>
  </si>
  <si>
    <t>El contrato IDU-74-2012 ejecuto meta de meses anteriores, adicionalmente los contratos  IDU-70-2012, IDU-928-2013, IDU-1727-2013, IDU-1885-2013 y IDU-2172-2013 aportaron meta física.</t>
  </si>
  <si>
    <t>Los contratos que aportan meta física son: IDU-32-2011,  IDU-70-2012, IDU-928-2013, IDU-1724-2013, IDU-1878-2013, IDU-1727-2013, IDU-2172-2013, IDU-1510 -2013 y IDU-1885-2013.</t>
  </si>
  <si>
    <t>Los contratos que aportan meta física son: IDU-32-2011, IDU-70-2012, IDU-928-2013, IDU-1724-2013, IDU-1878-2013, IDU-1727-2013, IDU-1885-2013 e IDU-2172-2013. No se alcanza la meta programada, debido a que para la ejecución de la meta física restante, se debía contar con  las áreas de los predios del colegio San Tarsicio y Hard Body afectando la ejecución en el contrato IDU-070-2012; El Contrato IDU-928-2013 presentó inconvenientes por definición de nuevos diseños, atrasos en el inicio de actividades por inconvenientes con la comunidad y factores de rendimiento por lluvias.</t>
  </si>
  <si>
    <t>No se cumple con la meta programada para este mes porque contratos como el IDU-1727-2013 presentaron retrasos a causa de las lluvias, el contrato IDU-2172-2013 (K Séptima) por la temporada decembrina que impidió ejecutar tramos programados, el contrato IDU-1885-2013 (Cll 45) no ha intervenido el andén del costado sur por pendientes de aprobación de muro</t>
  </si>
  <si>
    <t>se Afecta la ejecución de este indicador, debido a los problemas climáticos y la temporada decembrina que impidió la ejecución de la totalidad de este indicador.</t>
  </si>
  <si>
    <r>
      <t>A 31 de diciembre de 2014 está programado la Construcción de 303</t>
    </r>
    <r>
      <rPr>
        <sz val="7"/>
        <color indexed="10"/>
        <rFont val="Arial Narrow"/>
        <family val="2"/>
      </rPr>
      <t xml:space="preserve"> ML </t>
    </r>
    <r>
      <rPr>
        <sz val="7"/>
        <rFont val="Arial"/>
        <family val="2"/>
      </rPr>
      <t>de Talud.</t>
    </r>
  </si>
  <si>
    <t xml:space="preserve"> ML de Talud Construidos</t>
  </si>
  <si>
    <t>ML</t>
  </si>
  <si>
    <t>Se cumple con el 157% de la meta programada, toda vez que se logró la construcción de 83,36 ml  de Talud de 53,06  contrato IDU-037-2011.</t>
  </si>
  <si>
    <t>Se ejecuto en el mes anterior</t>
  </si>
  <si>
    <t>En este mes no se tenía programa meta física, ya se cumplió con la meta programada para esta vigencia</t>
  </si>
  <si>
    <r>
      <t xml:space="preserve">A 31 de diciembre de 2014 </t>
    </r>
    <r>
      <rPr>
        <sz val="7"/>
        <color indexed="10"/>
        <rFont val="Arial"/>
        <family val="2"/>
      </rPr>
      <t>construir 0 Km-carril</t>
    </r>
    <r>
      <rPr>
        <sz val="7"/>
        <rFont val="Arial"/>
        <family val="2"/>
      </rPr>
      <t xml:space="preserve"> de Troncales</t>
    </r>
  </si>
  <si>
    <t>Km-carril de Troncal construidos</t>
  </si>
  <si>
    <t>Km-carril</t>
  </si>
  <si>
    <t>Se tenia programado la ejecución de 0,66 Km/troncales en el contrato IDU- 44-2010,  pero por falta de definición de la EAB en el traslado de redes de acueducto y alcantarillado no se logró el cumplimiento de esta meta,(intersección calle 6 con AV caracas.)</t>
  </si>
  <si>
    <r>
      <t>A 31 de diciembre de 2014 esta programada la construcción de 0,6</t>
    </r>
    <r>
      <rPr>
        <sz val="7"/>
        <color indexed="10"/>
        <rFont val="Arial"/>
        <family val="2"/>
      </rPr>
      <t xml:space="preserve"> Estaciones Sencilla</t>
    </r>
    <r>
      <rPr>
        <sz val="7"/>
        <rFont val="Arial"/>
        <family val="2"/>
      </rPr>
      <t>s para el Sistema Transmilenio</t>
    </r>
  </si>
  <si>
    <t>Estación Construida</t>
  </si>
  <si>
    <t>Estación Transmilenio</t>
  </si>
  <si>
    <t>No cumple con la meta del mes, según el cont. IDU-895-2013.</t>
  </si>
  <si>
    <t>El contrato IDU-895-2013 no inicio obras por la aprobación del traslado de una red de acueducto y El contrato IDU-1636-2013: se encuentra suspendido por falta de la aprobación del PMT, no aporta meta física</t>
  </si>
  <si>
    <t>acta de inicio de etapa de construcción de julio</t>
  </si>
  <si>
    <t>No cumple con el contrato IDU-1636-2013, ya que  solo se han adelantado actividades de Tratamientos silviculturales.</t>
  </si>
  <si>
    <t>Este indicador no esta programado para este mes, según reprogramación de metas memorando N° 20143350656903 del 27 de noviembre de 2014.</t>
  </si>
  <si>
    <t>Se tenia previsto realizar 0,6 Estaciones Sencillas en este periodo, por medio del contrato IDU-1636-2013, no obstante existieron durante la vigencia diversos inconvenientes que impidieron la ejecución programada, a la fecha este contrato se encuentra en ejecución y realiza actividades de Tratamientos silviculturales.</t>
  </si>
  <si>
    <r>
      <t>A 31 de diciembre de 2014 esta programada la construcción de</t>
    </r>
    <r>
      <rPr>
        <sz val="7"/>
        <color indexed="10"/>
        <rFont val="Arial"/>
        <family val="2"/>
      </rPr>
      <t xml:space="preserve"> 0,96 Estación bidirecciona</t>
    </r>
    <r>
      <rPr>
        <sz val="7"/>
        <rFont val="Arial"/>
        <family val="2"/>
      </rPr>
      <t>l para el Sistema Transmilenio</t>
    </r>
  </si>
  <si>
    <t>Estación bidireccional Construida</t>
  </si>
  <si>
    <t>No cumple con el contrato IDU-1638-2013 ya que teniendo en cuenta que el contrato tiene dos etapas: 1 - Estudios y Diseños y 2 -Construcción, se establecen estas metas provisionalmente, de acuerdo con el alcance del contrato. Una vez se cuente con los estudios y diseños se establecerán metas más detalladas.</t>
  </si>
  <si>
    <t>Se tenia previsto realizar la meta de  Estación  Bidireccional en este periodo, por medio del contrato IDU-1638-2013, no obstante hay inconvenientes Jurídicos por la firma Interventorá, lo que ha impedido entre otros el inicio de la etapa de construcción de este contrato.</t>
  </si>
  <si>
    <r>
      <t>A 31 de diciembre de 2014 esta programada la construcción de</t>
    </r>
    <r>
      <rPr>
        <sz val="7"/>
        <color indexed="10"/>
        <rFont val="Arial"/>
        <family val="2"/>
      </rPr>
      <t xml:space="preserve"> (0,48 ) Retorno Operacional</t>
    </r>
    <r>
      <rPr>
        <sz val="7"/>
        <rFont val="Arial"/>
        <family val="2"/>
      </rPr>
      <t xml:space="preserve"> para el Sistema Transmilenio</t>
    </r>
  </si>
  <si>
    <t>Retorno Operacional Construido</t>
  </si>
  <si>
    <t>Retorno Operacional</t>
  </si>
  <si>
    <t>Se tenia previsto realizar la meta de  retorno operacional en este periodo, por medio del contrato IDU-1638-2013, no obstante hay inconvenientes Jurídicos por la firma Interventorá, lo que ha impedido entre otros el inicio de la etapa de construcción de este contrato.</t>
  </si>
  <si>
    <r>
      <t xml:space="preserve">A 31 de diciembre de 2014 esta programada la construcción de </t>
    </r>
    <r>
      <rPr>
        <sz val="7"/>
        <color indexed="10"/>
        <rFont val="Arial"/>
        <family val="2"/>
      </rPr>
      <t>00 m2 Patio Portal Garaje</t>
    </r>
    <r>
      <rPr>
        <sz val="7"/>
        <rFont val="Arial"/>
        <family val="2"/>
      </rPr>
      <t xml:space="preserve"> para el Sistema Transmilenio</t>
    </r>
  </si>
  <si>
    <t>Patio Portal Garaje</t>
  </si>
  <si>
    <t>Patio Portal</t>
  </si>
  <si>
    <t>Este indicador no esta programado para este mes, según reprogramación de metas memorando DTC-20143350631523.</t>
  </si>
  <si>
    <t>Este indicador no esta programado para este año, según reprogramación de metas memorando N°20143350631523 del 31 de octubre de 2014.</t>
  </si>
  <si>
    <t>No aplica para este periodo</t>
  </si>
  <si>
    <t>Se cumplió al 100 con lo programado</t>
  </si>
  <si>
    <t>En este mes no se Programo reporte</t>
  </si>
  <si>
    <t>No se tenia programada para este periodo</t>
  </si>
  <si>
    <t>Mediante memorando 20143350663033 del 5 de diciembre de 2014, se remite a la OAP, diez (10)  formatos con la solicitud de actualización y modificación, no obstante, a la fecha de corte de este informe, ninguno de estos  es oficial, afectando la calificación del area de este indicador.</t>
  </si>
  <si>
    <t>se encuentran acciones  pendientes</t>
  </si>
  <si>
    <t>No se cumple con este indicador debido a que no se ha subsanado el plan de mejoramiento de la Avenida Mariscal y el recibo de parte de las empresas de servicios públicos</t>
  </si>
  <si>
    <t>El plan de mejoramiento interno de la Avenida la Mariscal, no se ha podido cerrar en atención a que se encuentran pendiente a la fecha el recibo de las empresas de servicios públicos de ETB y la EAB, en cuanto a la ETB, debido a que la encargada de la revisión de los planos necesarios para el recibo de esta empresa no ha dispuesto del tiempo necesario, previa solicitud del área en numerables ocasiones, por el lado de la EAB, modificaron las especificaciones de entrega de los documentos necesarios, lo que ha generado modificar los archivos que estaban listos para entrega.</t>
  </si>
  <si>
    <t>Falta cumplir con las acciones de los proyectos 123 y 124 de la Av. Mariscal Sucre</t>
  </si>
  <si>
    <t>Se encuentra pendiente el cumplimiento del recibo de las obras de la Mariscal Sucre</t>
  </si>
  <si>
    <t>El plan de mejoramiento de la Avenida la Mariscal, no se ha podido cerrar en atención a que se encuentran pendiente a la fecha el recibo de las empresas de servicios públicos de ETB y la EAB, en cuanto a la ETB, debido a que la encargada de la revisión de los planos necesarios para el recibo de esta empresa no ha dispuesto del tiempo necesario, previa solicitud del área en numerables ocasiones, por el lado de la EAB, modificaron las especificaciones de entrega de los documentos necesarios, lo que ha generado modificar los archivos que estaban listos para entrega.
Por otro lado, se requiere el acta de liquidación del contrato IDU-056-2010, la cual se encuentra en tramite respectivo.</t>
  </si>
  <si>
    <t>5.1. Mantener por encima del  60% la ejecución presupuestal (eficiencia) de la vigencia, pasivos exigibles y reservas.</t>
  </si>
  <si>
    <t>Ejecutar mínimo el 60% de los pasivos exigibles programados para la vigencia.</t>
  </si>
  <si>
    <t>A 31 de Diciembre cumplir con la ejecución del 100% del presupuesto asignado de pasivos exigibles o el aprobado en el Acuerdo de Gestión del Área</t>
  </si>
  <si>
    <t>Valor de los giros presupuestales de P.E. del mes + Liberaciones del mes / Valor del presupuesto de P.E. asignado al Área para el mismo mes o lo establecido en el Acuerdo de Gestión para el mes * 100</t>
  </si>
  <si>
    <t>Valor</t>
  </si>
  <si>
    <t xml:space="preserve">DA – DTC – DTC – FTP – DE – DTGC – DTGC– FTP – OCA – SIJ – SURF – SER – SER  – STEST – STESV – STEST – STESV - STOP </t>
  </si>
  <si>
    <t>Se programa lo que se ejecutó</t>
  </si>
  <si>
    <t>Se facturó un total de 1,948,210,963 equivalente al 130% de lo programado</t>
  </si>
  <si>
    <t>Se facturó un total de 5,698,100,906 equivalente al 127% de lo programado</t>
  </si>
  <si>
    <t xml:space="preserve">Se facturó un total de 4,297,456,987 </t>
  </si>
  <si>
    <t>Se ejecuto un total de 9,623,329,231</t>
  </si>
  <si>
    <t xml:space="preserve">Se ejecuto un total de 5,277,864,788 </t>
  </si>
  <si>
    <t>Ejecución correspondiente a giros presupuestales por $3.216'240.333. Ejecución porcentual esperada del 7%</t>
  </si>
  <si>
    <t>Ejecución correspondiente a giros presupuestales por $19,849,535,257. Ejecución porcentual esperada del 7%</t>
  </si>
  <si>
    <t>Se Ejecuta en Pasivos Exigibles 6,239,742,268 entre giros liberaciones.</t>
  </si>
  <si>
    <t>Ejecución correspondiente a giros presupuestales por $4.083.682.717. Ejecución porcentual esperada del 3%</t>
  </si>
  <si>
    <t>Ejecución correspondiente a giros presupuestales por $2.520.377.350 y liberaciones por $34.286.609. Ejecución porcentual esperada del 6%</t>
  </si>
  <si>
    <t>Se giraron y/o Liberaron un valor total de 13,363,259,611</t>
  </si>
  <si>
    <t>La ejecución de los pasivos del área alcanzo el 51%, es decir se giraron $ 76.152.087.020, de los $ 149.790.082.860 iniciales. Relativamente es una cifra buena si tenemos en cuenta las ejecuciones de pasivos de vigencias anteriores dentro de esta Dirección. Tengamos en cuenta que se hicieron seguimientos permanentes dentro del área y con el grupo de liquidaciones, lo que llevo a un resultado satisfactorio para la gestión de pasivos.
Además si se tiene en cuenta la restricción de la Secretaria de Hacienda Distrital con la fuente transferencia ordinaria (la gran mayoría de pasivos) y que solo hasta final de año levanto medianamente la restricción, con lo que se pudo concluir una buena ejecución.</t>
  </si>
  <si>
    <t>5.1. Mantener por encima del 60% la ejecución presupuestal (eficiencia) de la vigencia, pasivos exigibles y reservas.</t>
  </si>
  <si>
    <t>Ejecutar el  60% de las Reservas Presupuestales programadas para la vigencia .</t>
  </si>
  <si>
    <t>A 31 de Diciembre cumplir con la ejecución del 100% del presupuesto asignado de reservas presupuestales o el aprobado en el Acuerdo de Gestión del Área</t>
  </si>
  <si>
    <t>Valor giros de reservas presupuestales del mes + Liberaciones del mes / Valor de reservas presupuestales asignadas o lo establecido en el Acuerdo de Gestión para el mes *100</t>
  </si>
  <si>
    <t xml:space="preserve">DTAI – DTAV – DTC – DTD – DTDP – DTE – DTGC – DTGJ – DTM – DTP – OAC – SGJ – STRF – STRH – STRT  </t>
  </si>
  <si>
    <t>Se programo 0% y se ejecuto 0,075 de las reservas equivalente a $83,772,158</t>
  </si>
  <si>
    <t>Se facturó un total 3.869.290.694 de equivalente al  3,5 del valor de la s reservas, se estimaba no haber facturado en este periodo</t>
  </si>
  <si>
    <t>Se facturó un total de 3,111,285,669 equivalente al 94% de lo programado</t>
  </si>
  <si>
    <t>Se ejecuto en meses anteriores lo correspondiente al valor facturado en este mes (2,685,893,871)</t>
  </si>
  <si>
    <t>Se ejecuto un total de 2,914,144,215</t>
  </si>
  <si>
    <t>Se ejecuto un total de 2,616, 369,277</t>
  </si>
  <si>
    <t>Ejecución correspondiente a giros presupuestales por $4.103'892.595. Ejecución porcentual esperada del 5%</t>
  </si>
  <si>
    <t>Ejecución correspondiente a giros presupuestales por $1,549,413,940. Ejecución porcentual esperada del 5%</t>
  </si>
  <si>
    <t>Se Ejecuta en Reservas  4,448,509,288 entre giros liberaciones.</t>
  </si>
  <si>
    <t>Ejecución correspondiente a giros presupuestales por $6.117.626.130. Ejecución porcentual esperada del 5%</t>
  </si>
  <si>
    <t>Ejecución correspondiente a giros presupuestales por $5.139.549.983 y liberaciones por $616.405. Ejecución porcentual esperada del 5%</t>
  </si>
  <si>
    <t>Se giraron y/o Liberaron un valor total de 10,372,268,927</t>
  </si>
  <si>
    <t>La ejecución de reservas la ejecución alcanzo un valor de $ 47.012.633.152, es decir el 43%. Si tenemos en cuenta la ejecución de reservas en vigencias anteriores, se ha mejorado notoriamente, pero en este ítem la ejecución podría calificarse de regular. Recordemos que somos responsables en cuanto a que se paga solamente lo que se ejecuta en cada contrato.</t>
  </si>
  <si>
    <t>5,1 Mantener por encima del 50% la ejecución presupuestal</t>
  </si>
  <si>
    <t>A 31 de diciembre ejecutar mínimo  el 50% del presupuesto asignado en  la vigencia.</t>
  </si>
  <si>
    <t>No se facturaron recursos de vigencia</t>
  </si>
  <si>
    <t xml:space="preserve">se facturo un total de 308.994.647
</t>
  </si>
  <si>
    <t xml:space="preserve">se facturo un total de 17,169,403
</t>
  </si>
  <si>
    <t>Se ejecutó un valor total de 3,388,486,640</t>
  </si>
  <si>
    <t>Se ejecuto con recursos de la vigencia un total de 1,639,788,566</t>
  </si>
  <si>
    <t>Se ejecuto con recursos de la vigencia un total de 4,704,665,291</t>
  </si>
  <si>
    <t xml:space="preserve">Durante la vigencia 2014 se efectuaron giros por valor de $ 10.059.104.547, de un valor inicial de $ 672.433.917.767, lo que representa tan solo el 1,5%, muy baja ejecución. Pero debemos tener en cuenta que particularmente este año se iniciaron varios y grandes procesos de fuente cupo y valorización. En registros presupuestales quedo la suma de $ 420.423.810.277, que representa un 63% con respecto al saldo inicial mencionado anteriormente. Lo que demuestra que si se hicieron grandes esfuerzos para realizar la gestión de manera eficiente. </t>
  </si>
  <si>
    <t>5.1. Mantener por encima del 50% la ejecución presupuestal (eficiencia)de la vigencia, pasivos exigibles y reservas.</t>
  </si>
  <si>
    <t>Lograr mínimo  50 puntos en el indicador mensual y anual de Gestión del PAC</t>
  </si>
  <si>
    <t>No. de puntos obtenidos / 100</t>
  </si>
  <si>
    <t>se ejecuto entre vigencia, reserva y Pasivos un total de 24,787,435,837</t>
  </si>
  <si>
    <t>Se ejecuta mas de los programado</t>
  </si>
  <si>
    <t>Se Ejecutó por encima de lo reprogramado, de acuerdo al informe Semáforo PAC del mes de Diciembre de 2014</t>
  </si>
  <si>
    <t>Se logro el 100% de acuerdo a la Reprogramación del PAC</t>
  </si>
  <si>
    <t>Se obtuvo mas de lo programado inicialmente</t>
  </si>
  <si>
    <t>se da cumplimiento al 100%</t>
  </si>
  <si>
    <t>“Se presentan observaciones al reporte enviado por la DTGC, en relación los contratos IDU-714-2014, IDU-715-2014, IDU-1259-2014, IDU-1308-2014, IDU-1320-2014, IDU-1345-2014, IDU-1346-2014, IDU-1347-2014, son contratos que pertenecen a la STESV y no a la DTC, es decir que este porcentaje no corresponde a lo ejecutado por la DTC.</t>
  </si>
  <si>
    <t>Se encuentran desactualizados algunos contratos de Prestación de Servicios de las subdirecciones técnicas.</t>
  </si>
  <si>
    <t>Valor consolidando los cuatro informes del año</t>
  </si>
  <si>
    <t>Nota 1. los valores que se presentan corresponden a la sumas de las subdirecciones de la Dirección Técnica de Construcciones.</t>
  </si>
  <si>
    <t>Nombre: CAROLINA JACKELINE BARBANTI MANSILLA</t>
  </si>
  <si>
    <t>Elaboró, Verificó y Consolidó: Habib Leonardo Mejia  Rivera</t>
  </si>
  <si>
    <t>HABIB LEONARDO MEJIA RIVERA</t>
  </si>
  <si>
    <t>habib Leonardo Mejia Rivera - DTC</t>
  </si>
  <si>
    <t>Habib Leonardo Mejia Rivera - DTC</t>
  </si>
  <si>
    <t>Elaboró, Verificó y Consolidó:  Habib Leonardo Mejia  Rivera</t>
  </si>
  <si>
    <t xml:space="preserve">Cargo: DIRECTORA TECNICA DE CONSTRUCCIONES </t>
  </si>
  <si>
    <r>
      <t xml:space="preserve">FORMATO
</t>
    </r>
    <r>
      <rPr>
        <sz val="11"/>
        <rFont val="Arial"/>
        <family val="2"/>
      </rPr>
      <t>CARACTERIZACIÓN DE INDICADORES DE GESTIÓN</t>
    </r>
  </si>
  <si>
    <r>
      <rPr>
        <b/>
        <sz val="11"/>
        <rFont val="Arial"/>
        <family val="2"/>
      </rPr>
      <t>CÓDIGO</t>
    </r>
    <r>
      <rPr>
        <sz val="11"/>
        <rFont val="Arial"/>
        <family val="2"/>
      </rPr>
      <t xml:space="preserve">   
FO-PE-01                                                                                                                                                                                                                                                                                                                                                                                       </t>
    </r>
  </si>
  <si>
    <r>
      <rPr>
        <b/>
        <sz val="11"/>
        <rFont val="Arial"/>
        <family val="2"/>
      </rPr>
      <t>PROCESO</t>
    </r>
    <r>
      <rPr>
        <sz val="11"/>
        <rFont val="Arial"/>
        <family val="2"/>
      </rPr>
      <t xml:space="preserve">
PLANEACIÓN ESTRATÉGICA</t>
    </r>
  </si>
  <si>
    <r>
      <rPr>
        <b/>
        <sz val="11"/>
        <rFont val="Arial"/>
        <family val="2"/>
      </rPr>
      <t>VERSIÓN</t>
    </r>
    <r>
      <rPr>
        <sz val="11"/>
        <rFont val="Arial"/>
        <family val="2"/>
      </rPr>
      <t xml:space="preserve">
3.0</t>
    </r>
  </si>
  <si>
    <t>DIRECCIÓN TÉCNICA DE DISEÑO DE PROYECTOS</t>
  </si>
  <si>
    <t>Acumulado Anual Esperado</t>
  </si>
  <si>
    <t>A diciembre 31 de 2014, elaborar los insumos técnicos para radicación de 108 proyectos, incluidos los de interventoría.</t>
  </si>
  <si>
    <t>Pliegos de condiciones elaborados</t>
  </si>
  <si>
    <t>Conocer la totalidad de procesos radicados en la vigencia.</t>
  </si>
  <si>
    <r>
      <t>(Número de procesos radicados en 2014)</t>
    </r>
    <r>
      <rPr>
        <b/>
        <sz val="11"/>
        <rFont val="Arial"/>
        <family val="2"/>
      </rPr>
      <t xml:space="preserve"> /</t>
    </r>
    <r>
      <rPr>
        <sz val="11"/>
        <rFont val="Arial"/>
        <family val="2"/>
      </rPr>
      <t xml:space="preserve"> (Total de procesos programados a radical en el 2014)</t>
    </r>
    <r>
      <rPr>
        <b/>
        <sz val="11"/>
        <rFont val="Arial"/>
        <family val="2"/>
      </rPr>
      <t>*</t>
    </r>
    <r>
      <rPr>
        <sz val="11"/>
        <rFont val="Arial"/>
        <family val="2"/>
      </rPr>
      <t>100</t>
    </r>
  </si>
  <si>
    <t>Memorando de Radicación en DTPS (108)</t>
  </si>
  <si>
    <t>Para el 2014 la DTD programó radicar 108 proyectos en Total, de los cuales la DTD no programó  radicar  procesos licitatorios en el mes de enero.</t>
  </si>
  <si>
    <t xml:space="preserve">Para el  2014 la DTD programó radicar 108 proyectos en Total, de los cuales para el mes febrero,  programó radicar en la DTPS 8 proyectos correspondientes al 7.4% del total de los proyectos programados, y  se radicaron 8 proyectos dando cumplimiento a la programación del mes. </t>
  </si>
  <si>
    <t xml:space="preserve">Para el  2014 la DTD programó radicar 108 proyectos en Total, de los cuales para el mes marzo,  programó radicar en la DTPS  16 proyectos correspondientes al  14,92% del total de los proyectos programados; y  se radicaron 16 proyectos dando cumplimiento a la programación del mes. </t>
  </si>
  <si>
    <t>Para el  2014 la DTD programó radicar 108 proyectos en Total, de los cuales para el mes abril,  programó radicar en la DTPS  18 proyectos correspondientes al  16,7% del total de los proyectos programados; y la DTD radico 2 correspondiente  al  1,9% ,no cumpliéndose la programación del mes .
Nota: Causas por las cuales no se cumplió con lo programado:
1.) implementación del Decreto 1510 de2013. 2.) Ajuste en los sistemas compras y contratación pública. 3.) Implementación de la Ley de Infraestructura. 4.) Implementación del 7X24, tiempos de trabajo. 5.) Aprobación del APUs. 5.) Ajustes en documentos en la estructuración de procesos licitatorios.</t>
  </si>
  <si>
    <r>
      <t xml:space="preserve">Para el  2014 el IDU programó radicar 108 proyectos en Total, de los cuales para el mes  mayo,  programó radicar en la DTPS  22 proyectos correspondientes al  20.4% del total de los proyectos programados; no cumpliéndose con la meta. La DTD radico  8 proyectos correspondiente  al  7.4% del mes de abril.
</t>
    </r>
    <r>
      <rPr>
        <b/>
        <sz val="11"/>
        <rFont val="Arial"/>
        <family val="2"/>
      </rPr>
      <t>Nota 1:</t>
    </r>
    <r>
      <rPr>
        <sz val="11"/>
        <rFont val="Arial"/>
        <family val="2"/>
      </rPr>
      <t xml:space="preserve">Causas por las cuales no se cumplió con lo programado:
A.) Ajustes en los modelos de los pliegos de condiciones para la estructuración de procesos licitatorios. B.) Demora en la aprobación del APUs en algunos de estos proyectos. C.) Proyectos programados para radicar en DTPS solo se recibió la factibilidad en  mayo  9 de 2014.  D.)  Un proyecto programado para mayo, no cuenta con viabilidad predial . E.) Proyectos en tramite de presupuesto.
</t>
    </r>
    <r>
      <rPr>
        <b/>
        <sz val="11"/>
        <rFont val="Arial"/>
        <family val="2"/>
      </rPr>
      <t>Nota 2</t>
    </r>
    <r>
      <rPr>
        <sz val="11"/>
        <rFont val="Arial"/>
        <family val="2"/>
      </rPr>
      <t>:El Proyecto Estación Intermedia Avenida Primera de Mayo,  programado para mayo, TransMilenio no ha generado CDP.</t>
    </r>
  </si>
  <si>
    <r>
      <t xml:space="preserve">Para el  2014 el IDU programó radicar 108 proyectos en total, de los cuales para el mes  junio,  programó radicar en la DTPS  4 proyectos correspondientes al  3.7% del total de los proyectos programados; no cumpliéndose con la meta en este mes, recibiéndose la  factibilidad de uno de los proyectos el  1 de junio de 2014 con memorando 20142250418443; el otro proyecto esta por definirse los recursos.
La DTD radico 14 proyectos correspondiente  al  13% ,  0cho (8) proyectos del mes de abril y 6 proyectos del mes de mayo.
</t>
    </r>
    <r>
      <rPr>
        <b/>
        <sz val="11"/>
        <rFont val="Arial"/>
        <family val="2"/>
      </rPr>
      <t>Nota 1:</t>
    </r>
    <r>
      <rPr>
        <sz val="11"/>
        <rFont val="Arial"/>
        <family val="2"/>
      </rPr>
      <t>Los proyectos programados y reprogramados del mes de abril se cumplieron en su totalidad</t>
    </r>
    <r>
      <rPr>
        <b/>
        <sz val="11"/>
        <rFont val="Arial"/>
        <family val="2"/>
      </rPr>
      <t>.
Nota 2:</t>
    </r>
    <r>
      <rPr>
        <sz val="11"/>
        <rFont val="Arial"/>
        <family val="2"/>
      </rPr>
      <t xml:space="preserve">Causas por las cuales no se cumplió con lo programado en el de mayo: No hay alcance definido para el proceso licitatorio.
</t>
    </r>
    <r>
      <rPr>
        <b/>
        <sz val="11"/>
        <rFont val="Arial"/>
        <family val="2"/>
      </rPr>
      <t>Nota 3</t>
    </r>
    <r>
      <rPr>
        <sz val="11"/>
        <rFont val="Arial"/>
        <family val="2"/>
      </rPr>
      <t>:El Proyecto Estación Intermedia Avenida Primera de Mayo,  programado para mayo, en junio o se cumplió por  que aun TransMilenio no ha generado CDP.</t>
    </r>
  </si>
  <si>
    <r>
      <t xml:space="preserve">Para el  2014 el IDU programó radicar 108 proyectos en total, de los cuales para el mes  julio,  programó radicar en la DTPS  6 proyectos correspondientes al  5,6% del total de los proyectos programados; radicándose 4 proyectos correspondiente al  3.7%, los faltante  se reprogramaron.
</t>
    </r>
    <r>
      <rPr>
        <b/>
        <sz val="11"/>
        <rFont val="Arial"/>
        <family val="2"/>
      </rPr>
      <t>Nota 1:</t>
    </r>
    <r>
      <rPr>
        <sz val="11"/>
        <rFont val="Arial"/>
        <family val="2"/>
      </rPr>
      <t xml:space="preserve">Los proyectos pendientes de mayo están reprogramados para agosto.
</t>
    </r>
    <r>
      <rPr>
        <b/>
        <sz val="11"/>
        <rFont val="Arial"/>
        <family val="2"/>
      </rPr>
      <t>Nota 2</t>
    </r>
    <r>
      <rPr>
        <sz val="11"/>
        <rFont val="Arial"/>
        <family val="2"/>
      </rPr>
      <t>:El Proyecto Estación Intermedia Avenida Primera de Mayo,  programado para mayo, en julio no se cumplió por  que aun TransMilenio no ha generado CDP.</t>
    </r>
  </si>
  <si>
    <r>
      <t xml:space="preserve">Para el  2014 el IDU programó radicar 108 proyectos en total, de los cuales para el mes agosto,  programó radicar en la DTPS  14 proyectos correspondientes al  13% del total de los proyectos programados y se radicaron  17 proyectos correspondiente al  15.7%. reprogramaron.
</t>
    </r>
    <r>
      <rPr>
        <b/>
        <sz val="11"/>
        <rFont val="Arial"/>
        <family val="2"/>
      </rPr>
      <t>Nota 1:</t>
    </r>
    <r>
      <rPr>
        <sz val="11"/>
        <rFont val="Arial"/>
        <family val="2"/>
      </rPr>
      <t xml:space="preserve">Los proyectos  radicados son de los meses anteriores y los correspondientes al mes de agosto fueron reprogramados.
</t>
    </r>
    <r>
      <rPr>
        <b/>
        <sz val="11"/>
        <rFont val="Arial"/>
        <family val="2"/>
      </rPr>
      <t>Nota 2</t>
    </r>
    <r>
      <rPr>
        <sz val="11"/>
        <rFont val="Arial"/>
        <family val="2"/>
      </rPr>
      <t>:El Proyecto Estación Intermedia Avenida Primera de Mayo,  programado para mayo, y el proyecto Ampliación Caracas programado para agosto  no se cumplió por  que aun TransMilenio no ha generado los  CDP.</t>
    </r>
  </si>
  <si>
    <r>
      <t xml:space="preserve">Para el  2014 el IDU programó radicar 108 proyectos en total, de los cuales para el mes septiembre,  programó radicar en la DTPS  8 proyectos correspondientes al   7.4% del total de los proyectos programados y se radicaron  9 proyectos correspondiente al   8,3%. 
</t>
    </r>
    <r>
      <rPr>
        <b/>
        <sz val="11"/>
        <color indexed="8"/>
        <rFont val="Arial"/>
        <family val="2"/>
      </rPr>
      <t>Nota 1:</t>
    </r>
    <r>
      <rPr>
        <sz val="11"/>
        <color indexed="8"/>
        <rFont val="Arial"/>
        <family val="2"/>
      </rPr>
      <t>Los proyectos  radicados en el mes de septiembre corresponden a proyectos de los meses anteriores.</t>
    </r>
    <r>
      <rPr>
        <sz val="11"/>
        <rFont val="Arial"/>
        <family val="2"/>
      </rPr>
      <t xml:space="preserve">
</t>
    </r>
    <r>
      <rPr>
        <b/>
        <sz val="11"/>
        <rFont val="Arial"/>
        <family val="2"/>
      </rPr>
      <t>Nota 2</t>
    </r>
    <r>
      <rPr>
        <sz val="11"/>
        <rFont val="Arial"/>
        <family val="2"/>
      </rPr>
      <t>:El Proyecto Estación Intermedia Avenida Primera de Mayo,  programado para mayo,  fue radicado en el mes de septiembre. y  el proyecto Ampliación Caracas programado para agosto  no se cumplió por  que aun TransMilenio no ha generado los  CDP.</t>
    </r>
  </si>
  <si>
    <r>
      <t xml:space="preserve">Para el  2014 el IDU programó radicar 108 proyectos en total, de los cuales para el mes octubre,  programó radicar en la DTPS 4 proyectos correspondientes al   3.7% del total de los proyectos programados y se radicaron  9 proyectos correspondiente al   8,3%. 
</t>
    </r>
    <r>
      <rPr>
        <b/>
        <sz val="11"/>
        <color indexed="8"/>
        <rFont val="Arial"/>
        <family val="2"/>
      </rPr>
      <t>Nota 1:</t>
    </r>
    <r>
      <rPr>
        <sz val="11"/>
        <color indexed="8"/>
        <rFont val="Arial"/>
        <family val="2"/>
      </rPr>
      <t>Los proyectos  radicados en el mes de octubre corresponden a proyectos de los meses anteriores y a proyectos nuevos.</t>
    </r>
    <r>
      <rPr>
        <sz val="11"/>
        <rFont val="Arial"/>
        <family val="2"/>
      </rPr>
      <t xml:space="preserve">
</t>
    </r>
    <r>
      <rPr>
        <b/>
        <sz val="11"/>
        <rFont val="Arial"/>
        <family val="2"/>
      </rPr>
      <t>Nota 2</t>
    </r>
    <r>
      <rPr>
        <sz val="11"/>
        <rFont val="Arial"/>
        <family val="2"/>
      </rPr>
      <t>:El Proyecto RET TINTAL programada para octubre fue radicada DTPS en el mes de agosto  y el proyecto  CONSERVACION MALLA VIAL ARTERIAL fue suspendido.</t>
    </r>
  </si>
  <si>
    <r>
      <t xml:space="preserve">Para el  2014 el IDU programó radicar 108 proyectos en total, de los cuales para el mes noviembre,  programó radicar en la DTPS 4 proyectos correspondientes al   3.7% del total de los proyectos programados y se radicaron  2 proyectos correspondiente al  1,9%. 
</t>
    </r>
    <r>
      <rPr>
        <b/>
        <sz val="11"/>
        <color indexed="8"/>
        <rFont val="Arial"/>
        <family val="2"/>
      </rPr>
      <t>Nota 1:</t>
    </r>
    <r>
      <rPr>
        <sz val="11"/>
        <color indexed="8"/>
        <rFont val="Arial"/>
        <family val="2"/>
      </rPr>
      <t xml:space="preserve">Los proyectos  radicados en el mes de noviembre  corresponden a proyectos  nuevos.
</t>
    </r>
    <r>
      <rPr>
        <sz val="11"/>
        <rFont val="Arial"/>
        <family val="2"/>
      </rPr>
      <t xml:space="preserve">
</t>
    </r>
    <r>
      <rPr>
        <b/>
        <sz val="11"/>
        <rFont val="Arial"/>
        <family val="2"/>
      </rPr>
      <t>Nota 2</t>
    </r>
    <r>
      <rPr>
        <sz val="11"/>
        <rFont val="Arial"/>
        <family val="2"/>
      </rPr>
      <t xml:space="preserve">:El Proyecto TRONCAL AVENIDA VILLAVICENCIO (P rotal Tunal - NQS) programada para este mes fue  suspendida para el 2015 con el memorando 20143150628043.
</t>
    </r>
    <r>
      <rPr>
        <b/>
        <sz val="11"/>
        <rFont val="Arial"/>
        <family val="2"/>
      </rPr>
      <t xml:space="preserve">Nota 3: </t>
    </r>
    <r>
      <rPr>
        <sz val="11"/>
        <rFont val="Arial"/>
        <family val="2"/>
      </rPr>
      <t xml:space="preserve"> El proyecto CABLE AÉREO SAN CRISTOBAL, programado para noviembre, la DTP no ha remitido la Factibilidad.</t>
    </r>
  </si>
  <si>
    <r>
      <t xml:space="preserve">Para el  2014 el IDU programó radicar 108 proyectos en total, de los cuales para el mes diciembre de 2014, estaban programados  4 proyectos correspondientes al 3.7% del total de los proyectos solamente se radicó 1 proyecto correspondiente al  0,9%. 
</t>
    </r>
    <r>
      <rPr>
        <b/>
        <sz val="13"/>
        <color indexed="8"/>
        <rFont val="Arial"/>
        <family val="2"/>
      </rPr>
      <t>Nota 1:</t>
    </r>
    <r>
      <rPr>
        <sz val="13"/>
        <color indexed="8"/>
        <rFont val="Arial"/>
        <family val="2"/>
      </rPr>
      <t xml:space="preserve"> El  proyecto  radicado en el mes de diciembre de 2014, corresponden a proyecto  nuevo.
</t>
    </r>
    <r>
      <rPr>
        <sz val="13"/>
        <rFont val="Arial"/>
        <family val="2"/>
      </rPr>
      <t xml:space="preserve">
</t>
    </r>
    <r>
      <rPr>
        <b/>
        <sz val="13"/>
        <rFont val="Arial"/>
        <family val="2"/>
      </rPr>
      <t>Nota 2</t>
    </r>
    <r>
      <rPr>
        <sz val="13"/>
        <rFont val="Arial"/>
        <family val="2"/>
      </rPr>
      <t xml:space="preserve">:El Proyecto TRONCAL AMERICAS(Puente Aranda-NQS) programado para diciembre de 2014,fue  suspendido para el 2015 con el memorando 20143150628043.
</t>
    </r>
    <r>
      <rPr>
        <b/>
        <sz val="13"/>
        <rFont val="Arial"/>
        <family val="2"/>
      </rPr>
      <t xml:space="preserve">Nota 3: </t>
    </r>
    <r>
      <rPr>
        <sz val="13"/>
        <rFont val="Arial"/>
        <family val="2"/>
      </rPr>
      <t xml:space="preserve"> El proyecto AVENIDA LAURIANO GOMÉZ ( AK 9) dese la Avenida San José(AC 170) hasta la Calle 183, fue suspendido.</t>
    </r>
  </si>
  <si>
    <r>
      <t xml:space="preserve">Para el  2014 el IDU estaban  programados   radicar 108 proyectos ,  de los cuales durante la vigencia  2014, se radicaron 95 proyectos correspondientes al  88%,  del total de los proyectos programados  así:
</t>
    </r>
    <r>
      <rPr>
        <b/>
        <sz val="14"/>
        <color indexed="8"/>
        <rFont val="Arial"/>
        <family val="2"/>
      </rPr>
      <t>Nota 1:</t>
    </r>
    <r>
      <rPr>
        <sz val="14"/>
        <color indexed="8"/>
        <rFont val="Arial"/>
        <family val="2"/>
      </rPr>
      <t xml:space="preserve"> De los 108  proyectos programados inicialmente  en el Plan de Acción, se radicaron 74 proyectos correspondientes al 69%. 
</t>
    </r>
    <r>
      <rPr>
        <b/>
        <sz val="14"/>
        <rFont val="Arial"/>
        <family val="2"/>
      </rPr>
      <t>Nota 2</t>
    </r>
    <r>
      <rPr>
        <sz val="14"/>
        <rFont val="Arial"/>
        <family val="2"/>
      </rPr>
      <t xml:space="preserve">: Durante la vigencia2014,  se suspendierón 38 proyectos. 
</t>
    </r>
    <r>
      <rPr>
        <b/>
        <sz val="14"/>
        <rFont val="Arial"/>
        <family val="2"/>
      </rPr>
      <t xml:space="preserve">Nota 3: </t>
    </r>
    <r>
      <rPr>
        <sz val="14"/>
        <rFont val="Arial"/>
        <family val="2"/>
      </rPr>
      <t xml:space="preserve"> En el transcurso del año 2014,  se radicarón 21  proyectos nuevos, correspondientes al 19.44% 
En la vigencia 2014, se cumplio con el 88% del indicaror.
 </t>
    </r>
  </si>
  <si>
    <t>A 31 de diciembre de 2014, haber dado inicio a 56 contratos de estudios y diseños.</t>
  </si>
  <si>
    <t xml:space="preserve">Inicio de los Diseños
Contratos </t>
  </si>
  <si>
    <t>Conocer el numero total de contratos iniciados en la vigencia.</t>
  </si>
  <si>
    <t>Acta de inicio firmada, guardada en la carpeta  del  contrato. (56)</t>
  </si>
  <si>
    <r>
      <t>Para el 2014 la DTD programó contar con actas de inicio de 56 proyectos de los cuales  la DTD  programo para el mes de enero contar con un (1) acta de de inicio de un proyecto correspondiente al 1,8% , cumpliendose con la meta programada.
El proyecto que se incido es</t>
    </r>
    <r>
      <rPr>
        <b/>
        <sz val="11"/>
        <rFont val="Arial"/>
        <family val="2"/>
      </rPr>
      <t xml:space="preserve"> IDU-2223-2013</t>
    </r>
    <r>
      <rPr>
        <sz val="11"/>
        <rFont val="Arial"/>
        <family val="2"/>
      </rPr>
      <t>.</t>
    </r>
  </si>
  <si>
    <r>
      <t xml:space="preserve">Para el 2014 la DTD programó contar con actas de inicio de 56 proyectos de los cuales  la DTD  programo contar para el mes de febrero con cuatro (4) actas de de inicio de  cuatro (4) proyectos correspondiente al 7,1%, cumpliendose con la meta programada.
Proyectos que se   iniciarón:    </t>
    </r>
    <r>
      <rPr>
        <b/>
        <sz val="11"/>
        <rFont val="Arial"/>
        <family val="2"/>
      </rPr>
      <t>IDU-1725-2013, IDU-1765-2013, IDU-1654-2013, IDU-1406-2013.</t>
    </r>
  </si>
  <si>
    <r>
      <t xml:space="preserve">Para el 2014 la DTD programó contar con actas de inicio de 56 proyectos de los cuales  la DTD  programo para el mes de  marzo, contar con dos (2) actas de de inicio de  dos(2)  proyectos correspondiente al 3,6% , cumpliendose con la meta programada.
Proyectos que se se iniciarón: </t>
    </r>
    <r>
      <rPr>
        <b/>
        <sz val="11"/>
        <rFont val="Arial"/>
        <family val="2"/>
      </rPr>
      <t xml:space="preserve"> IDU-1841-2013, IDU-2115-2013.</t>
    </r>
  </si>
  <si>
    <r>
      <t xml:space="preserve">Para el 2014 la DTD programó contar con actas de inicio de 56 proyectos de los cuales  la DTD  programo para el mes de abril contar con un (1) acta de de inicio de un (1)  proyecto correspondiente al 1,8% , cumpliendose con la meta programada.
El proyecto que se incio es </t>
    </r>
    <r>
      <rPr>
        <b/>
        <sz val="11"/>
        <rFont val="Arial"/>
        <family val="2"/>
      </rPr>
      <t>IDU-2166-2013</t>
    </r>
    <r>
      <rPr>
        <sz val="11"/>
        <rFont val="Arial"/>
        <family val="2"/>
      </rPr>
      <t>.</t>
    </r>
  </si>
  <si>
    <t xml:space="preserve">Para el 2014 la DTD programó contar con actas de inicio de 56 proyectos de los cuales  la DTD,  no  programo para el mes de mayo contar con  acta de de inicio de  proyectos, cumpliendose con la meta programada.
</t>
  </si>
  <si>
    <t xml:space="preserve">Para el 2014 la DTD programó contar con actas de inicio de 56 proyectos de los cuales  la DTD,  no  programo para el mes de junio contar con  acta de de inicio de  proyectos, cumpliendose con la meta programada.
</t>
  </si>
  <si>
    <t>Para el 2014 la DTD programó contar con actas de inicio de 56 proyectos de los cuales  la DTD,  programo para el mes de julio contar con  acta de  10 proyecto, no se cumplio con la meta establecias, ya que reprogramo  el cronograma.</t>
  </si>
  <si>
    <t>Para el 2014 la DTD programó contar con actas de inicio de 56 proyectos de los cuales  la DTD,  programo para el mes de agosto contar con  acta de inicio de  2 proyectos, no se cumplio con la meta establecias, el cronograma fue reprogramado.</t>
  </si>
  <si>
    <t>Para el 2014 la DTD programó contar con actas de inicio de 56 proyectos de los cuales  la DTD,  programo para el mes de septiembre contar con  acta de inicio de  12 proyectos, no se cumplio con la meta establecias, el cronograma fue reprogramado.</t>
  </si>
  <si>
    <r>
      <t xml:space="preserve">Para el 2014 la DTD programó contar con actas de inicio de 56 proyectos de los cuales  la DTD,  programo para el mes de octubre 22 proyectos.
En el mes de octubre se iniciarón los proyectos :
IDU-967-2014 , IDU-1009-2014, IDU-416-2014, IDU-326-2014, IDU-1257-2014, IDU-1267-2014.
</t>
    </r>
    <r>
      <rPr>
        <b/>
        <sz val="11"/>
        <rFont val="Arial"/>
        <family val="2"/>
      </rPr>
      <t xml:space="preserve"> Nota</t>
    </r>
    <r>
      <rPr>
        <sz val="11"/>
        <rFont val="Arial"/>
        <family val="2"/>
      </rPr>
      <t>: Los proyectos "Conservación de espacio público ciclorutas y las RAPS : Kennnedy, Restrepo y Carvajal "que quedarrón en el Plan de Acción 2014, para programadas para ejecutarsen en la DTD, se ejecutarán en la DTC y DTM.</t>
    </r>
  </si>
  <si>
    <t>Para el 2014 la DTD programó contar con actas de inicio de 56 proyectos de los cuales  la DTD, no   programo para el mes de noviembre.</t>
  </si>
  <si>
    <r>
      <t xml:space="preserve">Para el 2014 la DTD programó contar con actas de inicio de 56 proyectos de los cuales  la DTD realizó así:
</t>
    </r>
    <r>
      <rPr>
        <b/>
        <sz val="13"/>
        <rFont val="Arial"/>
        <family val="2"/>
      </rPr>
      <t>Nota 1</t>
    </r>
    <r>
      <rPr>
        <sz val="13"/>
        <rFont val="Arial"/>
        <family val="2"/>
      </rPr>
      <t xml:space="preserve">: Durante el primer semeste se dio iniciaró a 8 proyectos  así: IDU-2226-2013, Acta de inicio No. 1 del 30 de enero de 2014,• IDU-1841-2013, Acta de inicio No. 1 del 04 de marzo de 2014, • IDU-1406-2013, Acta de inicio No. 1 del 24 de febrero de 2014, • IDU-1654-2013, Acta de inicio No. 1 del 24 de febrero de 2014, • IDU-1725-2013, Acta de inicio No. 1 del 25 de febrero de 2014, • IDU-1767-2013, Acta de inicio No. 1 del 25 de febrero de 2014, IDU-2166-2013, Acta de inicio No. 1 del 10 de abril de 2014, IDU-2115-2013, Acta de inicio No. 1 del 10 de marzo de 2014.
</t>
    </r>
    <r>
      <rPr>
        <b/>
        <sz val="13"/>
        <rFont val="Arial"/>
        <family val="2"/>
      </rPr>
      <t>Nota 2: Durante el</t>
    </r>
    <r>
      <rPr>
        <sz val="13"/>
        <rFont val="Arial"/>
        <family val="2"/>
      </rPr>
      <t xml:space="preserve"> segundo semestre se inicarón  8 proyectos de la DTD • IDU-326-2014, Acta de inicio No. 1 del 10 de Octubre de 2014• IDU-416-2014, Acta de inicio No. 1 del 10 de Octubre de 2014• IDU-1009-2014, Acta de inicio No. 1 del 23 de Octubre de 2014• IDU -1267-2014, Acta de inicio No. 1 del 24 de Octubre de 2014• IDU 1257-2014, Acta de inicio No. 1 del 24 de Octubre de 2014• IDU-967-2014, Acta de inicio No. 1 del 23 de Octubre de 2014• IDU-1722-2014, Acta de inicio No. 1 del 1 de Diciembre de 2014 • IDU-1805-2014, Acta de inicio No. 1 del 29 de Diciembre 2014
</t>
    </r>
    <r>
      <rPr>
        <b/>
        <sz val="13"/>
        <rFont val="Arial"/>
        <family val="2"/>
      </rPr>
      <t>Nota 3:</t>
    </r>
    <r>
      <rPr>
        <sz val="13"/>
        <rFont val="Arial"/>
        <family val="2"/>
      </rPr>
      <t xml:space="preserve"> Veintidos (22) proyectos de Complementación y/o ajustes, y/o diseños  y contrucción los cuales son ejejcutados en la DTC y la DTD, realiza el aconpañamiento a los diseños; se dio inicio en noviembre  a los los contratos IDU-1662-2014, IDU- 1688-2014, IDU-714-2014, IDU-1512-2014, IDU-715-2014, IDU-1347-2014, IDU-1478-2014, IDU-1346-2014, IDU-1500-2014, en diciembre IDU-1725-2014, IDU1727-2014; y 8 proyectos por iniciaR: IDU-1300-2014, IDU-1804-2014, IDU-1783-2014, IDU-1822-2014,  IDU-134 5-2014, IDU-1877-2014, IDU-1900-2014 de la DTD.
</t>
    </r>
    <r>
      <rPr>
        <b/>
        <sz val="13"/>
        <rFont val="Arial"/>
        <family val="2"/>
      </rPr>
      <t xml:space="preserve">Nota 4: </t>
    </r>
    <r>
      <rPr>
        <sz val="13"/>
        <rFont val="Arial"/>
        <family val="2"/>
      </rPr>
      <t xml:space="preserve">Dos (2) proyectos de la DTM se iniciarón en octubre de 2014: IDU-796-2014 y 1298-2014
</t>
    </r>
    <r>
      <rPr>
        <b/>
        <sz val="13"/>
        <rFont val="Arial"/>
        <family val="2"/>
      </rPr>
      <t>Nota 5</t>
    </r>
    <r>
      <rPr>
        <sz val="13"/>
        <rFont val="Arial"/>
        <family val="2"/>
      </rPr>
      <t>:Suspendidos 38 proyectos que corresponden a  Complementacióny/o ajustes, y/o disños y contrucción .</t>
    </r>
  </si>
  <si>
    <r>
      <t xml:space="preserve">Para el 2014 la DTD programó contar con actas de inicio de 56 proyectos de los cuales  se susbribieró:
</t>
    </r>
    <r>
      <rPr>
        <b/>
        <sz val="12"/>
        <rFont val="Arial"/>
        <family val="2"/>
      </rPr>
      <t>Nota 1</t>
    </r>
    <r>
      <rPr>
        <sz val="12"/>
        <rFont val="Arial"/>
        <family val="2"/>
      </rPr>
      <t xml:space="preserve">: Durante el primer semeste se dio  inicio a  8 proyectos de la DTD: IDU-2226-2013, Acta de inicio No. 1 del 30 de enero de 2014,• IDU-1841-2013, Acta de inicio No. 1 del 04 de marzo de 2014, • IDU-1406-2013, Acta de inicio No. 1 del 24 de febrero de 2014, • IDU-1654-2013, Acta de inicio No. 1 del 24 de febrero de 2014, • IDU-1725-2013, Acta de inicio No. 1 del 25 de febrero de 2014, • IDU-1767-2013, Acta de inicio No. 1 del 25 de febrero de 2014, IDU-2166-2013, Acta de inicio No. 1 del 10 de abril de 2014, IDU-2115-2013, Acta de inicio No. 1 del 10 de marzo de 2014.
</t>
    </r>
    <r>
      <rPr>
        <b/>
        <sz val="12"/>
        <rFont val="Arial"/>
        <family val="2"/>
      </rPr>
      <t xml:space="preserve">Nota 2: </t>
    </r>
    <r>
      <rPr>
        <sz val="12"/>
        <rFont val="Arial"/>
        <family val="2"/>
      </rPr>
      <t xml:space="preserve">En el segundo semestre se dio  inicio a ocho ( 8)  proyectos de la DTD: • IDU-326-2014, Acta de inicio No. 1 del 10 de Octubre de 2014• IDU-416-2014, Acta de inicio No. 1 del 10 de Octubre de 2014• IDU-1009-2014, Acta de inicio No. 1 del 23 de Octubre de 2014• IDU -1267-2014, Acta de inicio No. 1 del 24 de Octubre de 2014• IDU 1257-2014, Acta de inicio No. 1 del 24 de Octubre de 2014• IDU-967-2014, Acta de inicio No. 1 del 23 de Octubre de 2014• IDU-1722-2014, Acta de inicio No. 1 del 1 de Diciembre de 2014 • IDU-1805-2014, Acta de inicio No. 1 del 29 de Diciembre 2014
</t>
    </r>
    <r>
      <rPr>
        <b/>
        <sz val="12"/>
        <rFont val="Arial"/>
        <family val="2"/>
      </rPr>
      <t xml:space="preserve">Nota 3: </t>
    </r>
    <r>
      <rPr>
        <sz val="12"/>
        <rFont val="Arial"/>
        <family val="2"/>
      </rPr>
      <t xml:space="preserve">Veintidos (22) proyectos de Complementación y/o ajustes, y/o diseños  y contrucción los cuales son ejejcutados en la DTC y a DTD realiza el acompañamiento a los diseños, donde se dio inicio en noviembre  a los los contratos IDU-1662-2014, IDU- 1688-2014, IDU-714-2014, IDU-1512-2014, IDU-715-2014, IDU-1347-2014, IDU-1478-2014, IDU-1346-2014, IDU-1500-2014, en diciembre IDU-1725-2014, IDU1727-2014; y 8 proyectos por iniciar: IDU-1300-2014, IDU-1804-2014, IDU-1783-2014, IDU-1822-2014,  IDU-134 5-2014, IDU-1877-2014, IDU-1900-2014.
</t>
    </r>
    <r>
      <rPr>
        <b/>
        <sz val="12"/>
        <rFont val="Arial"/>
        <family val="2"/>
      </rPr>
      <t xml:space="preserve">Nota 4: </t>
    </r>
    <r>
      <rPr>
        <sz val="12"/>
        <rFont val="Arial"/>
        <family val="2"/>
      </rPr>
      <t xml:space="preserve">Dos (2 )proyectos de la DTM se iniciaron en octubre de 2014: IDU-796-2014 y 1298-2014
</t>
    </r>
    <r>
      <rPr>
        <b/>
        <sz val="12"/>
        <rFont val="Arial"/>
        <family val="2"/>
      </rPr>
      <t>Nota 5</t>
    </r>
    <r>
      <rPr>
        <sz val="12"/>
        <rFont val="Arial"/>
        <family val="2"/>
      </rPr>
      <t>: En el transurso de  aaño 2014 se suspendidos 18 proyectos que corresponden a  Complementación y/o ajustes, y/o disños y contrucción .</t>
    </r>
  </si>
  <si>
    <t>A 31 de diciembre de 2014, haber terminado 11 contratos de estudios y diseños.</t>
  </si>
  <si>
    <t>Terminación de los Diseños
Contratos</t>
  </si>
  <si>
    <t>Establecer el número de contratos terminados en la vigencia.</t>
  </si>
  <si>
    <t xml:space="preserve">Acta de terminación firmada, guardada en la carpeta del contrato.  </t>
  </si>
  <si>
    <t>Para el 2014 la DTD programó contar con las actas de terminación de los 11 proyectos, de los cuales  la DTD no programo actas de terminación en el mes de enero.</t>
  </si>
  <si>
    <t>Para el 2014 la DTD programó contar con las actas de terminación de los 11 proyectos, de los cuales  la DTD no programo  actas de terminación en el mes de febrero.</t>
  </si>
  <si>
    <t>Para el 2014 la DTD programó contar con las actas de terminación de los 11 proyectos, de los cuales  la DTD no programo actas de terminación en el mes de marzo.</t>
  </si>
  <si>
    <r>
      <t xml:space="preserve">Para el 2014 la DTD programó contar con las actas de terminación de los 11 proyectos, de los cuales  la DTD programo contar con un (1) acta de terminación en el mes de abril no cumpliendose con la meta.
El proyecto </t>
    </r>
    <r>
      <rPr>
        <b/>
        <sz val="11"/>
        <rFont val="Arial"/>
        <family val="2"/>
      </rPr>
      <t xml:space="preserve">IDU-42-2012, </t>
    </r>
    <r>
      <rPr>
        <sz val="11"/>
        <rFont val="Arial"/>
        <family val="2"/>
      </rPr>
      <t xml:space="preserve">programado no se realizó, por que obtuvo  póorroga de dos (2) mese, justificacion con memorando 20143150066953.
</t>
    </r>
  </si>
  <si>
    <t>Para el 2014 la DTD programó contar con las actas de terminación de los 11 proyectos, de los cuales  la DTD no programo actas de terminación en el mes de mayo.</t>
  </si>
  <si>
    <r>
      <t xml:space="preserve">Para el 2014 la DTD programó contar con las actas de terminación de los 11 proyectos, de los cuales  la DTD no programo contar con  actas de terminación en el mes de junio .
El proyecto </t>
    </r>
    <r>
      <rPr>
        <b/>
        <sz val="11"/>
        <rFont val="Arial"/>
        <family val="2"/>
      </rPr>
      <t xml:space="preserve">IDU-42-2012, </t>
    </r>
    <r>
      <rPr>
        <sz val="11"/>
        <rFont val="Arial"/>
        <family val="2"/>
      </rPr>
      <t xml:space="preserve">obtuvo  póorroga de dos (2) meses cumpliendose en el mes de junio. Acta de Terminación  No. 6 del 10 de junio de 2014.
</t>
    </r>
  </si>
  <si>
    <t xml:space="preserve">Para el 2014 la DTD programó contar con las actas de terminación de los 11 proyectos, de los cuales  la DTD programo contar con  2 actas de terminación en el mes de julio.No se cumplio con la meta establecida, por cuanto los contratos fuerón suspendidos por dos meses .
El proyecto IDU-1767-2013, Acta de suspensión  No. 2 del 7 de mayo de 2014,  IDU-1725-2013, Acta de suspensión No. 3 de 7 de mayo de 2014..
</t>
  </si>
  <si>
    <t xml:space="preserve">Para el 2014 la DTD programó contar con las actas de terminación de los 11 proyectos, de los cuales  la DTD programo contar con  1 acta de terminación en el mes de agosto.No se cumplio con la meta establecida, el contrato fue suspendido por 2 meses .
El proyecto IDU-1841-2013, Acta de suspensión  No. 2 del 1 de agosto de 2014.
</t>
  </si>
  <si>
    <r>
      <t xml:space="preserve">Para el 2014 la DTD programó contar con las actas de terminación de los 11 proyectos, de los cuales  la DTD programo contar con  4 actas  de terminación en el mes de septiembre.No se cumplio con la meta establecida ya que fueron susupendas.
IDU-1406-2013, Acta de Ampliación  suspensión  No.4 del  25 de agosto de 2014.
IDU-1654-2013, Acta No. 4 de ampliación de la suspensión del 25 de agosto de 204.
</t>
    </r>
    <r>
      <rPr>
        <sz val="11"/>
        <color indexed="8"/>
        <rFont val="Arial"/>
        <family val="2"/>
      </rPr>
      <t xml:space="preserve">El proyecto  IDU-2226-2013, fue terminado con el Acta No. 9  del 29 de septiembre de 2014.
IDU-849-2013, Prorroga con el memorando 20143050583253 del 18 de septiembre del 2014.
</t>
    </r>
  </si>
  <si>
    <r>
      <t xml:space="preserve">Para el 2014 la DTD programó contar con las actas de terminación de los 11 proyectos, de los cuales  la DTD programo contar con  2 actas  de terminación en el mes de octubre.No se cumplio con la meta establecida ya que fueron susupendas.
IDU-2166-, Acta de suspensión  No.2 del  3 de octubre de 2014.
IDU-2115--2013, Acta No.2 de suspensión del 10 de julio de 204.
</t>
    </r>
    <r>
      <rPr>
        <sz val="11"/>
        <color indexed="8"/>
        <rFont val="Arial"/>
        <family val="2"/>
      </rPr>
      <t xml:space="preserve">IDU-849-2013, Prorroga con el memorando 20143050583253 del 18 de septiembre del 2014 fue prorrogado  por 3 meses para el 24 de enero de 2015.
</t>
    </r>
  </si>
  <si>
    <r>
      <t>Para el 2014 la DTD programó contar con las actas de terminación de los 11 proyectos, de los cuales  la DTD, no  programo contar con  actas  de terminación en el mes de noviembre.</t>
    </r>
    <r>
      <rPr>
        <sz val="11"/>
        <color indexed="8"/>
        <rFont val="Arial"/>
        <family val="2"/>
      </rPr>
      <t xml:space="preserve">
</t>
    </r>
  </si>
  <si>
    <r>
      <t>Para el 2014 la DTD programó contar con las actas de terminación de los 11 proyectos, de los cuales se suscribierón dos (2) actas de terminación en el mes de diciembre de 2014.:
IDU-2115-2013, con Acta de terminación No. 7 del 10 de diciembre de 2014, IDU-1722-2014, con Acta de terminación No. 2 del 22 de diciembre de 214.</t>
    </r>
    <r>
      <rPr>
        <sz val="13"/>
        <color indexed="8"/>
        <rFont val="Arial"/>
        <family val="2"/>
      </rPr>
      <t xml:space="preserve">
</t>
    </r>
  </si>
  <si>
    <r>
      <t>Para el 2014  se programó contar con actas de terminación de los 11 proyectos, de las cuales  se suscribierón 4:
IDU-42-2014, con Acta No. 16 del 10 de junio de 2014, IDU-2226-2013, con Acta No. 9 del 29 de septiembre de 2014, IDU-2115-2013 con Acta No. 7 del 10 de diciembre de 2014. y un proyecto nuevo  del contrato IDU-1722-2014, con Acta No.2 del 22 de diciembre de 2014
Los  demás contratos no se terminaron ya que fuerón suspendidos:
IDU-1841-2013
IDU-1406-2013
IDU-1654-2013
IDU-1725-2013
IDU-1767-2013
IDU-2166-2013
IDU-849-2013</t>
    </r>
    <r>
      <rPr>
        <sz val="14"/>
        <color indexed="8"/>
        <rFont val="Arial"/>
        <family val="2"/>
      </rPr>
      <t xml:space="preserve">
</t>
    </r>
  </si>
  <si>
    <t>A 31 de diciembre de 2014, contar con  los estudios y diseños de los 4 TRAMOS de ta Troncal Boyacá.</t>
  </si>
  <si>
    <t>Estudios y Diseños IN HOUSE de Troncal Boyaca Terminados</t>
  </si>
  <si>
    <t>Establecer el número de tramos de la Troncal Boyaca que cuentan con estudios y diseños terminados.</t>
  </si>
  <si>
    <t>(Total de tramos de la Troncal Boyaca con Estudios y Diseñso Terminados) / ( Total de tramos programados a terminar en la vigencia) * 100</t>
  </si>
  <si>
    <t>Carpeta del Proyecto con los soportes de los documentos entregables  de los diferentes componentes (Topografía, Predios, Tránsito y Transporte, Geometría,  Urbanismo y Espacio Público, Investigación  de redes secas y húmedas,  Geotecnia y pavimento,  Estructuras, Ambiental, y  Social)</t>
  </si>
  <si>
    <t>Para el 2014 la DTD programó contar con  los estudios y diseños IN HOUSE de 4 TRAMOS de ta Troncal Boyacá. de los cuales la DTD no programó la elaboración de de estudios y diseños en el mes de enero.</t>
  </si>
  <si>
    <t>Para el 2014 la DTD programó contar con  los estudios y diseños IN HOUSE de 4 TRAMOS de ta Troncal Boyacá. de los cuales la DTD no programó la elaboración de de estudios y diseños en el mes de febrero.</t>
  </si>
  <si>
    <t>Para el 2014 la DTD programó contar con  los estudios y diseños IN HOUSE de  4 TRAMOS de ta Troncal Boyacá. de los cuales la DTD no programó la elaboración de de estudios y diseños en el mes de marzo.</t>
  </si>
  <si>
    <t>Para el 2014 la DTD programó contar con  los estudios y diseños IN HOUSE de  4 TRAMOS de ta Troncal Boyacá. de los cuales la DTD no programó la elaboración de de estudios y diseños en el mes de abril.</t>
  </si>
  <si>
    <t>Para el 2014 la DTD programó contar con  los estudios y diseños IN HOUSE de  4 TRAMOS de ta Troncal Boyacá. de los cuales la DTD no programó la elaboración de de estudios y diseños en el mes de mayo.</t>
  </si>
  <si>
    <t>Para el 2014 la DTD programó contar con  los estudios y diseños IN HOUSE de  4 TRAMOS de ta Troncal Boyacá. de los cuales la DTD no programó la elaboración de de estudios y diseños en el mes de junio.</t>
  </si>
  <si>
    <t>Para el 2014 la DTD programó contar con  los estudios y diseños IN HOUSE de  4 TRAMOS de ta Troncal Boyacá. de los cuales la DTD no programó la elaboración de de estudios y diseños en el mes de julio.</t>
  </si>
  <si>
    <t>Para el 2014 la DTD programó contar con  los estudios y diseños IN HOUSE de  4 TRAMOS de la Troncal Boyacá. 
 La DTD, con memorandos 20143150558223 y 20143150558333 del 28 de agosto de 2014, recibio  del grupo de estudios y diseños de la Troncal Boyacá, avance de estudios y diseños de los tramos 1 y 2,   para ser revisado y aprobados por los profesionales de la DTD.</t>
  </si>
  <si>
    <t>Para el 2014 la DTD programó contar con  los estudios y diseños IN HOUSE de  4 TRAMOS de la Troncal Boyacá. 
Con memorando 20143151259401  la Dirección Técnica de Diseño de Proyectos entrego las observaciones encontradas en los estudios y diseños de los tramos 1 y 2 de  de la Troncal TransMilenio de la Avenida  Boyacá, al grupo de estudios y diseños del proyecto Troncal Avenida Boyacá.</t>
  </si>
  <si>
    <t>Para el 2014 la DTD programó contar con  los estudios y diseños IN HOUSE de  4 TRAMOS de la Troncal Boyacá. 
La  Dirección Técnica de Diseño de Proyectos no ha resibido los ajustes a las   observaciones encontradas en los estudios y diseños de los tramos 1 y 2 de  de la Troncal TransMilenio de la Avenida  Boyacá, según el memorando 20143151259401  .</t>
  </si>
  <si>
    <t>Para el 2014 la DTD programó contar con  los estudios y diseños IN HOUSE de  4 TRAMOS de la Troncal Boyacá.
De los 4 Tramos de la Troncal Boyacá, se reprogramo quedando 5 Tramos.
La  Dirección Técnica de Diseño de Proyectos esta realizando la verificación y aprobación de los productos de estudios y diseños realizados por el grupo de estudios y diseños, liderados por la gerencia asignada.
Para finales de diciembre del 2014 se espera contar con la aprobación de los estudios y diseños de los tramos 1, 2 y 5., los cuales contarían con  memorias, planos y presupuesto para iniciar el proceso licitatorio en el momento que se cuente con los recursos correspondiente.</t>
  </si>
  <si>
    <t>Para el 2014 la DTD programó contar con  los estudios y diseños IN HOUSE de  4 TRAMOS de la Troncal Boyacá.
Los 4 Tramos de la Troncal Boyacá, se replantearón, mo quedando finalmente  5 Tramos.
El grupo encargado de realizar los estudios y diseños IN HOUSE de la Troncal Boyacá, entregó los productos de estudios y diseños de los tramos 1, 2,y 5 de la Troncal Boyacá, faltando los componenetes de redes secas y redes húmedas, para se revisado por la DTD. 
La  Dirección Técnica de Diseño de Proyectos esta realizando la verificación y aprobación de los estudios y diseños realizados por el grupo de especialistas de la Troncal Boyacá, liderados por la gerencia asignada.
Para finales del primer trimestre de 2015, diciembre del 2014 se espera contar con la aprobación de los estudios y diseños, entregados, de los tramos 1, 2 y 5., los cuales contarian con  memorias, planos y presupuesto para iniciar el proceso licitatorio en el momento que se cuente con los recursos correspondientes.</t>
  </si>
  <si>
    <t>A 31 de diciembre de 2014, contar con los estudios y diseños de Troncales: 1. Ampliación Troncal Tunal;  2. Troncal Américas (Puente Aranda. NQS); 3. Troncal Av. Villavicencio(Portal Tunal- NQS)</t>
  </si>
  <si>
    <t>Estudios y Diseños IN HOUSE, de troncales terminados</t>
  </si>
  <si>
    <t>Establecer el número de Troncales que cuentan con estudios y diseños terminados.</t>
  </si>
  <si>
    <t>(Total de Troncales con Estudios y Diseñso Terminados) / ( Total de Troncales programadas a terminar en la vigencia) * 100</t>
  </si>
  <si>
    <t>Carpetas de cada uno de los proyectos de las troncales,  con los soportes de los documentos entregables  de los diferentes componentes (Topografía, Predios, Tránsito y Transporte, Geometría,  Urbanismo y Espacio Público, Investigación  de redes secas y húmedas,  Geotecnia y pavimento,  Estructuras, Ambiental, y  Social)</t>
  </si>
  <si>
    <t>Para el 2014 la DTD programó contar con  los estudios y diseños IN HOUS de tres Troncales: 1. Ampliación Troncal Tunal;  2. Troncal Américas (Puente Aranda. NQS); 3. Troncal Av. Villavicencio(Portal Tunal- NQS), de los cuales la DTD no programó la elaboración de de estudios y diseños en el mes de enero.</t>
  </si>
  <si>
    <t>Para el 2014 la DTD programó contar con  los estudios y diseños IN HOUS de tres Troncales: 1. Ampliación Troncal Tunal;  2. Troncal Américas (Puente Aranda. NQS); 3. Troncal Av. Villavicencio(Portal Tunal- NQS), de los cuales la DTD no programó la elaboración de de estudios y diseños en el mes de febrero.</t>
  </si>
  <si>
    <t>Para el 2014 la DTD programó contar con  los estudios y diseños IN HOUS de tres Troncales: 1. Ampliación Troncal Tunal;  2. Troncal Américas (Puente Aranda. NQS); 3. Troncal Av. Villavicencio(Portal Tunal- NQS), de los cuales la DTD no programó la elaboración de de estudios y diseños en el mes de marzo.</t>
  </si>
  <si>
    <t>Para el 2014 la DTD programó contar con  los estudios y diseños IN HOUS de tres Troncales: 1. Ampliación Troncal Tunal;  2. Troncal Américas (Puente Aranda. NQS); 3. Troncal Av. Villavicencio(Portal Tunal- NQS), de los cuales la DTD no programó la elaboración de de estudios y diseños en el mes de abril.</t>
  </si>
  <si>
    <t>Para el 2014 la DTD programó contar con  los estudios y diseños IN HOUS de tres Troncales: 1. Ampliación Troncal Tunal;  2. Troncal Américas (Puente Aranda. NQS); 3. Troncal Av. Villavicencio(Portal Tunal- NQS), de los cuales la DTD no programó la elaboración de de estudios y diseños en el mes de mayo.</t>
  </si>
  <si>
    <t>Para el 2014 la DTD programó contar con  los estudios y diseños IN HOUS de tres Troncales: 1. Ampliación Troncal Tunal;  2. Troncal Américas (Puente Aranda. NQS); 3. Troncal Av. Villavicencio(Portal Tunal- NQS), de los cuales la DTD no programó la elaboración de de estudios y diseños en el mes de junio.</t>
  </si>
  <si>
    <t>Para el 2014 la DTD programó contar con  los estudios y diseños IN HOUS de tres Troncales: 1. Ampliación Troncal Tunal;  2. Troncal Américas (Puente Aranda. NQS); 3. Troncal Av. Villavicencio(Portal Tunal- NQS), de los cuales la DTD no programó la elaboración de de estudios y diseños en el mes de julio.</t>
  </si>
  <si>
    <t>Para el 2014 la DTD programó contar con  los estudios y diseños IN HOUS de tres Troncales: 1. Ampliación Troncal Tunal;  2. Troncal Américas (Puente Aranda. NQS); 3. Troncal Av. Villavicencio(Portal Tunal- NQS), de los cuales la DTD no programó la elaboración de de estudios y diseños en el mes de agosto.</t>
  </si>
  <si>
    <t>Para el 2014 la DTD programó contar con  los estudios y diseños IN HOUS de tres Troncales: 1. Ampliación Troncal Tunal;  2. Troncal Américas (Puente Aranda. NQS); 3. Troncal Av. Villavicencio(Portal Tunal- NQS), de los cuales la DTD no programó la elaboración de de estudios y diseños en el mes de septiembre.</t>
  </si>
  <si>
    <t xml:space="preserve">Para el 2014 la DTD programó contar con  los estudios y diseños IN HOUS de tres Troncales: 1. Ampliación Troncal Tunal;  2. Troncal Américas (Puente Aranda. NQS); 3. Troncal Av. Villavicencio(Portal Tunal- NQS) 
Para el mes de octubre estaba programada contar con los estudios y diseños IN HOUSE de la AMPLIACIÓN PORTAL TUNAL, con memorando  20143150406783 fue reprogramada para realizar los estudios y diseños de agosto de 2014 a febrero de 2015.
</t>
  </si>
  <si>
    <t xml:space="preserve">Para el 2014 la DTD programó contar con  los estudios y diseños IN HOUS de las obras de integración de las troncales: 1. Ampliación Troncal Tunal;  2. Troncal Américas (Puente Aranda. NQS); 3. Troncal Av. Villavicencio(Portal Tunal- NQS) 
Para el mes de noviembre estaba programada contar con los estudios y diseños IN HOUSE de la  TRONCAL AMERICAS, este proyecto fue  suspendido para el 2015 con el memorando 20143150628043.
</t>
  </si>
  <si>
    <t xml:space="preserve">Para el 2014 la DTD programó contar con  los estudios y diseños IN HOUSE de las obras de integración de las troncales: 1. Ampliación Troncal Tunal;  2. Troncal Américas (Puente Aranda. NQS); 3. Troncal Av. Villavicencio(Portal Tunal- NQS) 
Para el mes de diciembre estaba programada contar con los estudios y diseños IN HOUSE de la  TRONCAL ViILLAVICENCIO, este proyecto fue  suspendido para el 2015 con el memorando 20143150628043.
</t>
  </si>
  <si>
    <t xml:space="preserve">Para el 2014 la DTD programó contar con  los estudios y diseños IN HOUSE de las obras de integración de las troncales: 1. Ampliación Troncal Tunal;  2. Troncal Américas (Puente Aranda. NQS); 3. Troncal Av. Villavicencio(Portal Tunal- NQS) 
 Los proyectos fueron suspendidos con el memonando  20143150628043:
• Ampliación Portal Tunal 
• Troncal Américas (Puente Aranda - NQS) 
• Troncal Av. Villavicencio (Portal Tunal - NQS) 
</t>
  </si>
  <si>
    <t>A 31 de diciembre de 2014, se contará con el 64% de avance en la ejecución de insumos de la consultoría de la Primera Línea del Metro de Bogotá (PLMB)</t>
  </si>
  <si>
    <t>Avance en la Ejecución de los insumos de la  PLMB</t>
  </si>
  <si>
    <t>Medir el avance en la ejecución de los insumos de la consultoría de la Primera Línea del Metro de Bogotá (PLMB)</t>
  </si>
  <si>
    <t>(Total del % de avance de los  insumos de la consultoría de la PLMB) / ( Total de % programado a ejecutar en la vigencia) * 100</t>
  </si>
  <si>
    <t>Carpeta del proyecto de la PLMB con los soportes de los  insumos de la consultoría</t>
  </si>
  <si>
    <t>Para el 2014 la DTD programó contar con el 64% del avance en la ejecución de los insumos de la Primera Línea del Metro de Bogotá(PLMB), de los cuales la DTD no programó avance  para el mes de enero.</t>
  </si>
  <si>
    <t>Para el 2014 la DTD programó contar con el 64% del avance en la ejecución de los insumos de la Primera Línea del Metro de Bogotá(PLMB), de los cuales la DTD no programó avance para el mes de febrero.</t>
  </si>
  <si>
    <t>Para el 2014 la DTD programó contar con el 64% del avance en la ejecución de los insumos de la  la Primera Línea del Metro de Bogotá(PLMB), de los cuales la DTD no programó avance para el mes de marzo.</t>
  </si>
  <si>
    <t>Para el 2014 la DTD programó contar con el 64% del avance en la ejecución de los insumos de la Primera Línea del Metro de Bogotá(PLMB), de los cuales la DTD no programó avance para el mes de abril.</t>
  </si>
  <si>
    <t>Para el 2014 la DTD programó contar con el 64% del avance en la ejecución de los insumos de la Primera Línea del Metro de Bogotá(PLMB), de los cuales la DTD no programó avance para el mes de mayo.</t>
  </si>
  <si>
    <t>Para el 2014 la DTD programó contar con el 64% del avance en la ejecución de los insumos de la Primera Línea del Metro de Bogotá(PLMB), de los cuales la DTD no programó avance para el mes de  junio.</t>
  </si>
  <si>
    <t>Para el 2014 la DTD programó contar con el 64% del avance en la ejecución de los insumos de la Primera Línea del Metro de Bogotá(PLMB), de los cuales la DTD no programó avance para el mes de  julio.</t>
  </si>
  <si>
    <t>Para el 2014 la DTD programó contar con el 64% del avance en la ejecución de los insumos de la Primera Línea del Metro de Bogotá(PLMB), de los cuales la DTD no programó avance para el mes de agosto.</t>
  </si>
  <si>
    <t>Para el 2014 la DTD programó contar con el 64% del avance en la ejecución de los insumos de la Primera Línea del Metro de Bogotá(PLMB), de los cuales la DTD no programó avance para el mes de  septiembre.</t>
  </si>
  <si>
    <t>Para el 2014 la DTD programó contar con el 64% del avance en la ejecución de los insumos de la Primera Línea del Metro de Bogotá(PLMB), de los cuales la DTD no programó avance para el mes de  octubre.</t>
  </si>
  <si>
    <t>Para el 2014 la DTD programó contar con el 64% del avance en la ejecución de los insumos de la Primera Línea del Metro de Bogotá(PLMB), de los cuales la DTD no programó avance para el mes de  noviembre.</t>
  </si>
  <si>
    <t xml:space="preserve">Para el 2014 la DTD programó contar con el 64% del avance en la ejecución de los insumos de la Primera Línea del Metro de Bogotá(PLMB), de los cuales la DTD  programo ejecutar en el mes de diciembre el 64%  en insumos técnicos,de los cuales se ejecuto el 55%. El contrato fue adicionado y prorrogado por 4 meses. La nueva fecha de terminación es el 24 de febrero de 2015. </t>
  </si>
  <si>
    <t xml:space="preserve">Para el 2014 la DTD programó contar con el 64% del avance en la ejecución de los insumos de la Primera Línea del Metro de Bogotá (PLMB), de los cuales la DTD  programo ejecutar en el mes de diciembre el 64%  en insumos técnicos,de los cuales se ejecuto el 55%. El contrato fue adicionado y prorrogado por 4 meses.
La nueva fecha de terminación del contrato es el 24 de febrero de 2015. </t>
  </si>
  <si>
    <t>4.5 El 100% de los proyectos a cargo del IDU contaran con los medios y condiciones para promover procesos de participación ciudadana, gestión social y gestión ambiental en cada una de sus etapas.</t>
  </si>
  <si>
    <t>A 31 de diciembre de 2014, se contará con la ejecución del 100% de los insumos del  Estudio del Impacto Ambiental para  la Primera Línea del Metro de Bogotá (PLMB)</t>
  </si>
  <si>
    <t>Componentes Técnicos Ambientales de la PLMB</t>
  </si>
  <si>
    <t xml:space="preserve"> Establecer el avance del  Estudio de Impacto Ambiental </t>
  </si>
  <si>
    <t>(Total del % del  Estudio de Impacto Ambiental de la PLMB) / ( Total de % programado a ejecutar en la vigencia) * 100</t>
  </si>
  <si>
    <t xml:space="preserve">Carpeta del proyecto de la PLMB con los soportes del Estudio de Impacto Ambiental </t>
  </si>
  <si>
    <t>Para el 2014 la DTD programó contar con la ejecución del 100% de los insumos del  Estudio del Impacto Ambiental para  la Primera Línea del Metro de Bogotá (PLMB),  la DTD no programó insumos para el mes de enero.</t>
  </si>
  <si>
    <t>Para el 2014 la DTD programó contar con la ejecución del 100% de los insumos del  Estudio del Impacto Ambiental para  la Primera Línea del Metro de Bogotá (PLMB), la DTD no programó insumos  para el mes de febrero.</t>
  </si>
  <si>
    <t>Para el 2014 la DTD programó contar con la ejecución del 100% de los insumos del  Estudio del Impacto Ambiental para  la Primera Línea del Metro de Bogotá (PLMB), la DTD no programó insumos para el mes de marzo.</t>
  </si>
  <si>
    <t>Para el 2014 la DTD programó contar con la ejecución del 100% de los insumos del  Estudio del Impacto Ambiental para  la Primera Línea del Metro de Bogotá (PLMB), la DTD no programó insumos para el mes de abril.</t>
  </si>
  <si>
    <t>Para el 2014 la DTD programó contar con la ejecución del 100% de los insumos del  Estudio del Impacto Ambiental para  la Primera Línea del Metro de Bogotá (PLMB), la DTD no programó insumos para el mes de  mayo.</t>
  </si>
  <si>
    <t>Para el 2014 la DTD programó contar con la ejecución del 100% de los insumos del  Estudio del Impacto Ambiental para  la Primera Línea del Metro de Bogotá (PLMB), la DTD no programó insumos para el mes de  junio.</t>
  </si>
  <si>
    <t>Para el 2014 la DTD programó contar con la ejecución del 100% de los insumos del  Estudio del Impacto Ambiental para  la Primera Línea del Metro de Bogotá (PLMB), la DTD no programó insumos para el mes de  julio.</t>
  </si>
  <si>
    <t>Para el 2014 la DTD programó contar con la ejecución del 100% de los insumos del  Estudio del Impacto Ambiental para  la Primera Línea del Metro de Bogotá (PLMB), la DTD no programó insumos para el mes de agosto.</t>
  </si>
  <si>
    <t>Para el 2014 la DTD programó contar con la ejecución del 100% de los insumos del  Estudio del Impacto Ambiental para  la Primera Línea del Metro de Bogotá (PLMB), la DTD no programó insumos para el mes de septiembre.</t>
  </si>
  <si>
    <t>Para el 2014 la DTD programó contar con la ejecución del 100% de los insumos del  Estudio del Impacto Ambiental para  la Primera Línea del Metro de Bogotá (PLMB), la DTD no programó insumos para el mes de octubre.</t>
  </si>
  <si>
    <t>Para el 2014 la DTD programó contar con la ejecución del 100% de los insumos del  Estudio del Impacto Ambiental para  la Primera Línea del Metro de Bogotá (PLMB), la DTD no programó insumos para el mes de noviembre.</t>
  </si>
  <si>
    <t>Para el 2014 la DTD programó contar con la ejecución del 100% de los insumos del  Estudio del Impacto Ambiental para  la Primera Línea del Metro de Bogotá (PLMB). Para el mes de diciembre se programó el 100%.
El porcentaje de cumplimiento reportado por la Consultoría en ultimo informe de Gestion fue del 96% de insumos Técnicos.
De acuerdo con la supervisión y revisión realizada  por la DTD, se informa que este porcentaje responde a las entregas  realizdas por el consultor,que a la fecha no se han aprobadas por esta dirección debido a que los productos entregados no cumplen en su totalidad con los requisitos técnicos establecidos en el pliego de condiciones. Se informa que el IDU multó al consultor y dio por finalizado el contrato en la fecha establecida para ello, dejando en el Acta de Terminación las obligaciones de entrega de los productos para aprobación por parte del IDU.</t>
  </si>
  <si>
    <t>A 31 de diciembre de 2014, contarar con el 100% de los lineamientos de gestión, participación ciudadana, plan de gestión social y programas de gestión en torno a los estudios de Ingeniería Básica Avanzada de la primera línea del Metro de Bogotá. (PLMB)</t>
  </si>
  <si>
    <t>Conponentes Técnicos Sociales IN HOUSE de la PLMB</t>
  </si>
  <si>
    <t xml:space="preserve"> Establecer el avance del  Estudio Social</t>
  </si>
  <si>
    <t>(Total del % del  Estudio de Social de la PLMB) / ( Total de % programado a ejecutar en la vigencia) * 100</t>
  </si>
  <si>
    <t>Carpeta del proyecto de la PLMB con los soportes del estudio social</t>
  </si>
  <si>
    <t>Para el 2014 la DTD programó contar con los Conponentes Técnicos Sociales IN HOUSE, para  la Primera Línea del Metro de Bogotá (PLMB), la DTD no programó componentes para el mes de enero.</t>
  </si>
  <si>
    <t>Para el 2014 la DTD programó contar con los Conponentes Técnicos Sociales IN HOUSE, para  la Primera Línea del Metro de Bogotá (PLMB), la DTD no programó  componentes para el mes de febrero.</t>
  </si>
  <si>
    <t>Para el 2014 la DTD programó contar con los Conponentes Técnicos Sociales IN HOUSE, para  la Primera Línea del Metro de Bogotá (PLMB),la DTD no programó componentes para el mes de marzo.</t>
  </si>
  <si>
    <t>Para el 2014 la DTD programó contar con los Conponentes Técnicos Sociales IN HOUSE, para  la Primera Línea del Metro de Bogotá (PLMB), la DTD no programó componentes  para el mes de abril.</t>
  </si>
  <si>
    <t>Para el 2014 la DTD programó contar con los Conponentes Técnicos Sociales IN HOUSE, para  la Primera Línea del Metro de Bogotá (PLMB), la DTD no programó componentes  para el mes de mayo.</t>
  </si>
  <si>
    <t>Para el 2014 la DTD programó contar con los Conponentes Técnicos Sociales IN HOUSE, para  la Primera Línea del Metro de Bogotá (PLMB), la DTD no programó componentes  para el mes de junio.</t>
  </si>
  <si>
    <t>Para el 2014 la DTD programó contar con los Conponentes Técnicos Sociales IN HOUSE, para  la Primera Línea del Metro de Bogotá (PLMB), la DTD no programó componentes  para el mes de julio.</t>
  </si>
  <si>
    <t>Para el 2014 la DTD programó contar con los Conponentes Técnicos Sociales IN HOUSE, para  la Primera Línea del Metro de Bogotá (PLMB), la DTD no programó componentes  para el mes de agosto.</t>
  </si>
  <si>
    <t>Para el 2014 la DTD programó contar con los Conponentes Técnicos Sociales IN HOUSE, para  la Primera Línea del Metro de Bogotá (PLMB), la DTD no programó componentes  para el mes de septiembre.</t>
  </si>
  <si>
    <t>Para el 2014 la DTD programó contar con los Conponentes Técnicos Sociales IN HOUSE, para  la Primera Línea del Metro de Bogotá (PLMB), la DTD no programó componentes  para el mes de octubre.</t>
  </si>
  <si>
    <t>Para el 2014 la DTD programó contar con los Componentes Técnicos Sociales IN HOUSE, para  la Primera Línea del Metro de Bogotá (PLMB), la DTD no programó componentes  para el mes de noviembre.</t>
  </si>
  <si>
    <t xml:space="preserve">Al 31 de diciembre del 2014 se cuenta con un estado de avance de la gestión social del 80 % ya que se entregaron la mayoría de documentos producto de la gestión social realizada entre el 2013 y 2014. A continuación se enuncian los documentos entregados.
• Documentos síntesis social de las 11 localidades y diagnostico territorial de las 27 estaciones del Metro. 
• Documentos de anteproyecto para las 27 estaciones en el que se relacionan 27 cartografías sociales y las recomendaciones realizadas por la ciudadanía. 
• Documento de proyecto con recomendaciones de identidad para las 27 estaciones de la PLMB. 
• Identificacion, evaluación y analisis de Impactos PLMB.
Por su parte se garantizó a lo largo de los estudios de ingeniería básica avanzada el cumplimiento de los siguientes objetivos:
• Fomentar la participación y el control social a través del diálogo permanente con la ciudad apuntando a garantizar sostenibilidad social. Esto se realizó a partir de las mesas de dialogo conformadas para cada tramo y por localidades. 
• Caracterizar el territorio y recoger propuestas CIUDADANAS que incidan en las distintas etapas del Proyecto. Lo cual quedo consignado en los documentos sociales entregados para esta etapa.
• Identificar impactos negativos y positivos del proyecto - Lo anterior quedo consignado en documento de identificación y evaluación de Impactos sociales de la PLMB.
• Identificar impactos negativos y positivos del proyecto –MAPA DE ACTORES Y CONFLICTOS- . Esto se realizó garantizando la realización de reuniones de inicio y avance del proyecto, actualmente se tiene pendiente la realización de la reunión de finalización la cual se llevara a cabo una vez se aprueben los estudios del Ingeniería Básica Avanzada de la PLMB. Además se garantizó la información y atención a la ciudadanía a lo largo del año. 
• Construir conjuntamente los pliegos de gestión social - Lo anterior se encuentra en construcción, es el único producto que no se ha terminado pues se requiere información técnica sobre la estructuración financiera y legal para la construcción de pliegos, lista de chequeo y presupuesto.  </t>
  </si>
  <si>
    <t xml:space="preserve">Al 31 de diciembre del 2014, se cuenta con un estado de avance de la gestión social del 80 % ya que se entregaron la mayoría de documentos producto de la gestión social realizada entre el 2013 y 2014. A continuación se enuncian los documentos entregados.
• Documentos síntesis social de las 11 localidades y diagnostico territorial de las 27 estaciones del Metro. 
• Documentos de anteproyecto para las 27 estaciones en el que se relacionan 27 cartografías sociales y las recomendaciones realizadas por la ciudadanía. 
• Documento de proyecto con recomendaciones de identidad para las 27 estaciones de la PLMB. 
• Identificacion, evaluación y analisis de Impactos PLMB.
Por su parte se garantizó a lo largo de los estudios de ingeniería básica avanzada el cumplimiento de los siguientes objetivos:
• Fomentar la participación y el control social a través del diálogo permanente con la ciudad apuntando a garantizar sostenibilidad social. Esto se realizó a partir de las mesas de dialogo conformadas para cada tramo y por localidades. 
• Caracterizar el territorio y recoger propuestas CIUDADANAS que incidan en las distintas etapas del Proyecto. Lo cual quedo consignado en los documentos sociales entregados para esta etapa.
• Identificar impactos negativos y positivos del proyecto - Lo anterior quedo consignado en documento de identificación y evaluación de Impactos sociales de la PLMB.
• Identificar impactos negativos y positivos del proyecto –MAPA DE ACTORES Y CONFLICTOS- . Esto se realizó garantizando la realización de reuniones de inicio y avance del proyecto, actualmente se tiene pendiente la realización de la reunión de finalización la cual se llevara a cabo una vez se aprueben los estudios del Ingeniería Básica Avanzada de la PLMB. Además se garantizó la información y atención a la ciudadanía a lo largo del año. 
• Construir conjuntamente los pliegos de gestión social - Lo anterior se encuentra en construcción, es el único producto que no se ha terminado pues se requiere información técnica sobre la estructuración financiera y legal para la construcción de pliegos, lista de chequeo y presupuesto.  </t>
  </si>
  <si>
    <t>Ejecutar el 100% de los productos y documentos requeridos para el Sistema Integrado de Gestión - SIG de acuerdo al Plan de Acción SIG y del Plan de Actualización documental.</t>
  </si>
  <si>
    <t xml:space="preserve">
No aplica la evaluacion del indicador de COMPROMISO DE ACTUALIZACION DOCUMENTAL POR PROCESOS 2014,  en el mes de enero.</t>
  </si>
  <si>
    <t>No aplica la evaluacion del indicador de COMPROMISO DE ACTUALIZACION DOCUMENTAL POR PROCESOS 2014,  en el mes de febrero.</t>
  </si>
  <si>
    <t>No aplica la evaluacion del indicador de COMPROMISO DE ACTUALIZACION DOCUMENTAL POR PROCESOS 2014,  en el mes de marzo.</t>
  </si>
  <si>
    <t xml:space="preserve">Se cumplió con los cuatro documentos programados para los meses de  enero , febrero , marzo y abril.
1. Plan de Tratamiento de Riesgos del Proceso de Diseño de Proyectos.
2. Matriz de riesgos del proceso de contratación.
3. Estructuración de Procesos Selectivos.
4. Cambio de Estudios y Diseños Aprobados, en Etapa de Construcción y/o Conservación.
Se dio trámite a 4 documentos conforme a lo definido en el plan documental.
</t>
  </si>
  <si>
    <t>No aplica la evaluacion del indicador de COMPROMISO DE ACTUALIZACION DOCUMENTAL POR PROCESOS 2014,  en el mes de mayo.</t>
  </si>
  <si>
    <t xml:space="preserve">Se cumplió con los seis documentos programados para los meses de mayo y junio de 2014, conforme a lo definido en el plan documental
1. Programación , ejecución y seguimiento al Diseño de Proyectos.
2.Recibo de productos por parte del IDU, entregados por al Interventoría, de los contratos de estudios y diseños
3. Estructuración de Procesos Selectivos.
4. Lista de chequeo estudios y diseños
5. Lista de chequeo ejecución de obra
6. Análisis de las solicitudes de aprobación del diseño del Pavimento.  Fue trasladado a la STEST.
</t>
  </si>
  <si>
    <t>No aplica la evaluacion del indicador de COMPROMISO DE ACTUALIZACION DOCUMENTAL POR PROCESOS 2014,  en el mes de julio..</t>
  </si>
  <si>
    <t>No aplica la evaluacion del indicador de COMPROMISO DE ACTUALIZACION DOCUMENTAL POR PROCESOS 2014,  en el mes de agosto.</t>
  </si>
  <si>
    <t>De los trámites programados inicialmente para ejecutar desde el 1° de enero hasta el 30 de septiembre, quedaron pendientes un total de 6 trámites. El detalle de los documentos se puede observar en el plan documental consolidado por la OAP o el plan específico en cada área.</t>
  </si>
  <si>
    <t>No aplica la evaluacion del indicador de COMPROMISO DE ACTUALIZACION DOCUMENTAL POR PROCESOS 2014,  en el mes de octubre.</t>
  </si>
  <si>
    <t>No aplica la evaluación del indicador de COMPROMISO DE ACTUALIZACION DOCUMENTAL POR PROCESOS 2014,  en el mes de noviembre.</t>
  </si>
  <si>
    <t>De los trámites programados inicialmente para ejecutar desde el 1° de enero hasta el 31 de diciembre de 2014, quedó pendiente un 1 trámite. El detalle de los documentos se puede observar en el plan documental consolidado por la OAP o el plan específico en cada área.</t>
  </si>
  <si>
    <t>Durante la vigencia 2014 la DTD, programo contar con la actualizacion de diez y siete (17) tipos docuemntales de los cuales se realizaron diez y seis (16) y uno  fue reprogramado para 2015, además se realizó un (1) nuevo tipo docuemental, cumpliendose con el 93% del indicador.
El reporte de la OAP es: De los trámites programados inicialmente para ejecutar desde el 1° de enero hasta el 31 de diciembre de 2014, quedó pendiente un 1 trámite. El detalle de los documentos se puede observar en el plan documental consolidado por la OAP o el plan específico en cada área.
Cumpliendose con el 93% del indicador..</t>
  </si>
  <si>
    <t>No aplica evaluación del Indicador de Planes de Mejoramiento en el mes de enero.</t>
  </si>
  <si>
    <t>No aplica evaluación del Indicador de Planes de Mejoramiento en el mes de febrero.</t>
  </si>
  <si>
    <t>0 %</t>
  </si>
  <si>
    <t>El análisis de los Planes de Mejoramiento se remite por memorando por parte del auditor</t>
  </si>
  <si>
    <t>No aplica evaluación del Indicador de Planes de Mejoramiento en el mes de abril.</t>
  </si>
  <si>
    <t>No aplica evaluación del Indicador de Planes de Mejoramiento en el mes de mayo.</t>
  </si>
  <si>
    <t>El análisis de los planes de mejoramiento se remite por memorando por parte del auditor.</t>
  </si>
  <si>
    <t>No aplica evaluación del Indicador de Planes de Mejoramiento en el mes de julio.</t>
  </si>
  <si>
    <t>No aplica evaluación del Indicador de Planes de Mejoramiento en el mes de agosto.</t>
  </si>
  <si>
    <t>No aplica evaluación del Indicador de Planes de Mejoramiento en el mes de octubre.</t>
  </si>
  <si>
    <t>No aplica evaluación del Indicador de Planes de Mejoramiento en el mes de noviembre.</t>
  </si>
  <si>
    <r>
      <t xml:space="preserve">
Durante la vigencia 2014, la evalución reportada por la OCI fue :
En la evalución realizda a  marzo , la OCI, reporto el 0%
En la evalución realizada en junio la DTD, cumplio con los planes de mejoramiento en su totalida a la fecha siendo el 100%
En el mes de de septiembre no aplicaba la evalución, dado que no tiene compromisos a cumplir .
En el mes de diciembre cumplio con los planes de mejoramiento y la evalución Fue del 100%.
Por lo anterior se cumplio en el 67% del indicador , con los tres periodos evaluados.
Es  de anotar  que a diciembre 31 de 2014 la DTD, cumplio en su totalidad, con los planes de mejoramiento.
</t>
    </r>
    <r>
      <rPr>
        <b/>
        <sz val="12"/>
        <rFont val="Arial"/>
        <family val="2"/>
      </rPr>
      <t xml:space="preserve"> Nota de Control Interno: 
</t>
    </r>
    <r>
      <rPr>
        <sz val="12"/>
        <rFont val="Arial"/>
        <family val="2"/>
      </rPr>
      <t>El valor reportado es el promedio de las cuatro calificaciones del año.
Si no se calificó algún período, el promedio se calcula sobre el resto de períodos en que aplica el indicador.
Si no hubo calificaciones en el año, el indicador no aplica.</t>
    </r>
  </si>
  <si>
    <t xml:space="preserve">
No aplica evaluación del Indicador de Planes de Mejoramiento en el mes de enero.</t>
  </si>
  <si>
    <t>No aplica evaluación del Indicador de Planes de Mejoramiento en el mes de febrero</t>
  </si>
  <si>
    <t>No aplica evaluación del Indicador de Planes de Mejoramiento en el mes de marzo</t>
  </si>
  <si>
    <t>No aplica evaluación del Indicador de Planes de mejoramiento en el mes de abril</t>
  </si>
  <si>
    <t>No aplica evaluación del Indicador de Planes de mejoramiento en el mes de mayo.</t>
  </si>
  <si>
    <t>El análisis detallado del cumplimiento de los Planes de Mejoramiento con la Contraloría de Bogotá y con la Contraloría General de la República fue socializado en las reuniones de seguimiento programadas por la Dirección General,  OCI y OAP, tanto para la Contraloría de Bogotá como para la Contraloría General de la República.</t>
  </si>
  <si>
    <t>No aplica evaluación del Indicador de Planes de mejoramiento en el mes de julio.</t>
  </si>
  <si>
    <t>La DTD, para dar cumplimento al  hallazgo 2.7.7.2,  con memorandos se solicito a la DTM  20143150475473 y a la DTC  con 2014315475453 del 28 de julio de 2014, la información pertinente, y se comprometieron al 15 de septiembre reportar .
 Por tal motivo la DTD, no ha cumpliedo con este hallazgo.</t>
  </si>
  <si>
    <t>No aplica evaluación del Indicador de Planes de mejoramiento en el mes de septiembre.</t>
  </si>
  <si>
    <t>CUMPLIÓ CON EL HALLAZGO 2.5.3.</t>
  </si>
  <si>
    <t>CUMPLIÓ CON LAS ACCIONES (5)</t>
  </si>
  <si>
    <r>
      <t xml:space="preserve">
Durante la vigencia 2014, la OCI reporto el siguiente avances  fue:
En los meses de febrero y abril , la evaluación no aplicaba.
En el mes de junio la evalución fue cero, no se cumplio con los planes de mejoramiento establecidos. 
En el mes de agosto no se cumplio en la totalidad de compromiso del Plan de Mejoramiento.
En los meses de septiembre y diciembre se cumplio con la totalidad de los planes de mejoramiento establecidos  con la Contraloría Distrital.
Por lo anterio el indicador acumulado de ejecución es del 50%.
</t>
    </r>
    <r>
      <rPr>
        <b/>
        <sz val="12"/>
        <rFont val="Arial"/>
        <family val="2"/>
      </rPr>
      <t>Nota</t>
    </r>
    <r>
      <rPr>
        <sz val="12"/>
        <rFont val="Arial"/>
        <family val="2"/>
      </rPr>
      <t xml:space="preserve">: A diciembre 31 de 2014 la DTD, cumplio en su totalidad, con los planes de mejoramiento.
</t>
    </r>
    <r>
      <rPr>
        <b/>
        <sz val="12"/>
        <rFont val="Arial"/>
        <family val="2"/>
      </rPr>
      <t xml:space="preserve"> Nota de Control Interno:</t>
    </r>
    <r>
      <rPr>
        <sz val="12"/>
        <rFont val="Arial"/>
        <family val="2"/>
      </rPr>
      <t xml:space="preserve">
Si no se calificó algún período, el promedio se calcula sobre el resto de períodos en que aplica el indicador.</t>
    </r>
  </si>
  <si>
    <t>5.1 Mantener por encima del 90% la ejecución presupuestal (eficiencia) de la vigencia, pasivos exigibles y reservas.</t>
  </si>
  <si>
    <t>Ejecutar el 100% de los pasivos exigibles programados para la vigencia. Total Pasivos Exigibles $ 2.981.252.549.</t>
  </si>
  <si>
    <t>Para el 2014 la DTD programó ejecutar el 100% del total de los pasivos exigibles correspondientes a $2.981.252.549, de los cuales  la DTD no programo ejecutar pasivos exigibles en el mes de enero.</t>
  </si>
  <si>
    <t xml:space="preserve">Para el 2014 la DTD programó ejecutar el 100% del total de los pasivos exigibles correspondientes a $2.981.252.549, de los cuales  la DTD no programo ejecutar pasivos exigibles en el mes de febrero.
Ejecución del mes correspondiente a liberaciones por $19.264.221. </t>
  </si>
  <si>
    <t xml:space="preserve">Para el 2014 la DTD programó ejecutar el 100% del total de los pasivos exigibles correspondientes a $2.981.252.549, de los cuales  la DTD programo ejecutar pasivos exigibles en el mes de marzo por $29.812.525 correspondiente al 1%,  ejecutándose $108.75.140 correspondiente al 3,6%.
Ejecución del mes correspondiente a giros presupuestales por $37.230.294 y liberaciones por $71.504.846. </t>
  </si>
  <si>
    <t xml:space="preserve">Para el 2014 la DTD programó ejecutar el 100% del total de los pasivos exigibles correspondientes a $2.981.252.549, de los cuales  la DTD programo ejecutar pasivos exigibles en el mes de abril por $238.500,204 correspondiente al 8%,  ejecutándose $174,303,169, correspondiente al 5,8%.
Ejecución del mes correspondiente a giros presupuestales por $174.303.169. </t>
  </si>
  <si>
    <t>Para el 2014 la DTD programó ejecutar el 100% del total de los pasivos exigibles correspondientes a $2.981.252.549, de los cuales  la DTD programo ejecutar pasivos exigibles en el mes de mayo por $238.500,204 correspondiente al 8%,  ejecutándose $125.654.793, correspondiente al 4.2%.
Ejecución del mes correspondiente a giros presupuestales por $104.195.688 y liberaciones por $21.459.105 equivalente al 4% para el mes.</t>
  </si>
  <si>
    <t>Para el 2014 la DTD programó ejecutar el 100% del total de los pasivos exigibles correspondientes a $2.981.252.549, de los cuales  la DTD programo ejecutar pasivos exigibles en el mes de  junio por $238.500,204 correspondiente al 8%,  ejecutándose $163.977.558, correspondiente al 5.5%.
Ejecución del mes correspondiente a giros presupuestales por $163.977.558 equivalente 6 % para el mes.</t>
  </si>
  <si>
    <t>Para el 2014 la DTD programó ejecutar el 100% del total de los pasivos exigibles correspondientes a $2.981.252.549, de los cuales  la DTD programo ejecutar pasivos exigibles en el mes de  julio por $238.500,204 correspondiente al 8%,  sin ejecución en el mes.</t>
  </si>
  <si>
    <t>Para el 2014 la DTD programó ejecutar el 100% del total de los pasivos exigibles correspondientes a $2.981.252.549, de los cuales  la DTD programo ejecutar pasivos exigibles en el mes de  agosto por $238.500,204 correspondiente al 8%,  sin ejecución en el mes.</t>
  </si>
  <si>
    <t xml:space="preserve">Para el 2014 la DTD programó ejecutar el 100% del total de los pasivos exigibles correspondientes a $2.981.252.549, de los cuales  la DTD programo ejecutar pasivos exigibles en el mes de  septiembre por $238.500,204 correspondiente al 8%.
Ejecución del mes correspondiente a giros presupuestales por $197.477.028 y liberaciones por $9.880.028. </t>
  </si>
  <si>
    <t>Para el 2014 la DTD programó ejecutar el 100% del total de los pasivos exigibles correspondientes a $2.981.252.549, de los cuales  la DTD programo ejecutar pasivos exigibles en el mes de octubre por $238.500,204 correspondiente al 8%.
Ejecución del mes correspondiente a giros presupuestales por $104.503.791. Programación del mes del 8%</t>
  </si>
  <si>
    <t>Para el 2014 la DTD programó ejecutar el 100% del total de los pasivos exigibles correspondientes a $2.981.252.549, de los cuales  la DTD programo ejecutar pasivos exigibles en el mes de noviembre por $238.500,204 correspondiente al 8%.
Ejecución del mes correspondiente a giros presupuestales por $146.029.236.</t>
  </si>
  <si>
    <t>Para el 2014 la DTD programó ejecutar el 100% del total de los pasivos exigibles correspondientes a $2.981.252.549. Para el mes de diciembre de 2014, se programó la ejecución de $1.043.438.392, correspondiente al 35%.
Ejecución del mes correspondiente a giros presupuestales por $69.585.318, correspondiente al 2,3%.
Programación del mes del 35% de lo programado.</t>
  </si>
  <si>
    <t>Para el 2014 la DTD programó ejecutar el 100% del total de los pasivos exigibles correspondientes a $2.981.252.549.
Durante la vigencia 2014, se ejecutó $1.119.410.282, coorespondientes al 37.5%.</t>
  </si>
  <si>
    <t>Ejecutar el 100% de las Reservas Presupuestales programadas para la vigencia . Total Reservas $53.814.821.856</t>
  </si>
  <si>
    <t>Para el 2014 la DTD programó ejecutar el 100% de las Reservas Presupuestales para la vigencia: total Reservas $53.814.821.856, de los cuales  la DTD programo ejecutar reservas presupuestales  en el mes de enero por $2.690.741.093 correspondiente al 5%. ejecutándose, $2.490.423.543 correspondiente al 4,6%. Ejecutándose el 93% de lo programado.</t>
  </si>
  <si>
    <t>Para el 2014 la DTD programó ejecutar el 100% de las Reservas Presupuestales para la vigencia: total Reservas $53.814.821.856, de los cuales  la DTD programo ejecutar reservas presupuestales  en el mes de febrero por  $2.152.592.874 correspondiente al 4%. ejecutándose, $2.428.448.095. correspondiente al 4,5%. Ejecutándose el 113% de lo programado.</t>
  </si>
  <si>
    <t>Para el 2014 la DTD programó ejecutar el 100% de las Reservas Presupuestales para la vigencia: total Reservas $53.814.821.856, de los cuales  la DTD programo ejecutar reservas presupuestales  en el mes de marzo por  $538.148.219 correspondiente al 1%. ejecutándose, $325.168.076, correspondiente al 0,6%.
 Ejecutándose el 60% de lo programado.</t>
  </si>
  <si>
    <t>Para el 2014 la DTD programó ejecutar el 100% de las Reservas Presupuestales para la vigencia: total Reservas $53.814.821.856, de los cuales  la DTD programo ejecutar reservas presupuestales  en el mes de abril por  $ 538.148.219, correspondiente al 1%. ejecutándose, $346.245.133, correspondiente al 0,6%.
 Ejecutándose el 64% de lo programado.</t>
  </si>
  <si>
    <t>Para el 2014 la DTD programó ejecutar el 100% de las Reservas Presupuestales para la vigencia: total Reservas $53.814.821.856, de los cuales  la DTD programo ejecutar reservas presupuestales  en el mes de  mayo por  $9.148.519.716, correspondiente al 17%. ejecutándose, $295.494.313, correspondiente al 0,5%.
Ejecutándose  el 3% de lo programado</t>
  </si>
  <si>
    <t>Para el 2014 la DTD programó ejecutar el 100% de las Reservas Presupuestales para la vigencia: total Reservas $53.814.821.856, de los cuales  la DTD programo ejecutar reservas presupuestales  en el mes de  junio por  $7.534.075, correspondiente al 14%. ejecutándose, $8.525.727.773, correspondiente al 15.8%.
Ejecutándose  el 113% de lo programado</t>
  </si>
  <si>
    <t>Para el 2014 la DTD programó ejecutar el 100% de las Reservas Presupuestales para la vigencia: total Reservas $53.814.821.856, de los cuales  la DTD programo ejecutar reservas presupuestales  en el mes de  julio por  $5.919.630.404, correspondiente al 11%. ejecutándose, $437.198.264, correspondiente al 0.8%.
Ejecutándose  el 7% de lo programado</t>
  </si>
  <si>
    <t>Para el 2014 la DTD programó ejecutar el 100% de las Reservas Presupuestales para la vigencia: total Reservas $53.814.821.856, de los cuales  la DTD programo ejecutar reservas presupuestales  en el mes de  agosto  por  $5.381.482.186, correspondiente al 10%. ejecutándose, $2.446.882.800, correspondiente al 4.5%a giros presupuestales.
Ejecutándose  el 45% de lo programado</t>
  </si>
  <si>
    <t>Para el 2014 la DTD programó ejecutar el 100% de las Reservas Presupuestales para la vigencia: total Reservas $53.814.821.856, de los cuales  la DTD programo ejecutar reservas presupuestales  en el mes de  septiembre por  $4.305.185.748, correspondiente al 8%. ejecutándose, $8.862.809.729, correspondiente al 16.5%a giros presupuestales.
Ejecutándose  el 206% de lo programado</t>
  </si>
  <si>
    <t xml:space="preserve">Para el 2014 la DTD programó ejecutar el 100% de las Reservas Presupuestales para la vigencia: total Reservas $53.814.821.856, de los cuales  la DTD programo ejecutar reservas presupuestales  en el mes de octubre por  $2.690.741.093, correspondiente al 5%. ejecutándose, $402.921.810, correspondiente al 0.7%a giros presupuestales.
Ejecución del mes correspondiente a giros presupuestales por $402.921.810. </t>
  </si>
  <si>
    <t xml:space="preserve">Para el 2014 la DTD programó ejecutar el 100% de las Reservas Presupuestales para la vigencia: total Reservas $53.814.821.856, de los cuales  la DTD programo ejecutar reservas presupuestales  en el mes de noviembre por  $1.076.296.437, correspondiente al 2%. ejecutándose, $4.102.869.568, correspondiente al 7.6%a giros presupuestales.
Ejecución del mes correspondiente a giros presupuestales por $4.102.869.568. </t>
  </si>
  <si>
    <t>Para el 2014 la DTD programó ejecutar el 100% de las Reservas Presupuestales para la vigencia por valor de $53.814.821.856. Para el mes de diciembre de 2014, se programó la ejecución de 11.839260.808, correspondiente al 22%. ejecutándose, $14.187.854.539, correspondiente al 26.4% a giros presupuestales.</t>
  </si>
  <si>
    <t>Para el 2014 la DTD programó ejecutar el 100% de las Reservas Presupuestales por valor de $53.814.821.856, de los cuales  la DTD, durante la vigencia 2014, ejecuto $44.852.042.653, correspondiente al 83.3% .
Ejecución real acumulada del 83%. Ejecución esperada del 100%
 El saldo a 31 de diciembre de 2014 de $8.962.778.203.
El indicado reportado es del 83% del 100% programado.</t>
  </si>
  <si>
    <t>5.1 Mantener por encima del 90% la ejecución presupuestal</t>
  </si>
  <si>
    <t>A 31 de diciembre ejecutar el 100% del presupuesto asignado en  la vigencia. Total  Presupuesto  de Vigencias $82.537.465.000</t>
  </si>
  <si>
    <t>Para el 2014 la DTD programó ejecutar el 100% del presupuesto asignado en la vigencia $82.537.465.000,  de los cuales  la DTD no programo ejecutar  presupuesto asignado en la vigencia  en el mes de enero.
La  OAP  no reporto modificaciones  del presupuesto inial para el mes de enero.</t>
  </si>
  <si>
    <t>Para el 2013 la DTD programó ejecutar el 100% del presupuesto asignado en la vigencia $82.537.465.000,  de los cuales  la DTD no programo ejecutar  presupuesto asignado en la vigencia  en el mes de febrero.
La  OAP   reporto modificaciones  del presupuesto inial  de $6.604.811.000, pasando  a un total de presupuesto $89.142.276.000  en  el mes de febrero.</t>
  </si>
  <si>
    <t>Para el 2014 la DTD programó ejecutar el 100% del presupuesto asignado en la vigencia $82.537.465.000,  de los cuales  la DTD no programo ejecutar  presupuesto asignado en la vigencia  en el mes de marzo.
La  OAP   reporto modificaciones  del presupuesto inial  de $1.358.410.702, pasando  a un total de presupuesto $90.500.686.702  en  el mes de marzo.</t>
  </si>
  <si>
    <t>Para el 2014 la DTD programó ejecutar el 100% del presupuesto asignado en la vigencia $82.537.465.000,  de los cuales  la DTD no programo ejecutar  presupuesto asignado en la vigencia  en el mes de abril.
La  OAP   reporto modificaciones  del presupuesto inial  de $(2.795.635..395) pasando  a un total de presupuesto $87.705.051.307  en  el mes de abril.</t>
  </si>
  <si>
    <t>Para el 2014 la DTD programó ejecutar el 100% del presupuesto asignado en la vigencia $82.537.465.000,  de los cuales  la DTD no programo ejecutar  presupuesto asignado en la vigencia  en el mes de mayo.
La  OAP   reporto modificaciones  del presupuesto inial  de $5.060.124.093, pasando  a un total de presupuesto $92.765.175.400, en  el mes de mayo.</t>
  </si>
  <si>
    <t>Para el 2014 la DTD programó ejecutar el 100% del presupuesto asignado en la vigencia $82.537.465.000,  de los cuales  la DTD no programo ejecutar  presupuesto asignado en la vigencia  en el mes de junio.
La  OAP   reporto modificaciones  del presupuesto inial  de $1.243.873.450, pasando  a un total de presupuesto $94.009.048.850, en  el mes de junio.</t>
  </si>
  <si>
    <r>
      <t xml:space="preserve">Para el 2014 la DTD programó ejecutar el 100% del presupuesto asignado en la vigencia $82.537.465.000,  de los cuales  la DTD no programo ejecutar  presupuesto asignado en la vigencia  en el mes de julio.
</t>
    </r>
    <r>
      <rPr>
        <sz val="11"/>
        <color indexed="8"/>
        <rFont val="Arial"/>
        <family val="2"/>
      </rPr>
      <t>Se presupuesto en este mes CRP por $1.636.200.13, correspondiente al 1.72%</t>
    </r>
    <r>
      <rPr>
        <sz val="11"/>
        <rFont val="Arial"/>
        <family val="2"/>
      </rPr>
      <t xml:space="preserve">
Para la DTD , la   OAP   reporto modificaciones  del presupuesto inial  de reducción por $1.361.873, y adición por $3.001.701.00,  pasando  a un total de presupuesto $95.370.921.850, en  el mes de julio.</t>
    </r>
  </si>
  <si>
    <r>
      <t xml:space="preserve">Para el 2014 la DTD programó ejecutar el 100% del presupuesto asignado en la vigencia $82.537.465.000,  de los cuales  la DTD  programo ejecutar  presupuesto asignado en la vigencia  en el mes de agosto por </t>
    </r>
    <r>
      <rPr>
        <sz val="11"/>
        <color indexed="8"/>
        <rFont val="Arial"/>
        <family val="2"/>
      </rPr>
      <t>4.126.873.250, correspondiente al 5%,.
Se presupuesto en este mes CRP por $547.458.053, correspondiente al  0.54%</t>
    </r>
    <r>
      <rPr>
        <sz val="11"/>
        <rFont val="Arial"/>
        <family val="2"/>
      </rPr>
      <t xml:space="preserve">
La  OAP   reporto modificaciones  del presupuesto inial  de $5.595.000, pasando  a un total de presupuesto de$100.965.921.850, en  el mes de agosto.</t>
    </r>
  </si>
  <si>
    <r>
      <t xml:space="preserve">Para el 2014 la DTD programó ejecutar el 100% del presupuesto asignado en la vigencia $82.537.465.000,  de los cuales  la DTD  programo ejecutar  presupuesto asignado en la vigencia  en el mes de septiembre por $7.428.371.850 </t>
    </r>
    <r>
      <rPr>
        <sz val="11"/>
        <color indexed="8"/>
        <rFont val="Arial"/>
        <family val="2"/>
      </rPr>
      <t>, correspondiente al 9%,.
Se presupuesto en este mes CRP por $ 15.383.375.416, correspondiente al  13,81%</t>
    </r>
    <r>
      <rPr>
        <sz val="11"/>
        <rFont val="Arial"/>
        <family val="2"/>
      </rPr>
      <t xml:space="preserve">
La  OAP   reporto modificaciones  del presupuesto inial  de adición por $ 10.388.655.000, pasando  a un total de presupuesto de$111.354.576.850, en  el mes de septiembre.</t>
    </r>
  </si>
  <si>
    <r>
      <t xml:space="preserve">Para el 2014 la DTD programó ejecutar el 100% del presupuesto asignado en la vigencia $82.537.465.000,  de los cuales  la DTD  programo ejecutar  presupuesto asignado en la vigencia  en el mes de octubre por $20.634.366.250 </t>
    </r>
    <r>
      <rPr>
        <sz val="11"/>
        <color indexed="8"/>
        <rFont val="Arial"/>
        <family val="2"/>
      </rPr>
      <t>, correspondiente al 25%,.
Se presupuesto en este mes CRP por $ 17.239.288.300, correspondiente al  15.38%</t>
    </r>
    <r>
      <rPr>
        <sz val="11"/>
        <rFont val="Arial"/>
        <family val="2"/>
      </rPr>
      <t xml:space="preserve">
La  OAP   reporto modificaciones  del presupuesto inial  de adición por $ 11.676.995.642,y reducción por $10.936.995.642, pasando  a un total de presupuesto de$112.094.576.850, en  el mes de octubre.</t>
    </r>
  </si>
  <si>
    <r>
      <t xml:space="preserve">Para el 2014 la DTD programó ejecutar el 100% del presupuesto asignado en la vigencia $82.537.465.000,  de los cuales  la DTD  programo ejecutar  presupuesto asignado en la vigencia  en el mes de noviembre por $22.285.115.550 </t>
    </r>
    <r>
      <rPr>
        <sz val="11"/>
        <color indexed="8"/>
        <rFont val="Arial"/>
        <family val="2"/>
      </rPr>
      <t>, correspondiente al 27%,.
Se presupuesto en este mes CRP por $ 4.563.253.291, correspondiente al  5,5%</t>
    </r>
    <r>
      <rPr>
        <sz val="11"/>
        <rFont val="Arial"/>
        <family val="2"/>
      </rPr>
      <t xml:space="preserve">
La  OAP   reporto modificaciones  del presupuesto inial  de adición por $ 1.325.077.442, y reducción por $4.634.077.442, pasando  a un total de presupuesto de$108.785.576.850, en  el mes de noviembre.</t>
    </r>
  </si>
  <si>
    <r>
      <t xml:space="preserve">Para el 2014 la DTD programó ejecutar el 100% del presupuesto asignado en la vigencia por valor de $82.537.465.000. Para el mes de diciembre de 2014, se programó la ejecución de $28.062.738.100 </t>
    </r>
    <r>
      <rPr>
        <sz val="13"/>
        <color indexed="8"/>
        <rFont val="Arial"/>
        <family val="2"/>
      </rPr>
      <t>, correspondiente al 34%,.
Se presupuesto en este mes CRP por $ 24.815.214.962, correspondiente al 34,29%</t>
    </r>
    <r>
      <rPr>
        <sz val="13"/>
        <rFont val="Arial"/>
        <family val="2"/>
      </rPr>
      <t xml:space="preserve">
La  OAP   reportó modificaciones  del presupuesto uncial, adicionando $ 13.016.046.103, y quitando $49.431.767.678, para un total de$72.369.855.275.</t>
    </r>
  </si>
  <si>
    <t>Para el 2014 la DTD programó ejecutar el 100% del presupuesto asignado en la vigencia por valor de $82.537.465.000,  de los cuales  la DTD, ejecuto $64.184.790.195, correspondiente al 77.8%.
La  OAP   reportó modificaciones  del presupuesto inicial  durante  la vigencia 2014, pasando a diciembre 31 de 2014,  a $72.369.855.275, en  el mes de diciembre.
El reporte del indicado es del 78% respecto al 100% programado inicialmente.</t>
  </si>
  <si>
    <t>La programación Inicial (PI) del PAC es de $ 2,451,584,955 y la Reprogramación del mes de enero ( RM ) fue de $ 2,451,584,955. La Ejecución del PAC  en este mes fue de $ 2.462.136.217 . Por lo tanto se ejecutó el  100 % frente a la programación Inicial y el 100% frente a la Reprogramación del mes. Adicionalmente la información  SI se entregó dentro del plazo estipulado. Esto arroja100 puntos en el Indicador de Gestión del PAC.</t>
  </si>
  <si>
    <t>La programación Inicial (PI) del PAC es de $ 4.687.268.109    y la Reprogramación del mes de febrero ( RM )fue de $ 4.693.224.956. La Ejecución del PAC  en este mes fue de $ 2.420.107.701 . Por lo tanto se ejecutó el  52% frente a la programación Inicial y el 52% frente a la Reprogramación del mes. Adicionalmente la información  SI se entregó dentro del plazo estipulado. Esto arroja  55 puntos en el Indicador de Gestión del PAC.</t>
  </si>
  <si>
    <t>La programación Inicial (PI) del PAC es de $8.559.113.322 y la Reprogramación del mes de marzo ( RM ) fue de $ 3.002.064.206. La Ejecución del PAC  en este mes fue de $362.398.370  . Por lo tanto se ejecutó el 4% frente a la programación Inicial y el 12% frente a la Reprogramación del mes. Adicionalmente la información  SI se entregó dentro del plazo estipulado. Esto arroja  5 puntos en el Indicador de Gestión del PAC.</t>
  </si>
  <si>
    <t>La programación Inicial (PI) del PAC es de $6.175.116.291    y la Reprogramación del mes abril ( RM ) fue de $909.777.427. La Ejecución del PAC en este mes fue de $520.548.302. Por lo tanto se ejecutó el 8% frente a la programación Inicial y el  57% frente a la Reprogramación del mes. Adicionalmente la información  SI se entregó dentro del plazo estipulado. Esto arroja  40 puntos en el Indicador de Gestión del PAC.</t>
  </si>
  <si>
    <t>La programación Inicial (PI) del PAC es de $9.187.018.033 y la Reprogramación del mes ( RM )fue de $802.482.176. La Ejecución del PAC  en este mes fue de $399.690.001. Por lo tanto se ejecutó el 4% frente a la programación Inicial y el  50% frente a la Reprogramación del mes. Adicionalmente la información  SI se entregó dentro del plazo estipulado. Esto arroja 25 puntos en el Indicador de Gestión del PAC.</t>
  </si>
  <si>
    <t>La programación Inicial (PI) del PAC es de $11,657,956,259 y la Reprogramación del mes ( RM )fue de $321,128,527. La Ejecución del PAC  en este mes fue de $8,689,705,331. Por lo tanto se ejecutó el 75% frente a la programación Inicial y el  2,706% frente a la Reprogramación del mes. Adicionalmente la información  SI se entregó dentro del plazo estipulado. Esto arroja 45 puntos en el Indicador de Gestión del PAC.</t>
  </si>
  <si>
    <t>La programación Inicial (PI) del PAC es de $10.307.358.486 y la Reprogramación del mes ( RM )fue de $2.346.251.737. La Ejecución del PAC  en este mes fue de $437.198.264.  Por lo tanto se ejecutó el 4% frente a la programación Inicial y el  19% frente a la Reprogramación del mes.  Adicionalmente la información  SI se entregó dentro del plazo estipulado. Esto arroja 15 puntos en el Indicador de Gestión del PAC.</t>
  </si>
  <si>
    <t>La programación Inicial (PI) del PAC es de $11.024.327.122 y la Reprogramación del mes ( RM )fue de $4.646.882.799. La Ejecución del PAC  en este mes fue de $2.449.882.800. Por lo tanto se ejecutó el 22% frente a la programación Inicial y el  53% frente a la Reprogramación del mes. Adicionalmente la información  SI se entregó dentro del plazo estipulado. Esto arroja 45 puntos en el Indicador de Gestión del PAC.</t>
  </si>
  <si>
    <t>La programación Inicial (PI) del PAC es de $9,257,153,269 y la Reprogramación del mes (RM ) fue de $5,725,863,069. La Ejecución del PAC en este mes fue de $9,060,286,757. Por lo tanto se ejecutó el 98% frente a la programación Inicial y el 158% frente a la Reprogramación del mes. Adicionalmente la información  SI se entregó dentro del plazo estipulado. Esto arroja 55 puntos en el Indicador de Gestión del PAC.</t>
  </si>
  <si>
    <t>La programación Inicial (PI) del PAC es de $13.751.499.437  y la Reprogramación del mes ( RM )fue de $5.446.364.055. La Ejecución del PAC  en este mes fue de $.  Por lo tanto se ejecutó el 4% frente a la programación Inicial y el 9% frente a la Reprogramación del mes.  Adicionalmente la información  SI se entregó dentro del plazo estipulado. Esto arroja 5 puntos en el Indicador de Gestión del PAC</t>
  </si>
  <si>
    <t>La programación Inicial (PI) del PAC es de $8,009,312,816 y la Reprogramación del mes ( RM )fue de $12,951,666,242.  La Ejecución del PAC  en este mes fue de $4,248.898.804. Por lo tanto se ejecutó el 53% frente a la programación Inicial y el 33% frente a la Reprogramación del mes. Adicionalmente la información  SI se entregó dentro del plazo estipulado. Esto arroja 40 puntos en el Indicador de Gestión del PAC.</t>
  </si>
  <si>
    <t>La programación Inicial (PI) del PAC es de $8,264,034,562 y la Reprogramación del mes de diciembre de 2014,( RM ) fue de $9,691,400,749.  La Ejecución del PAC  en este mes fue de $14,897,330,655. Por lo tanto se ejecutó el 180% frente a la programación Inicial y el 154% frente a la Reprogramación del mes. Adicionalmente la información se entregó dentro del plazo estipulado. Esto arroja 30 puntos en el Indicador de Gestión del PAC.</t>
  </si>
  <si>
    <t>La programación Inicial anual (PIA) del PAC es de $103,331,745,661 y la Reprogramación anual( RA ) fue de $52,988,690,898.  La Ejecución del PAC  en este año fue de $46,455,608,803. Por lo tanto, se ejecutó el 45% frente a la programación Inicial y el 87,7% frente a la Reprogramación. Adicionalmente la información  Siempre se entregó dentro del plazo estipulado. Esto arroja 38 puntos promedio en el Indicador de Gestión del PAC.</t>
  </si>
  <si>
    <t>No aplica evaluación del Indicador Seguimiento al registro de la información contractual en el aplicativo SIAC, en el mes de enero.</t>
  </si>
  <si>
    <t>No aplica evaluación del Indicador Seguimiento al registro de la información contractual en el aplicativo SIAC, en el mes de febrero.</t>
  </si>
  <si>
    <t xml:space="preserve">La  Dirección Técnica de Diseño de Proyectos tiene actualizado  el SIAC  los contratos que tiene bajo la supervisión. </t>
  </si>
  <si>
    <t>No aplica evaluación del Indicador Seguimiento al registro de la información contractual en el aplicativo SIAC, en el mes de abril.</t>
  </si>
  <si>
    <t>No aplica evaluación del Indicador Seguimiento al registro de la información contractual en el aplicativo SIAC, en el mes de mayo</t>
  </si>
  <si>
    <t>Una vez verificado el Sistema de Información y Acompañamiento Contractual – SIAC, y de acuerdo a los parámetros establecidos de medición se establece que la información correspondiente a los contratos a cargo de la Dirección Técnica de Diseño de Proyectos se encuentra actualizada.</t>
  </si>
  <si>
    <t>No aplica evaluación del Indicador Seguimiento al registro de la información contractual en el aplicativo SIAC, en el mes de julio.</t>
  </si>
  <si>
    <t>No aplica evaluación del Indicador Seguimiento al registro de la información contractual en el aplicativo SIAC, en el mes de agosto.</t>
  </si>
  <si>
    <t>Una vez revisado los estados de los contratos de la Dirección Técnica de Diseño de Proyectos se encuentra la desactualización de dieciséis (16) contratos.</t>
  </si>
  <si>
    <t>No aplica evaluación del Indicador Seguimiento al registro de la información contractual en el aplicativo SIAC, en el mes de octubre.</t>
  </si>
  <si>
    <t>No aplica evaluación del Indicador Seguimiento al registro de la información contractual en el aplicativo SIAC, en el mes de noviembre.</t>
  </si>
  <si>
    <t>Una vez revisado los estados de los contratos de la Dirección Técnica de Diseño de Proyectos se encuentra la desactualización de tres (3) contratos.</t>
  </si>
  <si>
    <t>La DTD, programo contar con la ecualización de los proyectos asignados en el sistema SIAC, de  los cuales se obtuvo el 98% de la actualización, y la  DTGC reporta:
Aunque se refleja una buena administración del SIAC frente a los estados de los contratos es importante hacer permanente el seguimiento y control al sistema.
 Este indicador refleja que la DTD, cumple con lo establecido en los compromisos.</t>
  </si>
  <si>
    <t>Nombre: Giovanny Enrico González Pinzón</t>
  </si>
  <si>
    <t>Cargo: Director Técnico de Diseño de Proyectos</t>
  </si>
  <si>
    <t xml:space="preserve">DIRECCIÓN TÉCNICA DE PREDIOS </t>
  </si>
  <si>
    <t>A 31 de diciembre de 2014, contar con la estrategia de reasentamiento integral, para su implementación.</t>
  </si>
  <si>
    <t>Estratégia de reasentamiento integral</t>
  </si>
  <si>
    <t>Contar con una herramienta eficiente que oriente el debido reasentamiento integral</t>
  </si>
  <si>
    <t>(Total etapas ejecutadas) / ( Total etapas programadas para el diseño de la estratégia )* 100</t>
  </si>
  <si>
    <t xml:space="preserve">Avance en Sistemas de Inforamación 
Informes de avance </t>
  </si>
  <si>
    <t>DTDP</t>
  </si>
  <si>
    <r>
      <t xml:space="preserve">En cuanto al avance de este indicador  para el primer trimestre La Dirección de Predios ha adelantado  las primeras etapas de gestión social en los siguientes proyectos:
</t>
    </r>
    <r>
      <rPr>
        <b/>
        <sz val="8"/>
        <rFont val="Arial"/>
        <family val="2"/>
      </rPr>
      <t>Mutis:</t>
    </r>
    <r>
      <rPr>
        <sz val="8"/>
        <rFont val="Arial"/>
        <family val="2"/>
      </rPr>
      <t xml:space="preserve"> En sus dos tramos se realizó el proceso de Censo 
                  De este proyecto existen 30 predios sin identificar, estos predios corresponden a lotes por lo tanto no hay unidades sociales por reasentar. 
</t>
    </r>
    <r>
      <rPr>
        <b/>
        <sz val="8"/>
        <rFont val="Arial"/>
        <family val="2"/>
      </rPr>
      <t>Bosa</t>
    </r>
    <r>
      <rPr>
        <sz val="8"/>
        <rFont val="Arial"/>
        <family val="2"/>
      </rPr>
      <t xml:space="preserve">:  En sus dos tramos se realizó el proceso de Censo 
                  De este proyecto existen 4 predios sin identificar, estos predios corresponden a lotes por lo tanto no hay unidades sociales por reasentar. 
</t>
    </r>
    <r>
      <rPr>
        <b/>
        <sz val="8"/>
        <rFont val="Arial"/>
        <family val="2"/>
      </rPr>
      <t>Av. Ciudad de Cali:</t>
    </r>
    <r>
      <rPr>
        <sz val="8"/>
        <rFont val="Arial"/>
        <family val="2"/>
      </rPr>
      <t xml:space="preserve"> A 31 de marzo se encuentra el proceso de Censo,
                 Este proyecto se tomo como proyecto piloto para la aplicación de la nueva ficha censal 
</t>
    </r>
    <r>
      <rPr>
        <b/>
        <sz val="8"/>
        <rFont val="Arial"/>
        <family val="2"/>
      </rPr>
      <t xml:space="preserve">POZ Norte: </t>
    </r>
    <r>
      <rPr>
        <sz val="8"/>
        <rFont val="Arial"/>
        <family val="2"/>
      </rPr>
      <t xml:space="preserve">Carrera 9 En sus dos tramos se realizó el proceso de Censo
</t>
    </r>
    <r>
      <rPr>
        <b/>
        <sz val="8"/>
        <rFont val="Arial"/>
        <family val="2"/>
      </rPr>
      <t xml:space="preserve">San Antonio: </t>
    </r>
    <r>
      <rPr>
        <sz val="8"/>
        <rFont val="Arial"/>
        <family val="2"/>
      </rPr>
      <t>Realizado el</t>
    </r>
    <r>
      <rPr>
        <b/>
        <sz val="8"/>
        <rFont val="Arial"/>
        <family val="2"/>
      </rPr>
      <t xml:space="preserve"> </t>
    </r>
    <r>
      <rPr>
        <sz val="8"/>
        <rFont val="Arial"/>
        <family val="2"/>
      </rPr>
      <t xml:space="preserve">proceso de Censo.
                 Este proyecto se tomo como proyecto piloto para la aplicación de la nueva ficha censal 
</t>
    </r>
    <r>
      <rPr>
        <b/>
        <sz val="8"/>
        <rFont val="Arial"/>
        <family val="2"/>
      </rPr>
      <t xml:space="preserve">Rincon Suba: </t>
    </r>
    <r>
      <rPr>
        <sz val="8"/>
        <rFont val="Arial"/>
        <family val="2"/>
      </rPr>
      <t xml:space="preserve">Realizado el proceso de Censo.
</t>
    </r>
    <r>
      <rPr>
        <b/>
        <sz val="8"/>
        <rFont val="Arial"/>
        <family val="2"/>
      </rPr>
      <t>Molinos:</t>
    </r>
    <r>
      <rPr>
        <sz val="8"/>
        <rFont val="Arial"/>
        <family val="2"/>
      </rPr>
      <t xml:space="preserve"> Trasmilenio Caracas -  Realizado el proceso de Censo
</t>
    </r>
    <r>
      <rPr>
        <b/>
        <sz val="8"/>
        <rFont val="Arial"/>
        <family val="2"/>
      </rPr>
      <t>Cables:</t>
    </r>
    <r>
      <rPr>
        <sz val="8"/>
        <rFont val="Arial"/>
        <family val="2"/>
      </rPr>
      <t xml:space="preserve"> Cuidad Bolívar  -  Realizado el proceso de Censo
                  Las etapas de Diagnostico Socioeconómico y Estudio de Impacto de este proyecto se encuentra en aprobación.</t>
    </r>
  </si>
  <si>
    <r>
      <t xml:space="preserve">Se ha adelantado la siguiente gestion social: 
</t>
    </r>
    <r>
      <rPr>
        <b/>
        <sz val="8"/>
        <rFont val="Arial"/>
        <family val="2"/>
      </rPr>
      <t xml:space="preserve">Proyecto Av Suba gradualidad 1: </t>
    </r>
    <r>
      <rPr>
        <sz val="8"/>
        <rFont val="Arial"/>
        <family val="2"/>
      </rPr>
      <t xml:space="preserve">
Predios censados: 48      Predios Pendientes:   0         Unidades sociales:   71
</t>
    </r>
    <r>
      <rPr>
        <b/>
        <sz val="8"/>
        <rFont val="Arial"/>
        <family val="2"/>
      </rPr>
      <t xml:space="preserve">Proyecto Av Suba gradualidad 2: </t>
    </r>
    <r>
      <rPr>
        <sz val="8"/>
        <rFont val="Arial"/>
        <family val="2"/>
      </rPr>
      <t xml:space="preserve">
Predios censados: 78      Predios Pendientes:   0         Unidades sociales:   253
</t>
    </r>
    <r>
      <rPr>
        <b/>
        <sz val="8"/>
        <rFont val="Arial"/>
        <family val="2"/>
      </rPr>
      <t xml:space="preserve">Proyecto Av Bosa gradualidad 1: </t>
    </r>
    <r>
      <rPr>
        <sz val="8"/>
        <rFont val="Arial"/>
        <family val="2"/>
      </rPr>
      <t xml:space="preserve">
Predios censados:  81      Predios Pendientes:   0         Unidades sociales:   242
</t>
    </r>
    <r>
      <rPr>
        <b/>
        <sz val="8"/>
        <rFont val="Arial"/>
        <family val="2"/>
      </rPr>
      <t xml:space="preserve">Proyecto Av Bosa gradualidad 2: </t>
    </r>
    <r>
      <rPr>
        <sz val="8"/>
        <rFont val="Arial"/>
        <family val="2"/>
      </rPr>
      <t xml:space="preserve">
Predios censados: 76      Predios Pendientes:   0         Unidades sociales:   233
</t>
    </r>
    <r>
      <rPr>
        <b/>
        <sz val="8"/>
        <rFont val="Arial"/>
        <family val="2"/>
      </rPr>
      <t xml:space="preserve">Troncal caracas Molinos
</t>
    </r>
    <r>
      <rPr>
        <sz val="8"/>
        <rFont val="Arial"/>
        <family val="2"/>
      </rPr>
      <t xml:space="preserve">Predios censados: 40      Predios Pendientes:   0         Unidades sociales:   94
</t>
    </r>
    <r>
      <rPr>
        <b/>
        <sz val="8"/>
        <rFont val="Arial"/>
        <family val="2"/>
      </rPr>
      <t>Proyecto Av. Jose Celestino Mutis (Ac 63)</t>
    </r>
    <r>
      <rPr>
        <sz val="8"/>
        <rFont val="Arial"/>
        <family val="2"/>
      </rPr>
      <t xml:space="preserve">
Predio censados: 280      Predios Pendientes:   0         Unidades sociales:   638
</t>
    </r>
    <r>
      <rPr>
        <b/>
        <sz val="8"/>
        <rFont val="Arial"/>
        <family val="2"/>
      </rPr>
      <t>Proyecto Av. Jose Celestino Mutis 115</t>
    </r>
    <r>
      <rPr>
        <sz val="8"/>
        <rFont val="Arial"/>
        <family val="2"/>
      </rPr>
      <t xml:space="preserve">
Predios censados: 14      Predios Pendientes:   0         Unidades sociales:   45
</t>
    </r>
    <r>
      <rPr>
        <b/>
        <sz val="8"/>
        <rFont val="Arial"/>
        <family val="2"/>
      </rPr>
      <t>Proyecto Av. Jose Celestino Mutis 11</t>
    </r>
    <r>
      <rPr>
        <sz val="8"/>
        <rFont val="Arial"/>
        <family val="2"/>
      </rPr>
      <t xml:space="preserve">6
Predios censados: 96      Predios Pendientes:   0         Unidades sociales:   323
</t>
    </r>
    <r>
      <rPr>
        <b/>
        <sz val="8"/>
        <rFont val="Arial"/>
        <family val="2"/>
      </rPr>
      <t>POZ NORTE 1ER TRAMO</t>
    </r>
    <r>
      <rPr>
        <sz val="8"/>
        <rFont val="Arial"/>
        <family val="2"/>
      </rPr>
      <t xml:space="preserve">
Predios censados: 43      Predios Pendientes:   0         Unidades sociales:   82
</t>
    </r>
    <r>
      <rPr>
        <b/>
        <sz val="8"/>
        <rFont val="Arial"/>
        <family val="2"/>
      </rPr>
      <t>POZ NORTE 2ER TRAMO</t>
    </r>
    <r>
      <rPr>
        <sz val="8"/>
        <rFont val="Arial"/>
        <family val="2"/>
      </rPr>
      <t xml:space="preserve">
Predios censados: 95      Predios Pendientes:   0         Unidades sociales:   178
</t>
    </r>
    <r>
      <rPr>
        <b/>
        <sz val="8"/>
        <rFont val="Arial"/>
        <family val="2"/>
      </rPr>
      <t>Proyecto Av. San Antonio (183) desde kra 7 hasta autonorte</t>
    </r>
    <r>
      <rPr>
        <sz val="8"/>
        <rFont val="Arial"/>
        <family val="2"/>
      </rPr>
      <t xml:space="preserve">
Predios censados: 130      Predios Pendientes:   0         Unidades sociales:   249
</t>
    </r>
    <r>
      <rPr>
        <b/>
        <sz val="8"/>
        <rFont val="Arial"/>
        <family val="2"/>
      </rPr>
      <t xml:space="preserve">Proyecto Av. Boyaca </t>
    </r>
    <r>
      <rPr>
        <sz val="8"/>
        <rFont val="Arial"/>
        <family val="2"/>
      </rPr>
      <t xml:space="preserve">
Predios censados: 32      Predios Pendientes:   0         Unidades sociales:   52
</t>
    </r>
    <r>
      <rPr>
        <b/>
        <sz val="8"/>
        <rFont val="Arial"/>
        <family val="2"/>
      </rPr>
      <t>Cable Ciudad Bolivar</t>
    </r>
    <r>
      <rPr>
        <sz val="8"/>
        <rFont val="Arial"/>
        <family val="2"/>
      </rPr>
      <t xml:space="preserve">
Predios censados: 178      Predios Pendientes:   0         Unidades sociales:   512
</t>
    </r>
    <r>
      <rPr>
        <b/>
        <sz val="8"/>
        <rFont val="Arial"/>
        <family val="2"/>
      </rPr>
      <t>Proyecto Av. Ciudad de Cali</t>
    </r>
    <r>
      <rPr>
        <sz val="8"/>
        <rFont val="Arial"/>
        <family val="2"/>
      </rPr>
      <t xml:space="preserve">
Predios censados: 484     Predios Pendientes:   0         Unidades sociales:   931
</t>
    </r>
    <r>
      <rPr>
        <b/>
        <sz val="8"/>
        <rFont val="Arial"/>
        <family val="2"/>
      </rPr>
      <t>Proyecto Av. El Rincon</t>
    </r>
    <r>
      <rPr>
        <sz val="8"/>
        <rFont val="Arial"/>
        <family val="2"/>
      </rPr>
      <t xml:space="preserve">
Predios censados: 74      Predios Pendientes:   238         Unidades sociales:   295
</t>
    </r>
    <r>
      <rPr>
        <b/>
        <sz val="8"/>
        <rFont val="Arial"/>
        <family val="2"/>
      </rPr>
      <t>Proyecto Av. San Antonio (183) Av Boyaca hasta paseo de los libertadores</t>
    </r>
    <r>
      <rPr>
        <sz val="8"/>
        <rFont val="Arial"/>
        <family val="2"/>
      </rPr>
      <t xml:space="preserve">
Predios censados: 8      Predios Pendientes:   14        Unidades sociales:   8
Asi mismo el grupo de Gestion social a realizado las siguientes asesorias en los proyectos mensionados anteriormente :
Juridicas: 1.936      Sociales: 11.411        Ecomonicas: 2.176     Inmobiliarias: 830
</t>
    </r>
    <r>
      <rPr>
        <b/>
        <sz val="8"/>
        <rFont val="Arial"/>
        <family val="2"/>
      </rPr>
      <t>Cartillas:</t>
    </r>
    <r>
      <rPr>
        <sz val="8"/>
        <rFont val="Arial"/>
        <family val="2"/>
      </rPr>
      <t xml:space="preserve">
Se encuenta elaborada y lista para impresión de la Cartilla de Gestion Predial -  Reasentamiento intergral.
Carlilla de asesorias econimicas lista para impresión.
Cartilla de asesoria Inmobiliria lista pra impresión. 
Estas cartillas seran repartidas a la poblacion afectada directamente por la adquisicion predial.</t>
    </r>
  </si>
  <si>
    <r>
      <rPr>
        <b/>
        <sz val="8"/>
        <rFont val="Arial"/>
        <family val="2"/>
      </rPr>
      <t>108 - AV SUBA RINCON DESDE LA AV. BOYACA HASTA LA AK 91 POR CALLE 125 - GRADUALIDAD 2</t>
    </r>
    <r>
      <rPr>
        <sz val="8"/>
        <rFont val="Arial"/>
        <family val="2"/>
      </rPr>
      <t xml:space="preserve">
Predios censados: 76      Predios Pendientes:   0         Unidades sociales:   246
</t>
    </r>
    <r>
      <rPr>
        <b/>
        <sz val="8"/>
        <rFont val="Arial"/>
        <family val="2"/>
      </rPr>
      <t>108 - AV SUBA RINCON DESDE LA AV. BOYACA HASTA LA AK 91 POR CALLE 125 - GRADUALIDAD 1</t>
    </r>
    <r>
      <rPr>
        <sz val="8"/>
        <rFont val="Arial"/>
        <family val="2"/>
      </rPr>
      <t xml:space="preserve">
Predios censados: 48      Predios Pendientes:   0         Unidades sociales:   71
</t>
    </r>
    <r>
      <rPr>
        <b/>
        <sz val="8"/>
        <rFont val="Arial"/>
        <family val="2"/>
      </rPr>
      <t>143 - AVENIDA BOSA - GRADUALIDAD 1</t>
    </r>
    <r>
      <rPr>
        <sz val="8"/>
        <rFont val="Arial"/>
        <family val="2"/>
      </rPr>
      <t xml:space="preserve">
Predio censados: 81      Predios Pendientes:   0         Unidades sociales:   243
</t>
    </r>
    <r>
      <rPr>
        <b/>
        <sz val="8"/>
        <rFont val="Arial"/>
        <family val="2"/>
      </rPr>
      <t>143 - AVENIDA BOSA - GRADUALIDAD 2</t>
    </r>
    <r>
      <rPr>
        <sz val="8"/>
        <rFont val="Arial"/>
        <family val="2"/>
      </rPr>
      <t xml:space="preserve">
Predios censados: 76      Predios Pendientes:   0         Unidades sociales:   243
</t>
    </r>
    <r>
      <rPr>
        <b/>
        <sz val="8"/>
        <rFont val="Arial"/>
        <family val="2"/>
      </rPr>
      <t>Ampliación de la troncal caracas desde la estación molinos hasta el portal Usme</t>
    </r>
    <r>
      <rPr>
        <sz val="8"/>
        <rFont val="Arial"/>
        <family val="2"/>
      </rPr>
      <t xml:space="preserve">
Predios censados: 39      Predios Pendientes:   0         Unidades sociales:   94
</t>
    </r>
    <r>
      <rPr>
        <b/>
        <sz val="8"/>
        <rFont val="Arial"/>
        <family val="2"/>
      </rPr>
      <t>116 - AVENIDA JOSE CELESTINO MUTIS</t>
    </r>
    <r>
      <rPr>
        <sz val="8"/>
        <rFont val="Arial"/>
        <family val="2"/>
      </rPr>
      <t xml:space="preserve">
Predios censados: 110      Predios Pendientes:   0         Unidades sociales:   374
</t>
    </r>
    <r>
      <rPr>
        <b/>
        <sz val="8"/>
        <rFont val="Arial"/>
        <family val="2"/>
      </rPr>
      <t>Av 9 desde la Calle 170 hasta la Calle 183  Primer Tramo</t>
    </r>
    <r>
      <rPr>
        <sz val="8"/>
        <rFont val="Arial"/>
        <family val="2"/>
      </rPr>
      <t xml:space="preserve"> 
Predios censados: 41      Predios Pendientes:   0         Unidades sociales:   92
</t>
    </r>
    <r>
      <rPr>
        <b/>
        <sz val="8"/>
        <rFont val="Arial"/>
        <family val="2"/>
      </rPr>
      <t>Av 9 desde la Calle 170 hasta la Calle 183  Segundo Tramo</t>
    </r>
    <r>
      <rPr>
        <sz val="8"/>
        <rFont val="Arial"/>
        <family val="2"/>
      </rPr>
      <t xml:space="preserve"> 
Predios censados: 88      Predios Pendientes:   0         Unidades sociales:   199
</t>
    </r>
    <r>
      <rPr>
        <b/>
        <sz val="8"/>
        <rFont val="Arial"/>
        <family val="2"/>
      </rPr>
      <t>Av San Antonio (Calle 183) desde la Kr 7 hasta la Auto Norte</t>
    </r>
    <r>
      <rPr>
        <sz val="8"/>
        <rFont val="Arial"/>
        <family val="2"/>
      </rPr>
      <t xml:space="preserve">
Predios censados: 130      Predios Pendientes:   0         Unidades sociales:  261
</t>
    </r>
    <r>
      <rPr>
        <b/>
        <sz val="8"/>
        <rFont val="Arial"/>
        <family val="2"/>
      </rPr>
      <t>Av Boyacá desde Av San José (Calle 170)  hasta la Av San Antonio (Calle 183)</t>
    </r>
    <r>
      <rPr>
        <sz val="8"/>
        <rFont val="Arial"/>
        <family val="2"/>
      </rPr>
      <t xml:space="preserve">
Predios censados: 32     Predios Pendientes:   0         Unidades sociales:   52
</t>
    </r>
    <r>
      <rPr>
        <b/>
        <sz val="8"/>
        <rFont val="Arial"/>
        <family val="2"/>
      </rPr>
      <t>Cable Aereo Ciudad Bolivar</t>
    </r>
    <r>
      <rPr>
        <sz val="8"/>
        <rFont val="Arial"/>
        <family val="2"/>
      </rPr>
      <t xml:space="preserve"> 
Predios censados: 178     Predios Pendientes:   0         Unidades sociales:   518
</t>
    </r>
    <r>
      <rPr>
        <b/>
        <sz val="8"/>
        <rFont val="Arial"/>
        <family val="2"/>
      </rPr>
      <t>Av Ciudad de Cali, desde Avenida Bosa hasta Avenida San Bernardino</t>
    </r>
    <r>
      <rPr>
        <sz val="8"/>
        <rFont val="Arial"/>
        <family val="2"/>
      </rPr>
      <t xml:space="preserve">
Predios censados: 484     Predios Pendientes:   0         Unidades sociales:   1063
</t>
    </r>
    <r>
      <rPr>
        <b/>
        <sz val="8"/>
        <rFont val="Arial"/>
        <family val="2"/>
      </rPr>
      <t>Av Rincon (Kr 91 y AC 131) desde la CRA 91 hasta Av la Conejera (TV97)</t>
    </r>
    <r>
      <rPr>
        <sz val="8"/>
        <rFont val="Arial"/>
        <family val="2"/>
      </rPr>
      <t xml:space="preserve">
Predios censados: 299      Predios Pendientes:   0      Unidades sociales:   1030
</t>
    </r>
    <r>
      <rPr>
        <b/>
        <sz val="8"/>
        <rFont val="Arial"/>
        <family val="2"/>
      </rPr>
      <t>Av San Antonio (Calle 183) desde Av Boyaca (Kra 72) hasta la Avenida Paseo de los Libertadores (Autonorte)</t>
    </r>
    <r>
      <rPr>
        <sz val="8"/>
        <rFont val="Arial"/>
        <family val="2"/>
      </rPr>
      <t xml:space="preserve">
Predios censados: 8      Predios Pendientes:   0        Unidades sociales:   8
</t>
    </r>
    <r>
      <rPr>
        <b/>
        <sz val="8"/>
        <rFont val="Arial"/>
        <family val="2"/>
      </rPr>
      <t xml:space="preserve">Avenida Tabor desde Avenida la Conejera hasta Av. Ciudad de Cali
</t>
    </r>
    <r>
      <rPr>
        <sz val="8"/>
        <rFont val="Arial"/>
        <family val="2"/>
      </rPr>
      <t xml:space="preserve">Predios censados: 118      Predios Pendientes:  0        Unidades sociales:  392
</t>
    </r>
    <r>
      <rPr>
        <b/>
        <sz val="8"/>
        <rFont val="Arial"/>
        <family val="2"/>
      </rPr>
      <t xml:space="preserve">Avenida Tintal (AK 89) desde Avenida Villavicencio hasta Avenida Manuel Cepeda Vargas - Calzada Occidental
</t>
    </r>
    <r>
      <rPr>
        <sz val="8"/>
        <rFont val="Arial"/>
        <family val="2"/>
      </rPr>
      <t>Predios censados: 216      Predios Pendientes:   0      Unidades sociales:   509
Asi mismo el grupo de Gestion social a realizado las siguientes asesorias en los proyectos mensionados anteriormente :
Juridicas: 2.271      Sociales: 12.679        Ecomonicas: 2.840     Inmobiliarias: 800
Cartillas:
Se encuenta elaborada y lista para impresión de la Cartilla de Gestion Predial -  Reasentamiento intergral.
Carlilla de asesorias econimicas lista para impresión.
Cartilla de asesoria Inmobiliria lista pra impresión. 
Estas cartillas seran repartidas a la poblacion afectada directamente por la adquisicion predial.</t>
    </r>
  </si>
  <si>
    <t xml:space="preserve">Para este periodo no se reporta este indicador </t>
  </si>
  <si>
    <r>
      <t xml:space="preserve">108 - AV SUBA RINCON DESDE LA AV. BOYACÁ HASTA LA AK 91 POR CALLE 125 - GRADUALIDAD 2
</t>
    </r>
    <r>
      <rPr>
        <sz val="7"/>
        <rFont val="Arial"/>
        <family val="2"/>
      </rPr>
      <t>Predios censados: 76      Predios Pendientes:   0         Unidades sociales:   246</t>
    </r>
    <r>
      <rPr>
        <b/>
        <sz val="7"/>
        <rFont val="Arial"/>
        <family val="2"/>
      </rPr>
      <t xml:space="preserve">
108 - AV SUBA RINCON DESDE LA AV. BOYACÁ HASTA LA AK 91 POR CALLE 125 - GRADUALIDAD 1
</t>
    </r>
    <r>
      <rPr>
        <sz val="7"/>
        <rFont val="Arial"/>
        <family val="2"/>
      </rPr>
      <t>Predios censados: 48      Predios Pendientes:   0         Unidades sociales:   71</t>
    </r>
    <r>
      <rPr>
        <b/>
        <sz val="7"/>
        <rFont val="Arial"/>
        <family val="2"/>
      </rPr>
      <t xml:space="preserve">
143 - AVENIDA BOSA - GRADUALIDAD 1
</t>
    </r>
    <r>
      <rPr>
        <sz val="7"/>
        <rFont val="Arial"/>
        <family val="2"/>
      </rPr>
      <t>Predio censados: 82      Predios Pendientes:   0         Unidades sociales:   246</t>
    </r>
    <r>
      <rPr>
        <b/>
        <sz val="7"/>
        <rFont val="Arial"/>
        <family val="2"/>
      </rPr>
      <t xml:space="preserve">
143 - AVENIDA BOSA - GRADUALIDAD 2
</t>
    </r>
    <r>
      <rPr>
        <sz val="7"/>
        <rFont val="Arial"/>
        <family val="2"/>
      </rPr>
      <t>Predios censados: 76      Predios Pendientes:   0         Unidades sociales:   241</t>
    </r>
    <r>
      <rPr>
        <b/>
        <sz val="7"/>
        <rFont val="Arial"/>
        <family val="2"/>
      </rPr>
      <t xml:space="preserve">
Ampliación de la troncal caracas desde la estación molinos hasta el portal Usme
</t>
    </r>
    <r>
      <rPr>
        <sz val="7"/>
        <rFont val="Arial"/>
        <family val="2"/>
      </rPr>
      <t>Predios censados: 39      Predios Pendientes:   0         Unidades sociales:   95</t>
    </r>
    <r>
      <rPr>
        <b/>
        <sz val="7"/>
        <rFont val="Arial"/>
        <family val="2"/>
      </rPr>
      <t xml:space="preserve">
116 - AVENIDA JOSE CELESTINO MUTIS
</t>
    </r>
    <r>
      <rPr>
        <sz val="7"/>
        <rFont val="Arial"/>
        <family val="2"/>
      </rPr>
      <t>Predios censados: 129      Predios Pendientes:   0         Unidades sociales:   330</t>
    </r>
    <r>
      <rPr>
        <b/>
        <sz val="7"/>
        <rFont val="Arial"/>
        <family val="2"/>
      </rPr>
      <t xml:space="preserve">
Av 9 desde la Calle 170 hasta la Calle 183  Primer Tramo 
</t>
    </r>
    <r>
      <rPr>
        <sz val="7"/>
        <rFont val="Arial"/>
        <family val="2"/>
      </rPr>
      <t>Predios censados: 41      Predios Pendientes:   0         Unidades sociales:   92</t>
    </r>
    <r>
      <rPr>
        <b/>
        <sz val="7"/>
        <rFont val="Arial"/>
        <family val="2"/>
      </rPr>
      <t xml:space="preserve">
Av 9 desde la Calle 170 hasta la Calle 183  Segundo Tramo 
</t>
    </r>
    <r>
      <rPr>
        <sz val="7"/>
        <rFont val="Arial"/>
        <family val="2"/>
      </rPr>
      <t>Predios censados: 89      Predios Pendientes:   0         Unidades sociales:   200</t>
    </r>
    <r>
      <rPr>
        <b/>
        <sz val="7"/>
        <rFont val="Arial"/>
        <family val="2"/>
      </rPr>
      <t xml:space="preserve">
Av San Antonio (Calle 183) desde la Kr 7 hasta la Auto Norte
</t>
    </r>
    <r>
      <rPr>
        <sz val="7"/>
        <rFont val="Arial"/>
        <family val="2"/>
      </rPr>
      <t>Predios censados: 130      Predios Pendientes:   0         Unidades sociales:  264</t>
    </r>
    <r>
      <rPr>
        <b/>
        <sz val="7"/>
        <rFont val="Arial"/>
        <family val="2"/>
      </rPr>
      <t xml:space="preserve">
Av Boyacá desde Av San José (Calle 170)  hasta la Av San Antonio (Calle 183)
</t>
    </r>
    <r>
      <rPr>
        <sz val="7"/>
        <rFont val="Arial"/>
        <family val="2"/>
      </rPr>
      <t>Predios censados: 51     Predios Pendientes:   0         Unidades sociales:   82</t>
    </r>
    <r>
      <rPr>
        <b/>
        <sz val="7"/>
        <rFont val="Arial"/>
        <family val="2"/>
      </rPr>
      <t xml:space="preserve">
Cable Aéreo Ciudad Bolívar 
</t>
    </r>
    <r>
      <rPr>
        <sz val="7"/>
        <rFont val="Arial"/>
        <family val="2"/>
      </rPr>
      <t>Predios censados: 179     Predios Pendientes:   0         Unidades sociales:   522</t>
    </r>
    <r>
      <rPr>
        <b/>
        <sz val="7"/>
        <rFont val="Arial"/>
        <family val="2"/>
      </rPr>
      <t xml:space="preserve">
Av Ciudad de Cali, desde Avenida Bosa hasta Avenida San Bernardino
</t>
    </r>
    <r>
      <rPr>
        <sz val="7"/>
        <rFont val="Arial"/>
        <family val="2"/>
      </rPr>
      <t>Predios censados: 484     Predios Pendientes:   0         Unidades sociales:   1063</t>
    </r>
    <r>
      <rPr>
        <b/>
        <sz val="7"/>
        <rFont val="Arial"/>
        <family val="2"/>
      </rPr>
      <t xml:space="preserve">
Av Rincon (Kr 91 y AC 131) desde la CRA 91 hasta Av la Conejera (TV97)
</t>
    </r>
    <r>
      <rPr>
        <sz val="7"/>
        <rFont val="Arial"/>
        <family val="2"/>
      </rPr>
      <t>Predios censados: 299      Predios Pendientes:   0      Unidades sociales:   1030</t>
    </r>
    <r>
      <rPr>
        <b/>
        <sz val="7"/>
        <rFont val="Arial"/>
        <family val="2"/>
      </rPr>
      <t xml:space="preserve">
Av San Antonio (Calle 183) desde Av Boyacá (Kra 72) hasta la Avenida Paseo de los Libertadores (Autonorte)
</t>
    </r>
    <r>
      <rPr>
        <sz val="7"/>
        <rFont val="Arial"/>
        <family val="2"/>
      </rPr>
      <t>Predios censados: 8      Predios Pendientes:   0        Unidades sociales:   9</t>
    </r>
    <r>
      <rPr>
        <b/>
        <sz val="7"/>
        <rFont val="Arial"/>
        <family val="2"/>
      </rPr>
      <t xml:space="preserve">
Avenida Tabor desde Avenida la Conejera hasta Av. Ciudad de Cali
</t>
    </r>
    <r>
      <rPr>
        <sz val="7"/>
        <rFont val="Arial"/>
        <family val="2"/>
      </rPr>
      <t>Predios censados: 118      Predios Pendientes:  0        Unidades sociales:  432</t>
    </r>
    <r>
      <rPr>
        <b/>
        <sz val="7"/>
        <rFont val="Arial"/>
        <family val="2"/>
      </rPr>
      <t xml:space="preserve">
Avenida Tintal (AK 89) desde Avenida Villavicencio hasta Avenida Manuel Cepeda Vargas - Calzada Occidental
</t>
    </r>
    <r>
      <rPr>
        <sz val="7"/>
        <rFont val="Arial"/>
        <family val="2"/>
      </rPr>
      <t>Predios censados: 216      Predios Pendientes:   0      Unidades sociales:   524</t>
    </r>
    <r>
      <rPr>
        <b/>
        <sz val="7"/>
        <rFont val="Arial"/>
        <family val="2"/>
      </rPr>
      <t xml:space="preserve">
Así mismo el grupo de Gestión social a realizado las siguientes asesorías en los proyectos mencionados anteriormente :
Jurídicas: 2.271      Sociales: 12.679        Económicas: 2.840     Inmobiliarias: 800</t>
    </r>
    <r>
      <rPr>
        <sz val="7"/>
        <rFont val="Arial"/>
        <family val="2"/>
      </rPr>
      <t xml:space="preserve">
Cartillas:
Se encuentra publicada Cartilla de Gestión Predial -  Reasentamiento integral.
La cartilla será repartida a la población afectada directamente por la adquisición
Con el fin de atender a la población afectada por los proyectos de infraestructura se suscribió el contrato cuyo es Objeto " prestar el servicio de arrendamiento integral de estructuras modulares temporales de oficina para la atención a la comunidad afectada por la compra de predios para los diferentes proyectos de infraestructura vial, que incluye organización, montaje y desmontaje de estructura, así como el mobiliario, transporte y desplazamientos temporales requeridos por la entidad 
</t>
    </r>
  </si>
  <si>
    <t xml:space="preserve">En la vigencia 2014 en cuanto al reasentamiento integral de la población afectada se cumplió con el 100% de la meta propuesta. El equipo social censo 2396 predios y realizó 5.467 Censos a Unidades Sociales de dichos predios.
Así mismo a realizado las siguientes asesorías en los proyectos afectados por obras de infraestructura a cargo de la DTDP :
Jurídicas: 2.271      Sociales: 12.679        Económicas: 2.840     Inmobiliarias: 800
Por otro lado y con el fin de atender a la población afectada por las obras e implementar nuevas estrategias para la gestión se implementaron Oficinas de Atención en la zona en donde se desarrolla un Proyecto de Infraestructura ( Puntos de Atención IDU  - PAI)  con el objeto de facilitar la gestión, mantener información permanente y acompañar de forma cercana a la población que debe realizar trámites, presentar documentos y cumplir los demás requisitos para venta de sus predios al Instituto, reposición de predios y restablecimiento de las condiciones iniciales de las unidades sociales vinculadas a los mismos, para ello se suscribió el contrato N° No 366 de 2014 y se iniciaron actividades desde el mes de Agosto.
En cuanto a comunicaciones la DTDP elaboró y publicó la cartilla de gestión predial y reasentamiento social.  Esta cartilla explica que es la gestión predial, y el acompañamiento en el Reasentamiento Social. Cada ciudadano afectado por la compra de su predio tendrá esta cartilla donde encontrara el contacto de los profesionales que lo están atendiendo e información relevante del proyecto que pasara por su casa, lote, oficina o bodega etc.
también elaboro el folleto de adquisición predial para PROYECTO METRO con el fin de distribuirlo en el primer tramo de Metro, con el cual se busca informar a la ciudadanía acerca del proyecto, censo y características del mismo
</t>
  </si>
  <si>
    <t>Otorgar viabilidad predial a un (1) proyecto a 31 de diciembre de 2014.</t>
  </si>
  <si>
    <t>Proyectos viabilizados predialmente</t>
  </si>
  <si>
    <t>Seguimiento a la viabilidad predial, con el fin de iniciar los procesos de licitación de la ejecución de las obras.</t>
  </si>
  <si>
    <t>(Total de proyectos con viabilidad predial) / (Total de proyectos programados a viabilizar en la vigencia) * 100</t>
  </si>
  <si>
    <t>Tablero de Control</t>
  </si>
  <si>
    <t>#</t>
  </si>
  <si>
    <t>A 31  de marzo de 2014 la DTDP adelantó la solicitud de avalúos la cual se vio afectada por la suspensión del decreto 364/2013 MEPOT, por lo tanto una vez la UAECD entregue los avalúos se realizaran las ofertas correspondientes, tendientes a la adquisición de los inmuebles requeridos.</t>
  </si>
  <si>
    <t xml:space="preserve">Para el año 2014 la Dirección Técnica de Predios tenía previsto dar viabilidad predial a seis (6) proyectos en los cuales se adelanta el proceso de gestión predial a saber:
• Av. Jose Celestino Mutis (Ac 63) desde la Kr 114 hasta la Kr 122. 
• Av. Laureano Gómez (Ak 9) desde la Av. San Jose (AC 170) hasta la Av. San Antonio (Ac 183).
• Av. Laureano Gómez (Ak 9)  desde la Av. San Antonio (Ac. 183)  hasta la AC 193.
• Av. San Antonio (Ac. 183)  desde la Av. Paseo de los Libertadores (Auto Norte) hasta Av. Alberto Lleras Camargo (Ac. 7)
• Av. Bosa desde la Av. Agoberto Mejía (Ak. 80) hasta la Av. Ciudad de Cali.
• Av. la Sirena (Ac 153)  desde Av. Laureano Gómez (Ak 9) hasta Av. Alberto Lleras Camargo (Ak. 7)
Sin embargo y debido a la suspensión del Decreto 364 de 2013 (MEPOT) para los avalúos que se encontraban en elaboración por la UAECD, se debió solicitar a la Secretaria Distrital de Planeación, la nueva norma urbanística vigente requerida para la elaboración de los avalúos de conformidad con lo establecido en la Ley 1682 de 2013 y el decreto 1420 de 1998, afectado los tiempos del proceso de Gestión Predial, requiriéndose ajustar los cronogramas reprogramando los tiempos para los proyectos en ejecución, conllevando a trasladar la viabilidad predial de 4 proyectos para el año 2015, los cuales son:
• Av. Jose Celestino Mutis (Ac 63) desde la Kr 114 hasta la Kr 122. 
• Av. Laureano Gomez (Ak 9) desde la Av. San Jose (AC 170) hasta la Av. San Antonio (Ac 183).
• Av. Laureano Gomez (Ak 9)  desde la Av. San Antonio (Ac. 183)  hasta la AC 193.
• Av. San Antonio (Ac. 183)  desde la  Av Paseo de Los Libertadores (AutoNorte) hasta Av. Alberto Lleras Camargo (Ac. 7)
Por lo anterior, para el 2014 solo se podrá dar viabilidad predial a dos proyectos en los cuales la DTDP adelanta el proceso de adquisición de los inmuebles: 
• Av. Bosa desde la Av. Agoberto Mejia hasta la Av. Ciudad de Cali.|
• Av. la Sirena (Ac 153)  desde Av. Laureano Gomez (Ak 9) hasta Av. Alberto Lleras Camargo (Ak. 7)
</t>
  </si>
  <si>
    <t xml:space="preserve">Teniendo en cuenta las ordenes impartidas por la Dirección General en el Comité de presupuesto del día 12 de noviembre de 2014 se informa que se ajusta la meta de esta indicador.  Se excluye la viabilidad del proyecto Bosa entre Agoberto Mejia y Av. Ciudad de Cali, es decir, la DTDP otorgará la viabilidad al proyecto la Sirena;  la meta se fija así:  
Otorgar viabilidad predial a un (1) proyecto a 31 de diciembre de 2014.
</t>
  </si>
  <si>
    <t xml:space="preserve">La dirección técnica de predios a través del radicado N° 20143250657653 de fecha 28 de noviembre de 2014  otorgo Concepto de Viabilidad Predial Para el Inicio de Obra en Terreno Para el Proyecto Avenida La Sirena (AC 153) -desde Avenida Laureano Gómez (AK 9) hasta la Avenida Alberto Lleras -Camargo (AK 7) del Acuerdo 523 de 2013.
</t>
  </si>
  <si>
    <t>En el mes de noviembre la dirección técnica de predios  DTDP reportó en cumplimiento de la meta del indicador a través del radicado N° 20143250657653 de fecha 28 de noviembre de 2014  otorgo Concepto de Viabilidad Predial Para el Inicio de Obra en Terreno Para el Proyecto Avenida La Sirena (AC 153) -desde Avenida Laureano Gómez (AK 9) hasta la Avenida Alberto Lleras -Camargo (AK 7) del Acuerdo 523 de 2013.</t>
  </si>
  <si>
    <t>LA DTDP cumplo con la meta propuesta para este indicador al otorgar la viabilidad predial al proyecto la Sirena tramo desde Avenida Laureano Gómez (AK 9) hasta la Avenida Alberto Lleras -Camargo (AK 7) del Acuerdo 523 de 2013.</t>
  </si>
  <si>
    <t>Iniciar el proceso de Gestión Predial para 9 proyectos IDU, hasta la emisión de Ofertas de Compra</t>
  </si>
  <si>
    <t>Procesos iniciados predialmente</t>
  </si>
  <si>
    <t>Seguimiento a las etapas iniciales de Gestión Predial con el fin de otorgar la viabilidad predial a los proyectos IDU.</t>
  </si>
  <si>
    <t>(Etapas ejecutadas) / (Total de etapas cumplidas hasta oferta de compra) * 100</t>
  </si>
  <si>
    <t xml:space="preserve">La DTDP realiza  seguimiento semanal en aras del cumplimento de los cronogramas institucionales para 11 por cupo de endeudamiento y a 8 por valorización, mediante la implementación del tablero de control. </t>
  </si>
  <si>
    <r>
      <t xml:space="preserve">Los proyectos que la DTDP para el año 2014 espera iniciar el proceso de gestión predial y alcanzar a expedir las correspondientes ofertas de compras son:
• Ampliación Caracas (Molinos a Portal Usme)
• Cable Aéreo Ciudad Bolívar
• Avenida El Rincón desde Avenida Boyacá hasta la Carrera 91. (Predios fuera de Gradualidad.)
 • Avenida José Celestino Mutis (AC  63) desde Carrera 114 hasta Carrera 122).
• Avenida Ciudad de Cali, desde Avenida Bosa hasta Avenida San Bernardino.
 • Avenida El Rincón (KR 91 y AC 131A) desde Carrera 91 hasta Avenida la Conejera (TV97).
 • Avenida Tabor desde Av. la Conejera hasta Av. Ciudad de Cali.
• Avenida Alsacia desde Avenida Tintal (AK 89) hasta Avenida Ciudad de Cali (AK 86).
• Avenida Alsacia desde Avenida Boyacá (AK 72) hasta Avenida Ciudad de Cali (AK 86).  
• Avenida Alsacia (AC 12) desde Avenida de la Constitución hasta Avenida Boyacá (AK 72).
• Avenida Tintal (AK 89) desde Avenida Villavicencio hasta Avenida Manuel Cepeda Vargas – Calzada Occidental.
• Avenida Tintal (AK 89) desde Avenida Manuel Cepeda Vargas hasta Avenida Alsacia (AC 12)- Calzada Occidental.
• Avenida San Antonio (AC 183) desde la Avenida Paseo de los Libertadores (Autonorte) hasta Av. Alberto Lleras Camargo (Ac. 7).
• Avenida Boyacá (AK 72) desde Avenida San José (AC 170) hasta Avenida San Antonio (AC  183).
• Avenida Jose Celestino Mutis (Ac 63) desde Av. De la Constitución (Ak. 70) Hasta Av. Boyacá (Ak. 72)
• Av. San Antonio (Ac. 183) desde la Av. Boyacá (Ak. 72) Hasta Av. Paseo de los Libertadores (Autonorte). 
</t>
    </r>
    <r>
      <rPr>
        <b/>
        <sz val="8"/>
        <rFont val="Arial"/>
        <family val="2"/>
      </rPr>
      <t>El avance por etapa para los 15 proyectos:</t>
    </r>
    <r>
      <rPr>
        <sz val="8"/>
        <rFont val="Arial"/>
        <family val="2"/>
      </rPr>
      <t xml:space="preserve">
Registros Topográficos: 14,25%
Avalúos: 2,43%
Gestión Social: 12,44%
Gestión Jurídica: 0,17%
Total: 29,29%
</t>
    </r>
    <r>
      <rPr>
        <b/>
        <sz val="8"/>
        <rFont val="Arial"/>
        <family val="2"/>
      </rPr>
      <t>El avance por etapa para los total de (19) proyectos:</t>
    </r>
    <r>
      <rPr>
        <sz val="8"/>
        <rFont val="Arial"/>
        <family val="2"/>
      </rPr>
      <t xml:space="preserve">
Registros Topográficos: 22,90%
Avalúos: 2,65%
Gestión Social: 20,86%
Gestión Jurídica: 0,17%
Total: 46,58%</t>
    </r>
  </si>
  <si>
    <t>Se ajusta delimita la Meta del Indicador y la Formula del mismo.</t>
  </si>
  <si>
    <t>El avance por etapa para los 15 proyectos:
Registros Topográficos: 16,57%
Avalúos: 9,08%
Gestión Social: 24,61%
Gestión Jurídica: 3.97%
Total: 50.37%
El avance por etapa para los total de (19) proyectos:
Registros Topográficos: 25,66%
Avalúos: 9.08%
Gestión Social: 34,43%
Gestión Jurídica: 7.67%
Total: 76.84%</t>
  </si>
  <si>
    <t>Teniendo en cuenta las ordenes impartidas por la Dirección General en el Comité Directivo Predial del día 23 de octubre de 2014 se informa que se ajusta la meta de este indicador.  Se aplazan 7 proyectos para la vigencia 2015 por quedar desfinanciados, la meta se fija así:  
Iniciar el proceso de Gestión Predial para 9 proyectos IDU, hasta la emisión de Ofertas de Compra
En el siguiente cuadro se detallan los proyectos que continúan en gestión predial y los aplazados:</t>
  </si>
  <si>
    <t xml:space="preserve">Al cierre del 2014 se priorizaron 9  proyectos que se describen a continuación:
 - Avenida José Celestino Mutis (AC 63) desde Carrera 114 hasta Carrera 122 
 - Avenida San Antonio (AC 183) desde la Av. Paseo de los Libertadores (Autonorte) hasta Av. Alberto Lleras Camargo (AC. 7)
 - Avenida Ciudad de Cali, desde Avenida Bosa hasta Avenida San Bernardino
 - Avenida El Rincón (KR 91 y AC 131A) desde Carrera 91 hasta Avenida la Conejera (TV97)
 - Avenida Tabor desde Avenida la Conejera hasta Av. Ciudad de Cali
 - Cable Ciudad Bolívar
 - Avenida El Rincón desde Avenida Boyacá hasta la Carrera 91.
 - Avenida San Antonio (AC 183) desde la Avenida Boyacá (AK 72) hasta la Avenida Paseo de los Libertadores (Autonorte)
 - Avenida Boyacá (AK 72) desde Avenida San José (AC 170) hasta Avenida San Antonio (AC 183)
De estos proyectos se requieren 1437 predios en adquisición y a 31 de diciembre se ofertaron 955 predios.
El avance por etapa para los 9 proyectos fue:
Registros Topográficos: 25%
Avalúos: 15,22%
Gestión Social: 24,70%
Gestión Juridica:15,61%
Es decir el cumplimiento de este indicador es del  80,54%
</t>
  </si>
  <si>
    <t xml:space="preserve">Con relación a este indicador la DTDP el en ultimo trimestre de la vigencia 2014 esta dirección concentro sus esfuerzos en la elaboración y obtención de los insumos necesarios para la expedición de ofertas de compra con el fin ofertar la mayor cantidad de predios posibles en los proyectos a cargo de esta dirección.
Durante el año 2014 la DTDP adelanto insumos prediales para los siguiente 14 proyectos de Cupo de Endeudamiento Acuerdo 527:
Avenida de los Cerros (Avenida Circunvalar) desde Calle 9 hasta Avenida de los Comuneros. 
Avenida Bosa, desde Avenida Agoberto Mejía (AK 80) hasta Avenida Ciudad de Cali  -  Primera Gradualidad  y  Segunda Gradualidad.              
 Avenida José Celestino Mutis (AC 63) desde Carrera 114 hasta Carrera 122.    
 Avenida San Antonio (AC 183) desde la Av. Paseo de los Libertadores (Auto Norte) hasta Av. Alberto Lleras Camargo (AC. 7)  
Avenida Ciudad de Cali, desde Avenida Bosa hasta Avenida San Bernardino 
Avenida El Rincón (KR 91 y AC 131A) desde Carrera 91 hasta Avenida la Conejera (TV97)
 Avenida Tabor desde Avenida la Conejera hasta Av. Ciudad de Cali. 
Cable Ciudad Bolívar.   
Con fuente de financiación Valorización Acuerdo 523.
Avenida Colombia (AK 24) desde la Calle 76 hasta Avenida Medellín (AC 80).                                                                                                                                 
Avenida El Rincón desde Avenida Boyacá hasta la Carrera 91  - Primera Gradualidad. y  Segunda Gradualidad
 Avenida La Sirena (AC 153) desde Avenida Laureano Gómez (AK 9) hasta Avenida Alberto Lleras Camargo (AK 7).                                                             
Avenida José Celestino Mutis (AC  63) desde Avenida de la Constitución (AK 70) hasta Avenida Boyacá (AK 72).                                                              
Avenida San Antonio (AC 183) desde la Avenida Boyacá (AK 72) hasta la Avenida Paseo de los Libertadores (Auto Norte)                                 
Avenida Boyacá (AK 72) desde Avenida San José (AC 170) hasta Avenida San Antonio (AC 183).
Es decir para estos proyectos se elaboraron RT´s,  Censos, Avalúos, Estudio de Títulos y Ofertas de compra. En total la DTDP expidió 1122 ofertas de compra en los proyectos mencionados, sin embargo, al delimitar el indicador solo se tuvieron en cuenta los nueve proyectos descritos en el análisis del mes de diciembre y en los cuales se ofertaron 955 predios.                                                                                         
</t>
  </si>
  <si>
    <t>3.1 Diseñar e implementar un plan de gestión del conocimiento que permita capturar, organizar, transferir y difundir el conocimiento institucional..</t>
  </si>
  <si>
    <t>Promover un proceso de  gestión del conocimiento de última generación aplicado a la gestión  predial</t>
  </si>
  <si>
    <t>Gestión del conocimiento aplicado a la gestión  predial</t>
  </si>
  <si>
    <t>Estructurar un modelo de gestión del conocimiento aplicado a la gestión  predial</t>
  </si>
  <si>
    <t>(Etapas ejecutadas en el periodo) / (Total de etapas programadas ) * 100</t>
  </si>
  <si>
    <t>Informes de avance</t>
  </si>
  <si>
    <r>
      <t xml:space="preserve">Frente al cumplimiento de este indicador esta en proceso de reingeniería los proceso de Gestión Predial así: 
Actualización del procedimiento de </t>
    </r>
    <r>
      <rPr>
        <b/>
        <sz val="8"/>
        <rFont val="Arial"/>
        <family val="2"/>
      </rPr>
      <t>Adquisición Predial</t>
    </r>
    <r>
      <rPr>
        <sz val="8"/>
        <rFont val="Arial"/>
        <family val="2"/>
      </rPr>
      <t xml:space="preserve"> con  áreas involucradas en las siguientes mesas de trabajo : 27 y 28 de febrero se realizó el levantamiento de actividades con el área de Topográficos; 19 de marzo de realizó el levantamiento de avalúos
Se trabaja en la actualización de los  formatos del procedimiento.
Ya tiene la primera versión del Manual de Adquisición Predial el cual esta propuesto como meta en el plan de Acción de la DTDP, este documento se encuentra en revisión por parte de las áreas.
Se determinó que la Gestión Social será un procedimiento aparte, del cual se realizó el levantamiento de  actividades, se tiene la primera versión de manual de Gestión Social, se actualizando formatos.  
Este procedimiento se adelanta con el asesor de calidad Pavel Pinto de la OAP 
El procedimiento dentro del plan de mejoramiento de la Auditoria de Calidad  - Gestión Predial realizada en la vigencia 2012. Este requerimiento se formalizó a través del Rad. 20143250076103.
</t>
    </r>
    <r>
      <rPr>
        <b/>
        <sz val="8"/>
        <rFont val="Arial"/>
        <family val="2"/>
      </rPr>
      <t>Revisión Procedimiento Admón. y venta de predios</t>
    </r>
    <r>
      <rPr>
        <sz val="8"/>
        <rFont val="Arial"/>
        <family val="2"/>
      </rPr>
      <t xml:space="preserve">
El 18 de marzo se realizó la revisión del procedimiento el cual se ajustó, sin embargo se debe definir el proceso de selección para la venta de inmuebles, por tal motivo se solicitó a la DTGJ concepto a través de rad. 20143250085613.
Una vez se tenga la respuesta de esta Dirección se termina como se continua el procedimiento
</t>
    </r>
  </si>
  <si>
    <r>
      <rPr>
        <b/>
        <sz val="8"/>
        <rFont val="Arial"/>
        <family val="2"/>
      </rPr>
      <t>Elaboración de Documento general de estructura de transferencia de conocimiento.</t>
    </r>
    <r>
      <rPr>
        <sz val="8"/>
        <rFont val="Arial"/>
        <family val="2"/>
      </rPr>
      <t xml:space="preserve"> 
Se dio inicio a los proceso de transferencia de conocimiento con las tertulias; realizadas en                                   • El Auditorio calle 22 el día10 de Junio de 2014 
• El Auditorio calle 22 el día 4 de Junio de 2014 
• El Auditorio calle 22 el día 29 de Mayo de 2014
• El Auditorio calle 22 el día 2 de Mayo de 2014
Por otra parte la DTDP cuenta con una carpeta digital en donde se almacena la información relevante y de interés común a la cual todos pueden acceder.
Cumplimiento 20%
</t>
    </r>
    <r>
      <rPr>
        <b/>
        <sz val="8"/>
        <rFont val="Arial"/>
        <family val="2"/>
      </rPr>
      <t>Desarrollar el proceso de fortalecimiento de competencias del SER y su alineación en la DTDP y el IDU</t>
    </r>
    <r>
      <rPr>
        <sz val="8"/>
        <rFont val="Arial"/>
        <family val="2"/>
      </rPr>
      <t xml:space="preserve">.
Se adelantaron las siguientes etapas:
- Taller de sensibilización atendiendo a 185 personas de la DTDP en 8 talleres de grupos de 20 y 30 personas con una duración de 8 horas
- Se realizó una digitalización del material recogido en los talleres y actualmente se encuentra en proceso de diseño una base de datos con el fin de encontrar las afinidades entre los diferentes participantes de la actividad y lograr entender el organigrama de la DTDP desde el ser.
Cumplimiento 20%
</t>
    </r>
    <r>
      <rPr>
        <b/>
        <sz val="8"/>
        <rFont val="Arial"/>
        <family val="2"/>
      </rPr>
      <t xml:space="preserve"> Modelo de comunicación interna alineada al modelo de comunicación IDU:</t>
    </r>
    <r>
      <rPr>
        <sz val="8"/>
        <rFont val="Arial"/>
        <family val="2"/>
      </rPr>
      <t xml:space="preserve">
 - Gestión de Roles e interacciones
 - Gestión de equipos
 - Gestión de aliados 
Se establecieron Base de Datos en Excel para: 
• Identificar proyecto y profesional a cargo.
• Agrupar los servidores públicos de la DTDP de acuerdo a las funciones o Área.
•  Identificación del Profesiones de los servidores públicos de la DTDP por área. (Tipo de formación de los servidores públicos de la DTDP) y datos de contacto.
• Personal de la DTDP georefenciados por áreas e  identificados cada uno de los servidores públicos en su puesto de trabajo.
Cumplimiento 33,4%
</t>
    </r>
  </si>
  <si>
    <t>Se ajusta la Formula del indicador, teniendo en cuenta que no correspondía al objeto del mismo</t>
  </si>
  <si>
    <r>
      <rPr>
        <b/>
        <sz val="8"/>
        <rFont val="Arial"/>
        <family val="2"/>
      </rPr>
      <t xml:space="preserve">Elaboración de Documento general de estructura de transferencia de conocimiento. </t>
    </r>
    <r>
      <rPr>
        <sz val="8"/>
        <rFont val="Arial"/>
        <family val="2"/>
      </rPr>
      <t xml:space="preserve">
Programación del evento: PREDIOS COMO VAMOS.
En este evento se tiene proyectado el lanzamiento de la  CAMPAÑA PUBLICITARIA “SOY CAPAZ”:  La DTDP con esta campaña busca que demostremos de qué somos capaces para contribuir en el mejoramiento de la calidad de vida de los bogotanos desde nuestro trabajo. 
Cumplimiento 10%
</t>
    </r>
    <r>
      <rPr>
        <b/>
        <sz val="8"/>
        <rFont val="Arial"/>
        <family val="2"/>
      </rPr>
      <t xml:space="preserve">
Desarrollar el proceso de fortalecimiento de competencias del SER y su alineación en la DTDP y el IDU.</t>
    </r>
    <r>
      <rPr>
        <sz val="8"/>
        <rFont val="Arial"/>
        <family val="2"/>
      </rPr>
      <t xml:space="preserve">
Se realizaron los talleres de liderazgo y de inspiración con los integrantes del equipo social. En estos talleres se dividieron en dos partes.
Se adelantaron las siguientes etapas:
En la primera se recordaron las competencias del ser: vivir dándonos cuenta, reconocernos y escoger correctamente nuestros hábitos, comportamientos y actitudes.
En la segunda etapa se realizó un socio drama con el apoyo del equipo social con el fin de analizar un caso de éxito y un caso difícil y así evaluar el papel que desempeña cada miembro del equipo en los procesos de reasentamiento y cómo de su creatividad y comportamiento depende el desarrollo de cada caso. 
Se han atendido 83 personas en los talleres de Liderazgo e inspiración. Estos talleres se han realizado en el piso 11 de la sede de la Calle 20 del IDU y en el Teatro la Mama. 
Cumplimiento 33,33%
</t>
    </r>
    <r>
      <rPr>
        <b/>
        <sz val="8"/>
        <rFont val="Arial"/>
        <family val="2"/>
      </rPr>
      <t>Modelo de comunicación interna alineada al modelo de comunicación IDU:</t>
    </r>
    <r>
      <rPr>
        <sz val="8"/>
        <rFont val="Arial"/>
        <family val="2"/>
      </rPr>
      <t xml:space="preserve">
Se traslada el Grupo Social (68 profesionales) de la DTDP a la sede de Alcázares con el fin de unificar el área de trabajo del equipo social.
Se actualiza la  Base de Datos en Excel con 51  profesionales adicionales  que llegaron a hacer parte de la DTDP para:
• Identificar proyecto y profesional a cargo.
• Agrupar los servidores públicos de la DTDP de acuerdo a las funciones o Área.
•  Identificación del Profesiones de los servidores públicos de la DTDP por área. (Tipo de formación de los servidores públicos de la DTDP) y datos de contacto.
Cumplimiento 33,33%</t>
    </r>
  </si>
  <si>
    <r>
      <t xml:space="preserve">Elaboración de Documento general de estructura de transferencia de conocimiento. 
En ultimo trimestre la DTDP realizaron los talleres de Liderazgo, Trabajo en equipo y Negociación para el grupo jurídico y el taller de creatividad y Trabajo en equipo para el grupo social  en las instalaciones de Compensar, donde asistieron 52 servidores públicos.  
Además se realizó la segunda fase de la CAMPAÑA SOY CAPAZ en la DTDP, se elaboraron y publicaron las piezas publicitarias de la segunda fase.
Se elaboró el informe final 
Cumplimiento 33,3%
</t>
    </r>
    <r>
      <rPr>
        <b/>
        <sz val="8"/>
        <rFont val="Arial"/>
        <family val="2"/>
      </rPr>
      <t>Desarrollar el proceso de fortalecimiento de competencias del SER y su alineación en la DTDP y el IDU.</t>
    </r>
    <r>
      <rPr>
        <sz val="8"/>
        <rFont val="Arial"/>
        <family val="2"/>
      </rPr>
      <t xml:space="preserve">
Se construyeron las fichas de Alineación del ser de la DTDP, para realizar el organigrama de la dependencia. Cada ficha consta de una foto de cada funcionario, área de trabajo,  apodo, características desde el ser, el saber y el hacer y los compromisos con la entidad.
Se desarrolló el programa de alineación del ser con etapas definidas con el fin de establecer objetivos y pasos a seguir para el desarrollo del programa
En total se atendieron a 185 personas en los talleres de sensibilización los cuales fueron dictados en las instalaciones de Compensar, se dictaron 8 talleres se grupos entre 20 y 30 personas y cada taller tenían una duración de 8 horas.
Se han atendieron a 83 personas en los talleres de Liderazgo e inspiración. Estos talleres se realizaron en el piso 11 de la sede de la Calle 20 del IDU y en el Teatro la Mama
Cumplimiento 33,33%
</t>
    </r>
    <r>
      <rPr>
        <b/>
        <sz val="8"/>
        <rFont val="Arial"/>
        <family val="2"/>
      </rPr>
      <t>Modelo de comunicación interna alineada al modelo de comunicación IDU:</t>
    </r>
    <r>
      <rPr>
        <sz val="8"/>
        <rFont val="Arial"/>
        <family val="2"/>
      </rPr>
      <t xml:space="preserve">
Se elaboró el folleto de adquisición predial para el Proyecto METRO, con el fin de distribuirlo en el primer tramo de Metro, con el cual se busca informar a la ciudadanía acerca del proyecto, censo y características del mismo. 
Se construyó cartilla de Gestión Predial y Reasentamiento Predial con ayuda de la Oficina de Comunicaciones. Esta cartilla explica que es la gestión predial, y el acompañamiento en el Reasentamiento Social.
Se diseñó cartilla de avalúos comerciales según información suministrada por el Articulador de Avalúos
Cumplimiento 33,33%</t>
    </r>
  </si>
  <si>
    <t xml:space="preserve">El Modelo de Gestión del Conocimiento de la DTDP busca discriminar y localizar, entre las diferentes áreas de la dirección los conceptos inherentes a la gestión predial, primordiales para el cumplimiento de los objetivos y metas propuestos.
En este sentido planeo y desarrollo una estrategia denominada “Alineación del SER” para fortalecer la cultura de desarrollo del ser y trabajo colaborativo incluyendo orientación a pensamiento estratégico.
Puesta en marcha la estrategia al interior de la DTDP se realizaron sesiones de trabajo, jornadas de sensibilización, jornadas de seguimiento a la gestión del equipo, tertulias, talleres, entre otros, así: etapa de sensibilización del plan de alineación del ser en la cual se entregó a los participantes el manual de herramientas que contribuyen al mejoramiento de la calidad de vida de las personas; Se atendieron a 185 personas en los talleres de sensibilización, estos fueron dictados en las instalaciones de Compensar, se dictaron 8 talleres se grupos entre 20 y 30 personas y tenían una duración de 8 horas.
Se realizaron 62 entrevistas individuales, cuyos  principales objetivos son conocer el impacto del primer taller e identificar ventajas y retos en el ambiente laboral; Se construyendo las fichas de Alineación del ser de la DTDP, para realizar el organigrama de la dependencia. Cada ficha consta de una foto de cada funcionario, área de trabajo,  apodo, características desde el ser, el saber y el hacer y los compromisos con la entidad.
 Se atendieron 83 personas en los talleres de Liderazgo e inspiración. Los talleres se realizaron con los integrantes del equipo social y se llevaron a cabo en el piso 11 de la sede de la Calle 20 del IDU y en el Teatro la Mama.
En etapa de inducción a las personas nuevas que ingresan a la DTDP en temas de desarrollo personal y entregarles herramientas para contribuir al mejoramiento de su calidad de vida y del ambiente laboral de la DTDP, se realizaron 3 talleres y se atendieron a 52 personas
Se diseñaron los talleres de liderazgo y negociación para el equipo jurídico. Estos talleres tienen como finalidad resaltar la importancia del liderazgo de las personas frente a diversas situaciones y la importancia de llevar a cabo una negociación positiva en los procesos de atención al usuario. Estos talleres se dividieron en cuatro partes
En cuanto a la gestión de roles e interacciones: Definición de roles e interacciones del equipo de trabajo para garantizar fluidez y coherencia en el desarrollo de las actividades, se realizaron 3 tertulias, en donde interactuaron los equipos social, jurídico, técnico y económico; en las sesiones cada equipo explicó detalladamente como realizaba las actividades inherentes a su cargo, las mejores prácticas y el producto final, esta actividad se llevó a cabo en el auditorio de la calle 22 del IDU y se atendieron a 188 personas
En cuanto al modelo de comunicación. 
En conjunto con el aérea de Comunicaciones del IDU, se desarrolló  la campaña SOY CAPAZ en la DTDP con el fin de generar conciencia acerca de la importancia de la paz, la dedicación y el compromiso con el trabajo y de cómo cada persona puede contribuir desde su ser a lograr un mejor desempeño tanto laboral como personal. La grulla es el símbolo de la campaña. Esta actividad se realizó con 260 personas. 
Se construyó cartilla de Gestión Predial y Reasentamiento Predial con ayuda de la Oficina de Comunicaciones. Esta cartilla explica que es la gestión predial, y el acompañamiento en el Reasentamiento Social. Este documento se publicó en la WEB del IDU en el mes de diciembre.
Se elaboró el folleto de adquisición predial para el Proyecto METRO con el fin de distribuirlo en el primer tramo de Metro, con el cual se busca informar a la ciudadanía acerca del proyecto, censo y características del mismo. 
Se diseñó cartilla de avalúos comerciales según información suministrada por el Articulador de Avalúos
</t>
  </si>
  <si>
    <t xml:space="preserve"> DTDP </t>
  </si>
  <si>
    <t xml:space="preserve">A través de la comunicación N° 20143250061823 la DTDP formalizó el acuerdo de Gestión, así mismo con el rad. N° 20143250061893 de remitió el Plan de acción y la maya con los Indicadores
</t>
  </si>
  <si>
    <r>
      <rPr>
        <b/>
        <sz val="8"/>
        <rFont val="Arial"/>
        <family val="2"/>
      </rPr>
      <t>Levantamiento y/o actualización de procedimientos</t>
    </r>
    <r>
      <rPr>
        <sz val="8"/>
        <rFont val="Arial"/>
        <family val="2"/>
      </rPr>
      <t xml:space="preserve">
Se realizó el levantamiento de actividades y flujograma del Procedimiento de Gestión Social 
Se realizó el levantamiento de actividades y flujograma del Procedimiento de Gestión Predial
Se realizó la verificación y actualización del procedimiento de Administración y Venta de predios
</t>
    </r>
    <r>
      <rPr>
        <b/>
        <sz val="8"/>
        <rFont val="Arial"/>
        <family val="2"/>
      </rPr>
      <t>Actualización de Formatos:</t>
    </r>
    <r>
      <rPr>
        <sz val="8"/>
        <rFont val="Arial"/>
        <family val="2"/>
      </rPr>
      <t xml:space="preserve">
A la fecha enviado se han enviado 18 documentos (Formatos, Instructivos, Manuales) a la OAP para actualización y formalización.  Estos documentos están en revisión y aprobación por esta oficina.
Sin embargo no se ha realizado ninguna publicación
</t>
    </r>
    <r>
      <rPr>
        <b/>
        <sz val="8"/>
        <rFont val="Arial"/>
        <family val="2"/>
      </rPr>
      <t>Capacitaciones:</t>
    </r>
    <r>
      <rPr>
        <sz val="8"/>
        <rFont val="Arial"/>
        <family val="2"/>
      </rPr>
      <t xml:space="preserve">
Se ha realizando 3 capacitaciones en el tema de calidad a los siguientes grupos de la DTDP:
Jurídicos
Técnicos
Sociales
Económicos
</t>
    </r>
  </si>
  <si>
    <t>Levantamiento y/o actualización de procedimientos
Se realizó el levantamiento de actividades y flujograma del Procedimiento de Gestión Social 
Se realizó el levantamiento de actividades y flujograma del Procedimiento de Gestión Predial
Se realizó la verificación y actualización del procedimiento de Administración y Venta de predios
Actualización de Formatos:
A la fecha enviado se han enviado 18 documentos (Formatos, Instructivos, Manuales) a la OAP para actualización y formalización. 
De los cuales se han publicado los siguientes formatos:
Censo Formato 0
Censo Formato 1
Censo Formato 2
Censo Formato 3
Acta de afirmación administrativa 
Ficha atención Inmobiliaria 
Estudio de Títulos
Acta de Visita de existencia US
Instructivo Acompañamiento al reasentamiento de US
Estos documentos están en revisión y aprobación:
Manual de Gestión predial  en observaciones 30 julio
Instructivo de Archivo 
Instructivo de Trasporte 
Cartilla Avalúos
Capacitaciones:
Se ha realizando 5 capacitaciones en el tema de calidad y de Matriz de Riegos (anticorrupción y de proceso) a los siguientes grupos de la DTDP:
Jurídicos
Técnicos
Sociales
Económicos</t>
  </si>
  <si>
    <t>A 31 de diciembre de 2014 quedan pendiente por publicar los siguientes documentos:
Procedimiento de Gestión Predial, al cual se envió desde el mes agosto a la OAP y esta en diagramación. 
Procedimiento de Administración y Venta de Predios esta en diagramación por parte de la OAP.
Manual de Gastón Predial esta en revisión y aprobación por parte de la OAP</t>
  </si>
  <si>
    <r>
      <t xml:space="preserve">El compromiso de actualización documental por proceso de la DTDP  para 2014 fue quedo así:
</t>
    </r>
    <r>
      <rPr>
        <b/>
        <sz val="8"/>
        <rFont val="Arial"/>
        <family val="2"/>
      </rPr>
      <t>Publicados</t>
    </r>
    <r>
      <rPr>
        <sz val="8"/>
        <rFont val="Arial"/>
        <family val="2"/>
      </rPr>
      <t xml:space="preserve">
Procedimiento de gestión social
Formulario 0 identificación del predio
Formulario 1 información de hogares y viviendas
Formulario 2 información de unidades económicas
Formulario 3 rentistas
Instructivo de Acompañamiento al Restablecimiento de Unidades Económicas y Socioeconómicas
Acta de Afirmación administrativa
Entrega y recepción Carpetas para Reconocimientos Económicos
Informe Técnico visita de predios.
Formato estudio de títulos 
Formato Registro topográfico 
Ficha de atención inmobiliaria 
</t>
    </r>
    <r>
      <rPr>
        <b/>
        <sz val="8"/>
        <rFont val="Arial"/>
        <family val="2"/>
      </rPr>
      <t>Derogados:</t>
    </r>
    <r>
      <rPr>
        <sz val="8"/>
        <rFont val="Arial"/>
        <family val="2"/>
      </rPr>
      <t xml:space="preserve">
Procedimiento Tasación Lucro Cesante
Formato Tasación Lucro Cesante
Lista de chequeo lucro cesante
</t>
    </r>
    <r>
      <rPr>
        <b/>
        <sz val="8"/>
        <rFont val="Arial"/>
        <family val="2"/>
      </rPr>
      <t xml:space="preserve">Revisado y Publicado
</t>
    </r>
    <r>
      <rPr>
        <sz val="8"/>
        <rFont val="Arial"/>
        <family val="2"/>
      </rPr>
      <t xml:space="preserve">El procedimiento de Recepción y Administración de bienes inmuebles en dación de pago se reviso sin embargo no fue necesaria su actualización.
Teniendo en cuenta que los instructivos de Solicitud para asignación de  transporte  DTDP y Gestión documental predial requerían de la aprobación de la STRF y no fue posible obtener el V° B° a los documentos se solicitó a la OAP no se tuvieron en cuanta  los mismo en el indicador a pesar de contar con los documentos definitivos.
</t>
    </r>
    <r>
      <rPr>
        <b/>
        <sz val="8"/>
        <rFont val="Arial"/>
        <family val="2"/>
      </rPr>
      <t>Pendientes</t>
    </r>
    <r>
      <rPr>
        <sz val="8"/>
        <rFont val="Arial"/>
        <family val="2"/>
      </rPr>
      <t xml:space="preserve">
Procedimiento de Gestión Predial, al cual se envió desde el mes agosto a la OAP y esta en diagramación. 
Procedimiento de Administración y Venta de Predios esta en diagramación por parte de la OAP.
Manual de Gestión Predial esta en revisión y aprobación por parte de la OAP
</t>
    </r>
  </si>
  <si>
    <r>
      <t xml:space="preserve">
</t>
    </r>
    <r>
      <rPr>
        <b/>
        <sz val="8"/>
        <rFont val="Arial"/>
        <family val="2"/>
      </rPr>
      <t>Acción</t>
    </r>
    <r>
      <rPr>
        <sz val="8"/>
        <rFont val="Arial"/>
        <family val="2"/>
      </rPr>
      <t xml:space="preserve">: Realizar revisión, ajuste y complementación de los componentes de estudios y diseños dentro del procedimiento PR-DP-017 Programación, Ejecución y Seguimiento a Diseño de Proyectos. La DTDP  determinó que la Gestión Social será un procedimiento aparte, del proceso de Adquisición Predial por lo cual se realizó el levantamiento de  actividades, se tiene la primera versión de manual de Gestión Social y se actualizando formatos.  
</t>
    </r>
    <r>
      <rPr>
        <b/>
        <sz val="8"/>
        <rFont val="Arial"/>
        <family val="2"/>
      </rPr>
      <t>Acción:</t>
    </r>
    <r>
      <rPr>
        <sz val="8"/>
        <rFont val="Arial"/>
        <family val="2"/>
      </rPr>
      <t xml:space="preserve"> vigencia contratos de vigilancia y mantenimiento el 21 de marzo se levanto acta de seguimiento al plan de mejoramiento. A la fecha el contrato No. 927/ 2013 de Mantenimiento se encuentra vigente hasta el 06/05/2014 y el contrato No. 1936/2013 del Servicio de Vigilancia se encuentra vigente hasta el 30 de abril
</t>
    </r>
    <r>
      <rPr>
        <b/>
        <sz val="8"/>
        <rFont val="Arial"/>
        <family val="2"/>
      </rPr>
      <t xml:space="preserve">Acción </t>
    </r>
    <r>
      <rPr>
        <sz val="8"/>
        <rFont val="Arial"/>
        <family val="2"/>
      </rPr>
      <t xml:space="preserve">: Plan de Mejoramiento Interno Adquisición Predial - Revisión BD depuradas y entregada a la STOP por la DTDP se realizaron las verificaciones de las BD de forma conjunta con la STOP conforme a lo solicitado en el rad. 20135760265703, en las reuniones del 11 y 17 de marzo se establecieron compromisos entre las dos áreas, los cuales están en desarrollo.
</t>
    </r>
    <r>
      <rPr>
        <b/>
        <sz val="8"/>
        <rFont val="Arial"/>
        <family val="2"/>
      </rPr>
      <t>Acción:</t>
    </r>
    <r>
      <rPr>
        <sz val="8"/>
        <rFont val="Arial"/>
        <family val="2"/>
      </rPr>
      <t xml:space="preserve"> El 18 de marzo  la OCI solicitó la reformación al plan de mejoramiento a la Auditoria de Calidad realizada en el año 2012 al proceso de Gestión Predial. Teniendo en cuenta que para dar cumplimiento a este requerimiento es necesario aplicar la metodología sugerida por Control Interno y esta acción involucra las áreas de Planeación y Recursos Físicos se solicitó se aplicará las fecha de entrega de dicha reformulación la cual se encuentra a 31 de marzo en proceso revisión y firmas.
</t>
    </r>
  </si>
  <si>
    <t>A través del Radicado N° 20143250422203 de 03 de julio de 2014 se reporto el avance de gestión a los hallazgos de la DTDP.
Hallazgo: resciliación de la escritura pública 3714 Avance: 100%
Hallazgo 2.2.3: Con el fin de subsanar el hallazgo en donde se requiere identificar a quién corresponde la titularidad del predio. Avance: 100%
Hallazgo 2.2.1 Administrativo con presunta incidencia disciplinaria, por la constitución de reservas presupuestales y pasivos exigibles. Avance: 100%
Hallazgo 2.2.2.  administrativo con presunta incidencia disciplinaria, por constituir reservas presupuestales y no ejecutarlas en su totalidad en la vigencia siguiente, tal como lo ordena el Estatuto de Presupuesto. Avance: 100%
HALLAZGO Licencia de Construcción edificaciones patio garaje de la calle 26.
Avance: 100%</t>
  </si>
  <si>
    <t>En cumplimiento a las acciones de mejora previstas en la Reformulación Plan de Mejoramiento Auditoria de Calidad Gestión Predial se informa que la DTDP a adelantado las siguientes actividades:
1, Se programaron y realizaron 7 capacitaciones a los servidores públicos de la DTDP, a través de esta labor se ilustro a nivel general sobre la norma NTGP 1000, el sistema integrado de gestión, indicadores a cargo de la Dirección, acciones correctivas y preventivas, Matrices de Riesgo de Proceso y Anticorrupción y finalmente se informó que la DTDP esta en proceso de actualización de documental conforme a los lineamientos dados en el SIG. A la fecha se han capacitado mas de 200 servidores de Predios. 
2, A la fecha se esta adelanta la actualización de los procedimientos de la DTDP, en coordinación de la OAP
• PR-GP-009 ADQUISICIÓN DE PREDIOS V_4. Procedimiento en diagramación por parte de la OAP
• PR-GP-010 ADMINISTRACIÓN Y VENTA DE PREDIOS V_2.0. Procedimiento en diagramación por parte de la OAP.
• PR-GP-102 RECEPCIÓN Y ADMINISTRACIÓN DE BIENES INMUEBLES EN DACIÓN EN PAGO V_1.0. Procedimiento revisado y verificado, teniendo en cuenta que solo requería el ajuste a una actividad en lo relacionado con la DTDP, este procedimiento no se cambio.
3,  Elaborada la versión final del instructivo y teniendo en cuenta que la STRF debe aprobar el documento se remitió a esta subdirección para su revisión y V°B°, la respuesta obtenida a través de correo electrónico informó que: "No avalaba este instructivo, teniendo  en cuenta que STRF y la DTAF se encuentran actualizando los procesos, procedimientos y el manual de gestión documental unificado para toda la entidad y no existen manuales o guías independientes por cada área."
En reunión realizada con la funcionaria encarga del tema se acordó que este documento sería incluido en el Manual de Gestión de Archivo y Correspondencia dado que el mismo se encuentra en actualización.
Así mismo, frente al reporte de avance de la STRF informó que el capítulo de organización no estará en el Manual se encontrará en la Guía de Gestión documental del IDU, esta se encuentra en elaboración.
4, La DTDP durante la presente vigencia implemento la carpeta única con el fin de organizar y controlar la gestión de archivo al interior de la Dirección, los servidores públicos de actualizaron los expedientes a su cargo y a la fecha se maneja un único expediente por proceso.
Se han dictado 12 capacitaciones en donde se Ilustraron los   lineamientos y la gestión de archivo a 150 servidores públicos de la Dirección.
5. Con el fin de actualizar a los servidores en la herramienta, de incentivar para el uso eficiente y efectivo del aplicativo ORFEO, la DTDP en coordinación de la STDF ha realizado 9 capacitaciones a 119 personas. 
en la caracterización de indicadores de gestión para la vigencia 2014 la DTDP fijaron cuatro (4) indicadores cuyos objetivo son: 
- Contar con una herramienta eficiente que oriente el debido reasentamiento integral
- Seguimiento a la viabilidad predial, con el fin de iniciar los procesos de licitación de la ejecución de las obras.
- Seguimiento a las etapas iniciales de Gestión Predial con el fin de otorgar la viabilidad predial a los proyectos IDU.
- Estructurar un modelo de gestión del conocimiento aplicado a la gestión  predial
En ese sentido esta dirección cuenta con una herramienta eficiente que permitan realizar la medición de la gestión del proceso de gestión predial.</t>
  </si>
  <si>
    <t>NO APLICA EVALUACIÓN EN EL PERIODO</t>
  </si>
  <si>
    <t>Para este periodo la DTDP no tenia vencimiento o cumplimiento a las acciones de los hallazgos a cargo de la Dirccion en cuanto a los planes de mejoramiento ser refiere</t>
  </si>
  <si>
    <t>N.A.</t>
  </si>
  <si>
    <t>Con memorando DTDP 20143250043183 del 27 de febrero de 2014, la DT de Predios informa la gestión realizada en relación con la actividad y los avances reportados por la DT de Construcciones, área responsable de entregar productos e insumos críticos para llevar a cabo la actividad formulada como "Ajuste Escritura Pública y expedición de Matricula Inmobiliaria" en los predios del Patio Garaje. A partir de la verificación de la documentación recibida relacionada con las 14 actividades programadas por la DTDP  y DTC para solicitar la ampliación del plazo a la Contraloría General de la República, se establece que no hay avance efectivo.</t>
  </si>
  <si>
    <t>HALLAZGOS CGR: Con memorando 20143250232913 del 9 de mayo de 2014, la DTDP, se reportó la gestión adelantada en lo que a sus responsabilidades directas concierne. Igualmente informó las actividades de coordinación desarrolladas con la DT de Construcciones y las entidades distritales involucradas.
No obstante lo anterior, se identifican dificultades críticas para cumplir los requerimientos del IDRD en cuanto a realizar adecuaciones al parque sustituto incluido en el proceso de sustitución de áreas de cesión, lo cual es uno de los requisitos previos  para obtener el producto final de la actividad No. 10 formulada en el Plan de Mejoramiento.
De acuerdo con el análisis de la información allegada a la Oficina de Control Interno por parte de la Dirección Técnica de Predios para el cumplimiento de la actividad No. 10, no se evidencian avances efectivos en el desarrollo de productos o insumos para cumplir con la actividad formulada en el Plan de Mejoramiento “Ajuste de la escritura pública y la expedición de matrícula inmobiliaria”
 Con memorando 20143250043183 del 26 de febrero de 2014 la DTDP informa que por oficio 20143250120561 se envía la documentación solicitada por catastro para evidenciar el área a avaluar.
HALLAZGOS CB: Se reporto información de avance a través de correo institucional 
 Hallazgo 2.2: Con memorando 20143250043183 del 26 de febrero de 2014 la DTDP informa que por oficio 20143250120561 se envía la documentación solicitada por catastro para evidenciar el área a avaluar.
 Hallazgo 2.2.1: En el mes de Enero se efectuó la liberación del valor correspondiente a $ 512.192.132 lo que da como resultado un 100% para este mes.
En el mes de Febrero se programó y ejecutó un valor de $296.119.110, lo que da como resultado un 100% para este mes.
En el mes de Marzo se programó un valor de $273.804.993 y se ejecutó un valor de $679.643.160, lo que da como resultado un 248% para este mes.
Hallazgo 2.2.2: Para el mes de Enero de 2014, no se programó ni ejecuto ningún valor para las Reservas Presupuestales de la vigencia 2014.
Para el mes de Febrero de 2014, se programó y ejecutó un valor total de $765.51.962, lo que da como resultado un 100% en el resultado del cumplimiento mensual para el área.
 Para el mes de Marzo de 2014, se programó un valor de $258.565.398 y se ejecutó un valor de $325.837.908, lo que da como resultado un 126% en el resultado del cumplimiento mensual para el área.
Hallazgo 2.2.3: Con el fin de subsanar el hallazgo en donde se requiere identificar a quién corresponde la titularidad del predio, se un profesional la Ab. Natalia Rivera - del área Jurídica de la DTDP quien realizara la actualización del Estudio de Títulos y se oficiara a Catastro Distrital -UAECD con el fin de que esta Entidad realice el desenglobe catastral del predio.</t>
  </si>
  <si>
    <r>
      <t xml:space="preserve">A través del Radicado N° 20143250422203 de 03 de julio de 2014 se reporto el avance de gestión a los hallazgos de la DTDP.
</t>
    </r>
    <r>
      <rPr>
        <b/>
        <sz val="8"/>
        <rFont val="Arial"/>
        <family val="2"/>
      </rPr>
      <t>Hallazgo: resciliación de la escritura pública 3714 Avance: 0%</t>
    </r>
    <r>
      <rPr>
        <sz val="8"/>
        <rFont val="Arial"/>
        <family val="2"/>
      </rPr>
      <t xml:space="preserve">
• Junio 13 de 2014, la UAECD radica al avalúo comercial, Orfeo 20145260903942.
• Junio 25 de 2014, se cita a reunión a los representantes de la firma Inversiones M.G., y el IDU puso en conocimiento el informe técnico de avaluó y el valor a resciliar.  Los representantes de la firma manifestaron no estar de acuerdo con el valor a devolver; por lo tanto, la DTDP se comprometió a enviar el informe técnico de avaluó, con el objeto de que sea revisado y se presenten las observaciones correspondientes, acción realizada a través del Orfeo 20143250632521.
</t>
    </r>
    <r>
      <rPr>
        <b/>
        <sz val="8"/>
        <rFont val="Arial"/>
        <family val="2"/>
      </rPr>
      <t xml:space="preserve">Hallazgo 2.2.3: Con el fin de subsanar el hallazgo en donde se requiere identificar a quién corresponde la titularidad del predio. Avance: 0%
</t>
    </r>
    <r>
      <rPr>
        <sz val="8"/>
        <rFont val="Arial"/>
        <family val="2"/>
      </rPr>
      <t>• Mayo 24 de 2014, se emite el Estudio de Títulos. 
• Mayo 26 de 2014, solicitud a la UAECD de modificación, actualización y destino en el sistema Integrado de Información Catastral 
• Mayo 26 de 2014, solicitud a la Secretaria Distrital de Hacienda para realizar la actualización y retiro de la base de impuestos distritales de los predios adquiridos por el instituto..</t>
    </r>
    <r>
      <rPr>
        <b/>
        <sz val="8"/>
        <rFont val="Arial"/>
        <family val="2"/>
      </rPr>
      <t xml:space="preserve">
Hallazgo 2.2.1 Administrativo con presunta incidencia disciplinaria, por la constitución de reservas presupuestales y pasivos exigibles. Avance: 0%
• Pasivos exigibles: </t>
    </r>
    <r>
      <rPr>
        <sz val="8"/>
        <rFont val="Arial"/>
        <family val="2"/>
      </rPr>
      <t xml:space="preserve">A la fecha la DTDP ha ejecutado el 22 %  de sus pasivos exigibles. El 78% restante, son procesos de adquisición de inmuebles por vía judicial, en etapa de escrituración y con problemas jurídicos (posibles revocatorias de ofertas de compra, embargos, hipotecas entre otros). Así mismo hay  procesos pendientes de pago por expedición de certificación de cabida y linderos por parte de la Unidad Administrativa Especial de Catastro Distrital.  </t>
    </r>
    <r>
      <rPr>
        <b/>
        <sz val="8"/>
        <rFont val="Arial"/>
        <family val="2"/>
      </rPr>
      <t xml:space="preserve">
• Reservas presupuestales: </t>
    </r>
    <r>
      <rPr>
        <sz val="8"/>
        <rFont val="Arial"/>
        <family val="2"/>
      </rPr>
      <t xml:space="preserve">A la fecha la dirección ha ejecutado el 24% de las reservas presupuestadas para la presente vigencia, el 76% restante corresponde a procesos de adquisición de inmuebles que se encuentran en etapa de escrituración. Por otra parte, existen contratos interadministrativos con la Unidad Administrativa Especial de Catastro Distrital para la elaboración de avalúos que por la suspensión del MEPOT (Decreto 364/2004 no fueron recibidos a satisfacción por la DTDP; otros procesos se encuentran pendientes de pago por expedición de certificación cabida y linderos por parte de la Unidad Administrativa Especial de catastro Distrital.  </t>
    </r>
    <r>
      <rPr>
        <b/>
        <sz val="8"/>
        <rFont val="Arial"/>
        <family val="2"/>
      </rPr>
      <t xml:space="preserve">
Hallazgo 2.2.2.  administrativo con presunta incidencia disciplinaria, por constituir reservas presupuestales y no ejecutarlas en su totalidad en la vigencia siguiente, tal como lo ordena el Estatuto de Presupuesto. Avance: 0%
</t>
    </r>
    <r>
      <rPr>
        <sz val="8"/>
        <rFont val="Arial"/>
        <family val="2"/>
      </rPr>
      <t xml:space="preserve">• La DTDP constituye reservas presupuestales dado que dentro sus funciones básicas esta la adquisición de predios y otras inherentes al proceso de adquisición (contratos inter-administrativos de avalúos a predios, entre otros). En el desarrollo de estas actividades, se ve abocada a realizar por ejemplo procesos expropiación por vía judicial con el fin de cumplir con su objetivo misional.
Es de notar que la resolución favorable de este tipo de procesos  no depende de la Dirección sino de terceros (jueces u otras entidades) 
</t>
    </r>
    <r>
      <rPr>
        <b/>
        <sz val="8"/>
        <rFont val="Arial"/>
        <family val="2"/>
      </rPr>
      <t>HALLAZGO Licencia de Construcción edificaciones patio garaje de la calle 26</t>
    </r>
    <r>
      <rPr>
        <sz val="8"/>
        <rFont val="Arial"/>
        <family val="2"/>
      </rPr>
      <t xml:space="preserve">. </t>
    </r>
    <r>
      <rPr>
        <b/>
        <sz val="8"/>
        <rFont val="Arial"/>
        <family val="2"/>
      </rPr>
      <t>Avance: 0%</t>
    </r>
    <r>
      <rPr>
        <sz val="8"/>
        <rFont val="Arial"/>
        <family val="2"/>
      </rPr>
      <t xml:space="preserve">
• Junio 17 de 2014, la DTDP solicitó se nos informara la fecha en la cual se remitirá el acta de  entrega real y material de las zonas de sustitución por parte del DADEP, para continuar con las gestiones, Orfeo No 20143250411273. 
Teniendo en cuenta los compromisos adquiridos para subsanar el Hallazgo: “10. Licencia de Construcción edificaciones patio garaje de la calle 26, de la acción correctiva: Gestionar la obtención de la licencia de construcción del Patio Garaje Calle 26 correspondiente  a la actividad: Ajuste escritura pública y expedición de matrícula inmobiliaria” se estableció por las dos direcciones (DTC y DTDP) como fecha límite para cerrar la acción el 16 de junio de 2014, conforme a lo fijado en el cronograma de fecha 27 de diciembre de 2013, Rad. 20133250286113.
</t>
    </r>
    <r>
      <rPr>
        <b/>
        <sz val="8"/>
        <rFont val="Arial"/>
        <family val="2"/>
      </rPr>
      <t xml:space="preserve">
</t>
    </r>
    <r>
      <rPr>
        <sz val="8"/>
        <rFont val="Arial"/>
        <family val="2"/>
      </rPr>
      <t xml:space="preserve">
</t>
    </r>
  </si>
  <si>
    <t xml:space="preserve">2.2 Presunto hallazgo administrativo con presunta incidencia disciplinaria por la baja gestión realizada por la Dirección Técnica de Predios que desde finales del año 2009 se viene solicitando por parte de la firma Inversiones MG LTDA. la resciliación de la escritura pública 3714 correspondiente a la compraventa del predio RT 35275.
AVANCE
Conforme a los compromisos de la reunión del 25 de junio de 2014, se envió el radicado N° 20143250632521 a la firma Inversiones MG copia del informe técnico de Avaluó N° 2014-0212 de fecha 4 de junio de 2014.
A través del radicado N° 20145261068122 de fecha 07 de julio de 2014 Inversiones MG presento objeción por error grave al Avaluó N° 2014-0212 de fecha 4 de junio de 2014.
Por medio de la comunicación N° 20143250475373 se solicitó ampliación del plazo para resolver el hallazgo hasta el 31 de diciembre de 2014, requerimiento que no fue tenido en cuenta por ser extemporáneo. 
El 21 de agosto en la DTDP se llevó a cabo la reunión de negociación con la firma Inversiones MG en donde las partes acordaron realizar la resciliación de la escritura por un valor de $ $ 472.040.738.
A través del radicado N° 20143251026611 de fecha 25 de agosto de 2014 la DTDP remitió a la Notaria 19 la minuta de escritura pública para su protocolización, una vez se Inversiones MG firme la escritura tiene 5 días para consignar el monto acordado y el IDU realizara la gestión correspondiente para realizar la anotación en el folio matricula.
NÚMERO Y DESCRIPCIÓN DEL HALLAZGO
2.7.13.1 Hallazgo  Administrativo con presunta incidencia disciplinaria y fiscal, por las adiciones hechas al contrato IDU -104-2009 teniendo en cuenta la falta de planeación por parte de la entidad generando una mayor permanecía de la interventoría en obra por cuantía de $279.750.000.
AVANCE
El avance para este hallazgo se envió con radicado N° 20143250422203 de 03 de julio de 2014 y se reportó el cumplimiento del hallazgo, a la fecha no se ha obtenido respuesta de la OCI.
DESCRIPCIÓN DEL HALLAZGO
Licencia de Construcción edificaciones patio garaje de la calle 26.
De manera mancomunada y conforme a los acuerdos establecidos en reunión del 18 de julio de 2014, la DTDP y la DTC se ajustó y proyecto el cronograma establecido conforme al oficio N° 20133250286113.
La DTC solicito a la Dirección General modificar el plazo para dar cumplimiento a la actividad ° 10 hasta el 31 de diciembre de 2014 esta solicitud se complementó teniendo en cuenta el siguiente cronograma.
</t>
  </si>
  <si>
    <t>Con corte a septiembre se envió el radicado N° 20143250559893 a la OCI informando el cumplimiento de los siguientes hallazgos: 
2.2 Presunto hallazgo administrativo con presunta incidencia disciplinaria por la baja gestión realizada por la Dirección Técnica de Predios que desde finales del año 2009 se viene solicitando por parte de la firma Inversiones MG LTDA. la resciliación de la escritura pública 3714 correspondiente a la compraventa del predio RT 35275, dos años y medio después se está solicitando el valor actual del inmueble por el incumplimiento de la Ley 734 de 2002 en sus artículos 22, 27 y 34 en sus numerales 2 y 15.
Reporte: 
En el mes de septiembre se firmó por las partes la escritura publica N° 2499 de 08-09-2014 y se realizo la devolución del dinero por parte de la firma INVERSIONES M. G. LTDA. HOY EMPRESA INMOBILIARIA M G SUCURSAL COLOMBIA dando cumplimiento y finalización del hallazgo.
2.7.13.1 Hallazgo  Administrativo con presunta incidencia disciplinaria y fiscal, por las adiciones hechas al contrato IDU -104-2009 teniendo en cuenta la falta de planeación por parte de la entidad generando una mayor permanecía de la interventoría en obra por cuantía de $279.750.000.
Reporte: 
Se envió con radicado N° 20143250422203 de 03 de julio de 2014 en donde se informa que el predio esta a nombre del IDU  y se reportó el cumplimiento del hallazgo.</t>
  </si>
  <si>
    <t xml:space="preserve">La Oficina de Control Interno para el indicador de gestión reportó los siguiente: NO APLICA EVALUACIÓN EN EL PERIODO, DADO QUE NO TIENE COMPROMISOS A CUMPLIR CON CORTE AL 31 DE OCTUBRE DE 2014. 
No obstante la DTDP a través correo electrónico y de memorando con Radicado N°  120143250638193 reportó el  avance a los  planes de mejora 31 de octubre a cargo de la Dirección </t>
  </si>
  <si>
    <t>Con corte a 31 de diciembre se reporta que 29 predios  en administración por parte de la DTDP  fueron transferidos a la Caja de Vivienda Popular mediante las Resoluciones IDU 78124 y 89944 de 2014, con destino a proyectos de vivienda de interés social; por lo cual se solicita el retiro de estos los mismos. Vale la pena aclarar que los RT 20218/44494, 20217/44495, 20216/44496, 20220/44497, 20233/44463, 40986/44471, 20318/44477, 20317/44476, 20316/44475, con número de ítem 8, 9, 10, 11, 12, 18, 24, 25 y 26 respectivamente, fueron transferidos parcialmente; es decir se transfirió a la Caja de Vivienda Popular el área remanente, quedando a nombre del IDU el área afectada en vía las cuales se encuentran discriminadas en el cuadro adjunto de Predios entregados Av Comuneros ; los 20 predios restantes fueron transferidos en su totalidad. Así mismo se adjunta la resolución 89944 de 2014.</t>
  </si>
  <si>
    <t>La DTDP dio cumplimiento a  la acción correctiva: "Perfeccionar la trasferencia de los inmuebles para desarrollar programas de vivienda de interés prioritario dentro de los planes Distritales de Vivienda correspondientes sobrantes del Proyecto Ampliación Avenida Comuneros" correspondiente al  hallazgo N° 2.1.1. Hallazgo administrativo con presunta incidencia disciplinaria y fiscal en cuantía de $ 59.069.511.069, porque debido a la falta de planeación el IDU ha destinado recursos adquiriendo predios para ejecución de obras, las cuales a la fecha no han sido ejecutadas ni se encuentran en proyecto de ejecución por parte de la entidad</t>
  </si>
  <si>
    <t xml:space="preserve"> En el mes de Enero se efectuó la liberación del valor correspondiente a $512.192.132 lo que da como resultado un 100% para este mes.</t>
  </si>
  <si>
    <t>En el mes de Febrero se programó y ejecutó un valor de $296.119.110, lo que da como resultado un 100% para este mes.</t>
  </si>
  <si>
    <t>En el mes de Marzo se programó un valor de $273.804.993 y se ejecutó un valor de $679.643.160, lo que da como resultado un 248% para este mes.</t>
  </si>
  <si>
    <t xml:space="preserve"> La programación Inicial (PI) del Pasivos Exigibles es de $ 4.222.234.905  y la Reprogramación del mes (RM )fue de $211.930.089. La Ejecución de Pasivos Exigibles  en este mes fue de $ 144.439.009, por lo tanto se ejecutó el 3% frente a la programación Inicial y el 68% frente a la Reprogramación del mes. </t>
  </si>
  <si>
    <t xml:space="preserve"> La programación Inicial (PI) del Pasivos Exigibles es de $ 776.819.421  y la Reprogramación del mes (RM )fue de $645.893.662. La Ejecución de Pasivos Exigibles  en este mes fue de $ 444.887.073, por lo tanto se ejecutó el 57% frente a la programación Inicial y el 69% frente a la Reprogramación del mes. </t>
  </si>
  <si>
    <t>La programación Inicial (PI) del Pasivos Exigibles es de $ 11.663.418.742 y la Reprogramación del mes (RM )fue de $ 2.943.764.519. La Ejecución de Pasivos Exigibles  en este mes fue de $ 2.742.757.930, por lo tanto se ejecutó el 24% frente a la programación Inicial y el 94% frente a la Reprogramación del mes. Al mes de Junio se tiene un acumulado de Giros en Pasivos exigibles de $ 4.307.846.282 que corresponde al 20% del total de Pasivos Exigibles.</t>
  </si>
  <si>
    <t>La programación Inicial (PI) del Pasivos Exigibles es de $ 70.927.721 y la Reprogramación del mes (RM )fue de $ 194.551.318. La Ejecución de Pasivos Exigibles  en este mes fue de $ 17.136.330, por lo tanto se ejecutó el 24% frente a la programación Inicial y el 9% frente a la Reprogramación del mes. Al mes de Julio se tiene un acumulado de Giros en Pasivos exigibles de $ 4.837.174.744 que corresponde al 22% del total de Pasivos Exigibles.</t>
  </si>
  <si>
    <t>La programación Inicial (PI) del Pasivos Exigibles es de $ 2.000.000 y la Reprogramación del mes (RM )fue de $ 136.097.920. La Ejecución de Pasivos Exigibles  en este mes fue de $ 149.688.991, por lo tanto se ejecutó el 7484% frente a la programación Inicial y el 109.9 frente a la Reprogramación del mes. Al mes de Agosto se tiene un acumulado de Giros en Pasivos exigibles de $ 4.986.863.735 que corresponde al 23% del total de Pasivos Exigibles.</t>
  </si>
  <si>
    <t xml:space="preserve"> La programación Inicial (PI) del Pasivos Exigibles es de $ 0 y la Reprogramación del mes (RM )fue de $ 330.155.208. La Ejecución de Pasivos Exigibles  en este mes fue de $ 48.210.663, por lo tanto se ejecutó el 11% frente a la Reprogramación del mes. Al mes de Agosto se tiene un acumulado de Giros en Pasivos exigibles de $ 5.035.074.398 que corresponde al 23% del total de Pasivos Exigibles.</t>
  </si>
  <si>
    <t>El valor de Pasivos Exigibles se modifico con el aumento del valor del Registro Presupuestal No. 3427/2000 por valor de $39.754.920, y con la salida de los recursos que no pertenecen a la DTDP por valor de $154.929.364, quedando así un valor asignado por concepto de Pasivos Exigibles de $21.616.273.698. La programación Inicial (PI) de Pasivos Exigibles es de $4.000.000 y la Reprogramación del mes (RM) fue de $953.408.083. La Ejecución de Pasivos Exigibles en este mes fue de $524.757.364, por lo tanto se ejecutó el 13119% frente a la programación inicial y el 55% frente a la Reprogramación del mes. Al mes de Octubre se tiene un acumulado de Giros en Pasivos exigibles de $5.035.074.398 que corresponde al 23% del total de Pasivos Exigibles. Además se liberaron recursos por valor de $10.156.960.211 y $79.604.984 para una ejecución del 72% del total de Pasivos Exigibles.</t>
  </si>
  <si>
    <t>El valor de Pasivos exigibles se modifico con el aumento del valor del Registro Presupuestal No. 4444/2013 por valor de  $46.079.140 que estaba establecido al inicio de la vigencia como Reserva Presupuestal, quedando asi un valor asignado por concepto de Pasivos Exigibles de $21.662.352.838. La programación Inicial (PI) de Pasivos Exigibles es de $0 y la Reprogramación del mes (RM) fue de $568.253.911. La Ejecución de Pasivos Exigibles en este mes fue de $477.494.270, por lo tanto se ejecutó el 84% frente a la Reprogramación del mes. Al mes de Noviembre se liberaron recursos por $278.060.798 para una ejecución por valor de $16.563.758.115 que corresponde al 76% del total de Pasivos Exigibles</t>
  </si>
  <si>
    <t>La programación Inicial (PI) de Pasivos Exigibles es de $2.969.754.933 y la Reprogramación del mes (RM) fue de $229.601.075. La Ejecución de Pasivos Exigibles en este mes fue de $193.580.958, por lo tanto se ejecutó el 7% frente a la Programación Inicial y un 84% frente a la Reprogramación del mes. En el mes de Diciembre se liberaron recursos por $1.482.070.951 para una ejecución por valor de $18.239.410.024 que corresponde al 84% del total de Pasivos Exigibles.</t>
  </si>
  <si>
    <t>La DTDP alcanzo  una ejecución satisfactoria frente a la ejecución presupuestal de Pasivos Exigibles asignado durante la vigencia 2014.</t>
  </si>
  <si>
    <t>Para el mes de Enero de 2014, no se programó ni ejecuto ningún valor para las Reservas Presupuestales de la vigencia 2014.</t>
  </si>
  <si>
    <t>Para el mes de Febrero de 2014, se programó y ejecutó un valor total de $765.519.962, lo que da como resultado un 100% en el resultado del cumplimiento mensual para el área.</t>
  </si>
  <si>
    <t xml:space="preserve"> Para el mes de Marzo de 2014, se programó un valor de $258.565.398 y se ejecutó un valor de $325.837.908, lo que da como resultado un 126% en el resultado del cumplimiento mensual para el área.</t>
  </si>
  <si>
    <t xml:space="preserve"> La programación Inicial (PI) de las Reservas Presupuestales es de $ 729.448.151  y la Reprogramación del mes (RM )fue de $263.930.355. La Ejecución de las Reservas Presupuestales en este mes fue de $ 171.469.402, por lo tanto se ejecutó el  24 % frente a la programación Inicial y el 65% frente a la Reprogramación del mes. </t>
  </si>
  <si>
    <t xml:space="preserve">La programación Inicial (PI) de las Reservas Presupuestales es de $ 156.914.136  y la Reprogramación del mes (RM )fue de $ 13.044.053. La Ejecución de las Reservas Presupuestales en este mes fue de $ 24.376.808, por lo tanto se ejecutó el  16 % frente a la programación Inicial y el 187% frente a la Reprogramación del mes. </t>
  </si>
  <si>
    <t xml:space="preserve"> La programación Inicial (PI) de las Reservas Presupuestales es de $ 725.172.068  y la Reprogramación del mes (RM )fue de $ 242.697.143. La Ejecución de las Reservas Presupuestales en este mes fue de $ 26.402.751, por lo tanto se ejecutó el  4 % frente a la programación Inicial y el 11% frente a la Reprogramación del mes. Al mes de Junio se tiene un acumulado de Giros en Reservas Presupuestales de $ 1.313.906.831 que corresponde al 24% del total de Reservas Presupuestales.</t>
  </si>
  <si>
    <t xml:space="preserve"> La programación Inicial (PI) de las Reservas Presupuestales es de $187.274.300  y la Reprogramación del mes (RM )fue de $216.294.392. La Ejecución de las Reservas Presupuestales en este mes fue de $215.809.224, por lo tanto se ejecutó el  115 % frente a la programación Inicial y el 99.8% frente a la Reprogramación del mes. Al mes de Julio se tiene un acumulado de Giros en Reservas Presupuestales de $ 1.529.416.055 que corresponde al 28% del total de Reservas Presupuestales.</t>
  </si>
  <si>
    <t>La programación Inicial (PI) de las Reservas Presupuestales es de $303.000.000  y la Reprogramación del mes (RM )fue de $987.339.500. La Ejecución de las Reservas Presupuestales en este mes fue de $976.921.257, por lo tanto se ejecutó el 322% frente a la programación Inicial y el 98.94% frente a la Reprogramación del mes. Al mes de Agosto se tiene un acumulado de Giros en Reservas Presupuestales de $ 2.506.337.312 que corresponde al 45% del total de Reservas Presupuestales.</t>
  </si>
  <si>
    <t>La programación Inicial (PI) de las Reservas Presupuestales es de $250.000.000  y la Reprogramación del mes (RM )fue de $1.604.811. La Ejecución de las Reservas Presupuestales en este mes fue de $0, por lo tanto se ejecutó el 0% frente a la programación Inicial y el 0% frente a la Reprogramación del mes. Al mes de Septiembre se tiene un acumulado de Giros en Reservas Presupuestales de $ 2.506.337.312 que corresponde al 45% del total de Reservas Presupuestales.</t>
  </si>
  <si>
    <t xml:space="preserve"> La programación Inicial (PI) de las Reservas Presupuestales es de $250.000.000 y la Reprogramación del mes (RM) fue de $117.127.357. La ejecución de las Reservas Presupuestales en este mes fue de $141.747.267, por lo tanto se ejecuto el 57% frente a la programación Inicial y el 121% frente a la Reprogramación del mes. Al mes de Octubre se tiene un acumulado de Giros en Reservas Presupuestales de $2.648.084.579 que corresponde al 48% del total de Reservas Presupuestales.</t>
  </si>
  <si>
    <t>La programación Inicial (PI) de las Reservas Presupuestales es de $255.395.189 y la Reprogramación del mes (RM) fue de $46.079.140. La ejecución de las Reservas Presupuestales en este mes fue de $46.079.140, por lo tanto se ejecuto el 18% frente a la programación Inicial y el 100% frente a la Reprogramación del mes. Al mes de Noviembre se tiene un acumulado de Giros en Reservas Presupuestales de $2.694.163.719 que corresponde al 49% del total de Reservas Presupuestales.</t>
  </si>
  <si>
    <t xml:space="preserve"> La programación Inicial (PI) de las Reservas Presupuestales es de $1.630.000.000 y la Reprogramación del mes (RM) fue de $46.387.244. La ejecución de las Reservas Presupuestales en este mes fue de $130.042.171, por lo tanto se ejecuto el 8% frente a la programación Inicial y el 280% frente a la Reprogramación del mes. En el mes de Diciembre se Liberaron reservas por valor de $266.234. Al mes de Diciembre se tiene un acumulado de Giros en Reservas Presupuestales de $2.778.692.984 que corresponde al 51% del total de Reservas Presupuestales.</t>
  </si>
  <si>
    <t xml:space="preserve">La DTDP alcanzo  una ejecución baja frente a la ejecución presupuestal de Reservas asignadas durante la vigencia 2014, en ese sentido es necesario realizar seguimiento y control  permanente.   </t>
  </si>
  <si>
    <t xml:space="preserve">El presupuesto asignado de la vigencia 2014 es por valor de $ 429.225.003.000, que corresponde a: • $ 75.745.924.000 - Acuerdo de valorización 180 de 2005 Modificado por el Acuerdo 523 de 2013.  • $ 351.939.079.000 - Acuerdo 527 de 2013 – Cupo de endeudamiento.  • $ 1.540.000.000 -  Proyectos de acuerdo anteriores (Ac 25 de 1995 y Ac. 48 de 2001).  De acuerdo a lo anterior, del presupuesto asignado se tiene proyectado la constitución de reservas presupuestales por $ 414.881.003.000. Igualmente existe una partida presupuestal por $ 14.344.000.000 que no se ejecutara al cierre de la presente vigencia por presentar inconvenientes de carácter técnico, que conllevó a la modificación del cronograma de ejecución de obra, decisión adoptada en Comité de Dirección del 7 de febrero de 2014. </t>
  </si>
  <si>
    <t xml:space="preserve">Para este periodo no se programaron recursos </t>
  </si>
  <si>
    <t xml:space="preserve">El presupuesto inicial asignado de la vigencia 2014 es por valor de $ 429.225.003.000, en el mes de marzo se incorporó una partida presupuestal de $ 103.940.000 para un total de $ 429.328.943.000. 
De este presupuesto se  expidieron RP por valor de $ 28 495.000 </t>
  </si>
  <si>
    <t xml:space="preserve"> En el mes de Abril se modifico el presupuesto asignado de la vigencia 2014 por valor de $ 473.439.243.000, que corresponde a: • $ 119.805.924.000 - Acuerdo de valorización 180 de 2005 Modificado por el Acuerdo 523 de 2013.  • $ 351.939.079.000 - Acuerdo 527 de 2013 – Cupo de endeudamiento.  • $ 1.694.240.000 -  Proyectos de acuerdo anteriores (Ac 25 de 1995 y Ac. 48 de 2001).  De acuerdo a lo anterior, del presupuesto asignado se tiene proyectado la constitución de reservas presupuestales por $ 177.815.663.780. Igualmente existe una partida presupuestal por $ 52.719.202.100 que no se ejecutara al cierre de la presente vigencia por presentar inconvenientes de carácter técnico, que conllevó a la modificación del cronograma de ejecución de obra, decisión adoptada en Comité de Dirección del 7 de febrero de 2014. En el mes de Abril se ejecuto un valor en Registros Presupuestales de 52.725.300, para un acumulado entre marzo y abril de $ 81.220.300.</t>
  </si>
  <si>
    <t xml:space="preserve">En el mes de Mayo se modifico el presupuesto asignado por  $ 473.439.243.000 así:  Se trasladaron recursos por valor de $ 9.899.984.015 para Orden de Prestación de Servicios y logística administrativa quedando un valor de $ 463.539.258.985. Adicionalmente se recibieron recursos por $1.552.205.380 destinados para el pago de Expropiaciones Judiciales y Administración de Predios, dando como resultado un Presupuesto total para la vigencia 2014 de $ 465.091.464.365. De acuerdo a lo anterior, del presupuesto asignado se tiene proyectado la constitución de reservas presupuestales por $ 203.786.024.895. En el mes de Mayo se tenia una programación inicial en Registros Presupuestales de $ 535.419.431 y se constituyeron registros presupuestales por un valor de $ 527.025.360 por lo tanto se ejecuto un 98% frente a la programación del mes. Para un acumulado de registros presupuestales de 608.245.660. Se hace la salvedad que la diferencia con respecto a los datos del numerador se deben a dos solicitudes de Certificados presupuestales por $1.232.000 y $377.208 para un total de $ 1.609.208 del Proyecto Av. Comuneros. Los documentos para solicitar los correspondientes registros presupuestales de las anteriores fueron recibidas el 29 de mayo y expedidos los correspondientes CRP´s Nos. 1741 y 1742 el 03 de junio, el reporte de estos indicadores son los primeros 10 días hábiles del siguiente mes; pero con corte al 30 del mes inmediatamente anterior, por lo tanto se tuvieron encuentra dentro de los CRP expedidos por la DTDP en el mes de Mayo, relacionándolos en el Análisis de dicho mes, mas no en el dato numerador. </t>
  </si>
  <si>
    <t xml:space="preserve">En el mes de Junio se modifico el presupuesto asignado por  $ 465.091.464.365 quedando proyectado la Programación de Pagos por un valor de $ 157.905.867.485 y una constitución de reservas presupuestales por $ 307.185.596.880. En el mes de Junio se tiene una programación inicial en Registros Presupuestales de $ 88.257.823 y a la fecha no se han constituido registros presupuestales en el mes. Para un acumulado de $ 608.245.660. Se hace la salvedad que en el análisis del mes de junio, se expidieron registros presupuestales por valor de $60.752.737 y que se presentan diferencias con lo reportado de $ 187.346 que corresponde a la diferencia entre $ 1.609.208 del mes de Mayo y $ 1.421. 862 que no se tuvieron en cuenta  en el mes de junio por planeación pero que la Solicitud de registro Presupuestal quedó el día viernes 27 de junio y el CRP fue expedido el día 02 de julio, quedando al igual que el valor del mes de junio. </t>
  </si>
  <si>
    <t xml:space="preserve">En el mes de Julio se mantuvo el presupuesto asignado por  $ 465.091.464.365 quedando proyectado la Programación de Giros por un valor de Pagos por un valor de $157.905.867.485 y una constitución de reservas Presupuestales para 2015 de $307.185.596.880 . En el mes de Julio se tenia una programación inicial en Registros Presupuestales de $ 22.250.115 y se constituyeron registros por $1.279.753.096 por lo tanto se sobre ejecutó en un 5752% frente a la programación del mes. En la constitución de registros presupuestales se tiene un acumulado de marzo a julio de $ 1.948.751.493.Se hace la salvedad que el valor presentado como diferencia es de $1.421.862 y que se tuvo en cuenta dentro de los valores de registro para el mes de junio. </t>
  </si>
  <si>
    <t>Se modifico el presupuesto asignado de la vigencia 2014 de  $465.091.464.365 así: Se recibieron recursos por $23.159.378.924, para el Proyecto Rampa Acceso a Discapacitados ($19.980.924), Proyecto Av. José Celestino Mutis de AK 70 - Av. Boyacá ($23.133.956.000) y para mayores avalúos de Expropiaciones Judiciales ($5.442.000). Además se trasladaron recursos para la Dirección Técnica de Construcciones por $176.574.640. Dando como resultado un Presupuesto Asignado para la Vigencia 2014 de $488.074.268.649, que corresponde a: • $ 91.339.880.000 - Acuerdo de valorización 180 de 2005 Modificado por el Acuerdo 523 de 2013.  • $ 391.536.094.985 - Acuerdo 527 de 2013 – Cupo de endeudamiento.  • $ 5.198.293.664 -  Proyectos de acuerdo anteriores (Ac 25 de 1995 y Ac. 48 de 2001). Igualmente durante la vigencia 2014 no se ejecutarán $ 38.694.978.217 - Acuerdo 527 de 2013 - Cupo de endeudamiento y $ 510.000.000 - Proyectos de acuerdos anteriores  (Ac 25 de 1995 y Ac. 48 de 2001) para un total de $ 39.204.978.217. En el mes de agosto se tenia una proyección de constitución de registros presupuestales por $ 44.517.467.900 ( No se cumplió por no contar con los insumos necesarios con Factibilidades, avalúos entre otros)  y se constituyeron registros en el periodo de agosto por valor de $23.991.957. Para un acumulado en registros de $ 1.972.743.450.</t>
  </si>
  <si>
    <t>Se modifico el presupuesto asignado de la vigencia 2014 de $488.074.268.649 así: Se trasladaron recursos por $1.068.286.401, para la Subdirección Técnica de Construcciones, dando como resultado un Presupuesto Asignado para la Vigencia 2014 de $487.005.982.248, que corresponde a:  • $ 91.339.880.000 - Acuerdo de valorización 180 de 2005 Modificado por el Acuerdo 523 de 2013. • $ 390.467.808.584 - Acuerdo 527 de 2013 – Cupo de endeudamiento.  • $ 5.198.293.664 -  Proyectos de acuerdo anteriores (Ac 25 de 1995 y Ac. 48 de 2001). Igualmente durante la vigencia 2014 no se ejecutarán $ 45.360.640.300 - Acuerdo 527 de 2013 - Cupo de endeudamiento y $ 508.058.438 - Proyectos de acuerdos anteriores  (Ac 25 de 1995 y Ac. 48 de 2001) para un total de $ 45.868.698.738.  En el mes de Septiembre se tenia una proyección de constitución de registros presupuestales inicial por $ 52.511.713.830 ( No se cumplió por no contar con los insumos necesarios con Factibilidades, avalúos entre otros)  y se constituyeron registros en el periodo de Septiembre por valor de $18.906.625.140. Para un acumulado en registros de $ 20.879.368.590.</t>
  </si>
  <si>
    <t>En el mes de Octubre, se modifico el presupuesto asignado de la vigencia 2014 de $487.005.982.248 así: Se recibieron recursos por $3.167.201.000, para el Proyecto Av. J. C. Mutis Tramo Cr 114 - Cr 122, dando como resultado un Presupuesto Asignado para la Vigencia 2014 de $490.173.183.248, que corresponde a: • $ 91.339.880.000 - Acuerdo de valorización 180 de 2005 Modificado por el Acuerdo 523 de 2013. • $ 393.636.009.584 - Acuerdo 527 de 2013 – Cupo de endeudamiento.  • $ 5.198.293.664 -  Proyectos de acuerdo anteriores (Ac 25 de 1995 y Ac. 48 de 2001). Igualmente durante la vigencia 2014 no se ejecutarán $ 45.360.640.300 - Acuerdo 527 de 2013 - Cupo de endeudamiento y $ 508.058.438 - Proyectos de acuerdos anteriores  (Ac 25 de 1995 y Ac. 48 de 2001) para un total de $ 45.868.698.738. En el mes de Octubre se tenia una proyección de constitución de registros presupuestales inicial por $94.834.794.490 (No se cumplió por no contar con los insumos necesarios con Factibilidades, avalúos entre otros) y se constituyeron registros en el periodo de Octubre por valor de $16.954.528.968. Para un acumulado en registros de $37.833.897.558.</t>
  </si>
  <si>
    <t xml:space="preserve">
En el mes de Noviembre, se modifico el presupuesto asignado de la vigencia 2014 de $490.173.183.248 así: Se recibieron recursos por $3.741.937.462 distribuidos $700.000 para el Proyecto C L 29 Sur - Santa Ines, $3.429.186.214 para el Proyecto Av. J.C Mutis Tramos Cr 114 - Cr 122, $300.000.000 para el Proyecto Cable Aéreo - Ciudad Bolívar (Compensaciones) y $12.051.248 para el Proyecto Intersección Cl 6 - Cr 10 (Compensaciones), además se trasladaron recursos por $53.360.000 de la Calle 45 para la Dirección Técnica de Construcciones, dando como resultado un Presupuesto Asignado para la vigencia 2014 de $493.861.760.710. En el mes de Noviembre se tenia una proyección de constitución de registros presupuestales inicial por $102.849.136.920  (No se cumplió por no contar con los insumos necesarios con Factibilidades, avalúos entre otros) y se constituyeron registros en el periodo de Noviembre por valor de $49.117.884.441. Para un acumulado en registros de $86.951.781.999.</t>
  </si>
  <si>
    <t>En el mes de Diciembre, se modifico el presupuesto asignado de la vigencia 2014 de $493.861.760.710 así: Se recibieron recursos por $66.902 para el Rampas Acceso a Discapacitados, además se trasladaron recursos por $21.793.000.000 que estaban como recursos que no se ejecutarían en la vigencia 2014 y recursos por $181.189.224.607 de Proyectos Aplazados en la vigencia, dando como resultado un Presupuesto Asignado para la vigencia 2014 de $290.786.326.919. En el mes de Noviembre se tenia una proyección de constitución de registros presupuestales inicial por $106.890.652.160 y se constituyeron registros en el periodo de Diciembre por valor de $162.797.945.041. Para un acumulado en registros de $249.749.727.040.</t>
  </si>
  <si>
    <t>La DTDP alcanzo  una ejecución satisfactoria en la ejecución del presupuesto asignado durante la vigencia 2014.</t>
  </si>
  <si>
    <t>Sin programación y sin ejecución en el mes de enero. Puntos 100</t>
  </si>
  <si>
    <t>Febrero - La programación Inicial (PI) del PAC es de $ 311.067.717   y la Reprogramación del mes ( RM )fue de $1.205.141.465. La Ejecución del PAC  en este mes fue de $ 1.061.639.073, por lo tanto se ejecutó el  341  % frente a la programación Inicial y el    88% frente a la Reprogramación del mes. Adicionalmente la información  SI se entregó dentro del plazo estipulado. Esto arroja  60  puntos en el Indicador de Gestión del PAC.</t>
  </si>
  <si>
    <t xml:space="preserve">  Marzo - La programación Inicial (PI) del PAC es de $ 797.706.580   y la Reprogramación del mes ( RM )fue de $957.221.968. La Ejecución del PAC  en este mes fue de $ 1.005.681.068, por lo tanto se ejecutó el  126 % frente a la programación Inicial y el  105% frente a la Reprogramación del mes. Adicionalmente la información  SI se entregó dentro del plazo estipulado. Esto arroja 75  puntos en el Indicador de Gestión del PAC.</t>
  </si>
  <si>
    <t>La programación Inicial (PI) del PAC es de $ 1.135.440.989  y la Reprogramación del mes (RM )fue de $476.880.444. La Ejecución del PAC  en este mes fue de $ 315.908.411, por lo tanto se ejecutó el  28 % frente a la programación Inicial y el 66% frente a la Reprogramación del mes. Adicionalmente la información  SI se entregó dentro del plazo estipulado. Esto arroja 45  puntos en el Indicador de Gestión del PAC.</t>
  </si>
  <si>
    <t>La programación Inicial (PI) del PAC es de $ 933.733.557 y la Reprogramación del mes (RM )fue de $742.344.667. La Ejecución del PAC  en este mes fue de $561.202.519, por lo tanto se ejecutó el  60 % frente a la programación Inicial y el 76% frente a la Reprogramación del mes. Adicionalmente la información  SI se entregó dentro del plazo estipulado. Esto arroja 65  puntos en el Indicador de Gestión del PAC.</t>
  </si>
  <si>
    <t xml:space="preserve"> La programación Inicial (PI) del PAC es de $13.341.330.810 y la Reprogramación del mes (RM )fue de $ 3.289.639.027. La Ejecución del PAC  en este mes fue de $2.859.328.661, por lo tanto se ejecutó el  21 % frente a la programación Inicial y el 87% frente a la Reprogramación del mes. Adicionalmente la información  SI se entregó dentro del plazo estipulado. Esto arroja 55  puntos en el Indicador de Gestión del PAC.</t>
  </si>
  <si>
    <t>La programación Inicial (PI) del PAC es de $1.027.102.062 y la Reprogramación del mes (RM )fue de $ 746.983.811. La Ejecución del PAC  en este mes fue de $708.535.850, por lo tanto se ejecutó el  69 % frente a la programación Inicial y el 95% frente a la Reprogramación del mes. Adicionalmente la información  SI se entregó dentro del plazo estipulado. Esto arroja 80 puntos en el Indicador de Gestión del PAC.</t>
  </si>
  <si>
    <t xml:space="preserve">La programación Inicial (PI) del PAC es de $1.437.379.460 y la Reprogramación del mes (RM )fue de $ 1.168.895.785. La Ejecución del PAC  en este mes fue de $1.144.537.268, por lo tanto se ejecutó el  80% frente a la programación Inicial y el 98% frente a la Reprogramación del mes. </t>
  </si>
  <si>
    <t>La programación Inicial (PI) del PAC es de $2.342.407.454  y la Reprogramación del mes (RM )fue de $ 503.848.340. La Ejecución del PAC  en este mes fue de $159.359.745, por lo tanto se ejecutó el  7% frente a la programación Inicial y el 32% frente a la Reprogramación del mes. Adicionalmente la información  SI se entregó dentro del plazo estipulado. Esto arroja 25 puntos en el Indicador de Gestión del PAC.</t>
  </si>
  <si>
    <t>La programación Inicial (PI) del PAC es de $17.893.364.775 y la Reprogramación del mes (RM) fue de $1.209.980.457. La ejecución del PAC en este mes fue de $968.108.690, por lo tanto se ejecutó el 5% frente a la programación inicial y el 80% frente a la Reprogramación del mes. Adicionalmente la información SI se entregó dentro del plazo estipulado. Esto arroja 50 puntos en el Indicador de Gestión PAC.</t>
  </si>
  <si>
    <t>La programación Inicial (PI) del PAC es de $89,758,037,846 y la Reprogramación del mes ( RM )fue de $1,351,624,804.  La Ejecución del PAC  en este mes fue de $1,627,764,336. Por lo tanto se ejecutó el 2% frente a la programación Inicial y el 120% frente a la Reprogramación del mes. Adicionalmente la información  SI se entregó dentro del plazo estipulado. Esto arroja 20 puntos en el Indicador de Gestión del PAC.</t>
  </si>
  <si>
    <t xml:space="preserve"> La programación Inicial (PI) del PAC es de $186,022,641,181 y la Reprogramación del mes ( RM ) fue de $10,132,410,501.  La Ejecución del PAC  en este mes fue de $10,598,273,485. Por lo tanto se ejecutó el 6% frente a la programación Inicial y el 105% frente a la Reprogramación del mes. Adicionalmente la información  SI se entregó dentro del plazo estipulado. Esto arroja 65 puntos en el Indicador de Gestión del PAC.</t>
  </si>
  <si>
    <t xml:space="preserve">Durante la vigencia 2014 la DTDP obtuvo un puntaje en promedio de 49 puntos, es decir, un cumplimiento bajo frente a lo programado y ejecutado en la gestión del PAC de la dirección, en ese sentido es necesario realizar seguimiento y control  permanente.   </t>
  </si>
  <si>
    <t>La DTDP actualmente cuenta con 181 contratos y el 100% de los mismos se encuentran actualizados en el sistema SIAG.</t>
  </si>
  <si>
    <t>Verificado el Sistema de Información y Acompañamiento Contractual SIAC se evidencia la desactualización de tres (3) contratos a cargo de la Dirección Técnica de Predios en los cuales el estado es terminado y a la fecha de corte del presente seguimiento estos se encuentran Liquidados.</t>
  </si>
  <si>
    <t xml:space="preserve">Revisados los estados registrados en el Sistema de Información y Acompañamiento Contractual SIAC se evidencia la desactualización de seis (6) contratos </t>
  </si>
  <si>
    <t xml:space="preserve">Revisados los estados registrados en el Sistema de Información y Acompañamiento Contractual SIAC se evidencia la desactualización de ocho (8) contratos </t>
  </si>
  <si>
    <t>La  DTDP cerro con  215 contratos en ejecución. Se refleja una buena administración del SIAC frente a los estados de los contratos durante la vigencia 2014.  Es importante hacer permanente el seguimiento y control al sistema.</t>
  </si>
  <si>
    <t>MARÍA DEL PILAR GRAJALES RESTREPO</t>
  </si>
  <si>
    <t>DIRECCIÓN TÉCNICA DE PREDIOS</t>
  </si>
  <si>
    <t>DIRECCIÓN TÉCNICA ESTRATEGICA</t>
  </si>
  <si>
    <t>DICIEMBRE DE 2014</t>
  </si>
  <si>
    <t>REPORTE MENSUAL DE INDICADORES DICIEMBRE DE 2014</t>
  </si>
  <si>
    <t>GRUPO</t>
  </si>
  <si>
    <t>SEPTIEMBRE DE 2014</t>
  </si>
  <si>
    <t>TOTAL %</t>
  </si>
  <si>
    <t>% de cumplimiento</t>
  </si>
  <si>
    <t>I+D</t>
  </si>
  <si>
    <t xml:space="preserve"> Incorporar nuevas tecnologías, técnicas y/o  materiales a los procesos constructivos  al 100% de los proyectos de la Movilidad Humana.</t>
  </si>
  <si>
    <t>A 31 de diciembre de 2014 generar seis (6) documentos tecnicos (Especificaciones técnicas, guías, cartillas o boletines) orientados a Investigación y Desarrollo.</t>
  </si>
  <si>
    <t>Generación de especificaciones técnicas, guías, cartillas o boletines</t>
  </si>
  <si>
    <t>Controlar el número de documentos generados de especificaciones técnicas, guías, cartillas o boletines relacionados con la construcción y mantenimiento de la malla vial y espacio público IDU</t>
  </si>
  <si>
    <t>eficiciencia</t>
  </si>
  <si>
    <t>Documentos generados (Especificaciones técnicas, guías, cartillas o boletines
Boletine)/Documentos proyectados x 100</t>
  </si>
  <si>
    <t>Documentos técnicos remitidos y aprobados por el Director Técnico mediante correo electronico o firmados en fisico.</t>
  </si>
  <si>
    <t>DTE</t>
  </si>
  <si>
    <t>No fue programado avance del indicador para el mes de mayo.</t>
  </si>
  <si>
    <t>Se generaron los siguientes documentos:
1. Boletin de sostenibilidad.
2. Boletin de puentes.
3. Boletin de estado de la malla vial.</t>
  </si>
  <si>
    <t>No fue programado avance del indicador para el mes de julio.</t>
  </si>
  <si>
    <t>No fue programado avance del indicador para el mes de agosto</t>
  </si>
  <si>
    <t>No fue programado avance del indicador para el mes de septiembre</t>
  </si>
  <si>
    <t>No fue programado avance del indicador para el mes.</t>
  </si>
  <si>
    <t>Se generaron y publicaron los siguientes documentos técnicos:
• Guía de Galvanizado: Publicado Noviembre 29 de 2014.
• Efecto del tránsito en las estructuras de pavimento: Publicado Noviembre 06 de 2014.
• Guía para el diseño de vías urbanas para Bogotá D.C.: Publicado Agosto 13 de 2014.</t>
  </si>
  <si>
    <t>Se generaron los siguientes documentos:
1. Boletin de sostenibilidad.
2. Boletin de puentes.
3. Boletin de estado de la malla vial
4. Guía de Galvanizado: Publicado Noviembre 29 de 2014.
5. Efecto del tránsito en las estructuras de pavimento: Publicado Noviembre 06 de 2014.
6. Guía para el diseño de vías urbanas para Bogotá D.C.: Publicado Agosto 13 de 2014.</t>
  </si>
  <si>
    <t>PRECIOS</t>
  </si>
  <si>
    <t xml:space="preserve"> Cumplir con las metas del plan de desarrollo de la Bogotá Humana en lo que compete al IDU</t>
  </si>
  <si>
    <t>Se realizaran dos (2) actualizaciones del 80% de los insumos que conforman la base de datos de precios de referencia unitarios al año.</t>
  </si>
  <si>
    <t>Actualización de la base de datos de precios de referencia</t>
  </si>
  <si>
    <t>Realizar seguimiento y control a la actualización de la base de datos de los precios de referencia de acuerdo a requerimiento internos (DTE) y externos (Areas técnicas del Instituto)</t>
  </si>
  <si>
    <t>Número de insumos actualizados /
Número total de insumos de la base de datos x 100</t>
  </si>
  <si>
    <t>Base de datos de precios de referencia.</t>
  </si>
  <si>
    <t>No fue programado avance del indicador para el mes de junio.</t>
  </si>
  <si>
    <t>Se realizó  el 100% de la actulización de los insumos que conforman la base de datos de precios de referencia unitarios.</t>
  </si>
  <si>
    <t>Diseñar e implementar un plan de gestión del conocimiento que permita capturar, organizar, transferir y difundir el conocimiento institucional.</t>
  </si>
  <si>
    <t>A 31 de diciembre de 2014 generar diez (10) Valores de referencia de infraestructura vial y espacio público.</t>
  </si>
  <si>
    <t>Valores de referencia de Infraestrucrura vial y espacio público</t>
  </si>
  <si>
    <t>Realizar seguimiento a la generación de Valores de referencia de infraestructura vial y espacio público.</t>
  </si>
  <si>
    <t>Número de Valores de referencia generados /
Número total de Valores de referencia programados x 100</t>
  </si>
  <si>
    <t>Se generaron los siguientes valores de referencia:
1.) Segmento &lt; 50 metros
2.) 50 metros&lt;segmento&lt;100metros
3.) 100 metros&lt;segmento&lt;150 metros 
4.) 150 metros&lt;segmento&lt;200 metros 
5.) 200 metros&lt;segmento&lt;250 metros</t>
  </si>
  <si>
    <t>Se generon los siguientes indices:
Rehabilitación de pavimento rigido
Rehabilitacion pavimento articulado en adoquin de arcilla
Rehabiitacin de pavimiento flexible 0.18
Rehabiitacin de pavimiento flexible 0.12
Rehabiitacin de pavimiento flexible 0.10</t>
  </si>
  <si>
    <t>Se generaron los siguientes valores de referencia:
1.) Segmento &lt; 50 metros
2.) 50 metros&lt;segmento&lt;100metros
3.) 100 metros&lt;segmento&lt;150 metros 
4.) 150 metros&lt;segmento&lt;200 metros 
5.) 200 metros&lt;segmento&lt;250 metros
6.)Rehabilitación de pavimento rigido
7.)Rehabilitacion pavimento articulado en adoquin de arcilla
8.)Rehabiitacin de pavimiento flexible 0.18
9.)Rehabiitacin de pavimiento flexible 0.12
10.)Rehabiitacin de pavimiento flexible 0.10</t>
  </si>
  <si>
    <t>DIRECTORIO DE PROVEEDORES</t>
  </si>
  <si>
    <t>Cumplir con las metas del plan de desarrollo de la Bogotá Humana en lo que compete al IDU</t>
  </si>
  <si>
    <t xml:space="preserve">A 31 de diciembre realizar 24 publicaciones con la información actualizada de las empresas activas en la base de datos   Directorio de Proveedores </t>
  </si>
  <si>
    <t>Visor del Directorio de Proveedores actualizado</t>
  </si>
  <si>
    <t>Realizar seguimiento y control a la publicación de la información actualizada contenida en la base de datos del Directorio de Proveedores</t>
  </si>
  <si>
    <t>Número de publicaciones realizadas/
Número de publicaciones programadas x 100</t>
  </si>
  <si>
    <t>Modulo directorio de proveedores sistema de acompañamiento contractual SIAC y pagina WEB de la entidad</t>
  </si>
  <si>
    <t>La primera publicación en la pagina web de la Entidad, se realizó el 15 enero de 2014, con 65 registros activos dentro del Directorio de Proveedores, y la segunda se efectuó el 31 de enero con 71 registros activos.</t>
  </si>
  <si>
    <t>En este mes la primera publicación en la pagina web de la Entidad, se realizó el 14 febrero de 2014, con 69 registros activos dentro del Directorio de Proveedores y la segunda se efectuó el viernes 28 de febrero con 70 registros activos.</t>
  </si>
  <si>
    <t>Se realizó la publicación en la pagina web del Visor del Directorio de proveedores el 14 marzo de 2014, con 69 registros activos dentro del Directorio de Proveedores y la ultima del mes se efectuó el día 31 de marzo con la misma cantidad de registros activos.</t>
  </si>
  <si>
    <t>La primera publicación de este mes en la pagina web de la Entidad, se realizó el 15 abril de 2014, con 66 registros activos dentro del Directorio de Proveedores, y la segunda se efectuó el 30 de abril con 63 registros activos.</t>
  </si>
  <si>
    <t>Este mes la primera publicación en la pagina Web de la Entidad, se realizó el 15 mayo de 2014, con 62 registros activos dentro del Directorio de Proveedores, y la segunda se efectuó el 30 de mayo con 58 registros activos.</t>
  </si>
  <si>
    <t>La primera publicación en la pagina Web de la Entidad, se realizó el 15 junio de 2014, con 57 registros activos dentro del Directorio de Proveedores, y la segunda se efectuó el 30 de junio con 55 registros activos.</t>
  </si>
  <si>
    <t>En este mes la primera publicación en la pagina Web de la Entidad, se realizó el 15 de julio de 2014, con 56 registros activos dentro del Directorio de Proveedores, y la segunda se efectuó el 31 de julio con 54 registros activos.</t>
  </si>
  <si>
    <t>En este mes la primera publicación en la pagina Web de la Entidad, se realizó el 15 de Agosto de 2014, con 55 registros activos dentro del Directorio de Proveedores, y la segunda se efectuó el 29 de Agosto con 56 registros activos.</t>
  </si>
  <si>
    <t>Se realizó la publicación en la pagina web del Visor del Directorio de proveedores el 15 septiembre de 2014 con 55 registros activos y la ultima del mes se efectuó el día 30 de septiembre con 54 registro activos.</t>
  </si>
  <si>
    <t>En el mes de octubre la primera publicación en la pagina Web de la Entidad, se realizó el 15 octubre de 2014, con 56 registros activos dentro del Directorio de Proveedores, y la segunda se efectuó el 31 de octubre con 57 registros activos.</t>
  </si>
  <si>
    <t>En este mes la primera publicación en la pagina Web de la Entidad, se realizó el 14 Noviembre de 2014, con 59 registros activos dentro del Directorio de Proveedores, y la segunda se efectuó el 29 de Noviembre con 63 registros activos.</t>
  </si>
  <si>
    <t>Para el mes de Diciembre, la primera  publicación del Directorio en la página web de la entidad se realizó el 16 de diciembre  con 62 registros activos y la segunda publicación para el 31 de diciembre con 60 registros activos.</t>
  </si>
  <si>
    <t>Durante el año se han realizado 24 publicaciones de la base de datos del directorio de proveedores</t>
  </si>
  <si>
    <t>GEOMATICA</t>
  </si>
  <si>
    <t>Consolidar el sistema de Información geografica del Instituto</t>
  </si>
  <si>
    <t xml:space="preserve">A 31 de diciembre realizar dos (2) socializaciones de servicios de publicación de información geografica en el Servidor de Mapas. </t>
  </si>
  <si>
    <t>Socialización de servicios geograficos</t>
  </si>
  <si>
    <t>Verificar el cumplimiento de la socializaciones proyectadas de servicios geograficos.</t>
  </si>
  <si>
    <t>Número de servicios socializados/Número de servicios proyectos para ser socializados x 100</t>
  </si>
  <si>
    <t xml:space="preserve">Base de datos SIG IDU
Arc Gis
Oracle </t>
  </si>
  <si>
    <t>UNIDAD</t>
  </si>
  <si>
    <t>Se realizó la socialización de los servicios del Sistema de Información Geografica el día 25 de junio de 2014</t>
  </si>
  <si>
    <t>Se realizó la socialización del Sistema de información Geografico SIGIDU el 26 de noviembre de 2014.</t>
  </si>
  <si>
    <t>Se realizaron dos socializaciones del Sistema de Información Geografica en el transcurso del año:
* El día 25 de junio de 2014.
* El día 26 de noviembre de 2014.</t>
  </si>
  <si>
    <t>Actualizar el 100% del inventario y diagnóstico de la malla vial, espacio publico y ciclo rutas de competencia de la entidad.</t>
  </si>
  <si>
    <t xml:space="preserve"> A 31 de diciembre de 2014 ajustar cartograficamente 201.000 elementos correspondientes a la sección transversal de la malla vial arterial, intermedia y local.</t>
  </si>
  <si>
    <t>Ajuste cartógrafico de los elementos  calzada, anden, ciclorruta, separadores e intersecciones correspondientes a la la malla vial arterial, intermedia y local.</t>
  </si>
  <si>
    <t>Hacer seguimiento a la ejecución del ajuste cartografico</t>
  </si>
  <si>
    <t>Número de elementos ajustados/
201.000 elementos  x 100</t>
  </si>
  <si>
    <t>Base de datos SIG IDU, imágenes digitales georreferenciadas, street view  y Planos Record</t>
  </si>
  <si>
    <t>Durante el mes fueron ajustados 6.250 elementos lo que corresponde a un 3.11%</t>
  </si>
  <si>
    <t>Durante el mes fueron ajustados 6335 elementos lo que corresponde a un 3.15%</t>
  </si>
  <si>
    <t>Durante el mes fueron ajustados 12.440 elementos lo que corresponde a un 6.19 %</t>
  </si>
  <si>
    <t>Durante el mes fueron ajustados 18.132 elementos lo que corresponde a un 9.02 %</t>
  </si>
  <si>
    <t>Durante el mes fueron ajustados 20.150 elementos lo que corresponde a un 10 %</t>
  </si>
  <si>
    <t>Durante el mes fueron ajustados 22.110 elementos lo que corresponde a un 11.%</t>
  </si>
  <si>
    <t>Durante el mes fueron ajustados 18.650 elementos que corresponde a un 9.28% de un 11% programado.  Lo anterior dado que no se contó con el recurso humano  el mes completo, por la terminación de los contratos de prestación de servicios.</t>
  </si>
  <si>
    <t xml:space="preserve">Durante el mes fueron ajustados 22.250  elementos que corresponde a un 11.07% de un 12 % programado. </t>
  </si>
  <si>
    <t xml:space="preserve">Durante el mes fueron ajustados 28.457 elementos que corresponde a un 14.16% de un 12 % programado. Lo anterior cumpliendo con la meta acumulada 77% de un total de 201.000 elementos programados para ajuste. </t>
  </si>
  <si>
    <t xml:space="preserve">Durante el mes fueron ajustados 24220 elementos que corresponde a un 12% de un 12 % programado. </t>
  </si>
  <si>
    <t xml:space="preserve">Se ajustaron 22.112 elemenmtos que  corresponden al 11%. </t>
  </si>
  <si>
    <t xml:space="preserve">De enero a diciembre de 2014 fueron ajustados 201.106 elementos que corresponde a un 100% de la meta  programado.  </t>
  </si>
  <si>
    <t>Rehabiitacin de pavimiento flexible 0.12</t>
  </si>
  <si>
    <t>Implementar, evaluar y auditar el 100% del Sistema Integrado de Gestión del IDU.</t>
  </si>
  <si>
    <t>No hay productos SIG programados para el mes de enero de 2014</t>
  </si>
  <si>
    <t>No hay productos SIG programados para el mes de febrero de 2014</t>
  </si>
  <si>
    <t>Se documentó el instructivo de planos conforme a lo planificado. Se elaborò el IN-IC-01 Presentaciòn Planos y archivos</t>
  </si>
  <si>
    <t>No hay productos sig programados para el mes de abril de 2014</t>
  </si>
  <si>
    <t>La OAP lo reportará en el mes de junio de 2014.</t>
  </si>
  <si>
    <t>De los 6 documentos programados con corte a junio, se públicaron 5 y 1 esta en revisión.</t>
  </si>
  <si>
    <t>De los trámites programados inicialmente para ejecutar desde el 1° de enero hasta el 30 de septiembre, quedaron pendientes un total de 0 trámites. El detalle de los documentos se puede observar en el plan documental consolidado por la OAP o el plan específico en cada área.</t>
  </si>
  <si>
    <t>De los trámites programados inicialmente para ejecutar desde el 1° de enero hasta el 31 de diciembre, quedaron pendientes un total de 0 trámites. Se generaron 11 documentos.</t>
  </si>
  <si>
    <t>De un total de 11 documentos se han generado 11.</t>
  </si>
  <si>
    <t>Cumple todas las acciones=100%
Incumple alguna acción=0%
Se evalúan las acciones a cumplir en el periodo análizado.</t>
  </si>
  <si>
    <t>NO SE PROGRAMÓ EJECUCIÓN DE ESTE INDICADOR PARA ESTE PERIODO.</t>
  </si>
  <si>
    <t>El área no contaba con acciones de mejora para analizar en este período</t>
  </si>
  <si>
    <t>No aplica evaluación en el periodo, dado que no tiene compromisos a cumplir con corte al 30 de septiembre de 2014</t>
  </si>
  <si>
    <t>NO APLICA EVALUACION EN EL PERIODO</t>
  </si>
  <si>
    <t>Cumple todas las acciones acumuladas a la fecha de corte=100%
Incumple alguna acción=0%
Se evalúan las acciones acumuladas a cumplir en la fecha de corte.</t>
  </si>
  <si>
    <t>Acciones de Mejora cumplidas. El análisis detallado del cumplimiento de los Planes de Mejoramiento con la Contraloría de Bogotá y con la Contraloría General de la República fue socializado en las reuniones de seguimiento programadas por la Dirección General,  OCI y OAP, tanto para la Contraloría de Bogotá como para la Contraloría General de la República.</t>
  </si>
  <si>
    <t>No aplica evaluación del indicador de planes de mejoramiento en este periodo.</t>
  </si>
  <si>
    <t>Acciones de Mejora cumplidas</t>
  </si>
  <si>
    <t>Mantener por encima del 90% la ejecución presupuestal (eficiencia) de la vigencia, pasivos exigibles y reservas.</t>
  </si>
  <si>
    <t>Ejecutar el 70% de los pasivos exigibles programados para la vigencia.</t>
  </si>
  <si>
    <t xml:space="preserve">DTAV – DTC – DTD – DTDP – DTE – DTGC – DTGJ– DTP – OAC – SGJ – STRF – STRH – STRT  – STEST – STESV – STMST – STMSV - STOP </t>
  </si>
  <si>
    <t>Ejecución presupuestal correspondiente a giros presupuestales por $26.999.999. Programación del mes $289.540.343,21.</t>
  </si>
  <si>
    <t>Ejecución presupuestal correspondiente a giros presupuestales por $17.068.468. Sin programación inicial para el mes.</t>
  </si>
  <si>
    <t>Ejecución presupuestal correspondiente a giros presupuestales por $35.999.999. Programación para el mes de 10%</t>
  </si>
  <si>
    <t>Se envió memorando 20142150480163 a la Subdirección Técnica de Presupuesto y Contabilidad solicitando la modificación de la programación de pasivos, dado que están pendiente dos tramites de derechos de autor correspondientes a los contratos IDU-38-2012 e IDU-39-2012, y dado que se programó un mayor valor para pago de lo programado inicialmente del contrato IDU-29-2012 (Otrosí No 3).</t>
  </si>
  <si>
    <t>Ejecución del mes correspondiente a giros presupuestales por $115,880,000 correspondiente al contrato IDU-29-2012. La programación de pasivos fue modificada mediante memorando 20142150480163.</t>
  </si>
  <si>
    <t>Se ejecutaron recursos por valor de $ 43.550.000.oo del contrato IDU-29-2012 de los 80.470.321 programados, Los recursos por valor de  $ 37.015.321, correspondientes a los pagos contra liquidación de los contrato IDU-38-2012 e IDU-39-2012, está en trámite, dado que las actas de liquidación se encuentran en revisión de las Subdirección Técnica de Presupuesto y Contabilidad del IDU y del contratista la universidad Javeriana. La DTE ya surtió las actividades a su cargo.</t>
  </si>
  <si>
    <t>Se realizaron los pagos pendientes de los contratos IDU-38-2012 e IDU-39-2012, dado que se finalizó el proceso de liquidación de los contratos.</t>
  </si>
  <si>
    <t>Ejecución esperada del 79%. Ejecución real del 79%. Se pagaron $ 276.513.787  de pasivos exigibles durante el 2014</t>
  </si>
  <si>
    <t>Ejecución presupuestal por liberacion de  $534.880.000, correspondiente al convenio IDU-1320-2013, el cual fue anulado.</t>
  </si>
  <si>
    <t>Ejecución presupuestal correspondiente a giros presupuestales por $50.825.052. Programación para el mes de 8%</t>
  </si>
  <si>
    <t>Ejecución del mes correspondiente a giros presupuesales por $62.119.508. Ejecución esperada del 10%.</t>
  </si>
  <si>
    <t>liberacion de  $534.880.000, correspondiente al convenio IDU-1320-2013, el cual fue anulado.
Se realizaron pagos por valor de $ 112.944.560 correspondiente al contrato IDU-1520-2013</t>
  </si>
  <si>
    <t>Mantener por encima del 90% la ejecución presupuestal</t>
  </si>
  <si>
    <t>A 31 de diciembre ejecutar el 80% del presupuesto asignado en  la vigencia.</t>
  </si>
  <si>
    <t xml:space="preserve">Presupuesto total 2014 $ 2.050.000.000.oo. Se realizó un traslado presupuestal a la Subdirección Técnica de Recursos Tecnológicos, por valor de $ 650.000.000.oo que corresponden a un 32 % del total del presupuesto, con el objeto de adquirir los servidores para el proyecto de Sistema de Información Geográfico.
</t>
  </si>
  <si>
    <t>Presupuesto total vigencia: $2.050.000.000. Recursos trasladados $ 650.000.000.oo (32%). Recursos en CDP $ 816.000.000.o (40%) Total $ 1.466.000.000.oo. 
Se envio memorando 20142150418403 a la Oficina Asesora de Planeación solicitando la modificación de la programación del indicador. Los recursos de los proyectos en tramite preconctractual se reservaran en el mes de diciembre de 2014.</t>
  </si>
  <si>
    <t xml:space="preserve">Se suscribió el contrato IDU-568-2014 con Consultoría INSAMI de Colombia y Asociados S.A.S. el 14 de agosto de 2014 por valor de $413,639,373.00 y el convenio  IDU-1819-2014 con la Universidad Militar Nueva Granada el 17 de diciembre de 2014 por valor de $ 200.000.000,oo </t>
  </si>
  <si>
    <t>Mantener por encima del 90% la ejecución presupuestal (eficiencia)de la vigencia, pasivos exigibles y reservas.</t>
  </si>
  <si>
    <t>La programación Inicial (PI) del PAC es de $ 0    y la Reprogramación del mes ( RM )fue de $ 0     . La Ejecución del PAC  en este mes fue de $ 0 . Por lo tanto se ejecutó el  100  % frente a la programación Inicial y el    100% frente a la Reprogramación del mes. Adicionalmente la información  SI se entregó dentro del plazo estipulado. Esto arroja   100     puntos en el Indicador de Gestión del PAC.</t>
  </si>
  <si>
    <t>La programación Inicial (PI) del PAC es de $ 77.825.051    y la Reprogramación del mes ( RM )fue de $ 0     . La Ejecución del PAC  en este mes fue de $ 0 . Por lo tanto se ejecutó el  0  % frente a la programación Inicial y el    100% frente a la Reprogramación del mes. Adicionalmente la información  SI se entregó dentro del plazo estipulado. Esto arroja   65     puntos en el Indicador de Gestión del PAC.</t>
  </si>
  <si>
    <t>La programación Inicial (PI) del PAC es de $74.825.056    y la Reprogramación del mes ( RM )fue de $77.825.051   . La Ejecución del PAC  en este mes fue de $26.999.999  . Por lo tanto se ejecutó el  36  % frente a la programación Inicial y el  35  % frente a la Reprogramación del mes. Adicionalmente la información  SI se entregó dentro del plazo estipulado. Esto arroja   35    puntos en el Indicador de Gestión del PAC.
Quedaron pendientes por ejecutar $ 50,825,052 por motivos legales, se solicitó a la DTGC mediante memorando 20142150047863 revisar y proponer la acción correspondiente para aclarar los valores del contrato y así realizar los pagos contractuales</t>
  </si>
  <si>
    <t>La programación Inicial (PI) del PAC es de $11.294.456    y la Reprogramación del mes ( RM )fue de $ 17.068.468  . La Ejecución del PAC  en este mes fue de $17.068.468  . Por lo tanto se ejecutó el  151  % frente a la programación Inicial y el 100   % frente a la Reprogramación del mes. Adicionalmente la información  SI se entregó dentro del plazo estipulado. Esto arroja  75     puntos en el Indicador de Gestión del PAC.</t>
  </si>
  <si>
    <t>La programación Inicial (PI) del PAC es de $214.200.000   y la Reprogramación del mes ( RM )fue de $17.430718. La Ejecución del PAC  en este mes fue de $18.030.718.  Por lo tanto se ejecutó el  8% frente a la programación Inicial y el  100 % frente a la Reprogramación del mes.  Adicionalmente la información  SI se entregó dentro del plazo estipulado.  Esto arroja  65  puntos en el Indicador de Gestión del PAC.</t>
  </si>
  <si>
    <t>La programación Inicial (PI) del PAC es de $0.00 y la Reprogramación del mes ( RM )fue de $0. La Ejecución del PAC  en este mes fue de $0. Se presentó el 100% frente a la Reprogramación del mes.  Adicionalmente la información  SI se entregó dentro del plazo estipulado. Esto arroja 100  puntos en el Indicador de Gestión del PAC.</t>
  </si>
  <si>
    <t>La programación Inicial (PI) del PAC es de $80.000.000 y la Reprogramación del mes ( RM )fue de $62.119.508.  La ejecución fue de $62.119.508.   Por lo tanto  se presentó el 78% frente a la  programación inicial  y un 100% frente a la reprogramación del mes.  Adicionalmente la información  SI se entregó dentro del plazo estipulado. Esto arroja 90  puntos en el Indicador de Gestión del PAC.</t>
  </si>
  <si>
    <t>La programación Inicial (PI) del PAC es de $85.000.000 y la Reprogramación del mes ( RM )fue de $115.880.000.  La Ejecución del PAC  en este mes fue de $115.880.000. Por lo tanto se ejecutó el 136% frente a la programación Inicial y el 100% frente a la Reprogramación del mes. Adicionalmente la información  SI se entregó dentro del plazo estipulado.  Esto arroja 75 puntos en el Indicador de Gestión del PAC.</t>
  </si>
  <si>
    <t>La programación Inicial (PI) del PAC es de $245,000,00 y la Reprogramación del mes (RM ) fue de $61,362,997.  La Ejecución del PAC  en este mes fue de $43,455,000 . Por lo tanto se ejecutó el  18% frente a la programación Inicial y el 71% frente a la Reprogramación del mes. Adicionalmente la información  SI se entregó dentro del plazo estipulado. Esto arroja 55 puntos en el Indicador de Gestión del PAC.</t>
  </si>
  <si>
    <t>La programación Inicial (PI) del PAC es de $205.000.000 y la Reprogramación del mes ( RM )fue de $37.015.321. La Ejecución del PAC  en este mes fue de $37.015.321. Por lo tanto se ejecutó el  18% frente a la programación Inicial y el 100% frente a la Reprogramación del mes. Adicionalmente la información  SI se entregó dentro del plazo estipulado. Esto arroja  70 puntos en el Indicador de Gestión del PAC.</t>
  </si>
  <si>
    <t>La programación Inicial (PI) del PAC es de $305,000,000 y la Reprogramación del mes ( RM )fue de $0,00.  La Ejecución del PAC  en este mes fue de $0,00. Por lo tanto se ejecutó el 0,00% frente a la programación Inicial y el 100% frente a la Reprogramación del mes. Adicionalmente la información  SI se entregó dentro del plazo estipulado. Esto arroja 65 puntos en el Indicador de Gestión del PAC.</t>
  </si>
  <si>
    <t>La programación Inicial (PI) del PAC es de $335,365,000 y la Reprogramación del mes ( RM ) fue de $0,00.  La Ejecución del PAC  en este mes fue de $0,00. Por lo tanto se ejecutó el 0% frente a la programación Inicial y el 100% frente a la Reprogramación del mes. Adicionalmente la información  SI se entregó dentro del plazo estipulado. Esto arroja   65 puntos en el Indicador de Gestión del PAC.</t>
  </si>
  <si>
    <t xml:space="preserve">PAC ejecutado/PAC programado.  Se cumplio en un 90% la meta programada. </t>
  </si>
  <si>
    <t>Garantizar el registro de la información contractual responsabilidad del área de manera coordinada y ágil en el sistema SIAC asegurando la designación del personal idóneo así como de los recursos necesarios.</t>
  </si>
  <si>
    <t>No. de Solicitudes de Acompañamiento, asesoría y elaboración de tramites contractuales Cargados en el SIAC / Total de solicitudes de acompañamiento, asesoría y elaboración de tramites contractuales. X1 00</t>
  </si>
  <si>
    <t xml:space="preserve">Se evidencia cumplimiento del indicador una vez verificada la información reportada en el SIAC de la Dirección Técnica Estratégica y la verificación de las matrices de la DTGC </t>
  </si>
  <si>
    <t>Una vez verificado el Sistema de Información y Acompañamiento Contractual – SIAC, y de acuerdo a los parámetros establecidos de medición se establece que la información correspondiente a los contratos a cargo de la Dirección Técnica Estratégica se encuentra actualizada.</t>
  </si>
  <si>
    <t>Se revisa en el Sistema de Información y Acompañamiento contractual cada uno de los estados de los contratos evidenciando la desactualización de dos (2) estados de contrato.</t>
  </si>
  <si>
    <t>Se revisa en el Sistema de Información y Acompañamiento contractual cada uno de los estados de los contratos evidenciando la actualización de los mismos.</t>
  </si>
  <si>
    <t>Actualización estado de los contrato Sistema de Acompañamiento Contractual SIAC</t>
  </si>
  <si>
    <t xml:space="preserve">Nombre:  SULLY MAGALIS ROJAS </t>
  </si>
  <si>
    <t>Cargo:  DIRECTOR TÉCNICO ESTRATÉGICO</t>
  </si>
  <si>
    <r>
      <t xml:space="preserve">FORMATO
</t>
    </r>
    <r>
      <rPr>
        <sz val="8"/>
        <rFont val="Arial"/>
        <family val="2"/>
      </rPr>
      <t>CARACTERIZACIÓN DE INDICADORES DE GESTIÓN</t>
    </r>
  </si>
  <si>
    <r>
      <rPr>
        <b/>
        <sz val="8"/>
        <rFont val="Arial"/>
        <family val="2"/>
      </rPr>
      <t>CÓDIGO</t>
    </r>
    <r>
      <rPr>
        <sz val="8"/>
        <rFont val="Arial"/>
        <family val="2"/>
      </rPr>
      <t xml:space="preserve">   
FO-PE-01                                                                                                                                                                                                                                                                                                                                                                                       </t>
    </r>
  </si>
  <si>
    <r>
      <rPr>
        <b/>
        <sz val="8"/>
        <rFont val="Arial"/>
        <family val="2"/>
      </rPr>
      <t>PROCESO</t>
    </r>
    <r>
      <rPr>
        <sz val="8"/>
        <rFont val="Arial"/>
        <family val="2"/>
      </rPr>
      <t xml:space="preserve">
PLANEACIÓN ESTRATÉGICA</t>
    </r>
  </si>
  <si>
    <r>
      <rPr>
        <b/>
        <sz val="8"/>
        <rFont val="Arial"/>
        <family val="2"/>
      </rPr>
      <t>VERSIÓN</t>
    </r>
    <r>
      <rPr>
        <sz val="8"/>
        <rFont val="Arial"/>
        <family val="2"/>
      </rPr>
      <t xml:space="preserve">
3.0</t>
    </r>
  </si>
  <si>
    <t>DIRECCIÓN TÉCNICA DE GESTIÓN CONTRACTUAL</t>
  </si>
  <si>
    <t>4.2 Mantener actualizados los portales de contratación (SECOP y CAV) de la información de gestión contractual adelantada por el IDU para la consulta de los ciudadanos.</t>
  </si>
  <si>
    <t xml:space="preserve">T-DTGC </t>
  </si>
  <si>
    <t>Publicar el 100% de la  información contractual en los portales de contratación pública de acuerdo a las fechas establecidas y la radicación de los documentos por parte de las áreas supervisoras de los contratos.</t>
  </si>
  <si>
    <t xml:space="preserve">Oportunidad en la publicación de documentos contractuales  en portales de contratación Pública </t>
  </si>
  <si>
    <t>Asegurar la publicidad de los documentos contractuales a través de los portales de contratación pública para que la ciudadanía en general pueda acceder a la información de los procesos de contratación.</t>
  </si>
  <si>
    <t>Numero de documentos contractuales publicados en los portales de contratación pública en términos  / Total de documentos contractuales para ser publicados en los portales de contratación suscritos por la DTGC y/o radicados por las áreas ejecutoras *100</t>
  </si>
  <si>
    <t xml:space="preserve">SECOP </t>
  </si>
  <si>
    <t>DTGC
Áreas Ejecutoras de los contratos.</t>
  </si>
  <si>
    <t>La DTGC publica en tiempo los documentos contractuales acorde con la normatividad vigente una vez son remitidos por el área técnica o suscritos por la DTGC dando cumplimiento de esta manera con los principios de publicidad y transparencia.</t>
  </si>
  <si>
    <t>La DTGC publica en tiempo los documentos contractuales acorde con la normatividad vigente una vez son remitidos por el área técnica o suscritos por la DTGC dando cumplimiento de esta manera con los principios de publicidad y transparencia, sin embargo para este periodo se presenta una disminución en el resultado del indicador teniendo en cuenta el alto volumen de las minutas de adición suscritas en la segunda semana de abril y que la siguiente semana hubo una interrupción en la operación de los Sistema de Información de la entidad.</t>
  </si>
  <si>
    <t>Teniendo en cuenta los resultados de los meses anteriores, la DTGC tomó las medidas y correctivos necesarios para mejorarar el término de las publicaciones en los portales de contratación pública. Las medidas abarcan un mayor seguimiento desde el SIAC y los facilitadores de cada dependencia que se encargan de entregar los documentos contractuales que se publican, entre otras.
Los resultados de éstas medidas se observan en el comportamiento del indicador durante el mes de mayo, con un cumplimiento del 100%.</t>
  </si>
  <si>
    <t>Se publicaron 94 documentos contractuales en el portal SECOP. Por fuera del término se publicó un acta de liquidación que se entregó vencida a la DTGC. Adicionalmente, se publicó por fuera del término un acta de suspensión de un contrato PSP.</t>
  </si>
  <si>
    <t>Se publicaron 356 documentos contractuales en el portal SECOP, todos los documentos fueron publicados por la DTGC dentro de los tres días hábiles siguientes a la radicación de los documentos por parte de las dependencias ejecutoras del IDU.</t>
  </si>
  <si>
    <t xml:space="preserve">Se publicaron 476 documentos contractuales en los portales de contratación, de estos 468 se publican dentro de los tres días hábiles siguientes a la radicación de los documentos por parte de las áreas del IDU.
</t>
  </si>
  <si>
    <t>Dando cumplimiento al principio de transparencia en al contratación estatal se publican en los portales de contratación 471 documentos contractuales, de estos 454 se publican dentro de los tres (3) días hábiles siguientes a la radicación de los documentos por parte de las áreas del IDU.</t>
  </si>
  <si>
    <t>Dando cumplimiento al principio de transparencia en al contratación estatal se publican en los portales de contratación 413 documentos contractuales, de estos 409 se publican dentro de los tres (3) días hábiles siguientes a la radicación de los documentos por parte de las áreas del IDU.</t>
  </si>
  <si>
    <t>Dando cumplimiento al principio de transparencia en al contratación estatal se publican en los portales de contratación 778 documentos contractuales, de estos 777 se publican dentro de los tres (3) días hábiles siguientes a la radicación de los documentos por parte de las áreas del IDU.</t>
  </si>
  <si>
    <t>Dando cumplimiento al principio de transparencia en al contratación estatal se publican en los portales de contratación 182 documentos contractuales, todos se publican dentro de los tres (3) días hábiles siguientes a la radicación de los documentos por parte de las áreas del IDU.</t>
  </si>
  <si>
    <t>Se realizan las actividades y los controles correspondientes para dar cumplimiento con los términos de publicación en  los portales de contratación pública.</t>
  </si>
  <si>
    <t>1.1 Cumplir con las metas del plan de desarrollo de la Bogotá Humana en lo que compete al IDU</t>
  </si>
  <si>
    <t>Cumplir al 90% los términos de elaboración de contratos y modificaciones contractuales.</t>
  </si>
  <si>
    <t>Oportunidad en la elaboración de contratos y modificaciones contractuales.</t>
  </si>
  <si>
    <t xml:space="preserve">Realizar la descripción de actividades que orienten la contratación directa a través de la actualización de los procedimientos de tal manera que se garantice el cumplimiento de términos para cada una de las etapas del proceso de contratación dando cumplimiento a la normatividad vigente. </t>
  </si>
  <si>
    <t>Número de contratos y modificaciones contractuales realizadas en los términos establecidos (5 Días Hábiles) / Total de solicitudes radicadas y aprobadas de elaboración de contratos y/o modificaciones contractuales *100</t>
  </si>
  <si>
    <t>Sistema de Información y Acompañamiento Contractual - SIAC.
Sistema de Gestión Documental ORFEO</t>
  </si>
  <si>
    <t>DTGC 
Áreas Ejecutoras de los contratos.</t>
  </si>
  <si>
    <t>Durante el periodo se elaboraron 282 contratos y 27 modificaciones contractuales. El número importante de contratos corresponde a contratación PSP. Lo anterior, teniendo en cuenta la entrada en vigencia de la ley de garantías electorales. Para dar cumplimiento a los compromisos de contratación, la DTGC realizó un plan de contingencia con el fin cumplir con todas las solicitudes de contratación realizadas por las diferentes dependencias del IDU.</t>
  </si>
  <si>
    <t>Durante el periodo se elaboraron 3 contratos, todos en el término de establecido, y 17 modificaciones contractuales. Del total de modificaciones realizadas, 3 se elaboraron por fuera del término establecido. El bajo número de contratos celebrados se debe principalmente a la entrada en vigencia de la ley de garantías, por lo que no es posible celebrar contratos bajo la modadlidad de contratación directa y a los tiempos que tarda un proceso de selección. Al no contar con un número signficativo de modificaciones y contratos, cualquier documento afecta de manera importante el comportamiento del indicador.</t>
  </si>
  <si>
    <t>Durante el periodo se elaboraró 1 contrato en el término establecido y 40 modificaciones contractuales. Del total de modificaciones realizadas, 10 se elaboraron por fuera del término establecido. De estas 10 modificaciones, 5 corresponden a dependencias adscritas a la D/T Administrativa y Financiera. Por lo tanto, se sugiere realizar acciones tendientes a reducir los inconvenientes presentandos con esta D/Técnica con el fin de mejorar los tiempos de elaboración de modificaciones en la DTGC:</t>
  </si>
  <si>
    <t>Durante el periodo se elaboraró 2 contrato en el término de establecido y 979 modificaciones contractuales. Del total de modificaciones realizadas, 964 corresponden a adiciones a contratos PSP. Teniendo en cuenta que durante el periodo todavía se encuentra vigente la ley de garantías, la DTGC estableció un cronograma para realizar las adiciones a los contratos PSP, con el fin de evitar que las diferentes dependencias del IDU, se vieran perjudicadas en su labor diaria al no tener el personal necesario para cumplir con todas sus actividades y funciones. Dicho cronograma permitió cubrir las necesidades de contratación del IDU y adicionalmente, se logró realizar las adiciones el tiempo propuesto.</t>
  </si>
  <si>
    <t>Durante el periodo se elaboraron 7 contratos en el término de establecido y 26  modificaciones contractuales, 3 de ellas por fuera del término establecido en el acuerdo de gestión de la DTGC. Finalizada la segunda etapa del cronograma de adciones a contratos PSP, la entidad inicia con la adjudicación de los diferentes procesos de selección programados para la vigencia 2014. La elaboración de los contratos producto de los procesos se realizó de acuerdo con los tiempos establecidos en el acuerdo de gestión de la DTGC.</t>
  </si>
  <si>
    <t>Durante el periodo se elaboraron 5 contratos en el término de establecido y 25  modificaciones contractuales, una de ellas por fuera dlel término interno establecido, pero acorde con la normatividad legal vigente. Las políticas adoptadas por la DTGC para dar cumplimiento a lo planteado al incio de la vigencia se ven reflejadas en el  buen desempeño del indicador durante el primer semestre, superando la meta incial en un 8%, por ende, la DTGC ha elaborado los contratos y modificacioens contractuales en término, teniendo un cumplimiento del 98% en lo corrido del año.</t>
  </si>
  <si>
    <t xml:space="preserve">Durante el periodo se elaboraron 102 contratos y 205  modificaciones contractuales,  Del total de contratos elaborados, 88 de ellos corresponden a contratos de prestación de servicios y de apoyo a la gestión. en 4 de esos 88 contratos PSP no se cumplió el plazo interno establecido para su elaboración; sin embargo, se dio cumplimiento al cronograma establecido por la DTGC y aprobado por la SGJ para la elaboración de este tipo de contratos, tal como se mencionó en periodos anteriores. En cuanto a los contratos derivados de procesos de selección y las otras causales de contratación directa, se tuvo un cumplimiento del 100% durante el periodo, es decir,  los contratos fueron elaborados dentro de los tres días hábiles a la radicación de la solicitud de elaboración en la DTGC.
Con relación a las modificaciones contractuales realizadas, 4 de ellas fueron elaboradas por fuera del plazo interno establecido. Es importante anotar que durante el periodo se realizaron 181 adiciones y prórrogas a contratos PSP, todas ellas elaboradas en los términos internos establecidos en el cronograma  elaborado por la DTGC y aprobado por la SGJ para la elaboración de las adiciones a este tipo de contratos. </t>
  </si>
  <si>
    <t xml:space="preserve">En el mes de Agosto de 2014 se reciben 468 solicitudes de elaboración de contratos y modificación de contratos así:
1. 428 solicitudes de elaboración de contratos PSP
2.. 7 Solicitudes de Adición y Prorroga 
3.  4 Solicitudes de Cesión 
4. 3 Solicitudes de modificación de contratos diferentes a PSP
5.  1 solicitud de modificación contratos PSP
6. 2 Solicitudes de prorroga 
7.  1  Solicitud de elaboración de contrato 
8. 21 Solicitud de Elaboración Otros Contratos 
9.  1 Solicitud de modificación de expediente </t>
  </si>
  <si>
    <t>En el mes de septiembre de 2014 se reciben 535 solicitudes de elaboración de contratos y modificaciones contractuales así: 
1-  438 solicitudes de elaboración de contratos 
2- 5 solicitudes de adición 
3 - 9 Solicitudes de Adición y prorroga 
4-  10 Solicitudes de Cesión de contrato 
5- 31 Solicitudes de Modificación de contrato - Otro 
6- 2 Solicitudes de Prorroga 
7-  1 Solicitud de Terminación Anticipada 
8 - 2 Solicitudes de elaboración de convenio 
9-  37 Solicitudes de elaboración de otros contratos (Obra, Interventoría, Consultoría)</t>
  </si>
  <si>
    <t>En el mes de Octubre de 2014 se reciben 333 solicitudes de elaboración de contratos y modificaciones contractuales así: 
1- 250 Solicitudes de elaboración de contratos 
2 - Solicitud de adición - 5
3- Solicitud de adición y prorroga 10
4- Solicitud de cesión 4
5- Solicitudes de Modificación de contrato - Otro - 15
6 - Solicitud de Prorroga - 7
7-   Solicitudes de elaboración de otros contratos (Obra, Interventoría, Consultoría) 24
8 - Contratos de Interventoría 3
9 - Solicitud de elaboración de convenio 2
10- Solicitud de modificación de contratos PSP - 13</t>
  </si>
  <si>
    <t xml:space="preserve">En el mes de Noviembre de 2014 se reciben 57 solicitudes de elaboración de contratos y modificaciones contractuales así: 
 1 - Solicitudes de elaboración contratos PSP 14
2 - Solicitud de Adición 1 
3 - Solicitud de Adición y Prórroga 4 
4 - Solicitud de cesión 10
5 - Solicitudes de Modificación de contrato - Otro - 5
6 - Solicitud de Prorroga - 6
7 -  Solicitud de Terminación Anticipada - 1
8 - Solicitud de elaboración de contratos - 16 </t>
  </si>
  <si>
    <t>En el mes de Diciembre de 2014 se reciben 417 solicitudes de elaboración de contratos y modificaciones contractuales así: 
1 - Elaboración de Contratos PSP - 105
2 -Elaboración y Modificación de contratos diferentes a PSP -125
3 - Solicitudes de Adición y prorroga contratos PSP -187</t>
  </si>
  <si>
    <t xml:space="preserve">Se realiza un control oportuno que permite minimizar los tiempos de respuesta frente a las solicitudes de las áreas de elaboración y/o modificación de contratos. </t>
  </si>
  <si>
    <t>Acompañar y asesorar el 100% de las solicitudes de inicio de proceso sancionatorios de las áreas ejecutoras de los contratos.</t>
  </si>
  <si>
    <t>Oportunidad en el acompañamiento de Inicio de los procesos sancionatorios</t>
  </si>
  <si>
    <t>Revisar y analizar la información suministrada por las áreas para el inicio del procedimiento sancionatorio y acompañar cada una de las etapas del procedimiento en el caso de que se determine el incumplimiento.</t>
  </si>
  <si>
    <t>Número de solicitudes atendidas para establecer incumplimiento y el inicio de en los tiempos establecidos (3 días hábiles) proceso sancionatorio / Total de solicitudes de concepto para determinar incumplimiento y  el inicio de proceso sancionatorio * 100</t>
  </si>
  <si>
    <t>Sistema de Gestión Documental - ORFEO
Base de Datos.</t>
  </si>
  <si>
    <t>DTGC
Áreas coordinadoras del contrato.</t>
  </si>
  <si>
    <t>Para este periodo no se solicita por parte de las áreas acompañamiento para establecer presunto incumplimiento contractual a la Dirección Técnica de Gestión Contractual.</t>
  </si>
  <si>
    <t>Se reciben cinco (5) solicitudes de acompañamiento para identificar presunto incumplimiento contractual, las cuales se atienden dentro de los tres (3) días hábiles siguientes al recibo por parte de la DTGC con el objetivo de brindar una asesoría oportuna y conminar al contratista a cumplir con las obligaciones establecidas en el contrato.</t>
  </si>
  <si>
    <t>Se recibe una (1) solicitud de acompañamiento para identificar presunto incumplimiento contractual, las cuales se atienden dentro de los tres (3) días hábiles siguientes al recibo por parte de la DTGC con el objetivo de brindar una asesoría oportuna y conminar al contratista a cumplir con las obligaciones establecidas en el contrato.</t>
  </si>
  <si>
    <t>Se reciben tres (3) solicitudes de acompañamiento para identificar presunto incumplimiento contractual, las cuales se atienden dentro de los tres (3) días hábiles siguientes al recibo por parte de la DTGC con el objetivo de brindar una asesoría oportuna y conminar al contratista a cumplir con las obligaciones establecidas en el contrato.</t>
  </si>
  <si>
    <t>Se reciben tres (6) solicitudes de acompañamiento para identificar presunto incumplimiento contractual, las cuales se atienden dentro de los tres (3) días hábiles siguientes al recibo por parte de la DTGC con el objetivo de brindar una asesoría oportuna y conminar al contratista a cumplir con las obligaciones establecidas en el contrato.
El efectivo acompañamiento jurídico se realizó a los siguientes contratos:
- IDU-78-2012
-IDU-1375-2013
-IDU-1841-2013
-IDU-2003-2013
-IDU-1279-2013
-IDU-1767-2013</t>
  </si>
  <si>
    <t>En el mes de junio de 2014 se reciben siete (7) solicitudes de acompañamiento para inicio del procedimiento sancionatorio, una vez recibida la solicitud se programa realizar reunión previa dentro de los tres días siguientes a la asignación al Abogado de la DTGC, el acompañamiento se brindo a los contratos:
- 2166-2013 
- 064-2012
- 1840-2013
-  11-2009
- 945-2013
- 2172-2013
- 1636-2013</t>
  </si>
  <si>
    <t>En el mes de julio de 2014 se recibe una  (1) solicitud de acompañamiento para inicio del procedimiento sancionatorio, una vez recibida la solicitud se programa realizar reunión previa dentro de los tres días hábiles siguientes a la asignación al Abogado de la DTGC, sin embargo son las áreas técnicas quienes de acuerdo a la agenda del Ordenador del Gasto y el Supervisor y/o interventor del contrato citan a reunión previa.
Contrato IDU - 1880 - 2013</t>
  </si>
  <si>
    <t>Se recibe una solicitud de acompañamiento para el inicio de procedimiento sancionatorio el cual se lleva acabo dentro del termino establecido.</t>
  </si>
  <si>
    <t xml:space="preserve">Se reciben siete (7) solicitudes de acompañamiento para el inicio de procedimiento sancionatorio, seis (6) en el tiempo establecido en la meta del indicador </t>
  </si>
  <si>
    <t xml:space="preserve">Se reciben dos (2) solicitudes de acompañamiento para el inicio de procedimiento sancionatorio, uno de ellos se cierra antes de la reunión previa ya que se manifiesta a través de memorando  (20143150626903) que el contratista cumplió con la entrega producto objeto del presunto incumplimiento, la otra solicitud se atiende dentro de los términos establecidos para citar a reunión previa.  </t>
  </si>
  <si>
    <t>Se reciben cuatro (4) solicitudes de acompañamiento para el inicio de procedimiento sancionatorio, tosas se atienden en los términos establecidos, dando cumplimiento a la meta del indicador.</t>
  </si>
  <si>
    <t>En el periodo no se solicita por parte de las áreas acompañamiento para el inicio de proceso sancionatorio.</t>
  </si>
  <si>
    <t>Se realiza una gestión oportuna a cada una de las solicitudes de las áreas para el inicio del procedimiento sancionatorio y el acompañamiento correspondiente en cada una de las actividades.</t>
  </si>
  <si>
    <t>Acompañar la liquidación del 100% de los contratos prioritarios establecidos por el equipo interdisciplinario de liquidaciones (123).</t>
  </si>
  <si>
    <t>Oportunidad en el acompañamiento a liquidación de contratos.</t>
  </si>
  <si>
    <t>Acompañar cada uno de los procesos de liquidación resultado del diagnostico realizado entre la Sub dirección General de Infraestructura y la Dirección Técnica de Gestión Contractual (123)</t>
  </si>
  <si>
    <t>Numero de contratos prioritarios asesorados / Cronograma de acompañamiento establecido.</t>
  </si>
  <si>
    <t>Actas de Reunión 
Cronograma de Acompañamiento a liquidación de contratos prioritarios.</t>
  </si>
  <si>
    <t>Porcentaje.</t>
  </si>
  <si>
    <t>DTGC</t>
  </si>
  <si>
    <t>Se realiza el acompañamiento de acuerdo con el cronograma establecido a los contratos i) IDU-98-2009 ii) IDU-189-2003 iii) C-037-2007 y iv) IDU-234-2003, en estas reuniones se revisaron temas pendientes para la liquidación de los contratos y el avance a la fecha de cada uno de los compromisos.</t>
  </si>
  <si>
    <t>De acuerdo con el cronograma de trabajo del equipo interdisciplinario de liquidaciones se realiza el acompañamiento en el proceso de liquidación realizando seguimiento a las actividades pendientes para llegar a la liquidación y avances en el recibo de las obras de los contratos:
i) IDU- 223-2004
ii)  IDU-109-2009 LIQUIDADO 
iii)  IDU-108-2009 LIQUIDADO 
iv) IDU-248-2004 LIQUIDADO 
v) IDU-062-2009 LIQUIDADO 
vi) IDU 010-2011 LIQUIDADO 
vii) IDU- 009-2011 LIQUIDADO 
Adicional a lo anterior la DTGC a realizado a acompañamiento a 19 contratos que se encuentran en tramite de liquidación con el fin de avanzar en temas que permitan cumplir con la meta en el  periodo establecido.</t>
  </si>
  <si>
    <t>De conformidad con las funciones de la DTGC se realiza acompañamiento en la liquidación de contratos, seguimiento de las actividades pendientes  para llegar a la liquidación y avances en el recibo de las obras  teniendo en cuenta la variación en los contratos, los contratos asesorados son:
i)   IDU-074-2009
ii) IDU-082-2009
iii)  IDU-076-2009
iv) IDU-084-2009
v) IDU-72-2008
vi) IDU-137-2007
vii)  Conv.019-2008
viii) IDU- 111-2009
ix) IDU-113-2009
x) IDU-036-2009
xi) IDU-73-2008
xii) IDU-037-2009   
xiii) IDU-94-2008
Igualmente se brinda acompañamiento a las diferentes solicitudes de las áreas.</t>
  </si>
  <si>
    <t>Se realizan diferentes mesas de trabajo para asesorar cada una de las actividades a realizar en la liquidación de los contratos:
i) IDU-170-2007
ii) IDU-87-2005 
iii) IDU- 171-2007
iv) IDU-048-2011
v) IDU-110-2009 
vi) IDU-104-2009  
vii) IDU-005-2011
viii) IDU-93-2008 
ix) IDU-65-2011
x) IDU-69-2011 
xi) Conv. 002-2009
xii) Conv-15-2009
xiii) Conv. 25 - 2009
xiv) IDU-95-2008
xv) IDU-004-2001</t>
  </si>
  <si>
    <t>Se realizan diferentes mesas de trabajo para asesorar cada una de las actividades a realizar en la liquidación de los contratos: 
- IDU-037-2010
-IDU-174-2007
-IDU-33-2010
-IDU-173-2007
-IDU-18-2009
-IDU-21-2009
-IDU-82-2008
-IDU-56-2010
-IDU-20-2009
-IDU-080-2008      
-IDU-57-2009
Durante el mes se realizó el acompañamiento en la liquidación de los contratos priorizados por las dependencias técnicas, según el cronograma establecido en conjunto con la Dirección General. Adicionalmente, se acompañó un contrato adicional que no se encontraba establecido en el cronograma propuesto.</t>
  </si>
  <si>
    <t>Durante el mes de junio de 2014 se realizan mesas de trabajo para asesorar cada una de las actividades a realizar en la liquidación de los contratos:
119-2009
116-2005
Conv-32-2009
Conv-38-2009
29-2009
26-2009
89-2008
71-2009
92-2008
Cov-33-2004
65-2012
CONV-71-2005
59-2010
Con-15-2006
22-2009
30-2012</t>
  </si>
  <si>
    <t xml:space="preserve">En lo corrido del mes de julio se realiza la asesoría a once (11) contratos en cada unó de los tramites de liquidación.
IDU-79-2009
IDU -86-2008
IDU-87-2008
IDU-27-2009
IDU-28-2009
IDU - 69 -2008
IDU-91-2008
IDU - 38  - 2011
IDU - 39 -2011
IDU - 40 - 2009
IDU- 50 -20 12
</t>
  </si>
  <si>
    <t>En lo corrido del mes de agosto se realiza la asesoría a once (7) contratos en cada unó de los tramites de liquidación.
IDU-066-2009
IDU-067-2009
IDU-069-2009
IDU-003-2011
IDU-078-2009
IDU-002-2011
IDU-079-2009
IDU-065-2012</t>
  </si>
  <si>
    <t xml:space="preserve">Se da cumplimiento a la meta de acompañamiento en cada uno de los tramites de liquidación de contratos de acuerdo con el cronograma establecido por el equipo interdisciplinario.
Es preciso señalar que en reunión de Equipo de Liquidaciones en Dirección General el 9/09/2014 se presenta la actualización  del cronograma de liquidaciones y se extiende hasta el mes de marzo de 2015, de acuerdo a lo anterior la meta se replantea para estar en el mismo sentido del cronograma presentado a la Dirección General del Instituto. 
Los contratos acompañados en el mes de septiembre son: 
CONV- 13-1996
CONV- 017-2003
CONV- 006-2009
IDU- 075-2009
IDU-089-2008
IDU-046-2009
IDU-043-2009
IDU-039-2012
IDU-038-2012
IDU-167-2006
CONV-47-2004
IDU-64-2009
IDU-65-2009
IDU-81-2008
IDU-90-2008
IDU-179-2006
IDU-97-2009
CONV-08-2011
</t>
  </si>
  <si>
    <t xml:space="preserve">Se da cumplimiento a la meta de acompañamiento en cada uno de los tramites de liquidación de contratos de acuerdo con el cronograma establecido por el equipo interdisciplinario.
30-2009
CONV-028-2009
CONV-36-2009
057-2011
006-2013
007-2013
049-2012
047-2012
85-2012
119-2009
36-2011
028-2011
039-2011
038-2011
043-2012
103-2012
</t>
  </si>
  <si>
    <t xml:space="preserve">Se da cumplimiento a la meta de acompañamiento en cada uno de los tramites de liquidación de contratos de acuerdo con el cronograma establecido por el equipo interdisciplinario.
Sin embargo el acompañamiento inicialmente establecido hasta el mes de octubre de 2014 se amplia por solicitud del Dr. General a tevés de acta del 09/09/2014, replanteando el cronograma, sin embargo frente a la meta inicialmente establecida el equipo cumple el en mes de noviembre con 4 asesorías completando así las 123.
Es preciso señalar que el equipo continuará asesorando y acompañando los tramites de liquidación de acuerdo al nuevo cronograma.
Los contratos acompañados en el mes de Noviembre son: 
IDU-066-2011
Conv- 38-2003
IDU-153-2006
IDU-177-2006
IDU-066-2007
IDU-172-2003
Conv-49
IDU-097-2009
IDU-103-2009
IDU237-2004
</t>
  </si>
  <si>
    <t>En el mes de Noviembre se cumple la meta de asesoría y acompañamiento de los procesos de liquidación de los contratos prioritarios.</t>
  </si>
  <si>
    <t xml:space="preserve">Se da cumplimiento a la meta establecida en el indicador y se cumple con el objetivo de brindar acompañamiento y asesoría en la liquidación de contratos y convenios </t>
  </si>
  <si>
    <t>SE EVALÚA EN EL MES DE ABRIL</t>
  </si>
  <si>
    <t>Se han realizando las actividades pertinentes de actualización a través de mesas de trabajo entre el equipó de la DTGC de los procedimientos, formatos y manuales a cargo, a la fecha se encuentran en su respectiva revisión por parte de la Subdirección General Jurídica para posteriormente realizar el tramite de actualización con la Oficina Asesora de Planeación y la socialización de los documentos.</t>
  </si>
  <si>
    <t>EVUALUACIÓN TRIMESTRAL</t>
  </si>
  <si>
    <t xml:space="preserve">A la fecha se ha realizado la actualización de los siguientes documentos:
- Manual de Gestión Contractual 
- PR-GC-06  DECLARATORIA DE INCUMPLIMIENTO IMPOSICION MULTA CLAUSULA  PENAL CADUCIDAD Y O AFECTACION DE LA GARANTIA UNICA DE CUMPLIMIENTO
- FO-GC-028 LISTA CHEQUEO PARA LA ELABORACION DE CONTRATOS PSP Y LOS DE APOYO A LA GESTION CON PERSONAS NATURALES V_3.0
Así mismo se ha realizado la derogación de los siguientes formatos:
- LISTA CHEQUEO REMISION DOCUMENTOS CONTRATO AREA ORDENADORA GASTO
- ACTA DE TERMINACIÓN - CONTRATO DE PSP
Adicionalmente y fuera del compromiso de actualización documental se han creado los siguientes formatos:
-  FO-GC-01 ANEXO MATRIZ DE RIESGOS DEL PROCESO DE CONTRATACION
-   FO-GC-06 INFORME TÉCNICO DE INCUMPLIMIENTO CONTRACTUAL
</t>
  </si>
  <si>
    <t>NO SE PROGRAMÓ REPORTE POR PARTE DE LA OAP</t>
  </si>
  <si>
    <t>De los trámites programados inicialmente para ejecutar desde el 1° de enero hasta el 30 de septiembre, quedaron pendientes un total de 12 trámites. El detalle de los documentos se puede observar en el plan documental consolidado por la OAP o el plan específico en cada área.</t>
  </si>
  <si>
    <t>NO APLICA EVALUACIÓN DEL INDICADOR EN ESTE PERIODO</t>
  </si>
  <si>
    <t>De los trámites programados inicialmente para ejecutar desde el 1° de enero hasta el 31 de diciembre, quedaron pendientes un total de 0 trámites. El detalle de los documentos se puede observar en el plan documental consolidado por la OAP o el plan específico en cada área.</t>
  </si>
  <si>
    <t>Se encuentra pendiente una acción planteada por la D/T de Construcciones, en el marco del plan de mejoramiento del contrato IDU-135-2007. La acción incumplida es la socialización del procedimiento de incumplimiento PR-GC-074. Sin embargo, dicha acción nunca fue socializada con la DTGC y por lo tanto, no fue posible dar cumplimiento a la misma. Finalmente, la socialización se programa para el próximo mes, con el fin de dar cumplimiento a la acción de mejora. 
En el marco de los planes de mejoramiento de la DTGC, se cumplió, en el término establecido, con la acción relacionada con el documento diagnóstico de necesidades de actualización de procedimientos del proceso de Gestión Contractual.</t>
  </si>
  <si>
    <t>En el mes de abril se dio cumplimiento a la acción de mejora pendiente lanteada por la D/T de Construcciones, en el marco del plan de mejoramiento del contrato IDU-135-2007. 
Así mismo, la DTGC ha dado cumplimiento al plan de mejoramiento producto del Cumplimiento 2o. Decreto 371 de 2010 Veeduría Distrital, en los plazos planteados por el mismo, reportando las acciones de cumplimiento oportunamente a la OCI.</t>
  </si>
  <si>
    <t>NO SE PROGRAMÓ REPORTE POR PARTE DE LA OCI</t>
  </si>
  <si>
    <t xml:space="preserve">Mediante Memorando 20144350597813 se solicita a la Oficina de Control Interno la ampliación del plazo para el cumplimiento de la acción “Revisar y actualizar los procedimientos a que haya lugar acorde con los lineamientos del Decreto 1510 de 2013”, toda vez que la actualización del procedimiento de Prestación de servicios profesionales y de apoyo a la gestión se encuentra en curso y  en mesa de trabajo con la Oficina Asesora de Planeación se solicito integrar en el procedimiento las actividades de las áreas que intervienen, es así como este se encuentra en revisión por parte de la STRH y la STPC.
Por otro lado el procedimiento PR-GC-105 Liquidación de contratos y convenios se encuentra en revisión ya qua la DTM solicitó ajustes y la STPC se encuentra revisando las actividades descritas en el procedimiento.
</t>
  </si>
  <si>
    <t>EVUALUACIÓN BIMENSUAL</t>
  </si>
  <si>
    <t xml:space="preserve">En lo corrido del año se ha dado cumplimiento  en los términos establecidos a las siguientes acciones del plan de mejoramiento de la Contraloría de Bogotá D.C:
- 2.1.2  Hallazgo administrativo con Presunta incidencia disciplinaria y fiscal por cuantía de $3.025.068.250, por cuanto al modificar el programa de obras, todas estas labores se tendrán que volver a realizar.
- 2.1.3. Hallazgo administrativo con presunta incidencia disciplinaria y fiscal por cuantía de $2.353.903.511, por las labores que se llevaron a cabo para el cumplimiento del acuerdo 451 de 2010, y que en su momento tendrán que volver a contratar.
-2.3.2. Hallazgo administrativo, porque el IDU giró el anticipo con anterioridad de cuatro meses a la fecha de inicio del Contrato de Obra No 077 de 2006 y además por las prolongadas suspensiones estos recursos quedaron improductivos.
- 2.7.3.6 – Hallazgo administrativo por que se suscribe el acta de inicio del contrato de obra IDU-019-2012 sin contar con el PIPMA debidamente aprobado
-2 .3.4. Hallazgo administrativo, porque el contratista no ha reunido los paz y salvos de las empresas de servicios públicos, con el fin de que IDU pueda realizar el cruce de cuentas con dichas entidades, </t>
  </si>
  <si>
    <t xml:space="preserve">Durante los meses de marzo y abril se dio cumplimiento en los términos establecidos a las siguientes acciones del plan de mejoramiento de la Contraloría de Bogotá D.C:
-2.4.3. Hallazgo administrativo con presunta incidencia disciplinaria toda vez que las adiciones a los contratos deben presentarse con el respectivo valor en el documento de adición.
- 2.5.2. Hallazgo administrativo por la ineficiencia y demora en el trámite de la aplicación del proceso de multa, que a pesar de ser reportada por la interventoría ante los incumplimientos del contratista; el IDU no ha adelantado y agilizado el proceso.
</t>
  </si>
  <si>
    <t>La DTGC ha cumplido oportunamente con las acciones de mejora cuya responsabilidad este a su cargo. Entre las acciones de mejora cumplidas durante el periodo se destacan las siguientes:
-Hallazgo de Auditoría: 2.4.1. Hallazgo administrativo con presunta incidencia disciplinaria, por haberse firmado el Acta de Inicio ciento tres (103) días después de haberse firmado el Contrato 050 de 2007.
-  Hallazgo administrativo 2.4.3. con presunta incidencia disciplinaria toda vez que las adiciones a los contratos deben presentarse con el respectivo valor en el documento de adición
- Hallazgo de Auditoría: 1. No se adjuntaron documentos que forman parte del proceso de contratación directa en las carpetas puestas a disposición del equipo auditor.
-Hallazgo de Auditoría: 2.3.4. Hallazgo administrativo, porque el contratista no ha reunido los paz y salvos de las empresas de servicios públicos, con el fin de que IDU pueda realizar el cruce de cuentas con dichas entidades, incumpliendo los compromisos suscritos en el acta de liquidación.</t>
  </si>
  <si>
    <t>CUMPLIÓ CON LAS ACCIONES DE LOS HALLAZGOS 2.4.1 Y 2.4.3.</t>
  </si>
  <si>
    <t>CUMPLIÓ (11) ACCIONES</t>
  </si>
  <si>
    <t>Sin ejecución. Sin programación.</t>
  </si>
  <si>
    <t>Ejecución del mes correspondiente a liberaciones por $6.634.000. Programación del mes $0.
A pesar de no tener programado liberación de pasivos durante el periodo, se logró liberar la suma indicada, representada en un contrato de prestación de servicios.</t>
  </si>
  <si>
    <t>Ejecución del mes correspondiente a liberaciones por $37.890.067. Programación del mes $1.685.840,99.
Teniendo en cuenta el trabajo liderado por la DTGC desde comienzos del año con las dependencias supervisoras de los contratos PSP con pasivos exigibles, se obtuvieron las liberaciones indicadas, superando ampliamente los estimados planteados en la caracterización de indicadores al inicio del año.</t>
  </si>
  <si>
    <t>Ejecución del mes correspondiente a giros presupuestales por $1.511.000 y liberaciones por $1.863.000. Programación del mes del 2%
Si bien no se alcanzó la meta del 3% establecida para el periodo, en el transcurso del año se han liberado pasivos por valor de 47.898.067, equivalentes al 28% del total de pasivos a liberar durante la vigencia 2014.
Este valor supera significativamente el 4% acumulado planteado para este periodo. Lo anterior, gracias a la labor de saneamiento de pasivos y reservas liderada por esta Dirección Técnica en conjunto con las dependencias supervisoras de los contratos.</t>
  </si>
  <si>
    <r>
      <t>Debido a la expedición de la Resolución 14656 del 09 de mayo de 2014</t>
    </r>
    <r>
      <rPr>
        <i/>
        <sz val="8"/>
        <rFont val="Arial"/>
        <family val="2"/>
      </rPr>
      <t xml:space="preserve"> “Por la cual se modifica la Resolución 4286 de 2011 y se dictan otras disposiciones”</t>
    </r>
    <r>
      <rPr>
        <sz val="8"/>
        <rFont val="Arial"/>
        <family val="2"/>
      </rPr>
      <t>, delegó en los Subdirectores Generales la ordenación del gasto y la celebración de los contratos de prestación de servicios profesionales y de apoyo a la gestión. Por lo tanto, la STPC se encuentra realizando el traslado de los pasivos exigibles asignados a la DTGC a las Subdirecciones Generales, según corresponda. 
Sin embargo, es importante resaltar que a la fecha la DTGC realizó liberaciones por valor de 50.587.533 correspondiente al 30% de los pasivos exigibles, superando la meta planteada hasta este periodo en un 26%.</t>
    </r>
  </si>
  <si>
    <t>Como se mencionó en el reporte del periodo anterior, la DTGC ya no le corresponde la ordenación del gasto de los contratos de prestación de servicios profesionales y de apoyo a la gestión. Por lo ende, no tiene a cargo los indicadores transversales reportados por la SPTC.</t>
  </si>
  <si>
    <t>COMO SE MENCIONÓ EN EL REPORTE DEL PERIODO ANTERIOR, LA DTGC YA NO LE CORRESPONDE LA ORDENACIÓN DEL GASTO DE LOS CONTRATOS DE PRESTACIÓN DE SERVICIOS PROFESIONALES Y DE APOYO A LA GESTIÓN. POR ENDE, NO TIENE A CARGO LOS INDICADORES TRANSVERSALES REPORTADOS POR LA SPTC.</t>
  </si>
  <si>
    <t xml:space="preserve"> LA DTGC YA NO LE CORRESPONDE LA ORDENACIÓN DEL GASTO DE LOS CONTRATOS DE PRESTACIÓN DE SERVICIOS PROFESIONALES Y DE APOYO A LA GESTIÓN. POR ENDE, NO TIENE A CARGO LOS INDICADORES TRANSVERSALES REPORTADOS POR LA SPTC.
SIN EMBARGO EN EL PRIMER TRIMESTRE DE LA VIGENCIA REALIZO UNA GESTIÓN IMPORTANTE FRENTE A ESTE INDICADOR.</t>
  </si>
  <si>
    <r>
      <t xml:space="preserve">DTAI – DTAV – DTC – DTD – DTDP – DTE – DTGC – DTGJ – DTM – DTP – OAC – SGJ – STRF – STRH – STRT </t>
    </r>
    <r>
      <rPr>
        <sz val="8"/>
        <color indexed="10"/>
        <rFont val="Arial"/>
        <family val="2"/>
      </rPr>
      <t xml:space="preserve"> </t>
    </r>
  </si>
  <si>
    <t>Ejecución del mes correspondiente a giros presupuestales por $ 3.172.154.889 y liberaciones por $170.999.467. Programación del mes $3.161.775.175,32.</t>
  </si>
  <si>
    <t>Ejecución del mes correspondiente a giros presupuestales por $4.270.833.743 y liberaciones por $90.018.334. Programación del mes $4.215.700.233,76.</t>
  </si>
  <si>
    <t>Ejecución del mes correspondiente a giros presupuestales por $4.404.469.599 y liberaciones por $56.996.666. Programación del mes $3.952.218.969,15.</t>
  </si>
  <si>
    <t>Ejecución del mes correspondiente a giros presupuestales por $4.395.614.400 y liberaciones por $72.795.000. Programación del mes $3.952.218.969,15.
A la fecha se han realizado liberaciones y giros que representan el 63% de los reservas presupuestadas</t>
  </si>
  <si>
    <t>Ejecución del mes correspondiente a giros presupuestales por $4.443.269.587 y liberaciones por $186.789.699. Programación del mes del 15%
A la fecha se han realizado liberaciones y giros que representan el 81% de los reservas presupuestadas, superando en 8% la meta propuesta a comienzos del presente año.</t>
  </si>
  <si>
    <r>
      <t>Debido a la expedición de la Resolución 14656 del 09 de mayo de 2014</t>
    </r>
    <r>
      <rPr>
        <i/>
        <sz val="8"/>
        <rFont val="Arial"/>
        <family val="2"/>
      </rPr>
      <t xml:space="preserve"> “Por la cual se modifica la Resolución 4286 de 2011 y se dictan otras disposiciones”</t>
    </r>
    <r>
      <rPr>
        <sz val="8"/>
        <rFont val="Arial"/>
        <family val="2"/>
      </rPr>
      <t>, delegó en los Subdirectores Generales la ordenación del gasto y la celebración de los contratos de prestación de servicios profesionales y de apoyo a la gestión. Por lo tanto, la STPC se encuentra realizando el traslado de  las reservas presupuestales asignadas a la DTGC a las Subdirecciones Generales, según corresponda. 
Sin embargo, es importante resaltar que a la fecha la DTGC realizó liberaciones por valor de $24.540.582.644 correspondiente al 93% de las reservas presupuestales, superando la meta planteada hasta este periodo en un 10%.</t>
    </r>
  </si>
  <si>
    <t>Se comprometieron recursos por valor de $12.125.611.103, discriminados en 282 contratos de prestación de servicios y de apoyo a la gestión. Fue necesario suscribir dichos contratos durante el periodo teniendo en cuenta la entrada en vigencia de la ley de garantías electorales.</t>
  </si>
  <si>
    <t>Los valores comprometidos en el periodo corresponden a las adiciones realizadas a los contratos de prestación de servicios y de apoyo a la gestión de las diferentes dependencias del IDU.</t>
  </si>
  <si>
    <t>En el mes de mayo se finalizó  la segunda etapa del cronograma de adciones a contratos PSP. Adicionalmente, la entidad todavía se encuentra bajo la restricción de la ley de garantías, por lo que no ha sido posible dar inicio al plan de contratación PSP 2014.</t>
  </si>
  <si>
    <t>Debido a la expedición de la Resolución 14656 del 09 de mayo de 2014 “Por la cual se modifica la Resolución 4286 de 2011 y se dictan otras disposiciones”, delegó en los Subdirectores Generales la ordenación del gasto y la celebración de los contratos de prestación de servicios profesionales y de apoyo a la gestión. Por lo tanto, se han realizado los traslados presupuestales a las diferentes Subdirecciones Generales de acuerdo con los montos aprobados para cada una de ellas.
Como consecuencia de lo anterior, la DTGC ya no cuenta con presupuesto para ejecutar y el indicador se deja de reportar a partir del mes siguiente. Lo anterior teniendo en cuenta que todavía existe un 3% del presupuesto por comprometer solicitado por la STRF, razón por la cual los trámites que se deban surtir en relación con estos recursos estarán a cargo de la mencionada Subdirección.</t>
  </si>
  <si>
    <t>Como se mencionó en el reporte del periodo anterior, la DTGC ya no le corresponde la ordenación del gasto de los contratos de prestación de servicios profesionales y de apoyo a la gestión. Por lo ende, no tiene a cargo los indicadores transversales reportados por la OAP.</t>
  </si>
  <si>
    <t>Se da cumplimiento al reporte y cambio de cada uno de los estados de acuerdo a las dinámicas contractuales presentadas en cada uno de los contratos a cargo del Dirección Técnica de Gestión Contractual en el Sistema de Información y Acompañamiento Contractual - SIAC.</t>
  </si>
  <si>
    <t>NO SEP ROGRAMÓ REPORTE POR PARTE DE LA DTGC</t>
  </si>
  <si>
    <t>NO SE PROGRAMÓ REPORTE POR PARTE DE LA DTGC</t>
  </si>
  <si>
    <t>La Dirección Técnica de Gestión Contractual tiene Actualizado la totalidad de estados de los contratos a cargo.</t>
  </si>
  <si>
    <t>Se refleja una oportuna y permanente actualización del sistema de información contractual SIAC.</t>
  </si>
  <si>
    <t xml:space="preserve">Claudia Patricia Cifuentes Alvira 
Directora Técnica de Gestión Contractual </t>
  </si>
  <si>
    <t>DIRECCION TECNICA DE GESTION JUDICIAL</t>
  </si>
  <si>
    <t>Mantener un nivel de éxito procesal del 72 %  respecto de los procesos judiciales favorables al IDU</t>
  </si>
  <si>
    <t>A 31 de Diciembre de 2014, mantener un nivel de éxito procesal del 72%  respecto de los procesos judiciales favorables al IDU.</t>
  </si>
  <si>
    <t>Éxito procesal</t>
  </si>
  <si>
    <t>Medir el porcentaje de éxito procesal frente al total de fallos proferidos al IDU</t>
  </si>
  <si>
    <t>Número total de fallos proferidos favorables al IDU / Número total de fallos proferidos al IDU*100</t>
  </si>
  <si>
    <t>Informe de Gestión Bimensual</t>
  </si>
  <si>
    <t>porcentaje</t>
  </si>
  <si>
    <t>LILIANA LOZANO DTGJ</t>
  </si>
  <si>
    <t>SU EJECUCION SE PROGRAMO PARA EL MES DE FEBRERO DE 2014,</t>
  </si>
  <si>
    <t>DENTRO DEL PERIODO COMPRENDIDO DEL 1 DE ENERO AL 28 DE FEBRERO DE 2014, SE PROFIRIERON 26 FALLOS EN LOS DISTINTOS DESPACHOS JUDICIALES DE LOS CUALES 20 FUERON FALLOS FAVORABLES.</t>
  </si>
  <si>
    <t>SU EJECUCION SE PROGRAMO PARA EL MES DE ABRIL DE 2014,</t>
  </si>
  <si>
    <t>DENTRO DEL PERIODO COMPRENDIDO DEL 1 DE MARZO AL 30 DE ABRIL DE 2014, SE PROFIRIERON 50 FALLOS EN LOS DISTINTOS DESPACHOS JUDICIALES DE LOS CUALES 37 FUERON FALLOS FAVORABLES.</t>
  </si>
  <si>
    <t>SU EJECUCION SE PROGRAMO PARA EL MES DE JUNIO</t>
  </si>
  <si>
    <t>DENTRO DEL PERIODO COMPRENDIDO DEL 1 DE MAYO AL 30 DE JUNIO DE 2014, SE PROFIRIERON 59 FALLOS EN LOS DISTINTOS DESPACHOS JUDICIALES DE LOS CUALES 42 FUERON FALLOS FAVORABLES.</t>
  </si>
  <si>
    <t>SU EJECUCION SE PROGRAMO PARA EL MES DE AGOSTO</t>
  </si>
  <si>
    <t>DENTRO DEL PERIODO COMPRENDIDO DEL 1 DE JULUI AL 30 DE AGOSTO DE 2014, SE PROFIRIERON 35 FALLOS EN LOS DISTINTOS DESPACHOS JUDICIALES DE LOS CUALES 27 FUERON FALLOS FAVORABLES.</t>
  </si>
  <si>
    <t>SU EJECUCION SE PROGRAMO PARA EL MES DE OCTUBRE DE 2014</t>
  </si>
  <si>
    <t>DENTRO DEL PERIODO COMPRENDIDO DEL 1 DE SEPTIEMBRE AL 31 DE OCTUBRE DE 2014, SE PROFIRIERON 86 FALLOS EN LOS DISTINTOS DESPACHOS JUDICIALES DE LOS CUALES 71 FUERON FALLOS FAVORABLES.</t>
  </si>
  <si>
    <t>SU EJECUCION SE PROGRAMO PARA EL MES DE DICIEMBRE</t>
  </si>
  <si>
    <t>DENTRO DEL PERIODO COMPRENDIDO DEL 1 DE NOVIEMBRE AL 31 DE DICIEMBRE DE 2014, SE PROFIRIERON 19 FALLOS EN LOS DISTINTOS DESPACHOS JUDICIALES DE LOS CUALES 17 FUERON FALLOS FAVORABLES.</t>
  </si>
  <si>
    <t>DENTRO DEL PERIODO COMPRENDIDO DEL 1 DE ENERO AL 31 DE DICIEMBRE DE 2014, SE PROFIRIERON 275 FALLOS EN LOS DISTINTOS DESPACHOS JUDICIALES DE LOS CUALES 214 FUERON FALLOS FAVORABLES.</t>
  </si>
  <si>
    <t>A 31 de Diciembre de 2014, contestar dentro del termino legal,  el 100% de los procesos notificados a la entidad.</t>
  </si>
  <si>
    <t>Procesos contestados en términos</t>
  </si>
  <si>
    <t>Medir el porcentaje de cumplimiento de términos en la contestación de los procesos notificados en la Entidad</t>
  </si>
  <si>
    <t xml:space="preserve">Número de procesos con memorial de contestación de  demanda radicada en el Despacho Judicial dentro del término legal, en el periodo evaluado / Número de procesos notificados a la Entidad en el periodo evaluado *100 </t>
  </si>
  <si>
    <t>SE NOTIFICARON 57 PROCESOS ENTRE LOS MESES DE ENERO Y FEBRERO, DE LOS CUALES 36 PRESENTARON VENCIMIENTO DE TÉRMINO PARA CONTESTAR LA DEMANDA; LOS APODERADOS DENTRO DEL TÉRMINO LEGAL PRESENTARON EL MEMORIAL ANTE EL DESPACHO DE CONOCIMIENTO. EN LOS PROCESOS FALTANTES EL TÉRMINO LEGAL PARA CONTESTAR SE VENCE EN LOS PERÍODOS SIGUIENTES.</t>
  </si>
  <si>
    <t>SE NOTIFICARON 45 PROCESOS ENTRE LOS MESES DE MARZO Y ABRIL, DE LOS CUALES 30 PRESENTARON VENCIMIENTO DE TÉRMINO PARA CONTESTAR LA DEMANDA; LOS APODERADOS DENTRO DEL TÉRMINO LEGAL PRESENTARON EL MEMORIAL ANTE EL DESPACHO DE CONOCIMIENTO. EN LOS PROCESOS FALTANTES EL TÉRMINO LEGAL PARA CONTESTAR SE VENCE EN LOS PERÍODOS SIGUIENTES.</t>
  </si>
  <si>
    <t>SE NOTIFICARON 52 PROCESOS ENTRE LOS MESES DE MAYO Y JUNIO, DE LOS CUALES 26 PRESENTARON VENCIMIENTO DE TÉRMINO PARA CONTESTAR LA DEMANDA; LOS APODERADOS DENTRO DEL TÉRMINO LEGAL PRESENTARON EL MEMORIAL ANTE EL DESPACHO DE CONOCIMIENTO. EN LOS PROCESOS FALTANTES EL TÉRMINO LEGAL PARA CONTESTAR SE VENCE EN LOS PERÍODOS SIGUIENTES.</t>
  </si>
  <si>
    <t>SE NOTIFICARON 72 PROCESOS ENTRE LOS MESES DE JULIO Y AGOSTO, DE LOS CUALES 21 PRESENTARON VENCIMIENTO DE TÉRMINO PARA CONTESTAR LA DEMANDA; LOS APODERADOS DENTRO DEL TÉRMINO LEGAL PRESENTARON EL MEMORIAL ANTE EL DESPACHO DE CONOCIMIENTO. EN LOS PROCESOS FALTANTES EL TÉRMINO LEGAL PARA CONTESTAR SE VENCE EN LOS PERÍODOS SIGUIENTES.</t>
  </si>
  <si>
    <t>SE NOTIFICARON 60 PROCESOS ENTRE LOS MESES DE SEPTIEMBRE Y OCTUBRE, DE LOS CUALES 16 PRESENTARON VENCIMIENTO DE TÉRMINO PARA CONTESTAR LA DEMANDA; LOS APODERADOS DENTRO DEL TÉRMINO LEGAL PRESENTARON EL MEMORIAL ANTE EL DESPACHO DE CONOCIMIENTO. EN LOS PROCESOS FALTANTES EL TÉRMINO LEGAL PARA CONTESTAR SE VENCE EN LOS PERÍODOS SIGUIENTES.</t>
  </si>
  <si>
    <t>SE NOTIFICARON 7 PROCESOS ENTRE LOS MESES DE NOVIEMBRE Y DICIEMBRE, DE LOS CUALES 3 PRESENTARON VENCIMIENTO DE TÉRMINO PARA CONTESTAR LA DEMANDA; LOS APODERADOS DENTRO DEL TÉRMINO LEGAL PRESENTARON EL MEMORIAL ANTE EL DESPACHO DE CONOCIMIENTO. EN LOS PROCESOS FALTANTES EL TÉRMINO LEGAL PARA CONTESTAR SE VENCE EN LOS PERÍODOS SIGUIENTES.</t>
  </si>
  <si>
    <t>SE NOTIFICARON 293 PROCESOS ENTRE LOS MESES DE ENERO A DICIEMBRE DE 2014, DE LOS CUALES 132 PRESENTARON VENCIMIENTO DE TÉRMINO PARA CONTESTAR LA DEMANDA; LOS APODERADOS DENTRO DEL TÉRMINO LEGAL PRESENTARON EL MEMORIAL ANTE EL DESPACHO DE CONOCIMIENTO. EN LOS PROCESOS FALTANTES EL TÉRMINO LEGAL PARA CONTESTAR SE VENCE EN LOS PERÍODOS SIGUIENTES.</t>
  </si>
  <si>
    <t>Implementar el 100% del procedimiento de prevención de daño antijurídico</t>
  </si>
  <si>
    <t xml:space="preserve">A 31 de Diciembre de 2014,  implementar el 100% del Procedimiento de Prevención del daño antijuridico. </t>
  </si>
  <si>
    <t>Prevención del daño antijurídico</t>
  </si>
  <si>
    <t>Medir el porcentaje de avance de las etapas formuladas para llevar a cabo la implementación del procedimiento de Prevención del daño antijurídico</t>
  </si>
  <si>
    <t>% de avance según etapas de desarrollo del procedimiento  / % total requerido para implementar procedimiento * 100</t>
  </si>
  <si>
    <t xml:space="preserve">Plan de acción </t>
  </si>
  <si>
    <t>E4 50%</t>
  </si>
  <si>
    <t>ADRIANA PINZON DTGJ</t>
  </si>
  <si>
    <t>SU EJECUCION SE PROGRAMO PARA EL MES DE SEPTIEMBRE DE 2014,</t>
  </si>
  <si>
    <t>EL 26 DE JUNIO DE 2014 EN COMITÉ EXTRAORDINARIO DE CONCILIACION, SE ADOPTA LA 4 ESTRATEGIA DE PREVENCIÓN REFERIDA A LA "DEFENSA INSTITUCIONAL-CUMPLIMIENTO DE TERMINOS Y SOLICITUD DE ANTECEDENTES" LA CUAL FUE PUBLICADA EN EL FLASH IDU EL 27 DE JUNIO DE 2014,</t>
  </si>
  <si>
    <t>EL 26 DE JUNIO DE 2014 EN COMITÉ EXTRAORDINARIO DE CONCILIACION, SE ADOPTA LA 5 ESTRATEGIA DE PREVENCIÓN REFERIDA AL "CUMPLIMIENTO DE SENTENCIAS ACCIONES POPULARES" LA CUAL FUE PUBLICADA EN EL FLASH IDU EL 27 DE JUNIO DE 2014,</t>
  </si>
  <si>
    <t>SE DIO CUMPLIMIENTO A LAS 4 ETAPAS DEL PROCEDIMIENTO DE PREVENSION DE DAÑO ANTIJURIDICO</t>
  </si>
  <si>
    <t>Cumplir oportunamente el 100% de las acciones de mejora establecidas en los Planes de Mejoramiento Internos por Procesos</t>
  </si>
  <si>
    <t>Cumple todas las acciones=100%
Incumple alguna acción=0%</t>
  </si>
  <si>
    <t>Cuadro de seguimiento a Planes de mejoramiento diligenciado por la OCI</t>
  </si>
  <si>
    <t>SU EJECUCION SE PROGRAMO PARA EL MES DE MARZO DE 2014,</t>
  </si>
  <si>
    <t>EL ANALISIS DE LOS PLANES DE MEJORAMIENTO SE REMITE POR MEMORANDO POR PARTE DEL AUDITOR.</t>
  </si>
  <si>
    <t>SU EJECUCION SE PROGRAMO PARA EL MES DE JUNIO DE 2014</t>
  </si>
  <si>
    <t>El análisis de los planes de mejoramiento se remite por memorando por parte del auditor</t>
  </si>
  <si>
    <t>100 %</t>
  </si>
  <si>
    <t>Cumplir oportunamente el 100% de las acciones de mejora establecidas en los Planes de Mejoramiento con las Contralorías de Bogotá y General de la República durante la vigencia  2013</t>
  </si>
  <si>
    <t>Cumple todas las acciones acumuladas a la fecha de corte=100%
Incumple alguna acción=0%</t>
  </si>
  <si>
    <t>Cuadro de seguimiento a Planes de mejoramiento diligenciado por la OCI para Contraloría de Bogotá y para Contraloría General de la República.</t>
  </si>
  <si>
    <t>SU EJECUCION SE PROGRAMO PARA EL MES DE JUNIO DE 2014,</t>
  </si>
  <si>
    <t>NO APLICA EVALUACIÓN EN PLAN MEJORAMIENTO CONTRALORÍA DE BOGOTÁ PARA EL PERIODO. LA DIRECCION TECNICA DE GESTION JUDICIAL NO TIENE PLAN DE MEJORAMIENTO CON LAS CONTRALORIAS.</t>
  </si>
  <si>
    <t>SE LIBERARON EL TOTAL DE PASIVOS EXIGIBLES</t>
  </si>
  <si>
    <t>INDICADOR EN 100%</t>
  </si>
  <si>
    <t>DEL VALOR TOTAL DE RESERVAS $817,085,689, SE GIRARON $814,196,689 QUEDANDO UN SALDO DE $2,889,000</t>
  </si>
  <si>
    <t>SU EJECUCION SE PROGRAMO PARA EL MES DE JULIO DE 2014</t>
  </si>
  <si>
    <t>DEL VALOR TOTAL DE RESERVAS $817,085,689, SE GIRARON $814,196,689 QUEDANDO UN SALDO DE $2,289,000</t>
  </si>
  <si>
    <t xml:space="preserve">SE LIBERARON EL TOTAL DE LAS RESERVAS </t>
  </si>
  <si>
    <t>A 31 de diciembre ejecutar mínimo el 90% del presupuesto asignado en  la vigencia.</t>
  </si>
  <si>
    <t>PARA JUNIO 30 DE 2014 SE PROGRAMO EJECUTAR EL 20% DEL PRESUPUESTO ASIGNADO, TENIENDO EN CUENTA QUE LA EJECUCION DEPENDE DE TERCEROS (DESPACHOS JUDICIALES) A JUNIO 30 DE 2014 SOLO SE EJECUTO EL 12% DEL PRESUPUESTO ASIGNADO.</t>
  </si>
  <si>
    <t>PARA SEPTIEMBRE 30 DE 2014 SE PROGRAMO EJECUTAR EL 40% DEL PRESUPUESTO ASIGNADO, TENIENDO EN CUENTA QUE LA EJECUCION DEPENDE DE TERCEROS (DESPACHOS JUDICIALES) A SEPTIEMBRE 30 DE 2014 SE EJECUTO EL 58,87% DEL PRESUPUESTO ASIGNADO.</t>
  </si>
  <si>
    <t>PARA DICIEMBRE 31 DE 2014 SE PROGRAMO EJECUTAR EL 90% DEL PRESUPUESTO ASIGNADO, TENIENDO EN CUENTA QUE LA EJECUCION DEPENDE DE TERCEROS (DESPACHOS JUDICIALES) A DICIEMBRE 31 DE 2014 SE EJECUTO EL 99% DEL PRESUPUESTO ASIGNADO.</t>
  </si>
  <si>
    <t>La programación Inicial (PI) del PAC es de $ 132.100.000    y la Reprogramación del mes ( RM )fue de $110,000,000    . La Ejecución del PAC  en este mes fue de $ 908.854.544  . Por lo tanto se ejecutó el  688 % frente a la programación Inicial y el 826   % frente a la Reprogramación del mes. Adicionalmente la información  SI se entregó dentro del plazo estipulado. Esto arroja   30     puntos en el Indicador de Gestión del PAC.</t>
  </si>
  <si>
    <t>La programación Inicial (PI) del PAC es de $203.500.000    y la Reprogramación del mes ( RM )fue de $631.080.782   . La Ejecución del PAC  en este mes fue de $ 0  . Por lo tanto se ejecutó el  0  % frente a la programación Inicial y el   0 % frente a la Reprogramación del mes. Adicionalmente la información  SI se entregó dentro del plazo estipulado. Esto arroja   5    puntos en el Indicador de Gestión del PAC.</t>
  </si>
  <si>
    <t>La programación Inicial (PI) del PAC es de $203.500.000    y la Reprogramación del mes ( RM )fue de $  0 . La Ejecución del PAC  en este mes fue de $ 0  . Por lo tanto se ejecutó el  0  % frente a la programación Inicial y el  100  % frente a la Reprogramación del mes. Adicionalmente la información  SI se entregó dentro del plazo estipulado. Esto arroja  65     puntos en el Indicador de Gestión del PAC.</t>
  </si>
  <si>
    <t>La programación Inicial (PI) del PAC es de $264,200,000   y la Reprogramación del mes ( RM )fue de $608,052,355. La Ejecución del PAC  en este mes fue de $361,935,513.  Por lo tanto se ejecutó el  137% frente a la programación Inicial y el 60 % frente a la Reprogramación del mes.  Adicionalmente la información  SI se entregó dentro del plazo estipulado.  Esto arroja  50  puntos en el Indicador de Gestión del PAC.</t>
  </si>
  <si>
    <t>La programación Inicial (PI) del PAC es de $485.600.000  y la Reprogramación del mes ( RM )fue de $794.596.254. La Ejecución del PAC  en este mes fue de $23.575.950.  Por lo tanto se ejecutó el  5% frente a la programación Inicial y el 3 % frente a la Reprogramación del mes.  Adicionalmente la información  SI se entregó dentro del plazo estipulado.  Esto arroja  5  puntos en el Indicador de Gestión del PAC.</t>
  </si>
  <si>
    <t>La programación Inicial (PI) del PAC es de $335.600.000  y la Reprogramación del mes ( RM )fue de $772.015.654. La Ejecución del PAC  en este mes fue de $772.015.654.  Por lo tanto se ejecutó el 230% frente a la programación Inicial y el 100 % frente a la Reprogramación del mes.  Adicionalmente la información  SI se entregó dentro del plazo estipulado.  Esto arroja  75  puntos en el Indicador de Gestión del PAC.</t>
  </si>
  <si>
    <t>La programación Inicial (PI) del PAC es de $507,000,000 y la Reprogramación del mes (RM ) fue de $0,00. La Ejecución del PAC  en este mes fue de $00,0. Por lo tanto se ejecutó el  0% frente a la programación Inicial y el 100% frente a la Reprogramación del mes. Adicionalmente la información  SI se entregó dentro del plazo estipulado. Esto arroja  65 puntos en el Indicador de Gestión del PAC.</t>
  </si>
  <si>
    <t>La programación Inicial (PI) del PAC es de $596.300.000 y la Reprogramación del mes ( RM )fue de $0.00. La Ejecución del PAC  en este mes fue de $0.00. Por lo tanto se ejecutó el 0.00% frente a la programación Inicial y el 100% frente a la Reprogramación del mes. Adicionalmente la información  SI se entregó dentro del plazo estipulado. Esto arroja 65 puntos en el Indicador de Gestión del PAC.</t>
  </si>
  <si>
    <t>La programación Inicial (PI) del PAC es de $857,000,000 y la Reprogramación del mes ( RM )fue de $2,199,860.  La Ejecución del PAC  en este mes fue de $0,00. Por lo tanto se ejecutó el 0,00% frente a la programación Inicial y el 0,00% frente a la Reprogramación del mes. Adicionalmente la información  SI se entregó dentro del plazo estipulado. Esto arroja 5 puntos en el Indicador de Gestión del PAC.</t>
  </si>
  <si>
    <t>La programación Inicial (PI) del PAC es de $ y la Reprogramación del mes ( RM ) fue de $.  La Ejecución del PAC  en este mes fue de $. Por lo tanto se ejecutó el % frente a la programación Inicial y el % frente a la Reprogramación del mes. Adicionalmente la información  SI se entregó dentro del plazo estipulado. Esto arroja  puntos en el Indicador de Gestión del PAC.</t>
  </si>
  <si>
    <t>El promedio de la DTGJ es de 45  puntos en el Indicador de Gestión del PAC.</t>
  </si>
  <si>
    <t>No. de Solicitudes de Acompañamiento, asesoría y elaboración de tramites contractuales Cargados en el SIAG / Total de solicitudes de acompañamiento, asesoría y elaboración de tramites contractuales. X1 13</t>
  </si>
  <si>
    <t>El contrato IDU-1618-2013 fue terminado anticipadamente por lo que de debe cambiar el estado en el SIAC que aparece Terminación PSP.</t>
  </si>
  <si>
    <t>Se da cumplimiento a la actualización de los estados de los contratos a cargo de la Dirección Técnica de Gestión Judicial en el Sistema de Información y Acompañamiento Contractual SIAC.</t>
  </si>
  <si>
    <t>Revisado reporte SIAC con corte a 30 de septiembre de 2014 se evidencia que la Dirección Técnica de Gestión Judicial tienen actualizado la totalidad de estados de los contratos a cargo.</t>
  </si>
  <si>
    <t>Revisado reporte SIAC con corte a 31 de diciembre de 2014 se evidencia que la Dirección Técnica de Gestión Judicial tienen actualizado la totalidad de estados de los contratos a cargo.</t>
  </si>
  <si>
    <t>El área se propuso el trámite documental de un formato, el cual se publicó en los términos definidos.</t>
  </si>
  <si>
    <t>El área se propuso el trámite documental de un formato, el cual se publicó en los terminos definidos. De los 6 documentos 5 estan sin avance, el área no envío el reporte a corte de junio.</t>
  </si>
  <si>
    <t>HAROLD LEIBNITZ CHAUX CAMPOS</t>
  </si>
  <si>
    <t>DIRECTOR TECNICO DE GESTION JUDICIAL</t>
  </si>
  <si>
    <t>TOTAL</t>
  </si>
  <si>
    <t>A 31 de diciembre de 2014, haber dado inicio a 19 contratos de diferentes tipos que se desarrollen a traves de la DTM</t>
  </si>
  <si>
    <t>contratos iniciados</t>
  </si>
  <si>
    <t>Establecer el número de contratos que se iniciaron en la vigencia, a partir de las actas de inicio suscritas</t>
  </si>
  <si>
    <t>(Total de contratos con acta de inicio)/(Total contratos programados por iniciar)*100</t>
  </si>
  <si>
    <t>Acta de inicio suscrita</t>
  </si>
  <si>
    <t>Se dio Inicio a los contratos: 1810-2013, 1834 de 2013, 1825 de 2013, 1831 de 2013, 1792 de 2013, 1840 de 2013, 1705 de 2013, 1739 de 2013, 1722 de 1013, 1798 de 2013, 1312 de 2013. Cumpliendo la meta programada.</t>
  </si>
  <si>
    <t>Se dio Inicio a los contratos 1815 de 2013, 1836 de 2013, 2052 de 2013, 2142 de 2013, 2053 de 2013, 2128 de 2013, 1969 de 2013 y 2051 de 2013, cumpliendo con la meta programada.</t>
  </si>
  <si>
    <t>NO HAY META PROGRAMADA PARA ESTE MES</t>
  </si>
  <si>
    <t>NO SE PROGRAMO META PARA ESTE MES</t>
  </si>
  <si>
    <t>-</t>
  </si>
  <si>
    <t>NO SE PROGRAMO META PARA EL MES</t>
  </si>
  <si>
    <t>SE INICIARON LOS 19 CONTRATOS PROGRAMADOS, CUMPLIENDO LA META EN UN 100%</t>
  </si>
  <si>
    <t>A 31 de diciembre de 2014, haber terminado 38 contratos y /o convenios a cargo de la DTM sujeto al Diagnostico y Presupuesto Disponible</t>
  </si>
  <si>
    <t>Establecer el número de contratos terminados y/o convenios en la vigencia, a partir del acta de terminación</t>
  </si>
  <si>
    <t>(Total de contratos y/o convenios con Acta de Terminación)/(Total contratos y/o convenios programados a terminar)*100</t>
  </si>
  <si>
    <t>Acta de Terminación suscrita</t>
  </si>
  <si>
    <t>Se firmo acta de terminación de los contratos  49-2012, 56-2012, 55-2012, 54-2012, 57-2012, 52-2012, 076-2012, 063-2012, 082-2012, 072/2012. cumpliendo con la meta programada.</t>
  </si>
  <si>
    <t>Los contratos 080-2012y 71-2012 firmaron acta de terminacion Los contratos 059 de 2012, 066 de 2012, 081-2013, 083-2012, 078-2012, 068-2012, fueron prorrogados para el mes de mayo, por lo tanto la meta se aplaza.</t>
  </si>
  <si>
    <t xml:space="preserve">Se termino el contrato 064 de 2012. El convenio 11 de 2011 fue prorrogado para el mes de junio y los contratos 079 de 2012 y 062 de 2012 fueron prorrogados para el mes de mayo, por lo tanto la meta se aplaza. </t>
  </si>
  <si>
    <t>NO SE PROGRAMO META PARA ESTE MES, sin embargo se terminaron los contratos 059/2012 y 066/52012 con el acta N° 34 y N° 31 de 03/06/2014, los contratos 079/2012 y 062/2012 con el acta N° 11 y N° 18 del 22 de mayo de 2014 y los contratos 078/2012 y 068/2012 con el acta N° 13 y N° 15 del 12 mayo de 2014</t>
  </si>
  <si>
    <t>se termino el convenio 9 -2011 programado para el mes y se dio cumplimiento a la terminacion de los contratos 81-2012 y 83-2012 programados en el mes de marzo</t>
  </si>
  <si>
    <t>Se termino el convenio 11 de 2011 con el acta N° 2 de 01 de septiembre de 2014, los contratos 075 de 2012 y 067 de 2012 se prorrogaron para el mes de octubre.</t>
  </si>
  <si>
    <t>TENIENDO EN CUENTA QUE LOS CONTRATOS 75-2012 Y 67-2012 FUERON PRORROGADOS, SU TERMINACION SE PRORROGO PARA EL MES DE OCTUBRE</t>
  </si>
  <si>
    <t>SE TERMINARON LOS CONTRATOS 73/2012, 77/2012, 75/2012, 67/2012, 1792/2013 Y 1840/2013.</t>
  </si>
  <si>
    <t>SE TERMINARON LOS CONTRATOS 1722-2013 Y 1798-2013</t>
  </si>
  <si>
    <t>SE TERMINARON LOS CONTRATOS 1705-2013, 1739-2013, 2052-2013, 2142-2013, 1323-2013</t>
  </si>
  <si>
    <t xml:space="preserve">DE LOS 38 CONTRATOS PROGRAMADOS PARA SU TERMINACIÓN, SE TERMINARON 36  POR LO TANTO LA META CUMPLIDA  ES DEL 95%. </t>
  </si>
  <si>
    <t xml:space="preserve">A 31 de diciembre de 2014 dar tramite a 29 contratos y/o convenios liquidados y/o archivados por perdida de competencia  a cargo de la DTM; sujeto al Diagnostico y Presupuesto Disponible </t>
  </si>
  <si>
    <t>Establecer el número de contratos y/o convenios liquidados en la vigencia, a partir del Acta respectiva</t>
  </si>
  <si>
    <t>(Total de contratos y/o convenios  con Acta de liquidaciónl)/(Total contratos y/o convenios Terminados)*100</t>
  </si>
  <si>
    <t>Acta de liquidación firmada en expediente del contrato</t>
  </si>
  <si>
    <t xml:space="preserve">No se han podido liquidar los contratos programados para liquidación por que no se ha podido sanear observaciones por parte de las EPS,s </t>
  </si>
  <si>
    <t>Se Liquido el contrato 950-2013</t>
  </si>
  <si>
    <t xml:space="preserve">Se liquido el contrato IDU-42-2010, </t>
  </si>
  <si>
    <t xml:space="preserve">Se liquidaron los contratos 065/2011 y 069/2011 con las actas N° 66 y N° 35 del 27 de junio de 2014 respectivanmente </t>
  </si>
  <si>
    <t>Se liquidaron los contratos contrato 072 de 2008 y 094 de 2008 con las actas N° 163 de 28 de Julio de 2014 y 92 de 29 de julio de 2014 respectivamente,  los contratos programados para este mes corresponden a los Distritos de Conservacion los cuales seran reprogramados para la vigencia 2015.</t>
  </si>
  <si>
    <t>TENIENDO EN CUENTA QUE LOS CONTRATOS 69-2008, 91-2008, 73-2008, 95-2008, 44-2011 Y 45-2011 SE ENCUENTRAN TRAMITANDO PAZ Y SALVOS CON LAS ESPS, SE POSTERGA LA LIQUIDACION PARA LA VIGENCIA 2015</t>
  </si>
  <si>
    <t>SE REPORTO LIQUIDADO EL CONTRATO 119/2009,  EL CUAL SE TENIA PROGRAMADO PARA EL MES DE JUNIO</t>
  </si>
  <si>
    <t>SE LIQUIDARON LOS CONTRATOS 54-2012 Y 55-2012</t>
  </si>
  <si>
    <t>SE LIQUIDARON  LOS CONTRATOS 76-2009, 84-2009, 30-2012, CONV 22-2009, 90-2009, 7-2013, 6-2013, 57-2012</t>
  </si>
  <si>
    <t>DE 29 CONTRATOS PROGRAMADOS SE  LIQUIDARON 17 COMPLETANDO UN AVANCE DEL 59%, EN LO QUE CORRESPONDE A   LOS DISTRITOS DE CONSERVACIÓN  FUERON  REPROGRAMADOS PARA LA VIGENCIA 2015, TENIENDO EN CUENTA QUE A LA FECHA FALTAN RECIBOS POR PARTE DE LAS ESP´S. EN CUANTO A LOS CONTRATOS PROGRAMADOS EN LA STMST SE TIENEN EL CTO 74/09 ACTA DE LIQUIDACIÓN EN UN 95% PENDIENTE APROBACIÓN DE LA SDM. CTO 82/09 DEPENDE DE LA LIQUIDACIÓN DEL 74/09.  CTO INTERADMINISTRATIVO 3/12 y 8/11: DEMORAS EN ENTREGA DE INFORMACIÓN POR PARTE DE LA UAERMV HAN IMPEDIDO LA LIQUIDACIÓN. A LA FECHA EL AVANCE ES DEL 50%</t>
  </si>
  <si>
    <t>A 31 de diciembre de 2014 cumplir el 100%  en la ejecución de la construcción, rehabilitación y mantenimiento de183,12 km-carril de la malla vial arterial, intermedia, troncal, SITP y rural</t>
  </si>
  <si>
    <t>Km carril construidos, rehabilitados y mantenidos de la malla vial arterial, intermedia, Troncal, SITP y rural</t>
  </si>
  <si>
    <t>Garantizar la construcción, la rehabilitación y el mantenimiento de las vías priorizadas en los programas vigentes pertenecientes a la malla vial arterial, intermedia, troncal, SITP y rural</t>
  </si>
  <si>
    <t>Formatos listados de vías en ejecución remitido por la interventoría y base de datos DTM</t>
  </si>
  <si>
    <t>Km carril</t>
  </si>
  <si>
    <t>Se cumplio la meta fisica programada</t>
  </si>
  <si>
    <t>Se cumplio el 98% de la meta fisica programada</t>
  </si>
  <si>
    <t>Se cumplio la meta programada. Se ejecutaron obras adicionales en la Troncal Calle 80</t>
  </si>
  <si>
    <t>Se cumplio el 89% de la meta fisica programada. Algunos contratos de Conservacion de MVA no troncal no han comenzado obras por resultados de diagnósticos y por tramites de PMT's</t>
  </si>
  <si>
    <t>Se cumplio con la meta programada</t>
  </si>
  <si>
    <t>En los contratos de Ruralidades se esta realizando mantenimiento rutinario, limpieza de cunetas y roceria. Estas actividades aumentan la meta fisica ejecutada</t>
  </si>
  <si>
    <t>En los contratos de Ruralidades se esta realizando mantenimiento rutinario, limpieza de cunetas y roceria. Estas actividades aumentan significativamente la meta fisica ejecutada. Ademas se ejecutaron acciones de movilidad en los corredores priorizados por la DTP en la MVA, especificamente en el carril exclusivo para SITP en la AK 7 desde la CL 32 hasta la AC 100</t>
  </si>
  <si>
    <t>NO SE CUMPLIÓ LA META FÍSICA PROGRAMADA, SIN EMBARGO EN LA MVR SE HAN VENIDO EJECUTANDO EN MESES ANTERIORES ACTIVIDADES DE MANTENIMIENTO RUTINARIO, LIMPIEZA DE CUNETAS Y ROCERÍA. ESTAS ACTIVIDADES AUMENTARON SIGNIFICATIVAMENTE LA META FÍSICA ACUMULADA EJECUTADA</t>
  </si>
  <si>
    <t>SE CUMPLIO LA META FISICA PROGRAMADA, SE HAN VENIDO EJECUTANDO ACTIVIDADES DE MANTENIMIENTO RUTINARIO, LIMPIEZA DE CUNETAS Y ROCERIA. ESTAS ACTIVIDADES AUMENTARON SIGNIFICATIVAMENTE LA META FISICA ACUMULADA EJECUTADA. ADICIONALMENTE EN EL CONTRATO 2128-2013, SE EJECUTARON ACCIONES DE MOVILIDAD EN CORREDORES QUE NO HABIAN SIDO PRIORIZADOS INICIALMENTE POR LA DTP</t>
  </si>
  <si>
    <t>SE HAN VENIDO EJECUTANDO ACTIVIDADES DE MANTENIMIENTO RUTINARIO, LIMPIEZA DE CUNETAS Y ROCERIA EN LA MVR, ESTAS ACTIVIDADES AUMENTARON SIGNIFICATIVAMENTE LA META FISICA ACUMULADA EJECUTADA. ADEMAS EN LOS CONTRATOS DE MVA NO TRONCAL SE HAN EJECUTADO ACCIONES DE MOVILIDAD EN CORREDORES QUE NO HABIAN SIDO PRIORIZADOS INICIALMENTE POR LA DTP</t>
  </si>
  <si>
    <t>DEL CONTRATO 67-2012 SE REPORTAN LAS ACCIONES DE  MOVILIDAD DEL ADICIONAL 3 REALIZADAS EN KENNEDY Y LO EJECUTADO EN EL CONTRATO 2053-2013</t>
  </si>
  <si>
    <t xml:space="preserve">DE 183,12 KM. CARRIL, SE EJECUTO 321 KM CARRIL, SOBREPASANDO LA META PROGRAMADA EN LA VIGENCIA, SE PRESENTA MAYOR META FISICA EJECUTADA , DADO QUE LAS EMERGENCIAS EJECUTADAS NO FUERON PROGRAMADAS, TENIENDO EN CUENTA QUE ESTAS NO SON PRIORIZADAS, ADICIONALMENTE LOS CONTRATOS QUE INTERVIENEN LA MALLA VIAL ARTERIAL E INTERMEDIA FUERON ADICIONADOS. EN LO QUE CORRESPONDE A LA MALLA VIAL RURAL EL REPORTE HA SIDO REALIZADO TOMANDO EL AREA COMPLETA DEL CORREDOR, Y LA PROGRAMACION CORRESPONDIA AL AREA DEL SEGMENTO REPORTADA POR LA DTP </t>
  </si>
  <si>
    <t xml:space="preserve">A 31 de diciembre de 2014 cumplir el 100 % en la ejecución del mantenimiento 63639.69 de m2 de espacio público </t>
  </si>
  <si>
    <t>m2 mantenidos de espacio publico</t>
  </si>
  <si>
    <t>Garantizar el mantenimiento del espacio público en los segmentos viales priorizados en los programas vigentes</t>
  </si>
  <si>
    <t>m2</t>
  </si>
  <si>
    <t xml:space="preserve"> Las actividades de limpieza de vallados en la Autopista Norte se reprogramaron</t>
  </si>
  <si>
    <t>El contrato de Autopista Norte se prorrogo 75 días y las actividades de limpieza de vallados se reprogramaron</t>
  </si>
  <si>
    <t>Mediante memorando 20142250065823 se excluyeron las obras de las Acciones Populares de Suba 2009-00072 y 2010-00148, en reemplazo se priorizaron las obras de la Accion Popular de  San Cristobal Sur 2010-00065. El contrato se prorrogo 2 meses para cumplir con los compromisos priorizados, incluida la Accion Popular 2002-2351 de la Calle 19 No 32-43</t>
  </si>
  <si>
    <t>Se termina la limpieza de Vallados en la Autopista Norte y quedan solo los trabajos para aprobación y entrega.</t>
  </si>
  <si>
    <t>No se  cumplio la meta fisica programada: el contrato 2052-2013 presento la siguiente situación por la cual no se cumplio la meta fisica  programada; La Subdirección General de Infraestructura mediante comunicaciones con radicados IDU 20143560068513 de 02 de abril de 2014 e IDU-20143560232503 de 06 de mayo de 2014, solicito dar inicio al procedimiento administrativo, por presunto incumplimiento de las obligaciones contractuales por parte del CONSORCIO ESPACIO PUBLICO, con quien se suscribiera el contrato de obra IDU-2052-2013.</t>
  </si>
  <si>
    <t>El contrato 2052-2013 presento la siguiente situación por la cual no se ha venido cumpliendo la meta fisica  programada inicialmente : La Subdirección General de Infraestructura mediante comunicaciones con radicados IDU 20143560068513 de 02 de abril de 2014 e IDU-20143560232503 de 06 de mayo de 2014, solicito dar inicio al procedimiento administrativo, por presunto incumplimiento de las obligaciones contractuales por parte del CONSORCIO ESPACIO PUBLICO, con quien se suscribiera el contrato de obra IDU-2052-2013.</t>
  </si>
  <si>
    <t>El contrato 2052-2013 presento reprogramacion de obra, ya que como resultado del diagnostico los recursos asignados eran insuficientes para la meta inicial</t>
  </si>
  <si>
    <t>SE EJECUTARON ACTIVIDADES EN EL MANTENIMIENTO DE ESPACIO PUBLICO EN LOS CONTRATOS 2052-2013, 1815-2013 Y 1804-2013</t>
  </si>
  <si>
    <t xml:space="preserve">SE EJECUTARON ACTIVIDADES EN EL MANTENIMIENTO DE ESPACIO PUBLICO EN LOS CONTRATOS 1810-2013 Y 1804-2013. EL CONTRATO 2052-2013 FUE SUSPENDIDO EL 21 DE OCTUBRE  </t>
  </si>
  <si>
    <t>SE EJECUTARON ACTIVIDADES EN EL MANTENIMIENTO DE ESPACIO PUBLICO EN EL CONTRATO 2052-2013, EL CUAL REINICIO ACTIVIDADE EN ESTE MES</t>
  </si>
  <si>
    <t>SE TERMINARON ACTIVIDADES DE MANTENIMIENTO DE ESPACIO PUBLICO EN EL CONTRATO 1815-2013.</t>
  </si>
  <si>
    <t xml:space="preserve">DE 63639,7 M2 PROGRAMADOS SE EJECUTARON 48146,6M2 CUMPLIENDO EL 76% DE LA META. EL INCUMPLIMIENTO DEL INDICADOR SE PRESENTO DEBIDO A QUE LA PROGRAMACIÓN INICIAL DE ESTE INDICADOR SE REALIZÓ CON LA PRIORIZACIÓN REMITIDA POR LA DT DE PROYECTOS EN LA CUAL SE EVIDENCIO QUE LOS RECURSOS CONTRATADOS FUERON INSUFICIENTES PARA LA EJECUCIÓN PRESENTADA EN LOS CONTRATOS DE ESPACIO PÚBLICO, ADICIONALMENTE EN LOS CONTRATOS ADJUDICADOS PARA INTERVENCIÓN DE LA MALLA VIAL ARTERIAL NO TRONCAL QUE CONTEMPLABAN ACTIVIDADES DE MANTENIMIENTO DEL ESPACIO PÚBLICO, NO FUERON EJECUTADOS TENIENDO EN CUENTA QUE LOS RECURSOS SE UTILIZAN PARA DAR PRIORIDAD A LA ATENCIÓN DE LA MALLA VIAL ARTERIAL. </t>
  </si>
  <si>
    <t>A 31 de diciembre de 2014 cumplir el 100% en la ejecucion del mantenimiento de 29,52 km de ciclo-rutas</t>
  </si>
  <si>
    <t xml:space="preserve">Km mantenidos de ciclo-rutas </t>
  </si>
  <si>
    <t>Garantizar el mantenimiento de las ciclo-rutas priorizadas en los programas vigentes</t>
  </si>
  <si>
    <t xml:space="preserve">El contrato se prorrogo 2 meses para cumplir los compromisos priorizados. La ciclorruta de la AV Cali entre AC 13 y AV Americas se intervino de acuerdo a los recursos disponibles. </t>
  </si>
  <si>
    <t>No se programo meta fisica</t>
  </si>
  <si>
    <t>SE EVIDENCIAN ATRASOS EN LA EJECUCION DE LA META FISICA EN EL CONTRATO 2052-2013. SE SOLICITA POR PARTE DEL INTERVENTOR  PLAN DE CONTINGENCIA PARA CULMINAR LAS OBRAS PROGRAMADAS Y  EN EJECUCIÓN</t>
  </si>
  <si>
    <t>SE CUMPLIO CON LA META PROGRAMADA EN EL MES. LO REPORTADO INCLUYE 1.61 KM DE BICICARRIL ADECUADO A TRAVES DEL  CONTRATO 2053-2013</t>
  </si>
  <si>
    <t>SE EJECUTARON ACTIVIDADES EN EL MANTENIMIENTO DE CICLORRUTAS EN EL CONTRATO 2052-2013, EL CUAL REINICIO ACTIVIDADE EN ESTE MES</t>
  </si>
  <si>
    <t>DE 29,5 KM PROGRAMADOS SE EJECUTARON 13,8 KM CUMPLIENDO CON EL 47 % DE LA META PROGRAMADA. EL INCUMPLIMIENTO SE PRESENTA DEBIDO A QUE  LA PROGRAMACIÓN INICIAL DE ESTE INDICADOR SE REALIZÓ CON LA PRIORIZACIÓN REMITIDA POR LA DT DE PROYECTOS EN LA CUAL SE EVIDENCIO QUE LOS RECURSOS CONTRATADOS FUERON INSUFICIENTES PARA LA EJECUCIÓN PRESENTADA EN LOS CONTRATOS 59-2012 Y 2052-2013.</t>
  </si>
  <si>
    <t>A 31 de diciembre de 2014 cumplir el 100% del mantenimiento de 5 puentes peatonales</t>
  </si>
  <si>
    <t>Cantidad de puentes peatonales mantenidos</t>
  </si>
  <si>
    <t>Garantizar el mantenimiento de los puentes peatonales priorizados en los programas vigentes</t>
  </si>
  <si>
    <t>Se reprogramo la intervencion en puentes de la troncal de la calle 80 con nuevas tecnologias para el mes de mayo</t>
  </si>
  <si>
    <t>Se cumplio la meta programada. Se intervino un puente peatonal  en la Calle 80 de acuerdo a la reprogramación de marzo</t>
  </si>
  <si>
    <t>NO SE PROGRAMO META FISICA PARA ESTE MES</t>
  </si>
  <si>
    <t>NO SE PROGRAMO META PARA ESTE MES. YA SE DIO CUMPLIMIENTO A LA PROGRAMACION DEL INDICADOR</t>
  </si>
  <si>
    <t>DE 5 UND PROGRAMADOS SE EJECUTARON 5 UND CUMPLIENDO CON EL 100% DE LA META PROGRAMADA.</t>
  </si>
  <si>
    <t xml:space="preserve">NO SE PROGRAMO META PARA ESTE MES </t>
  </si>
  <si>
    <t>Se informa que no se planeo mada para el primer cuatrimestre</t>
  </si>
  <si>
    <t xml:space="preserve">De los </t>
  </si>
  <si>
    <t>NO SE PROYECTO META PARA ESTE MES</t>
  </si>
  <si>
    <t>DE LOS TRÁMITES PROGRAMADOS INICIALMENTE PARA EJECUTAR DESDE EL 1° DE ENERO HASTA EL 30 DE SEPTIEMBRE, QUEDARON PENDIENTES UN TOTAL DE 1 TRÁMITES. EL DETALLE DE LOS DOCUMENTOS SE PUEDE OBSERVAR EN EL PLAN DOCUMENTAL CONSOLIDADO POR LA OAP O EL PLAN ESPECÍFICO EN CADA ÁREA. EL ÁREA COMUNICA QUE PARA LA ADOPCIÓN DEL PROCEDIMIENTO DE CONSERVACIÓN SE TOMARÁN HASTA EL MES DE DICIEMBRE, POR LOS DIFERENTES CAMBIOS QUE IDENTIFICARON.</t>
  </si>
  <si>
    <t>NO SE TIENE META PROGRAMADA PARA EL MES</t>
  </si>
  <si>
    <t>DE LOS TRÁMITES PROGRAMADOS INICIALMENTE PARA EJECUTAR DESDE EL 1° DE ENERO HASTA EL 31 DE DICIEMBRE, QUEDARON PENDIENTES UN TOTAL DE 1 TRÁMITES. EL DETALLE DE LOS DOCUMENTOS SE PUEDE OBSERVAR EN EL PLAN DOCUMENTAL CONSOLIDADO POR LA OAP O EL PLAN ESPECÍFICO EN CADA ÁREA.</t>
  </si>
  <si>
    <t>DE LOS TRÁMITES PROGRAMADOS INICIALMENTE PARA EJECUTAR DESDE EL 1° DE ENERO HASTA EL 31 DE DICIEMBRE, SE ENCUENTRA PENDIENTE  ADOPCIÓN DEL PROCEDIMIENTO DE CONSERVACIÓN TENIENDO EN CUENTA QUE LOS INSUMOS REQUERIDOS PARA SU DEBIDA ACTUALIZACION FUERON ADOPTADOS POR LA OAP HASTA EL 29 DE DICIEMBRE, POR LO TANTO NO FUE POSIBLE REALIZAR LOS AJUSTES AL PROCEDIMIENTO DURANTE EL 2014</t>
  </si>
  <si>
    <t>NO SSE PROGRAMO META PARA ESTE MES</t>
  </si>
  <si>
    <t>Se evidencia el cumplimiento de la información registrada en el SIAC por parte de la Dirección Técnica de Mantenimiento frente a la información de las bases de datos de la DTGC.</t>
  </si>
  <si>
    <t>Realizado el seguimiento a la información de los contratos a cargo de la Dirección Técnica de Mantenimiento se encuentra que de acuerdo con los parámetros establecidos de medición la información que reposa a la fecha de corte junio 30 de 2014 en el Sistema de Información y Acompañamiento Contractual SIAC se encuentra Actualizada.</t>
  </si>
  <si>
    <t>REVISADOS LOS ESTADOS REGISTRADOS EN EL SISTEMA DE INFORMACIÓN Y ACOMPAÑAMIENTO CONTRACTUAL SIAC SE EVIDENCIA LA DESACTUALIZACIÓN DE TRECE (13) CONTRATOS.</t>
  </si>
  <si>
    <t>REVISADOS LOS ESTADOS REGISTRADOS EN EL SISTEMA DE INFORMACIÓN Y ACOMPAÑAMIENTO CONTRACTUAL SIAC SE EVIDENCIA LA DESACTUALIZACIÓN DE SIETE(7) CONTRATOS.</t>
  </si>
  <si>
    <t>SE DIO CUMPLIMIENTO EN UN 94% SE PRESENTO DESACTUALIZACION EN 7 CONTRATOS DE PRESTACION DE OBRA EN LOS CUALES NO SE REPORTO OPORTUNAMENTE DU TERMINACION</t>
  </si>
  <si>
    <t>no se recibio indicador transversal para este mes</t>
  </si>
  <si>
    <t>NO SE GENERARON COMPROMISOS A CUMPLIR  EN EL 2014</t>
  </si>
  <si>
    <t>El indicador  aparece en  “0” para la DTM en virtud a que para el hallazgo  3.1.8.4.1.1. no se cumplió  a cabalidad con la acción 2 que señala  “Para el año 2012, de conformidad con los recursos disponibles, adelantar un proceso de contratación tendiente a ejecutar las obras iniciadas y no terminadas con recursos IDU, incluidas en el objeto del Convenio 022/09” . 
Es de aclarar que para  el frente faltante de los iniciados en el Convenio 022/2009, la Calle 11 entre Carreras 2 y 7,  la DTM adelantó la gestión encaminada a que la mencionada vía fuera incluida en uno de los procesos de contratación posteriores a la generación del hallazgo, sin embargo,   las áreas competentes en la Entidad para asignar los recursos han manifestado no contar con los mismos, es decir, que definitivamente por ahora no se va a intervenir la citada vía</t>
  </si>
  <si>
    <t>NO SE RTECIBIO INFORMACION DE ESTE INDICADOR PARA EL MES DE ABRIL</t>
  </si>
  <si>
    <t>El indicador  aparece en  “0” para la DTM en virtud a que para el hallazgo  3.1.8.4.1.1. no se cumplió  a cabalidad con la acción 2 que señala  “Para el año 2012, de conformidad con los recursos disponibles, adelantar un proceso de contratación tendiente a ejecutar las obras iniciadas y no terminadas con recursos IDU, incluidas en el objeto del Convenio 022/09” .
Es de aclarar que para  el frente faltante de los iniciados en el Convenio 022/2009, la Calle 11 entre Carreras 2 y 7,  la DTM adelantó la gestión encaminada a que la mencionada vía fuera incluida en uno de los procesos de contratación posteriores a la generación del hallazgo, sin embargo,   las áreas competentes en la Entidad para asignar los recursos han manifestado no contar con los mismos, es decir, que definitivamente por ahora no se va a intervenir la citada vía</t>
  </si>
  <si>
    <t>INCUMPLIDA LA ACCIÓN DEL HALLAZGO 3,8,4,11 - CUMPLIÓ ACCIONES DE LOS HALLAZGOS 2.4.1 Y 2.4.3</t>
  </si>
  <si>
    <t xml:space="preserve">INCUMPLIDA LA ACCIÓN DEL HALLAZGO 3,8,4,11 - </t>
  </si>
  <si>
    <t>EL INDICADOR  APARECE EN  “0” PARA LA DTM EN VIRTUD A QUE PARA EL HALLAZGO  3.1.8.4.1.1. NO SE CUMPLIÓ  A CABALIDAD CON LA ACCIÓN 2 QUE SEÑALA  “PARA EL AÑO 2012, DE CONFORMIDAD CON LOS RECURSOS DISPONIBLES, ADELANTAR UN PROCESO DE CONTRATACIÓN TENDIENTE A EJECUTAR LAS OBRAS INICIADAS Y NO TERMINADAS CON RECURSOS IDU, INCLUIDAS EN EL OBJETO DEL CONVENIO 022/09”. PARA CUMPLIR CON ESTE HALLAZGO SE REQUIERE SE PRIORICE UN CONTRATO QUE REALICE LAS INTERVENCIONES EN LA CALLE 11, LO CUAL NO DEPENDE DE LA DTM</t>
  </si>
  <si>
    <t>De 911,847,957 programados se han ejecutado 1,371,524 Sobre pasando la meta programada. Al no haber disponibilidad de recursos T.O correspondiente a pasivos exigibles fueron eliminados de la programación y por esta razon no se pudieron ejecutar dentro del periodo.</t>
  </si>
  <si>
    <t>De 7,697,816,358 programados se han ejecutado 4,673348,927 Sobre pasando la meta programada. Al no haber disponibilidad de recursos T.O correspondiente a pasivos exigibles fueron eliminados de la programación y por esta razon no se pudieron ejecutar dentro del periodo.</t>
  </si>
  <si>
    <t>De 9,238,774,330 programados se han ejecutado 4,192,991,526, cumpliendo el 45 % de la meta programada, debido a que se programaron 3,856,280,506, en el pac de abril, pero al no haber disponibilidad de recursos T.O correspondiente a pasivos exigibles fueron eliminados de la programación y por esta razon no se pudieron ejecutar dentro del periodo.</t>
  </si>
  <si>
    <t>Los porcentajes programados no corresponden a los de STPC, El saldo que tenemos Inicial de Pasivos Exigibles es $73.149.266.491 ya que no han descontado una cuenta tramitada en el año 2013 del convenio 22-2009. Gracias</t>
  </si>
  <si>
    <t>Se cumplio con la meta de este mes, pues se pudo mover recursos de la S.T</t>
  </si>
  <si>
    <t>EJECUCIÓN DEL MES CORRESPONDIENTE A GIROS PRESUPUESTALES POR $933.321.125 Y LIBERACIONES POR $5.855.467.548. META ESPERADA DEL MES DE 9%</t>
  </si>
  <si>
    <t>EJECUCIÓN DEL MES CORRESPONDIENTE A GIROS PRESUPUESTALES POR $2.685.605.444 Y LIBERACIONES POR $7.600.835.230. META ESPERADA DEL MES DE 16%</t>
  </si>
  <si>
    <t>EJECUCIÓN DEL MES CORRESPONDIENTE A GIROS PRESUPUESTALES POR $965.320.672 Y LIBERACIONES POR $431.266.858. META ESPERADA DEL MES DE 8%</t>
  </si>
  <si>
    <t>SE CUMPLIO LA META PROGRAMADA</t>
  </si>
  <si>
    <t>DE $73.494.206.064 PROGRAMADOS SE  EJECUTARON $73.821.657.699 SOBREPASANDO LA META PROGRAMADA Y CUMPLIENDO EN UN 100% EL  INDICADOR</t>
  </si>
  <si>
    <t>De 1,992,147,423 programados se han ejecutado 3,395,378,061,0 Sobre pasando la meta programada, teniendo encuenta que no hay disponibilidad de recursos en pasivos exigibles, se aumento la ejecucion presupuestal en reservas.</t>
  </si>
  <si>
    <t>De 2,810,629,763 programados se han ejecutado 10,245,795,009 Sobre pasando la meta programada, teniendo encuenta que no hay disponibilidad de recursos en pasivos exigibles, se aumento la ejecucion presupuestal en reservas.</t>
  </si>
  <si>
    <t>De 2,549,494,331 programados se han ejecutado 4,631,261,671 Sobre pasando la meta programada, teniendo encuenta que no hay disponibilidad de recursos en pasivos exigibles, se aumento la ejecucion presupuestal en reservas.</t>
  </si>
  <si>
    <t>De 5,954,200,248 programados se han ejecutado 3,108,712,453 cumpliendo el 6% de la meta programada, sin embargo la meta programada del area que emite el indicador no es la misma, se debe verificar el dato.</t>
  </si>
  <si>
    <t>Los porcentajes programados no corresponden a los de STPC sin embargo la meta programada del area que emite el indicador no es la misma, se debe verificar el dato.</t>
  </si>
  <si>
    <t>Se cumplio con la meta de este mes</t>
  </si>
  <si>
    <t>EJECUCIÓN DEL MES CORRESPONDIENTE A GIROS PRESUPUESTALES POR $10.871.518.129. META ESPERADA DEL 8%</t>
  </si>
  <si>
    <t>EJECUCIÓN DEL MES CORRESPONDIENTE A GIROS PRESUPUESTALES POR $12.127.883.530 Y LIBERACIONES POR $124.098.171. META ESPERADA DEL 7%</t>
  </si>
  <si>
    <t>EJECUCIÓN DEL MES CORRESPONDIENTE A GIROS PRESUPUESTALES POR $7.470.988.873. META ESPERADA DEL 6%</t>
  </si>
  <si>
    <t>DE $ 93.226.082.010 PROGRAMADOS A LA FECHA, SE HAN EJECUTADO $105.352.517.574 SOBREPASANDO LA META PROGRAMADA, Y CUMPLIENDO EL 100%</t>
  </si>
  <si>
    <t xml:space="preserve">No se programo meta para este mes, se ejecutaron $70,000,000 </t>
  </si>
  <si>
    <t>No se programo meta para este mes, se ejecutaron $92,184,500</t>
  </si>
  <si>
    <t>No se programo meta para este mes, se ejecutáron $375.072,645,</t>
  </si>
  <si>
    <t>NO SE PROGRAMO META PARA ESTE MES               sin embargo nos informan que este mes se ejecuto $ 761,586,212</t>
  </si>
  <si>
    <t>A la fecha se ejecutaron $ 1,696,050,810,  No hay programación para el mes de Agosto, por cuanto el área no recibio la programación de dicho indicador, por lo tanto el área planeo su ejecución para el mes de diciembre de 2014</t>
  </si>
  <si>
    <t>SE EJECUTO EL 100% DEL PRESUPUESTO ASIGNADO EN LA DTM</t>
  </si>
  <si>
    <t>SE EJECUTARON $174,232,642,066 DEL PRESUPUESTO ASIGNADO PARA LA VIGENCIA 2014</t>
  </si>
  <si>
    <t xml:space="preserve">Las cifras que se manejan en la matriz son las de la Programacion inicial que se entrega antes de iniciar la vigencia, por cuanto la diferencia es evidente, en la reprogramación mensual no se estan presentando diferencias tan marcadas. </t>
  </si>
  <si>
    <t>El incremento para el mes de agosto de 2014, obedece al aumento- Plan de Choque- de pago de obligaciones acumuladas de periodos anteriores   con fuente Transferencias Ordinarias (Pasivos Exigibles)</t>
  </si>
  <si>
    <t>LA PROGRAMACIÓN INICIAL (PI) DEL PAC ES DE $17.492.263.923 Y LA REPROGRAMACIÓN DEL MES ( RM )FUE DE $18.758.643.595. LA EJECUCIÓN DEL PAC  EN ESTE MES FUE DE $16.631.860.523.  POR LO TANTO SE EJECUTÓ EL 95% FRENTE A LA PROGRAMACIÓN INICIAL Y EL 89% FRENTE A LA REPROGRAMACIÓN DEL MES. ADICIONALMENTE LA INFORMACIÓN  SI SE ENTREGÓ DENTRO DEL PLAZO ESTIPULADO. ESTO ARROJA 85 PUNTOS EN EL INDICADOR DE GESTIÓN DEL PAC.</t>
  </si>
  <si>
    <t>LA PROGRAMACIÓN INICIAL (PI) DEL PAC ES DE $21,072,901,035 Y LA REPROGRAMACIÓN DEL MES ( RM )FUE DE $15,336,515,366.  LA EJECUCIÓN DEL PAC  EN ESTE MES FUE DE $9,168,457,822. POR LO TANTO SE EJECUTÓ EL 44% FRENTE A LA PROGRAMACIÓN INICIAL Y EL 60% FRENTE A LA REPROGRAMACIÓN DEL MES. ADICIONALMENTE LA INFORMACIÓN  SI SE ENTREGÓ DENTRO DEL PLAZO ESTIPULADO. ESTO ARROJA 50 PUNTOS EN EL INDICADOR DE GESTIÓN DEL PAC.</t>
  </si>
  <si>
    <t>LA PROGRAMACIÓN INICIAL (PI) DEL PAC ES DE $123,240,404,090 Y LA REPROGRAMACIÓN DEL MES ( RM ) FUE DE $22,446,641,629.  LA EJECUCIÓN DEL PAC  EN ESTE MES FUE DE $29,806,402,117. POR LO TANTO SE EJECUTÓ EL 24% FRENTE A LA PROGRAMACIÓN INICIAL Y EL 133% FRENTE A LA REPROGRAMACIÓN DEL MES. ADICIONALMENTE LA INFORMACIÓN  SI SE ENTREGÓ DENTRO DEL PLAZO ESTIPULADO. ESTO ARROJA 25 PUNTOS EN EL INDICADOR DE GESTIÓN DEL PAC.
 EL INCUMPLIMIENTO CORRESPONDE A QUE LA STTR EN LA PROGRAMACION INICIAL PARA EL MES DE DICIEMBRE TOMO EL VALOR QUE SE DEJO DE PROGRAMAR EN LA VIGENCIA POR PARTE DE LA DTM, DEACUERDO A LOS LINEAMIENTOS DE LA SDH. POR LO TANTO LA DTM CUMPLIO CON LOP PROGRAMADO, TENIENDO EN CUENTA QUE EL VALOR PROGRAMADO FUE DE : 22.440.342.654</t>
  </si>
  <si>
    <t>SE PRESENTO 70% ACUMULADO EN EL INDICADOR DE LA VIGENCIA, EL INCUMPLIMIENTO CORRESPONDE A QUE LA STTR EN LA PROGRAMACION INICIAL PARA EL MES DE DICIEMBRE TOMO EL VALOR QUE SE DEJO DE PROGRAMAR EN LA VIGENCIA POR PARTE DE LA DTM, DEACUERDO A LOS LINEAMIENTOS DE LA SDH. POR LO TANTO LA DTM CUMPLIO CON LOP PROGRAMADO, TENIENDO EN CUENTA QUE EL VALOR PROGRAMADO FUE DE : 22.440.342.654</t>
  </si>
  <si>
    <t>Nombre:  MAURICIO HERNAN CESPEDES SOLANO</t>
  </si>
  <si>
    <t>Cargo: Director Tecnico de Mantenimiento</t>
  </si>
  <si>
    <t>ADRIANA BAREÑO ROJAS</t>
  </si>
  <si>
    <t>Validó y Aprobó:</t>
  </si>
  <si>
    <t xml:space="preserve">Jefe Oficina Asesora de Planeación </t>
  </si>
  <si>
    <r>
      <t xml:space="preserve">FORMATO
</t>
    </r>
    <r>
      <rPr>
        <sz val="20"/>
        <rFont val="Arial"/>
        <family val="2"/>
      </rPr>
      <t>CARACTERIZACIÓN DE INDICADORES DE GESTIÓN</t>
    </r>
  </si>
  <si>
    <r>
      <rPr>
        <b/>
        <sz val="20"/>
        <rFont val="Arial"/>
        <family val="2"/>
      </rPr>
      <t>CÓDIGO</t>
    </r>
    <r>
      <rPr>
        <sz val="20"/>
        <rFont val="Arial"/>
        <family val="2"/>
      </rPr>
      <t xml:space="preserve">   
FO-PE-01                                                                                                                                                                                                                                                                                                                                                                                       </t>
    </r>
  </si>
  <si>
    <r>
      <rPr>
        <b/>
        <sz val="20"/>
        <rFont val="Arial"/>
        <family val="2"/>
      </rPr>
      <t>PROCESO</t>
    </r>
    <r>
      <rPr>
        <sz val="20"/>
        <rFont val="Arial"/>
        <family val="2"/>
      </rPr>
      <t xml:space="preserve">
PLANEACIÓN ESTRATÉGICA</t>
    </r>
  </si>
  <si>
    <r>
      <rPr>
        <b/>
        <sz val="20"/>
        <rFont val="Arial"/>
        <family val="2"/>
      </rPr>
      <t>VERSIÓN</t>
    </r>
    <r>
      <rPr>
        <sz val="20"/>
        <rFont val="Arial"/>
        <family val="2"/>
      </rPr>
      <t xml:space="preserve">
3.0</t>
    </r>
  </si>
  <si>
    <t xml:space="preserve">Meta Ejecutada </t>
  </si>
  <si>
    <t xml:space="preserve">Meta Proyectada </t>
  </si>
  <si>
    <t xml:space="preserve">Meta Ejecutada  </t>
  </si>
  <si>
    <t>La DTP no envió el Plan Documental.</t>
  </si>
  <si>
    <t>No se reporta para el mes de mayo de 2014</t>
  </si>
  <si>
    <t>La DTP no definió ni ejecutó el plan de actualización documental.</t>
  </si>
  <si>
    <t>No se reporta para el mes de octubre de 2014</t>
  </si>
  <si>
    <t>No se reporta para el mes de noviembre de 2014</t>
  </si>
  <si>
    <t>De los trámites programados inicialmente para ejecutar desde el 1° de enero hasta el 31 de diciembre, quedaron pendientes un total de 2 trámites. El detalle de los documentos se puede observar en el plan documental consolidado por la OAP o el plan específico en cada área.</t>
  </si>
  <si>
    <t>En el año 2014 y de acuerdo con el cronograma establecido por el IDU, se debe contar con los estudios de factibilidad de los proyectos requeridos para la puesta en marcha del Plan de Desarrollo Bogotá Humana.</t>
  </si>
  <si>
    <t>F= Factibilidad Elaboradas</t>
  </si>
  <si>
    <t>Medir el avance en la elaboración de los estudios de factibilidad</t>
  </si>
  <si>
    <t>F = Número de factibilidades terminadas / Número de factibilidades programadas en el cronograma DTP</t>
  </si>
  <si>
    <t>DTS Documento Técnico de Soporte elaborado - DTP</t>
  </si>
  <si>
    <t>% de Estudios de Factibilidad Elaborados</t>
  </si>
  <si>
    <t>Para el 2014 la DTP programo entregar 42 proyectos de factibilidad, de los cuales la DTP entregó 3 en el mes de enero del año en mención.</t>
  </si>
  <si>
    <t>Para el 2014 la DTP programo entregar 42 proyectos de factibilidad, de los cuales la DTP entregó  8 en el mes de  febrero del año en mención.</t>
  </si>
  <si>
    <t>Para el 2014 la DTP programo entregar 42 proyectos de factibilidad, de los cuales la DTP entregó 12 en el mes de marzo del año en mención.</t>
  </si>
  <si>
    <t>Para el 2014 la DTP programo entregar 42 proyectos de factibilidad, de los cuales la DTP entregó 13 en el mes de abril del año en mención.</t>
  </si>
  <si>
    <t>Para el 2014 la DTP programo entregar 42 proyectos de factibilidad, de los cuales la DTP entregó 15 en el mes de mayo del año en  mención.</t>
  </si>
  <si>
    <t xml:space="preserve"> Con base en los nuevos ajustes aplicados a la caracterizacion de indicadores que se envio a la OAP y a la OCI a traves del memorando 20142250536733 del 20 de agosto de 2014,  la DTP programó entregar 16 proyectos de factibilidad, de los cuales la DTP entregó  15 en el mes de julio del año en  mención.</t>
  </si>
  <si>
    <t>Se mantiene el mismo porcentaje de meta ejecutada del 94% en comparación a la proyectada. La cantidad  terminada de factibilidades continúa en 15 para el mes de agosto  de 2014.</t>
  </si>
  <si>
    <t>Se mantiene el mismo porcentaje de meta ejecutada del 94% en comparación a la proyectada. La cantidad  terminada de factibilidades continúa en 15 para el mes de septiembre  de 2014. No hubo avance en las factibilidades debido a que en el mes de agosto se inició el vencimiento de contratos y continuó así durante el mes de septiembre de 2014.</t>
  </si>
  <si>
    <t>Se mantiene el mismo porcentaje de meta ejecutada del 94% en comparación a la proyectada del 98%. La cantidad  terminada de factibilidades continúa en 15 para el mes de octubre  de 2014 debido a que a la fecha, se encuentran al 100% la factibilidad de la Av.1 de mayo / Cr 3 este - Cll 11 sur y la Int. Av.Chile (Cl 72) por Av.ciudad de Cali. En cuanto a los Puntos Inestables (Brisas de Volador - Punto 1 y 2 - 80%, Juan José Rondón - 87%,Vereda Margaritas - 72% y el Colegio Ofelia Uribe Acosta sería el único con el 100% de avance ya terminado.</t>
  </si>
  <si>
    <r>
      <t xml:space="preserve">Se mantiene el mismo porcentaje de meta ejecutada del 94% en comparación a la proyectada del 100%. La cantidad  terminada de factibilidades continúa en 15 para el mes de noviembre de 2014 debido a que a la fecha, se encuentran al 100% la factibilidad de la </t>
    </r>
    <r>
      <rPr>
        <b/>
        <sz val="20"/>
        <rFont val="Arial"/>
        <family val="2"/>
      </rPr>
      <t>Av.1 de mayo / Cr 3 este - Cll 11 sur que fue entregada mediante el memorando  20142250644313 del 14 de noviembre de 2014;  así como también se realizó la entrega de la</t>
    </r>
    <r>
      <rPr>
        <sz val="20"/>
        <rFont val="Arial"/>
        <family val="2"/>
      </rPr>
      <t xml:space="preserve"> </t>
    </r>
    <r>
      <rPr>
        <b/>
        <sz val="20"/>
        <rFont val="Arial"/>
        <family val="2"/>
      </rPr>
      <t xml:space="preserve">Int. Av.Chile (Cl 72) por Av.Ciudad de Cali mediante el memorando 20142250646253 del 19 de noviembre de 2014. </t>
    </r>
    <r>
      <rPr>
        <sz val="20"/>
        <rFont val="Arial"/>
        <family val="2"/>
      </rPr>
      <t xml:space="preserve">En cuanto a los Puntos Inestables (Brisas del Volador - Cra 23A entre Clle 70C sur y 72B sur con un avance del 80%, Brisas del Volador - Clle 70 sur en sectores parte alta:Tabor Alta Loma, Bella Flor y Los Alpes con un avance del 85%, Juan José Rondón - Vía sobre la Transv 20D bis entre Clles 68G sur y 68J sur con un avance del 91%,  Vereda Margaritas -Vía entre Usme y San Juan de Sumapaz, el cual está demorado debido a que la Unidad de Mantenimiento Vial lo tenía asignado por competencia, pero devolvieron al IDU los insumos con  el fin que aqui se realice lafactibilidad. </t>
    </r>
  </si>
  <si>
    <t xml:space="preserve">El porcentaje de meta ejecutada del 94% del mes de noviembre aumentó para el mes de diciembre a un 100% según la meta proyectada que se tenía para el mes de diciembre. La cantidad  terminada de factibilidades presentó un aumento a 16; la cual, era la   proyectada para el mes de diciembre, debido a que a la fecha, se encuentran al 100% la factibilidad de la Av.1 de mayo / Cr 3 este - Cll 11 sur que fue entregada mediante el memorando  20142250644313 del 14 de noviembre de 2014;  así como también se realizó la entrega de la Int. Av.Chile (Cl 72) por Av.Ciudad de Cali mediante el memorando 20142250646253 del 19 de noviembre de 2014. En cuanto a los Puntos Inestables: (Brisas del Volador - Cra 23A entre Clle 70C sur y 72B sur,alcanzó el 100%,Brisas del Volador - Clle 70 sur en sectores parte alta:Tabor Alta Loma, Bella Flor y Los Alpes alcanzó el 100%, Juan José Rondón - Vía sobre la Transv 20D bis entre Clles 68G sur y 68J sur alcanzó el 100%, y la Vereda Margaritas -Vía entre Usme y San Juan de Sumapaz. </t>
  </si>
  <si>
    <t xml:space="preserve">El porcentaje de meta ejecutada del 94% del mes de noviembre aumentó para el mes de diciembre a un 100% según la meta proyectada que se tenía para el mes de diciembre. La cantidad  terminada de factibilidades presentó un aumento a 16; la cual, era la   proyectada para el mes de diciembre, debido a que a la fecha, se encuentran al 100% la factibilidad de la Av.1 de mayo / Cr 3 este - Cll 11 sur que fue entregada mediante el memorando  20142250644313 del 14 de noviembre de 2014;  así como también se realizó la entrega de la Int. Av.Chile (Cl 72) por Av.Ciudad de Cali mediante el memorando 20142250646253 del 19 de noviembre de 2014. En cuanto a los Puntos Inestables: Brisas del Volador - Cra 23A entre Clle 70C sur y 72B sur,alcanzó el 100%,Brisas del Volador - Clle 70 sur en sectores parte alta:Tabor Alta Loma, Bella Flor y Los Alpes alcanzó el 100%, Juan José Rondón - Vía sobre la Transv 20D bis entre Clles 68G sur y 68J sur alcanzó el 100%, la Vereda Margaritas -Vía entre Usme y San Juan de Sumapaz. y el Colegio Ofelia Uribe Acosta alcanzó el 100%. </t>
  </si>
  <si>
    <t>De los cinco (5) puntos inestables, el Colegio Ofelia Uribe Acosta sería el único con el 100% de avance ya terminado. El porcentaje de comparación de metas bajó del 96% en octubre al 94% en noviembre debido a que a la fecha NO SE TIENEN AL 100% los demas puntos, razón por la cual, se ve afectada la meta ejecutada y que no fue cumplida  al 100% según lo proyectado.</t>
  </si>
  <si>
    <t>De los cinco (5) puntos inestables, todos tienen el 100% y se enviaron a la Dirección Técnica  Diseño de Proyectos mediante el memorando 20152250024143 del 15 de enero de 2015. El porcentaje de comparación de metas es del 100% y de acuerdo a la formula del indicador, se terminó el total de factibilidades en relación a las que se programaron para la vigencia 2014.</t>
  </si>
  <si>
    <t xml:space="preserve">
Todos cumplieron la meta del 100% y fueron enviados a la  Dirección Técnica  Diseño de Proyectos mediante el memorando 20152250024143 del 15 de enero de 2015. El porcentaje de comparación de metas es del 100% y de acuerdo a la formula del indicador, se terminó el total de factibilidades en relación a las que se programaron para la vigencia 2014.
</t>
  </si>
  <si>
    <t>En el año 2014 y de acuerdo con el cronograma establecido por el IDU, se debe  contar con la estructuración de los programas de conservación de los proyectos requeridos para la puesta en marcha del Plan de Desarrollo Bogotá Humana.</t>
  </si>
  <si>
    <t>P = Programas de Conservación</t>
  </si>
  <si>
    <t>Medir el avance en la estructuración de los programas de conservación a cargo de la Entidad</t>
  </si>
  <si>
    <t>P = Número de programas estructurados / Numero de programas de conservación incluidos en el cronograma DTP</t>
  </si>
  <si>
    <t>Documento de conservación elaborado</t>
  </si>
  <si>
    <t>% de Programas de conservación elaborados</t>
  </si>
  <si>
    <t xml:space="preserve">A diciembre de 2013 se cumplió con el 100% de la entrega de los programas de conservación estructurados desde la DTP. Durante el primer trimestre del 2014 se está a la espera de iniciar la nueva estructuración, debido a que el presupuesto asignado para estos proyectos, está pendiente por definirse. </t>
  </si>
  <si>
    <t>A diciembre de 2013 se cumplió con el 100% de la entrega de los programas de conservación estructurados desde la DTP. Durante el primer trimestre del 2014 se está a la espera de iniciar la nueva estructuración, debido a que el presupuesto asignado para estos proyectos, está pendiente por definirse. Debido a lo anterior, para el mes de mayo de 2014, no se reporta el dato del indicador.</t>
  </si>
  <si>
    <t>No se reporta para el mes de junio de 2014l tema se encuentra como anteproyecto para la vigencia 2015.</t>
  </si>
  <si>
    <t>No se reporta para el mes de julio de 2014; el tema se encuentra como anteproyecto para la vigencia 2015.</t>
  </si>
  <si>
    <t>A diciembre de 2013 se cumplió con el 100% de la entrega de los programas de conservación estructurados desde la DTP. Durante el primer trimestre del 2014 se está a la espera de iniciar la nueva estructuración, debido a que el presupuesto asignado para estos proyectos, está pendiente por definirse. Debido a lo anterior, para el mes de julio de 2014, no se reporta el dato del indicador.</t>
  </si>
  <si>
    <t>No se reporta para el mes de agosto de 2014; el tema se encuentra como anteproyecto para la vigencia 2015.</t>
  </si>
  <si>
    <t>No se reporta para el mes de septiembre de 2014; el tema se encuentra como anteproyecto para la vigencia 2015.</t>
  </si>
  <si>
    <t>No se reporta para el mes de noviembre de 2014; el tema se encuentra como anteproyecto para la vigencia 2015.</t>
  </si>
  <si>
    <t>No se reporta para el mes de diciembre de 2014; el tema se encuentra como anteproyecto para la vigencia 2015.</t>
  </si>
  <si>
    <t>No ha exisitido la necesidad de presentar ningún Plan de Mejoramiento.</t>
  </si>
  <si>
    <t>No  aplica evaluación en el periodo, dado que no tiene compromisos a cumplir con corte al 30 de septiembre de 2014</t>
  </si>
  <si>
    <t>No aplica evaluación del mes de septiembre para este indicador.</t>
  </si>
  <si>
    <t>CUMPLIÓ CON LAS ACCIONES DEL HALLAZGO 2.4.2.</t>
  </si>
  <si>
    <t>Sin ejecución. Sin programación inicial.</t>
  </si>
  <si>
    <t>En el caso de los pasivos exigibles, no hubo programacion en el pac para giros en el mes de febrero de 2014.</t>
  </si>
  <si>
    <t>Giros por valor de $219.932.663. Quedó pendiente un pago por $ 54.502.920 del contrato IDU-60 de 2012 debido a que no estaba la respuesta de la cesion de derechos económicos. Se venció el tiempo entre entrega oportuna y radicación.</t>
  </si>
  <si>
    <t>Giros por valor de $54.502.920. Quedó pendiente un pago por $ 90.141.495 del contrato IDU-51 de 2012 el cual se trasladó para pago en el mes de mayo de 2014.</t>
  </si>
  <si>
    <t>Ejecución del mes correspondiente a giros presupuestales por $90.141.495. Meta esperada del mes del 10%</t>
  </si>
  <si>
    <t>Sin ejececución para el mes. Sin programación para el mes.</t>
  </si>
  <si>
    <t>Sin ejecución del mes. Meta esperada del mes del 10%</t>
  </si>
  <si>
    <r>
      <t xml:space="preserve">Ejecución del mes correspondiente a liberaciones por $522.092.991. Ejecución esperada del 9%.
</t>
    </r>
    <r>
      <rPr>
        <b/>
        <sz val="20"/>
        <rFont val="Arial"/>
        <family val="2"/>
      </rPr>
      <t>EJECUCIÓN ACUMULADA DEL 100%</t>
    </r>
  </si>
  <si>
    <t>EJECUCIÓN ACUMULADA DEL 100%</t>
  </si>
  <si>
    <t>CUMPLIMIENTO AL 100% DE TODO LO PROGRAMADO DE RESERVAS FRENTE A LO EJECUTADO</t>
  </si>
  <si>
    <t>Ejecución del mes correspondiente a giros presupuestales por $17.936.064. Meta esperada del mes del 10%</t>
  </si>
  <si>
    <t>Sin ejececución para el mes. Programación del mes del 10%</t>
  </si>
  <si>
    <t>Ejecución del mes correspondiente a giros presupuestales por $393.051.649. Meta esperada del mes del 10%</t>
  </si>
  <si>
    <t>Ejecución del mes correspondiente a giros presupuestales por $357.890.715. Meta esperada del mes del 10%</t>
  </si>
  <si>
    <t>Ejecución del mes correspondiente a liberaciones por $14.427.210. Meta esperada del mes del 10%</t>
  </si>
  <si>
    <t>Ejecución del mes correspondiente a giros presupuestales por $949.572.515. Meta esperada del mes del 10%</t>
  </si>
  <si>
    <t>Ejecución del mes correspondiente a giros presupuestales por $23.602.493. Meta esperada del mes del 10%</t>
  </si>
  <si>
    <t>Ejecución del mes correspondiente a liberaciones por $270.000.000. Ejecución esperada del 10%.</t>
  </si>
  <si>
    <t>EJECUCIÓN ESPERADA DEL 100%. EJECUCIÓN ACUMULADA REAL DEL 90%</t>
  </si>
  <si>
    <t>Existe un saldo de $165.874.398 asignados a la Direccción Técnica de Proyectos, específicamente al Convenio 10 de 2012 suscrito entre el IDU y la Secretaría de Movilidad. Estos recursos no se han utilizado debido a que el Convenio está vencido y no fue posible la asignación del amparo presupuestal correspondiente el cual es proporcionado por la STPC.</t>
  </si>
  <si>
    <t xml:space="preserve">Existe un saldo de $165.874.398 asignados a la Direccción Técnica de Proyectos, específicamente al Convenio 10 de 2012 suscrito entre el IDU y la Secretaría de Movilidad. Estos recursos no se han utilizado debido a que el Convenio está vencido y no fue posible la asignación del amparo presupuestal correspondiente el cual es proporcionado por la STPC. A  hoy septiembre 11 de 2014, el convenio se encuentra en proceso de liqudación; de acuerdo a la información suministrada por el coordinador del convenio. </t>
  </si>
  <si>
    <t xml:space="preserve">A la fecha, hay un saldo de $135.874.398 que hace parte del valor inicial  de $165.874.398 adjudicado en esta vigencia para el Convenio 10 de 2012 suscrito entre el IDU y la Secretaría Distrital de Movilidad. Debido a que se requería atender la contratación de prestación de servicios profesionales y de apoyo a la gestión de la SGDU, se hizo un traslado a inicios del mes de octubre de 2014, por la cuantía de $30.000.000. Sin embargo, a la fecha se encuentra tramitándose un traslado presupuestal a la DTDP por el valor restante de $135.874.398 para atender un requerimiento de sentencia judicial de un predio del corredor de la José Celestino Mutis. </t>
  </si>
  <si>
    <r>
      <t xml:space="preserve">En cuanto a este indicador, el saldo del convenio está en ceros y debido a que se requería atender la contratación de prestación de servicios profesionales y de apoyo a la gestión de la SGDU, se hizo un traslado a inicios del mes de octubre de 2014, por la cuantía de $30.000.000 mediante el </t>
    </r>
    <r>
      <rPr>
        <sz val="20"/>
        <rFont val="Arial"/>
        <family val="2"/>
      </rPr>
      <t xml:space="preserve">memorando 20142050596773 del 25 de septiembre de 2014 sin embargo, a la fecha se encuentra </t>
    </r>
    <r>
      <rPr>
        <sz val="20"/>
        <color indexed="8"/>
        <rFont val="Arial"/>
        <family val="2"/>
      </rPr>
      <t xml:space="preserve">tramitándose un traslado presupuestal a la DTDP por el valor restante de $135.874.398 para atender un requerimiento de sentencia judicial de un predio del corredor de la José Celestino Mutis. </t>
    </r>
  </si>
  <si>
    <t xml:space="preserve">Del saldo de $165.874.398 se hizo la primera reducción en el mes de octubre de 2014 por el  valor de $30.000.000  mediante el memorando 20142050596773 del 25 de septiembre de 2014 para atender la contratación de servicios profesionales de la SGDU quedando un saldo de $135.874.398 para el mes de noviembre. Hubo una nueva reducción de este nuevo saldo de la siguiente manera: Para Insumos de Estudios de Factibilidad  IDU-MVA específicamente para continuar con el proceso de gestión predial de  la Av.Jose Celestino Mutis Tramo 114-122 se requirió el valor de $135.174.398 mediante el memorando 20143250633593 del 4 de noviembre de 2014 emitido por Predios y enviado a la STPC. Para atender un proceso de fallo judicial de la Calle 29 SUR Santa Inés (Gastos Periciales) se requirió el valor de $700.000 mediante el memorando 20143250629153 del 29 de octubre de 2014 emitido por Predios y enviado a la STPC. Con base en lo anterior, el saldo del presupuesto de la vigencia,  a la fecha, se encuentra en ceros.
</t>
  </si>
  <si>
    <t>PROGRAMACION INICIAL: 0
REPROGRAMACION MENSUAL: 0
EJECUCION MENSUAL:  0</t>
  </si>
  <si>
    <t>PROGRAMACION INICIAL: 1.004.133.849
REPROGRAMACION MENSUAL: 519.210.486
EJECUCION MENSUAL:  519.210.486</t>
  </si>
  <si>
    <t>PROGRAMACION INICIAL: 1.111.701.031
REPROGRAMACION MENSUAL: 449.052.266
EJECUCION MENSUAL:  394.506.558</t>
  </si>
  <si>
    <t>PROGRAMACION INICIAL: 0
REPROGRAMACION MENSUAL: 108.077.558
EJECUCION MENSUAL: 108.077.558</t>
  </si>
  <si>
    <t>La programación Inicial (PI) del PAC es de $0.00 y la Reprogramación del mes ( RM )fue de $471,189,585. La Ejecución del PAC  en este mes fue de $377,047,653. Por lo tanto no se presentó ejecución frente a la programación Inicial y  se presentó el 80% frente a la Reprogramación del mes.  Adicionalmente la información  SI se entregó dentro del plazo estipulado. Esto arroja 50 puntos en el Indicador de Gestión del PAC.</t>
  </si>
  <si>
    <t>PROGRAMACION INICIAL: 0
REPROGRAMACION MENSUAL: 466.415.043
EJECUCION MENSUAL: 393.051.649</t>
  </si>
  <si>
    <t>La programación Inicial (PI) del PAC es de $0.00 y la Reprogramación del mes ( RM )fue de $381.503.415. La Ejecución del PAC en este mes fue de $357.890.715. Por lo tanto se presentó una ejecución frente a la programación Inicial  del 0.00% y  se presentó el 94% frente a la Reprogramación del mes.  Adicionalmente la información  SI se entregó dentro del plazo estipulado. Esto arroja 65 puntos en el Indicador de Gestión del PAC.</t>
  </si>
  <si>
    <t>La programación Inicial (PI) del PAC es de $0,00 y la Reprogramación del mes ( RM ) fue de $174,914,429.  La Ejecución del PAC  en este mes fue de $0,00. Por lo tanto se ejecutó el 100% frente a la programación Inicial y el 0% frente a la Reprogramación del mes.  Adicionalmente la información  SI se entregó dentro del plazo estipulado.  Esto arroja 40 puntos en el Indicador de Gestión del PAC.</t>
  </si>
  <si>
    <t>La programación Inicial (PI) del PAC es de $0.00 y la Reprogramación del mes ( RM )fue de $1.127.623.960.  La Ejecución del PAC  en este mes fue de $949.572.515.  Por lo tanto se ejecutó el 0.00% frente a la programación Inicial y el 84% frente a la Reprogramación del mes. Adicionalmente la información SI se entregó dentro del plazo estipulado. Esto arroja 50 puntos en el Indicador de Gestión del PAC.</t>
  </si>
  <si>
    <t>La programación Inicial (PI) del PAC es de $0,00 y la Reprogramación del mes ( RM ) fue de $358,610,571.  La Ejecución del PAC  en este mes fue de $23,602,493. Por lo tanto se ejecutó el 0,00% frente a la programación Inicial y el 7,00% frente a la Reprogramación del mes. Adicionalmente la información  SI se entregó dentro del plazo estipulado. Esto arroja 5 puntos en el Indicador de Gestión del PAC.</t>
  </si>
  <si>
    <r>
      <t xml:space="preserve">La programación Inicial (PI) del PAC es de $0,00 y la Reprogramación del mes ( RM ) fue de $338,731,676.  La Ejecución del PAC  en este mes fue de $0,00. Por lo tanto se ejecutó el %100 frente a la programación Inicial y el 0% frente a la Reprogramación del mes. Adicionalmente la información  </t>
    </r>
    <r>
      <rPr>
        <b/>
        <sz val="20"/>
        <color indexed="8"/>
        <rFont val="Arial"/>
        <family val="2"/>
      </rPr>
      <t>SI</t>
    </r>
    <r>
      <rPr>
        <sz val="20"/>
        <color indexed="8"/>
        <rFont val="Arial"/>
        <family val="2"/>
      </rPr>
      <t xml:space="preserve"> se entregó dentro del plazo estipulado. Esto arroja  40 puntos en el Indicador de Gestión del PAC.</t>
    </r>
  </si>
  <si>
    <t xml:space="preserve">
Los datos del consolidado están pendientes por incluir en este reporte,
 solo enviaron los resultados de diciembre de 2014.
</t>
  </si>
  <si>
    <t>Seguimiento al registro de la informacion contractual</t>
  </si>
  <si>
    <t>No. de Solicitudes de Acompañamiento, asesoría y elaboración de tramites contractuales Cargados en el SIAG / Total de solicitudes de acompañamiento, asesoría y elaboración de tramites contractuales X 100</t>
  </si>
  <si>
    <t>Este indicador no se reporta para el mes de mayo de 2014</t>
  </si>
  <si>
    <t>Se encuentra el contrato IDU-1968-2013 en estado Por Iniciar sin embargo a la fecha se evidencia que se encuentra en ejecución 
Se encuentra un contrato anulado en estado legalización (No tiene código el contrato)
Finalmente En los contratos se evidencia la suspensión a través de acta publicada en los portales de contratación sin embargo no se carga la información en el SIAC de tal manera que se realice la trazabilidad de las actuaciones del contrato.(IDU-1661-2013, IDU-1627-2013 y IDU-1765-2013)</t>
  </si>
  <si>
    <t>Verificado el Sistema de Información y Acompañamiento Contractual SIAC se evidencia la desactualización de un (1) contrato a cargo de la Dirección Técnica de Proyectos el cual:
1) Esta en estado En ejecución pero la fecha de terminación en el SIAC es de Octubre de 2013</t>
  </si>
  <si>
    <t>Verificado el SIAC se evidencia la desactualización de  siete (7) contratos a cargo de la Dirección Técnica de Proyectos.</t>
  </si>
  <si>
    <t>Verificado el SIAC se evidencia la desactualización de  cinco (5) contratos a cargo de la Dirección Técnica de Proyectos.</t>
  </si>
  <si>
    <t>Firma Jefe de Area:</t>
  </si>
  <si>
    <t>____________________________________________________________________</t>
  </si>
  <si>
    <t>JUAN CARLOS TOVAR RINCON</t>
  </si>
  <si>
    <t xml:space="preserve"> Director Técnico de Proyectos </t>
  </si>
  <si>
    <t>DIRECCIÓN TÉCNICA DE PROCESOS SELECTIVOS</t>
  </si>
  <si>
    <t>T-DTPS-01</t>
  </si>
  <si>
    <t xml:space="preserve">A 31 de diciembre de 2014, adelantar el 100% de los procesos de selección de contratistas que se radiquen en la DTPS antes del 1 de diciembre. </t>
  </si>
  <si>
    <t>Procesos de selección contractual adelantados</t>
  </si>
  <si>
    <t>Medir el cumplimiento en el tramite de los procesos radicados en la DTPS</t>
  </si>
  <si>
    <t>Procesos tramitados / Procesos radicados   * 100</t>
  </si>
  <si>
    <t>Cuadro de seguimiento a los procesos tramitados en la vigencia</t>
  </si>
  <si>
    <t>DTPS</t>
  </si>
  <si>
    <t>Para el mes de enero no se recibieron procesos de selección de contratistas para dar tramite.</t>
  </si>
  <si>
    <t>Para este mes se recibieron 6 proceso de los cuales tres se adjudicaron, uno esta en evaluación, uno en prepliego y uno en espera de ajustes por parte del área técnica.</t>
  </si>
  <si>
    <t>En el mes de marzo se recobieron 31 procesos que se encuentran en el siguiente estado, tres adjudicados, uno desierto, uno revocado, uno en prepliego, uno en evaluación y 24 procesos en espera de ajustes por parte del área técnica</t>
  </si>
  <si>
    <t>En el mes de abril se recibieron 13 procesos que se encuentran en el siguiente estado,dos adjudicados, uno abierto, uno en prepliego y nueve en prepliego.</t>
  </si>
  <si>
    <t>En el mes de mayo se recibieron 20 procesos que se encuentran en el siguiente estado: uno devuleto, uno abierto,  diez en espera de ajustes por parte del área técnica,cinco en revisión de antecedentes,dos en revisión de ajustes y uno en evaluación.</t>
  </si>
  <si>
    <t>En el mes de junio se recibieron 17 procesos que se encuentran en el siguiente estado: dos adjudicados, seis en proyecto de pliego, uno programado para abrir en definitivo y ocho en espera de ajustes por parte del área técnica</t>
  </si>
  <si>
    <t>En el mes de julio se recibieron y se tramitaron  siete (7) procesos de selección para un cumplimiento del 100%</t>
  </si>
  <si>
    <t>En el mes de agosto se recibieron y se tramitaron diecinueve (19) procesos de selección para un cumplimiento del 100%</t>
  </si>
  <si>
    <t>En el mes de septiembre se recibieron y se tramitaron  veinticuatro (24) procesos de selección para un cumplimiento del 100%</t>
  </si>
  <si>
    <t>En el mes de octubre se recibieron y se tramitaron  diesieis (16) procesos de selección para un cumplimiento del 100%</t>
  </si>
  <si>
    <t>En el mes de octubre se recibieron y se tramitaron  ocho (08) procesos de selección para un cumplimiento del 100%</t>
  </si>
  <si>
    <t>En el mes de diciembre se recibieron y se tramitaron siete (7) procesos de selección para un cumplimiento del 100%</t>
  </si>
  <si>
    <t>Para la vigencia 2014 se recibieron y tramitaron 168 procesos de selección, loc uales fueron tramitados en sun  totatlidad y nos deja como resultado un cumplimiento del 100%</t>
  </si>
  <si>
    <t>T-DTPS-02</t>
  </si>
  <si>
    <t>Elaborar el proyecto de pliego dentro de los  4 días después de la recepción de los ajustes y/o correcciones por parte del área técnica.</t>
  </si>
  <si>
    <t>Tiempo para elaboración del proyecto de pliego</t>
  </si>
  <si>
    <t>Medir la oportunidad en la elaboración del proyecto pliego de condiciones</t>
  </si>
  <si>
    <t>Cantidad de procesos que cumplieron con el plazo para de elaboración de prepliego/ total de procesos en prepliego en la vigencia evaluada</t>
  </si>
  <si>
    <t>Cuadro de seguimiento a los procesos tramitados en la vigencia y SECOP</t>
  </si>
  <si>
    <t>Cantidad</t>
  </si>
  <si>
    <t>No se recibieron procesos en el mes de enero</t>
  </si>
  <si>
    <t>Los tres procesos públicados en prepliego cumplieron con el plazo establecido, se publicarón dentro de los 4 días siguientes al recibo de los ajustes. Tiempo promedio 2 días hábiles</t>
  </si>
  <si>
    <t>Los siete proceso que se publicaron en prepliego en el mes de marzo, se tomaron un tiempo promedio de 2.7 días. Seis procesos se publicaron en menos de cuatro días y uno de ellos se público en el día 5°</t>
  </si>
  <si>
    <t>Los cinco proceso que se públicaron en abril, se tomaron un tiempo promedio de 2 días. Es decir que se cumplio mucho antes de lo establecido
Los cinco procesos se publicaron en proyecto de pliego dentro de los cuatro días programados.</t>
  </si>
  <si>
    <t>Los dieciseis proceso que se públicaron en mayo, se tomaron un tiempo promedio de 3 días. Es decir que se cumplio mucho antes de lo establecido
Los dieciseis procesos se publicaron en proyecto de pliego dentro de los cuatro días programados.</t>
  </si>
  <si>
    <t>De los 21 procesos públicados en prepliego en el mes de junio, 15 se hicieron en maximo cuatro días habiles, con un promedio de días de  3.4 y nos da como resultado ena eficacia del 71%</t>
  </si>
  <si>
    <t>De los 11 procesos públicados en prepliego en el mes de julio, 9 se tramitaron en maximo cuatro días habiles, con un promedio de  de  2.9 días y nos da como resultado ena eficacia del 82%</t>
  </si>
  <si>
    <t>De los 8 procesos públicados en prepliego en el mes de agosto, 6 se tramitaron en maximo cuatro días habiles, dando como resultado el 75% , lo anterior debido al aumento en la cantidad de procesos que se estan recibiendo para estructuración.</t>
  </si>
  <si>
    <t>De los  6 procesos publicados en prepliego en el mes de septiembre, 5 se tramitaron en máximo cuatro días habiles, dando como resultado el 83%, lo anterior debido al aumento en la cantidad de procesos que se están recibiendo para estructuración.</t>
  </si>
  <si>
    <t>De los 31 procesos publicados en prepliego en el mes de octubre,25 se tramitaron en máximo cuatro días habiles, dando como resultado el 81%, lo anterior debido al aumento en la cantidad de procesos que se están recibiendo para estructuración.</t>
  </si>
  <si>
    <t>De los 27 procesos publicados en prepliego en el mes de noviembre, 25 se tramitaron en máximo cuatro días habiles, dando como resultado el 93%.</t>
  </si>
  <si>
    <t>De los 4 procesos publicados en prepliego en el mes de diciembre, 4 se tramitaron en máximo cuatro días habiles, dando como resultado el 100%.</t>
  </si>
  <si>
    <t>Teniendo en cuenta el plazo para la elaboración del prepliego de condiciones, la DTPS logró el 81% de cumplimiento debido a que de los 139 procesos de selección que debieron publicarse en prepliego en maximo 4 días depues de recibidos los ajustes por parte de las áres atécnicas, se lograron elaborar y publicar 119 procesos.</t>
  </si>
  <si>
    <t>T-DTPS-03</t>
  </si>
  <si>
    <t>Entregar los procesos adjudicados con sus respectivos soportes  dentro de los 3 días siguientes a la audiencia de adjudicación.</t>
  </si>
  <si>
    <t>Procesos adjudicados entregados a tiempo</t>
  </si>
  <si>
    <t>Medir la oportunidad en la entrega de procesos adjudicados a la DTGC para la elaboración de las minutas</t>
  </si>
  <si>
    <t>Cantidad de procesos que cumplieron con el plazo de radicación en DTGC / total de procesos adjudicados en la vigencia evaluada</t>
  </si>
  <si>
    <t>SECOP, ORFEO y cuadro de seguimiento a los procesos tramitados en la vigencia</t>
  </si>
  <si>
    <t>Para el mes de enero no se adjudicaron procesos.</t>
  </si>
  <si>
    <t>Los procesos remitidos a la DTGC para elaboración del contrato dentro de los plazos establecidos fueron: IDU-MC10%-SGGC-001-2014 , el proceso IDU-MC10%-SGGC-002-2014 y IDU-MC10%-DTAF-003-2014</t>
  </si>
  <si>
    <t>Se adjudico un proceso y se solicitó la elaboracoión del contrato dentro del tiempo establecido, el proceso fue IDU-MC10%-SGGC-004-2014 se remitió a DTGC con memo 20144150067263</t>
  </si>
  <si>
    <t xml:space="preserve">Para el mes de marzo se adjudicaron 2 procesos y se envió a la DTGC las solicitudes de elaboración de los contratos dentro de los tiempo establecidos.
</t>
  </si>
  <si>
    <t>En el mes de mayo se adjudicaron 6 procesos y se enviaron a la DTGC en un termino menor a 3 días hábiles.</t>
  </si>
  <si>
    <t>En el mes de Junio se adjudicaron 5 procesos y se enviaron a la DTGC en un termino menor a 3 días hábiles.</t>
  </si>
  <si>
    <t>En el mes de Julio se adjudicaron 15 procesos y se enviaron a la DTGC en un termino máximo a 3 días hábiles.</t>
  </si>
  <si>
    <t>En el mes de agosto se adjudicaron 14 procesos y 13 se enviaron a la DTGC en un termino máximo a 3 días hábiles.</t>
  </si>
  <si>
    <t>En el mes de septiembre se adjudicaron 26 procesos y todos se enviaron a la DTGC en un termino máximo a 3 días hábiles.</t>
  </si>
  <si>
    <t>En el mes de octubre se adjudicaron 17 procesos de los cuales 15 se enviaron  a la DTGC en un tiempo menor a 3 días hábiles.</t>
  </si>
  <si>
    <t>En el mes de noviembre se adjudicaron 9 procesos de los cuales 7 se enviaron  a la DTGC en un tiempo menor a 3 días hábiles.</t>
  </si>
  <si>
    <t>En el mes de diciembre se adjudicaron 35 procesos de los cuales 30 se enviaron  a la DTGC en un tiempo menor a 3 días hábiles.</t>
  </si>
  <si>
    <t>De los 133 procesos adjudicados que debieron enviarse a la DTGC en un plazo maximo de 3 días, se cumplió con el envio de 124, quedando como porcentaje de cumpliento del 96</t>
  </si>
  <si>
    <t>NO APLICA EVALUACIÓN DEL INDICADORPARA ESTE MES</t>
  </si>
  <si>
    <t>De los 4 trámites planificados en el primer cuatrimestre se realizaron 3, quedó pendiente el trámite de derogación de un documento, el cual se encuentra en proceso.</t>
  </si>
  <si>
    <t>De los 9 documentos programados para el segundo seguimiento se públicaron 6 y 3 estan en proceso.</t>
  </si>
  <si>
    <t>NO APLICA EL INDICADOR PLANES DE MEJORAMIENTO EN ESTE PERIODO</t>
  </si>
  <si>
    <t>NO APLICA MEDICIÓN PARA ESTE MES</t>
  </si>
  <si>
    <t>Para el primer semestre se tenian cuatro acciones, que fue la creación del formato de matriz de riesgos y su socialización, y la actualización del manual de gestión contractual y su públicación. Las cuatro se cumplieron dentro del tiempo establecido</t>
  </si>
  <si>
    <t>No aplica</t>
  </si>
  <si>
    <t>NO APLICA EVALUACIÓN EN EL PERIODO, DADO QUE NO TIENE COMPROMISOS A CUMPLIR CON CORTE AL 30 DE OCTUBRE DE 2014</t>
  </si>
  <si>
    <t>NO APLICA EVALUACIÓN EN EL PERIODO, DADO QUE NO TIENE COMPROMISOS A CUMPLIR CON CORTE AL 30 DE NOVIEMBRE DE 2014</t>
  </si>
  <si>
    <t xml:space="preserve">NO APLICA EVALUACIÓN EN EL PERIODO, </t>
  </si>
  <si>
    <t>CUMPLIÓ CON LA ACCIÓN DEL HALLAZGO 2.4.1</t>
  </si>
  <si>
    <t>Para la vigencia 2014, la DTPS no contó con hallazgos por parte de las Contralorías.</t>
  </si>
  <si>
    <t>NO APLICA PARA ESTE PERIODO</t>
  </si>
  <si>
    <t xml:space="preserve">Se da cumplimiento con el indicador verificado el Sistema de Información y Acompañamiento Contractual SIAC y las bases de datos de seguimiento de la DTGC
</t>
  </si>
  <si>
    <t>Se evidencia la actualización de los estados en el Sistema de Información y Acompañamiento Contractual SIAC y su constante actualización.</t>
  </si>
  <si>
    <t xml:space="preserve">El estado de los contratos de la Dirección Técnica de Procesos Selectivos se encuentranactualizados en su totalidad. </t>
  </si>
  <si>
    <t>ANDREA JOHANNA ALVAREZ TIBADUIZA</t>
  </si>
  <si>
    <t>Directora Técnica de Procesos Selectivos (E.)</t>
  </si>
  <si>
    <t>FORMATO
CARACTERIZACIÓN DE INDICADORES DE GESTIÓN</t>
  </si>
  <si>
    <t>CÓDIGO   
FO-PE-01</t>
  </si>
  <si>
    <t>PROCESO
PLANEACIÓN ESTRATÉGICA</t>
  </si>
  <si>
    <t>VERSIÓN
3.0</t>
  </si>
  <si>
    <t>OFICINA ASESORA DE COMUNICACIONES</t>
  </si>
  <si>
    <t>Fortalecer la comunicación de la entidad con los ciudadanos</t>
  </si>
  <si>
    <t>Realizar el 100% de las piezas y actividades de prensa que la OAC realiza para divulgar la gestión de la entidad</t>
  </si>
  <si>
    <t>Divulgación por oferta de información sobre la gestión de la entidad</t>
  </si>
  <si>
    <t>A 31 de diciembre cumplir con el 100% de la producción de piezas y actividades de prensa que la OAC realiza para divulgar la gestión de la entidad</t>
  </si>
  <si>
    <t>No. de piezas y actividades de prensa realizadas/No. de piezas y actividades de prensa proyectadas*100</t>
  </si>
  <si>
    <t>Registro de piezas</t>
  </si>
  <si>
    <t>TOTAL DE ACTIVIDADES PROYECTADAS: 21792
COMUNICADOS DE PRENSA:2
RESPUESTAS A SOLICITUDES PERIODISTAS:23
ENTREVISTAS:37
RUEDAS DE PRENSA:3
RECORRIDOS DE OBRA CON PERIODISTAS:0
REGISTRO DE MEDIOS:166
REGISTRO FOTOGRÁFICO:750
REGISTRO VIDEOGRÁFICO:4</t>
  </si>
  <si>
    <t>TOTAL DE ACTIVIDADES PROYECTADAS: 21792
COMUNICADOS DE PRENSA:8
RESPUESTAS A SOLICITUDES PERIODISTAS:6
ENTREVISTAS:57
RUEDAS DE PRENSA:2
RECORRIDOS DE OBRA CON PERIODISTAS:1
REGISTRO DE MEDIOS:251
REGISTRO FOTOGRÁFICO:1628
REGISTRO VIDEOGRÁFICO:11</t>
  </si>
  <si>
    <t>TOTAL DE ACTIVIDADES PROYECTADAS: 21792
COMUNICADOS DE PRENSA:9
RESPUESTAS A SOLICITUDES PERIODISTAS:9
ENTREVISTAS:30
RUEDAS DE PRENSA:1
RECORRIDOS DE OBRA CON PERIODISTAS:0
REGISTRO DE MEDIOS:248
REGISTRO FOTOGRÁFICO:931
REGISTRO VIDEOGRÁFICO:13</t>
  </si>
  <si>
    <t>TOTAL DE ACTIVIDADES PROYECTADAS: 21792
COMUNICADOS DE PRENSA:13
RESPUESTAS A SOLICITUDES PERIODISTAS:10
ENTREVISTAS:26
RUEDAS DE PRENSA:2
RECORRIDOS DE OBRA CON PERIODISTAS:1
REGISTRO DE MEDIOS:179
REGISTRO FOTOGRÁFICO:1986
REGISTRO VIDEOGRÁFICO:12</t>
  </si>
  <si>
    <t>TOTAL DE ACTIVIDADES PROYECTADAS: 21792
COMUNICADOS DE PRENSA:10
RESPUESTAS A SOLICITUDES PERIODISTAS:22
ENTREVISTAS:33
RUEDAS DE PRENSA:1
RECORRIDOS DE OBRA CON PERIODISTAS:1
REGISTRO DE MEDIOS:318
REGISTRO FOTOGRÁFICO:920
REGISTRO VIDEOGRÁFICO:21</t>
  </si>
  <si>
    <t>TOTAL DE ACTIVIDADES PROYECTADAS: 21792
COMUNICADOS DE PRENSA: 9
RESPUESTAS A SOLICITUDES PERIODISTAS:10
ENTREVISTAS:25
RUEDAS DE PRENSA:2
RECORRIDOS DE OBRA CON PERIODISTAS:1
REGISTRO DE MEDIOS:116
REGISTRO FOTOGRÁFICO:750
REGISTRO VIDEOGRÁFICO:11</t>
  </si>
  <si>
    <t>TOTAL DE ACTIVIDADES PROYECTADAS: 21792
COMUNICADOS DE PRENSA: 13
RESPUESTAS A SOLICITUDES PERIODISTAS:30
ENTREVISTAS:76
RUEDAS DE PRENSA:3
RECORRIDOS DE OBRA CON PERIODISTAS:2
REGISTRO DE MEDIOS:168
REGISTRO FOTOGRÁFICO:1300
REGISTRO VIDEOGRÁFICO:12</t>
  </si>
  <si>
    <t>TOTAL DE ACTIVIDADES PROYECTADAS: 21792
COMUNICADOS DE PRENSA: 16
RESPUESTAS A SOLICITUDES PERIODISTAS:22
ENTREVISTAS:93
RUEDAS DE PRENSA:6
RECORRIDOS DE OBRA CON PERIODISTAS:1
REGISTRO DE MEDIOS:274
REGISTRO FOTOGRÁFICO:1500
REGISTRO VIDEOGRÁFICO:4</t>
  </si>
  <si>
    <t>TOTAL DE ACTIVIDADES PROYECTADAS: 21792
COMUNICADOS DE PRENSA: 23
RESPUESTAS A SOLICITUDES PERIODISTAS:17
ENTREVISTAS:26
RUEDAS DE PRENSA:1
RECORRIDOS DE OBRA CON PERIODISTAS:2
REGISTRO DE MEDIOS:300
REGISTRO FOTOGRÁFICO:1500
REGISTRO VIDEOGRÁFICO:0</t>
  </si>
  <si>
    <t>TOTAL DE ACTIVIDADES PROYECTADAS: 21792
COMUNICADOS DE PRENSA: 13
RESPUESTAS A SOLICITUDES PERIODISTAS:9
ENTREVISTAS:51
RUEDAS DE PRENSA:2
RECORRIDOS DE OBRA CON PERIODISTAS:2
REGISTRO DE MEDIOS:2269
REGISTRO FOTOGRÁFICO:1500
REGISTRO VIDEOGRÁFICO:2</t>
  </si>
  <si>
    <t>TOTAL DE ACTIVIDADES PROYECTADAS: 21792  
COMUNICADOS DE PRENSA: 11
RESPUESTAS A SOLICITUDES PERIODISTAS:15
ENTREVISTAS:36
RUEDAS DE PRENSA:1
RECORRIDOS DE OBRA CON PERIODISTAS:1
REGISTRO DE MEDIOS:330
REGISTRO FOTOGRÁFICO:1500
REGISTRO VIDEOGRÁFICO: 4</t>
  </si>
  <si>
    <t>TOTAL DE ACTIVIDADES PROYECTADAS: 21792  
COMUNICADOS DE PRENSA: 19
RESPUESTAS A SOLICITUDES PERIODISTAS:15
ENTREVISTAS:37
RUEDAS DE PRENSA:3
RECORRIDOS DE OBRA CON PERIODISTAS:0
REGISTRO DE MEDIOS:310
REGISTRO FOTOGRÁFICO:1500
REGISTRO VIDEOGRÁFICO: 4</t>
  </si>
  <si>
    <t>La meta no alcanzó un 100% de ejecución, por una diferencia del 0.4%, ya que no fue considerado el cambio del comportamiento  del instituto en el mes de diciembre,</t>
  </si>
  <si>
    <t>Realizar el 100% de las piezas de comunicación externas que la OAC realiza para divulgar la gestión de la entidad</t>
  </si>
  <si>
    <t>Divulgación de la gestión de la entidad a través de piezas de comunicación externas</t>
  </si>
  <si>
    <t>A 31 de diciembre cumplir con el 100% de producción de  piezas de comunicación externas que la OAC realiza para divulgar la gestión de la entidad</t>
  </si>
  <si>
    <t>N° de piezas externas desarrolladas/N° de piezas externas proyectadas*100</t>
  </si>
  <si>
    <t>TOTAL ACTIVIDADES PROYECTADAS:   1164              MATERIAL DE DIVULGACION EN OBRA:13
PIEZAS DE DIVULGACION Y COMUNICACIÓN (cartillas, afiches, postales,
volantes, ilustraciones, presentaciones, etc.) Externa:9
VIDEOS EXTERNOS:0
ACTUALIZACIONES PÁGINA WEB:23
REVISION INFORMACIONES A LA COMUNIDAD:5
 DIBUJOS E ILUSTRACIONES:5
PIEZAS PROYECTO METRO:0
CAMPAÑAS:1</t>
  </si>
  <si>
    <t>TOTAL ACTIVIDADES PROYECTADAS:   1164              MATERIAL DE DIVULGACION EN OBRA:15
PIEZAS DE DIVULGACION Y COMUNICACIÓN (cartillas, afiches, postales,
volantes, ilustraciones, presentaciones, etc.) Externa:11
VIDEOS EXTERNOS:2
ACTUALIZACIONES PÁGINA WEB:39
REVISION INFORMACIONES A LA COMUNIDAD:5
 DIBUJOS E ILUSTRACIONES:14
PIEZAS PROYECTO METRO:19
CAMPAÑAS:1</t>
  </si>
  <si>
    <t>TOTAL ACTIVIDADES PROYECTADAS:   1164              MATERIAL DE DIVULGACION EN OBRA:25
PIEZAS DE DIVULGACION Y COMUNICACIÓN (cartillas, afiches, postales,
volantes, ilustraciones, presentaciones, etc.) Externa:7
VIDEOS EXTERNOS:2
ACTUALIZACIONES PÁGINA WEB:19
REVISION INFORMACIONES A LA COMUNIDAD:5
 DIBUJOS E ILUSTRACIONES:11
PIEZAS PROYECTO METRO:18
CAMPAÑAS:2</t>
  </si>
  <si>
    <t>TOTAL ACTIVIDADES PROYECTADAS:   1164              MATERIAL DE DIVULGACION EN OBRA:43
PIEZAS DE DIVULGACION Y COMUNICACIÓN (cartillas, afiches, postales,
volantes, ilustraciones, presentaciones, etc.) Externa:0
VIDEOS EXTERNOS:4
ACTUALIZACIONES PÁGINA WEB:75
REVISION INFORMACIONES A LA COMUNIDAD:5
 DIBUJOS E ILUSTRACIONES:13
PIEZAS PROYECTO METRO:18
CAMPAÑAS:1</t>
  </si>
  <si>
    <t>TOTAL ACTIVIDADES PROYECTADAS:   1164                                                                                                                            MATERIAL DE DIVULGACION EN OBRA:57
PIEZAS DE DIVULGACION Y COMUNICACIÓN (cartillas, afiches, postales,
volantes, ilustraciones, presentaciones, etc.) Externa:7
VIDEOS EXTERNOS:2
ACTUALIZACIONES PÁGINA WEB:64
REVISION INFORMACIONES A LA COMUNIDAD:5
 DIBUJOS E ILUSTRACIONES:6
PIEZAS PROYECTO METRO:22
CAMPAÑAS:1</t>
  </si>
  <si>
    <t>TOTAL ACTIVIDADES PROYECTADAS:   1164                                                                                                                        MATERIAL DE DIVULGACION EN OBRA:77
PIEZAS DE DIVULGACION Y COMUNICACIÓN (cartillas, afiches, postales,
volantes, ilustraciones, presentaciones, etc.) Externa:8
VIDEOS EXTERNOS:2
ACTUALIZACIONES PÁGINA WEB:56
REVISION INFORMACIONES A LA COMUNIDAD:6
 DIBUJOS E ILUSTRACIONES:7
PIEZAS PROYECTO METRO:22
CAMPAÑAS:1</t>
  </si>
  <si>
    <t>TOTAL ACTIVIDADES PROYECTADAS:   1164                                                                                                                        MATERIAL DE DIVULGACION EN OBRA:70
PIEZAS DE DIVULGACION Y COMUNICACIÓN (cartillas, afiches, postales,
volantes, ilustraciones, presentaciones, etc.) Externa:20
VIDEOS EXTERNOS:4
ACTUALIZACIONES PÁGINA WEB:87
REVISION INFORMACIONES A LA COMUNIDAD:8
 DIBUJOS E ILUSTRACIONES:13
PIEZAS PROYECTO METRO:20
CAMPAÑAS:1</t>
  </si>
  <si>
    <t>TOTAL ACTIVIDADES PROYECTADAS:   1164                                                                                                                        MATERIAL DE DIVULGACION EN OBRA:85
PIEZAS DE DIVULGACION Y COMUNICACIÓN (cartillas, afiches, postales,
volantes, ilustraciones, presentaciones, etc.) Externa:13
VIDEOS EXTERNOS:2
ACTUALIZACIONES PÁGINA WEB:80
REVISION INFORMACIONES A LA COMUNIDAD:6
 DIBUJOS E ILUSTRACIONES:8
PIEZAS PROYECTO METRO:13
CAMPAÑAS:1</t>
  </si>
  <si>
    <t>TOTAL ACTIVIDADES PROYECTADAS:   1164                                                                                                                        MATERIAL DE DIVULGACION EN OBRA:87
PIEZAS DE DIVULGACION Y COMUNICACIÓN (cartillas, afiches, postales,
volantes, ilustraciones, presentaciones, etc.) Externa:3
VIDEOS EXTERNOS:4
ACTUALIZACIONES PÁGINA WEB:77
REVISION INFORMACIONES A LA COMUNIDAD:5
 DIBUJOS E ILUSTRACIONES:17
PIEZAS PROYECTO METRO:14
CAMPAÑAS:2</t>
  </si>
  <si>
    <t>TOTAL ACTIVIDADES PROYECTADAS:   1164                                                                                                                        MATERIAL DE DIVULGACION EN OBRA:75
PIEZAS DE DIVULGACION Y COMUNICACIÓN (cartillas, afiches, postales,
volantes, ilustraciones, presentaciones, etc.) Externa:4
VIDEOS EXTERNOS:6
ACTUALIZACIONES PÁGINA WEB:81
REVISION INFORMACIONES A LA COMUNIDAD:5
 DIBUJOS E ILUSTRACIONES:10
PIEZAS PROYECTO METRO:15
CAMPAÑAS:1</t>
  </si>
  <si>
    <t>TOTAL ACTIVIDADES PROYECTADAS:   1164                                                                                                                        MATERIAL DE DIVULGACION EN OBRA:85
PIEZAS DE DIVULGACION Y COMUNICACIÓN (cartillas, afiches, postales,
volantes, ilustraciones, presentaciones, etc.) Externa:8
VIDEOS EXTERNOS:2
ACTUALIZACIONES PÁGINA WEB:105
REVISION INFORMACIONES A LA COMUNIDAD:5
 DIBUJOS E ILUSTRACIONES:6
PIEZAS PROYECTO METRO:9
CAMPAÑAS:1</t>
  </si>
  <si>
    <t>TOTAL ACTIVIDADES PROYECTADAS:   1164                                                                                                                        MATERIAL DE DIVULGACION EN OBRA:85
PIEZAS DE DIVULGACION Y COMUNICACIÓN (cartillas, afiches, postales,
volantes, ilustraciones, presentaciones, etc.) Externa:16
VIDEOS EXTERNOS:4
ACTUALIZACIONES PÁGINA WEB:52
REVISION INFORMACIONES A LA COMUNIDAD:5
 DIBUJOS E ILUSTRACIONES:9
PIEZAS PROYECTO METRO:5
CAMPAÑAS:1</t>
  </si>
  <si>
    <t>Meta cumplida</t>
  </si>
  <si>
    <t>Conseguir el  100% en el incremento de seguidores en la as redes sociales de la entidad (Twitter y Facebook)</t>
  </si>
  <si>
    <t>Redes sociales</t>
  </si>
  <si>
    <t>A 31 de diciembre cumplir con el 100% de crecimiento de seguidores en la redes sociales de la entidad (Twitter y Facebook)</t>
  </si>
  <si>
    <t>N de seguidores de twitter-facebook/ N  de seguidores de twitter-facebook proyectados * 100</t>
  </si>
  <si>
    <t>Registo estadístico de twitter y facebook</t>
  </si>
  <si>
    <t>TOTAL SEGUIMIENTO SEGUIDORES TWITTER:998
TOTAL SEGUIMIENTO SEGUIDORES FACEBOOK:48
NUMERO DE PIEZAS PUBLICADAS EN REDES SOCIALES:7
NUMERO DE TRINOS EMITIDOS POR TWITTER:616</t>
  </si>
  <si>
    <t>TOTAL SEGUIMIENTO SEGUIDORES TWITTER:1090
TOTAL SEGUIMIENTO SEGUIDORES FACEBOOK:68
NUMERO DE PIEZAS PUBLICADAS EN REDES SOCIALES:14
NUMERO DE TRINOS EMITIDOS POR TWITTER:693</t>
  </si>
  <si>
    <t>TOTAL SEGUIMIENTO SEGUIDORES TWITTER:1187
TOTAL SEGUIMIENTO SEGUIDORES FACEBOOK:73
NUMERO DE PIEZAS PUBLICADAS EN REDES SOCIALES:9
NUMERO DE TRINOS EMITIDOS POR TWITTER:812</t>
  </si>
  <si>
    <t>TOTAL SEGUIMIENTO SEGUIDORES TWITTER:1037
L SEGUIMIENTO SEGUIDORES FACEBOOK:74
MERO DE PIEZAS PUBLICADAS EN REDES SOCIALES:13
MERO DE TRINOS EMITIDOS POR TWITTER:1000</t>
  </si>
  <si>
    <t>TOTAL SEGUIMIENTO SEGUIDORES TWITTER: 981
L SEGUIMIENTO SEGUIDORES FACEBOOK:89
MERO DE PIEZAS PUBLICADAS EN REDES SOCIALES:11
MERO DE TRINOS EMITIDOS POR TWITTER:829</t>
  </si>
  <si>
    <t>TOTAL SEGUIMIENTO SEGUIDORES TWITTER: 797
TOTAL SEGUIMIENTO SEGUIDORES FACEBOOK: 66
NÚMERO DE PIEZAS PUBLICADAS EN REDES SOCIALES:11
NÚMERO DE TRINOS EMITIDOS POR TWITTER:672</t>
  </si>
  <si>
    <t>TOTAL SEGUIMIENTO SEGUIDORES TWITTER: 955
TOTAL SEGUIMIENTO SEGUIDORES FACEBOOK: 96
NÚMERO DE PIEZAS PUBLICADAS EN REDES SOCIALES:15
NÚMERO DE TRINOS EMITIDOS POR TWITTER:841</t>
  </si>
  <si>
    <t>TOTAL SEGUIMIENTO SEGUIDORES TWITTER: 1061
TOTAL SEGUIMIENTO SEGUIDORES FACEBOOK: 96
NÚMERO DE PIEZAS PUBLICADAS EN REDES SOCIALES:14
NÚMERO DE TRINOS EMITIDOS POR TWITTER:756</t>
  </si>
  <si>
    <t>TOTAL SEGUIMIENTO SEGUIDORES TWITTER: 1170
TOTAL SEGUIMIENTO SEGUIDORES FACEBOOK: 71
NÚMERO DE PIEZAS PUBLICADAS EN REDES SOCIALES:16
NÚMERO DE TRINOS EMITIDOS POR TWITTER:863</t>
  </si>
  <si>
    <t>TOTAL SEGUIMIENTO SEGUIDORES TWITTER: 1796
TOTAL SEGUIMIENTO SEGUIDORES FACEBOOK: 132
NÚMERO DE PIEZAS PUBLICADAS EN REDES SOCIALES:15
NÚMERO DE TRINOS EMITIDOS POR TWITTER:1133</t>
  </si>
  <si>
    <t>TOTAL SEGUIMIENTO SEGUIDORES TWITTER: 1085
TOTAL SEGUIMIENTO SEGUIDORES FACEBOOK: 99
NÚMERO DE PIEZAS PUBLICADAS EN REDES SOCIALES:14
NÚMERO DE TRINOS EMITIDOS POR TWITTER:754</t>
  </si>
  <si>
    <t>TOTAL SEGUIMIENTO SEGUIDORES TWITTER: 1359
TOTAL SEGUIMIENTO SEGUIDORES FACEBOOK: 128
NÚMERO DE PIEZAS PUBLICADAS EN REDES SOCIALES:13
NÚMERO DE TRINOS EMITIDOS POR TWITTER:849</t>
  </si>
  <si>
    <t>Mejorar y fortalecer la percepción favorable del 80% en la efectividad de los canales de comunicación interna definido en el plan de comunicación</t>
  </si>
  <si>
    <t>Realizar el 100% de las piezas de comunicación que la OAC realiza para divulgar la gestión de la entidad y las campañas y actividades internas</t>
  </si>
  <si>
    <t>Divulgación de la gestión de la entidad, las campañas y actividades internas a través de piezas de comunicación</t>
  </si>
  <si>
    <t>A 31 de diciembre cumplir con el 100% de producción de  piezas de comunicación que la OAC realiza para divulgar la gestión de la entidad y las campañas y actividades internas</t>
  </si>
  <si>
    <t>N° de piezas internas desarrolladas/N° de piezas internas*100</t>
  </si>
  <si>
    <t>CARTELERA NOTICIAS:4
RTELERA GENTE IDU:4
IEZAS DE DIVULGACION Y COMUNICACIÓN (cartillas, afiches, postales,
volantes, ilustraciones, presentaicones, etc.) Interna:26
DEOS INTERNOS:0
CTUALIZACIONES INTRANET:11
MUNICACIONES INTERNAS ( MAILING):32
ASH IDU:2
LASH INICIO:8
ECORRIDOS:2</t>
  </si>
  <si>
    <t>CARTELERA NOTICIAS:4
CARTELERA GENTE IDU:4
PIEZAS DE DIVULGACION Y COMUNICACIÓN (cartillas, afiches, postales, volantes,
ilustraciones, presentaciones, etc.) Interna:44
VIDEOS INTERNOS:3
ACTUALIZACIONES INTRANET:12
COMUNICACIONES INTERNAS ( MAILING):4
FLASH IDU:4
FLASH INICIO:8
RECORRIDOS:4</t>
  </si>
  <si>
    <t>CARTELERA NOTICIAS:4
CARTELERA GENTE IDU:4
PIEZAS DE DIVULGACION Y COMUNICACIÓN (cartillas, afiches, postales, volantes,
ilustraciones, presentaciones, etc.) Interna:33
VIDEOS INTERNOS:4
ACTUALIZACIONES INTRANET:10
COMUNICACIONES INTERNAS ( MAILING):73
FLASH IDU:4
FLASH INICIO:9
RECORRIDOS:4</t>
  </si>
  <si>
    <t>CARTELERA NOTICIAS:4
CARTELERA GENTE IDU:4
PIEZAS DE DIVULGACION Y COMUNICACIÓN (cartillas, afiches, postales, volantes,
ilustraciones, presentaciones, etc.) Interna:20
VIDEOS INTERNOS:3
ACTUALIZACIONES INTRANET:22
COMUNICACIONES INTERNAS ( MAILING):54
FLASH IDU:4
FLASH INICIO:7
RECORRIDOS:4</t>
  </si>
  <si>
    <t>CARTELERA NOTICIAS:4
CARTELERA GENTE IDU:4
PIEZAS DE DIVULGACION Y COMUNICACIÓN (cartillas, afiches, postales, volantes,
ilustraciones, presentaciones, etc.) Interna:48
VIDEOS INTERNOS:6
ACTUALIZACIONES INTRANET:15
COMUNICACIONES INTERNAS ( MAILING):79
FLASH IDU:4
FLASH INICIO:11
RECORRIDOS:4</t>
  </si>
  <si>
    <t>CARTELERA NOTICIAS:4
CARTELERA GENTE IDU:4
PIEZAS DE DIVULGACION Y COMUNICACIÓN (cartillas, afiches, postales, volantes,
ilustraciones, presentaciones, etc.) Interna:35
VIDEOS INTERNOS:3
ACTUALIZACIONES INTRANET:22
COMUNICACIONES INTERNAS ( MAILING):55
FLASH IDU:4
FLASH INICIO:14
RECORRIDOS:4</t>
  </si>
  <si>
    <t>CARTELERA NOTICIAS:4
CARTELERA GENTE IDU:4
PIEZAS DE DIVULGACION Y COMUNICACIÓN (cartillas, afiches, postales, volantes,
ilustraciones, presentaciones, etc.) Interna:38
VIDEOS INTERNOS:3
ACTUALIZACIONES INTRANET:42
COMUNICACIONES INTERNAS ( MAILING):60
FLASH IDU:4
FLASH INICIO:6
RECORRIDOS:6</t>
  </si>
  <si>
    <t>CARTELERA NOTICIAS:4
CARTELERA GENTE IDU:4
PIEZAS DE DIVULGACION Y COMUNICACIÓN (cartillas, afiches, postales, volantes,
ilustraciones, presentaciones, etc.) Interna:26
VIDEOS INTERNOS:2
ACTUALIZACIONES INTRANET:35
COMUNICACIONES INTERNAS ( MAILING):50
FLASH IDU:2
FLASH INICIO:5
RECORRIDOS:4</t>
  </si>
  <si>
    <t>CARTELERA NOTICIAS:4
CARTELERA GENTE IDU:4
PIEZAS DE DIVULGACION Y COMUNICACIÓN (cartillas, afiches, postales, volantes,
ilustraciones, presentaciones, etc.) Interna:40
VIDEOS INTERNOS:1
ACTUALIZACIONES INTRANET:34
COMUNICACIONES INTERNAS ( MAILING):33
FLASH IDU:4
FLASH INICIO:2
RECORRIDOS:4</t>
  </si>
  <si>
    <t>CARTELERA NOTICIAS:4
CARTELERA GENTE IDU:4
PIEZAS DE DIVULGACION Y COMUNICACIÓN (cartillas, afiches, postales, volantes,
ilustraciones, presentaciones, etc.) Interna:61
VIDEOS INTERNOS:2
ACTUALIZACIONES INTRANET:31
COMUNICACIONES INTERNAS ( MAILING):73
FLASH IDU:5
FLASH INICIO:5
RECORRIDOS:5</t>
  </si>
  <si>
    <t>CARTELERA NOTICIAS:4
CARTELERA GENTE IDU:4
PIEZAS DE DIVULGACION Y COMUNICACIÓN (cartillas, afiches, postales, volantes,
ilustraciones, presentaciones, etc.) Interna: 52
VIDEOS INTERNOS:3
ACTUALIZACIONES INTRANET:35
COMUNICACIONES INTERNAS ( MAILING):9
FLASH IDU:4
FLASH INICIO:8
RECORRIDOS:4</t>
  </si>
  <si>
    <t>CARTELERA NOTICIAS:4
CARTELERA GENTE IDU:4
PIEZAS DE DIVULGACION Y COMUNICACIÓN (cartillas, afiches, postales, volantes,
ilustraciones, presentaciones, etc.) Interna: 56
VIDEOS INTERNOS:7
ACTUALIZACIONES INTRANET:32
COMUNICACIONES INTERNAS ( MAILING):70
FLASH IDU:3
FLASH INICIO:7
RECORRIDOS:4</t>
  </si>
  <si>
    <t>Tener el 80% de percepción favorable con respecto a los medios de comunicación interna</t>
  </si>
  <si>
    <t>Percepción favorable de medios de comunicación interna</t>
  </si>
  <si>
    <t>A 31 de diciembre alcanzar el 80% de percepción favorable sobre los medios de comunicación interna</t>
  </si>
  <si>
    <t>No. de respuestas favorables/No. de encuestas realizadas*100</t>
  </si>
  <si>
    <t>Encuestas</t>
  </si>
  <si>
    <t>En el mes de marzo se aplicó a la Gente IDU (todo el IDU)  la encuesta de percepción de los servicios brindados por la OAC.                                        Esta encuesta fue respondida por 608 servidores del Instituto; la Subdirección Técnica de Operaciones se destacó en la participación de la encuesta.                                                                                                       A la pregunta: Considera oportunos los servicios brindados por la OAC, EL 88.22% respondió que SI y el 8.49% respondió que NO.                                                                                           A la pregunta Califique de 1 a 5 el servicio frente a los medios de comunicación interna, siendo 1 el puntaje más bajo y 5 el más alto, el 55.60% calificó con 4 la labor de la oficina.</t>
  </si>
  <si>
    <t>A la fecha se ha realizado una encuesta y se tiene una segunda encuesta programada para el mes de septiembre</t>
  </si>
  <si>
    <t>En el mes de septiembre se aplicó a la Gente IDU (todo el IDU)  la encuesta de percepción de los servicios brindados por la OAC. Esta encuesta fue respondida por 154 servidores del Instituto; la Oficina de Atención al Ciudadano se destacó en la participación de la encuesta.                                                                                                       
A la pregunta: Considera oportunos los servicios brindados por la OAC, EL 73.05% respondió que SI y el 24.82% respondió que NO. A la pregunta Califique de 1 a 5 el servicio frente a los medios de comunicación interna, siendo 1 el puntaje más bajo y 5 el más alto, el 43.51% calificó con 4 la labor de la oficina.</t>
  </si>
  <si>
    <t>Formular e implementar 7 estrategias que propicien y desarrollen procesos de comunicación eficaces que aporten al reconocimiento de la misión del IDU al interior de la entidad.</t>
  </si>
  <si>
    <t>Estrategias de comunicación interna</t>
  </si>
  <si>
    <t>A 31 de Diciembre cumplir con la implementación de del 100% de las estrategias de comunicación interna</t>
  </si>
  <si>
    <t>No. de estrategia implementadas/No. de estrategia proyectadas*100</t>
  </si>
  <si>
    <t>Informe Plan de Acción SGGC</t>
  </si>
  <si>
    <t>1.      
Estrategia de comunicación digital: 
2.      
Estrategia de comunicación directa:
Se creó el noticiero “IDU-NOTICIAS”, que
tiene como fin dar a conocer a la ciudadanía y a los funcionarios la gestión
que realiza la entidad. Este se transmite quincenalmente a través de la página web,
redes sociales e intranet. A la fecha se han realizado 4 emisiones.
3.      
Estrategia de comunicación audio visual: 
| Estrategia y modelación Cerramiento
Metro: obras geotécnicas
| Estrategia y modelación Video Compromisos
IDU 2014-2016
| Modelación Video Encuentro Metro
| Modelación de escenarios de la Nueva sede
IDU 
| Estrategia y esquema de contratación
Escenarios Urbanos 3d
| Estrategia de Video Proyección Torre
Colpatria
| Estrategia y adecuación de infraestructura
para la OAC
4.      
10 campañas de comunicación interna:
Durante el primer trimestre del año, en la
OAC se han realizado las siguientes campañas:                   Cero Papel, IDU Noticias,
Logo PIGA, Día sin Carro, Nuevas plantillas IDU, Celebración Hombre Mujer,
Manejo adecuado de recursos.
5.      
Adquirir 2 herramientas para comunicación
directa de las áreas (carteleras virtuales, intranet):
6.      
Adquirir 2 herramientas para el posicionamiento
de la OAC (cabina audio visual y página web): Se adelantaron los estudios
previos de la cabina audio visual, para la puesta en marcha de la contratación.
7.      
Producción editorial y cerramientos: 
Con relación a la producción editorial, se
ha avanzado en la recopilación y redacción del manual de servicios de la OAC,
la cual estará lista para diagramación e impresión el día 16 de mayo. De otra
parte la redacción del libro de los compromisos IDU se encuentra en proceso de
recopilación de información y redacción, proceso que finalizará en 2 meses o
antes para enviar a proceso de diagramación e impresión,  conjuntamente se tradujo de inglés a español y
se realizó el diseño editorial de el libro “Urban planning for city leaders”.
En cuanto a los cerramientos se elaboró el  diseño industrial y análisis de costos, además
se obtuvo la aprobación de la Secretaria de Movilidad y la Secretaria de Ambiente.
8.      
Documentar reuniones con la comunidad (OTC),
alimentar redes sociales y blog IDU: Se han realizado mensualmente reuniones
con OTC  para la documentación de Cables Aéreos,
creación del Fil minuto, piezas de comunicación para niños y  además se proyecta la producción de un
documental.
9.      
Adelantar campañas con la red de comunicación de
distrito y las diferentes dependencias del Idu:
En compañía de la Dirección de predios, OTC y
Valorización, se ha facilitado información a los medios de comunicación
comunitarios y Alcaldías locales para difundir la gestión del Idu.</t>
  </si>
  <si>
    <t>1.      
Estrategia de comunicación digital: 
2.      
Estrategia de comunicación directa:
Se creó el noticiero “IDU-NOTICIAS”, que
tiene como fin dar a conocer a la ciudadanía y a los funcionarios la gestión
que realiza la entidad. Este se transmite quincenalmente a través de la página web,
redes sociales e intranet. A la fecha se han realizado 4 emisiones. Inicio contribución vale, RIO+20, Libro UN Habitat, Compromisos 2016, Esencia IDU.
3.      
Estrategia de comunicación audio visual: 
| Estrategia y modelación Cerramiento
Metro: obras geotécnicas
| Estrategia y modelación Video Compromisos
IDU 2014-2016
| Modelación Video Encuentro Metro
| Modelación de escenarios de la Nueva sede
IDU 
| Estrategia y esquema de contratación
Escenarios Urbanos 3d
| Estrategia de Video Proyección Torre
Colpatria
| Estrategia y adecuación de infraestructura
para la OAC                                                                                                                                                                                                   I Presentación ejecutiva de la troncal Boyacá, la cual incluyo el maual de crisis y la realización de un video de 7 minutos.                  l Presentación ejecutiva del proyecto Metro. 
4.      
10 campañas de comunicación interna:
En la OAC se han realizado las siguientes campañas:                                                                                                                                                                                                   Cero Papel,                                                                                                                                                                                                 IDU Noticias,
Logo PIGA,                                                                                                                                                                                                Día sin Carro,                                                                                                                                                                                          Nuevas plantillas IDU,                                                                                                                                                                            Celebración Hombre Mujer,
Manejo adecuado de recursos,                                                                                                                                                          Socialización de nuevos defensores del ciudadano en el IDU
5.      
Adquirir 2 herramientas para comunicación
directa de las áreas (carteleras virtuales, intranet):
6.      
Adquirir 2 herramientas para el posicionamiento
de la OAC (cabina audio visual y página web): Se adelantaron los estudios
previos de la cabina audio visual, para la puesta en marcha de la contratación.
7.      
Producción editorial y cerramientos: 
Con relación a la producción editorial, se
ha avanzado en la recopilación y redacción del manual de servicios de la OAC,
la cual estará lista para diagramación e impresión el día 16 de mayo. De otra
parte la redacción del libro de los compromisos IDU se encuentra en proceso de
recopilación de información y redacción, proceso que finalizará en 2 meses o
antes para enviar a proceso de diagramación e impresión,  conjuntamente se tradujo de inglés a español y
se realizó el diseño editorial de el libro “Urban planning for city leaders”.
En cuanto a los cerramientos se elaboró el  diseño industrial y análisis de costos, además
se obtuvo la aprobación de la Secretaria de Movilidad y la Secretaria de Ambiente.
8.      
Documentar reuniones con la comunidad (OTC),
alimentar redes sociales y blog IDU: Se han realizado mensualmente reuniones
con OTC  para la documentación de Cables Aéreos,
creación del Fil minuto, piezas de comunicación para niños y  además se proyecta la producción de un
documental.
9.      
Adelantar campañas con la red de comunicación de
distrito y las diferentes dependencias del Idu:
En compañía de la Dirección de predios, OTC y
Valorización, se ha facilitado información a los medios de comunicación
comunitarios y Alcaldías locales para difundir la gestión del Idu.</t>
  </si>
  <si>
    <t>1.      
Estrategia de comunicación digital: 
Diseño de soluciones
web (intranet, Micro sitio, Media Center) recorridos de obra con el director,
Mailing, Streaming, carteleras digitales y redes sociales.
2.      
Estrategia de comunicación directa:
Se creó el noticiero “IDU-NOTICIAS”, que
tiene como fin dar a conocer a la ciudadanía y a los funcionarios la gestión
que realiza la entidad. Este se transmite quincenalmente a través de la página web,
redes sociales e intranet.Inicio contribución vale, RIO+20, Libro UN Habitat, Compromisos 2016, Esencia IDU. Se creo IduPedia, la cual es una alternativa creativa y educativa que pretende enseñarle a la ciudadania la terminologia básica que se maneja en la entidad.
3.      
Estrategia de comunicación audio visual: 
| Estrategia y modelación Cerramiento
Metro: obras geotécnicas
| Estrategia y modelación Video Compromisos
IDU 2014-2016
| Modelación Video Encuentro Metro
| Modelación de escenarios de la Nueva sede
IDU 
| Estrategia y esquema de contratación
Escenarios Urbanos 3d
| Estrategia de Video Proyección Torre
Colpatria
| Estrategia y adecuación de infraestructura
para la OAC                                                                                                                                                                                                   I Presentación ejecutiva de la troncal Boyacá, la cual incluyo el maual de crisis y la realización de un video de 7 minutos.                  l Presentación ejecutiva del proyecto Metro. I Video áreas de oportunidad Linea Metro
4.      
10 campañas de comunicación interna:
En la OAC se han realizado las siguientes campañas:                                                                                                                                                                                                   Cero Papel,                                                                                                                                                                                                 IDU Noticias,
Logo PIGA,                                                                                                                                                                                                Día sin Carro,                                                                                                                                                                                          Nuevas plantillas IDU,                                                                                                                                                                            Celebración Hombre Mujer,
Manejo adecuado de recursos,                                                                                                                                                          Socialización de nuevos defensores del ciudadano en el IDU, Mundial IDU
5.      
Adquirir 2 herramientas para comunicación
directa de las áreas (carteleras virtuales, intranet):
6.      
Adquirir 2 herramientas para el posicionamiento
de la OAC (cabina audio visual y página web): Se adelantaron los estudios
previos de la cabina audio visual, para la puesta en marcha de la contratación.
7.      
Producción editorial y cerramientos: 
Con relación a la producción editorial, se ha avanzado en la recopilación y redacción del manual de servicios de la OAC, la cual estará lista para diagramación e impresión el día 16 de mayo. Se está haciendo una revisión del material teniendo en cuenta que no hay contrato vigente de impresión. De otra parte la redacción del libro de los compromisos IDU se encuentra en proceso de recopilación de información y redacción, proceso que finalizará en 2 meses o antes para enviar a proceso de diagramación e impresión. Los textos correspondientes al libro "Manual de Comunicaciones", están en un 75%, se terminará durante julio y  se espera poder definir la contratación para impresión que estaba suspendida por Ley de Garantías, al igual que el libro de obras compromisos 2014.
En cuanto a los cerramientos se elaboró el  diseño industrial y análisis de costos, además
se obtuvo la aprobación de la Secretaria de Movilidad y la Secretaria de Ambiente.
8.      
Documentar reuniones con la comunidad (OTC),
alimentar redes sociales y blog IDU: Se han realizado mensualmente reuniones
con OTC  para la documentación de Cables Aéreos,
creación del Fil minuto, piezas de comunicación para niños y  además se proyecta la producción de un
documental.
9.      
Adelantar campañas con la red de comunicación de
distrito y las diferentes dependencias del Idu:
En compañía de la Dirección de predios, OTC y
Valorización, se ha facilitado información a los medios de comunicación
comunitarios y Alcaldías locales para difundir la gestión del Idu.</t>
  </si>
  <si>
    <t>1.      
Estrategia de comunicación digital: 
Diseño de soluciones
web (intranet, Micro sitio, Media Center) recorridos de obra con el director,
Mailing, Streaming, carteleras digitales y redes sociales.
2.      
Estrategia de comunicación directa:
Se creó el noticiero “IDU-NOTICIAS”, que
tiene como fin dar a conocer a la ciudadanía y a los funcionarios la gestión
que realiza la entidad. Este se transmite quincenalmente a través de la página web,
redes sociales e intranet.Inicio contribución vale, RIO+20, Libro UN Habitat, Compromisos 2016, Esencia IDU. Se creo IduPedia, la cual es una alternativa creativa y educativa que pretende enseñarle a la ciudadania la terminologia básica que se maneja en la entidad.
3.      
Estrategia de comunicación audio visual: 
| Estrategia y modelación Cerramiento
Metro: obras geotécnicas
| Estrategia y modelación Video Compromisos
IDU 2014-2016
| Modelación Video Encuentro Metro
| Modelación de escenarios de la Nueva sede
IDU 
| Estrategia y esquema de contratación
Escenarios Urbanos 3d
| Estrategia de Video Proyección Torre
Colpatria
| Estrategia y adecuación de infraestructura
para la OAC                                                                                                                                                                                                   I Presentación ejecutiva de la troncal Boyacá, la cual incluyo el maual de crisis y la realización de un video de 7 minutos.                  l Presentación ejecutiva del proyecto Metro. I Video áreas de oportunidad Linea Metro                         I Video PUI/DOTS opertuidad metro 5minutos --                   I Video comercial metro 35segundos --                                    I Video comercial rio+20 torre colpatria  --                 I Banner Metro-Rio+20
4.      
10 campañas de comunicación interna:
En la OAC se han realizado las siguientes campañas:                                                                                                                                                                                                   Cero Papel,                                                                                                                                                                                                 IDU Noticias,
Logo PIGA,                                                                                                                                                                                                Día sin Carro,                                                                                                                                                                                          Nuevas plantillas IDU,                                                                                                                                                                            Celebración Hombre Mujer,
Manejo adecuado de recursos,                                                                                                                                                          Socialización de nuevos defensores del ciudadano en el IDU, Mundial IDU, Rio + 20, Semana de la salud
5.      
Adquirir 2 herramientas para comunicación
directa de las áreas (carteleras virtuales, intranet):
6.      
Adquirir 2 herramientas para el posicionamiento
de la OAC (cabina audio visual y página web): Se adelantaron los estudios
previos de la cabina audio visual, para la puesta en marcha de la contratación.
7.      
Producción editorial y cerramientos: 
Con relación a la producción editorial, se ha avanzado en la recopilación y redacción del manual de servicios de la OAC, la cual estará lista para diagramación e impresión el día 16 de mayo. Se está haciendo una revisión del material teniendo en cuenta que no hay contrato vigente de impresión. De otra parte la redacción del libro de los compromisos IDU se encuentra en proceso de recopilación de información y redacción, proceso que finalizará en 2 meses o antes para enviar a proceso de diagramación e impresión. Los textos correspondientes al libro "Manual de Comunicaciones", están en un 75%, se terminará durante julio y  se espera poder definir la contratación para impresión que estaba suspendida por Ley de Garantías, al igual que el libro de obras compromisos 2014.
En cuanto a los cerramientos se elaboró el  diseño industrial y análisis de costos, además
se obtuvo la aprobación de la Secretaria de Movilidad y la Secretaria de Ambiente.
8.      
Documentar reuniones con la comunidad (OTC),
alimentar redes sociales y blog IDU: Se han realizado mensualmente reuniones
con OTC  para la documentación de Cables Aéreos,
creación del Fil minuto, piezas de comunicación para niños y  además se proyecta la producción de un
documental.
9.      
Adelantar campañas con la red de comunicación de
distrito y las diferentes dependencias del Idu:
En compañía de la Dirección de predios, OTC y
Valorización, se ha facilitado información a los medios de comunicación
comunitarios y Alcaldías locales para difundir la gestión del Idu.</t>
  </si>
  <si>
    <t>1.      
Estrategia de comunicación digital: 
Diseño de soluciones
web (intranet, Micro sitio, Media Center) recorridos de obra con el director,
Mailing, Streaming, carteleras digitales y redes sociales.
2.      
Estrategia de comunicación directa:
Se creó el noticiero “IDU-NOTICIAS”, que
tiene como fin dar a conocer a la ciudadanía y a los funcionarios la gestión
que realiza la entidad. Este se transmite quincenalmente a través de la página web,
redes sociales e intranet.Inicio contribución vale, RIO+20, Libro UN Habitat, Compromisos 2016, Esencia IDU. Se creo IduPedia, la cual es una alternativa creativa y educativa que pretende enseñarle a la ciudadania la terminologia básica que se maneja en la entidad.
3.      
Estrategia de comunicación audio visual: 
| Estrategia y modelación Cerramiento
Metro: obras geotécnicas
| Estrategia y modelación Video Compromisos
IDU 2014-2016
| Modelación Video Encuentro Metro
| Modelación de escenarios de la Nueva sede
IDU 
| Estrategia y esquema de contratación
Escenarios Urbanos 3d
| Estrategia de Video Proyección Torre
Colpatria
| Estrategia y adecuación de infraestructura
para la OAC                                                                                                                                                                                                                I Presentación ejecutiva de la troncal Boyacá, la cual incluyo el maual de crisis y la realización de un video de 7 minutos.                  l Presentación ejecutiva del proyecto Metro.         I Video áreas de oportunidad Linea Metro                                    I Video PUI/DOTS opertuidad metro 5minutos --                   I Video comercial metro 35segundos --                                    I Video comercial rio+20 torre colpatria  --                 I Banner Metro-Rio+20 | apoyo a imagen redes sociales metro
| campaña audiovisual e impresa para inaguración del canton norte
4.      
10 campañas de comunicación interna:
En la OAC se han realizado las siguientes campañas:                                                                                                                                                                                                   Cero Papel,                                                                                                                                                                                                 IDU Noticias,
Logo PIGA,                                                                                                                                                                                                Día sin Carro,                                                                                                                                                                                          Nuevas plantillas IDU,                                                                                                                                                                            Celebración Hombre Mujer,
Manejo adecuado de recursos,                                                                                                                                                          Socialización de nuevos defensores del ciudadano en el IDU, Mundial IDU, Rio + 20, Semana de la salud
5.      
Adquirir 2 herramientas para comunicación
directa de las áreas (carteleras virtuales, intranet):
6.      
Adquirir 2 herramientas para el posicionamiento
de la OAC (cabina audio visual y página web): Se adelantaron los estudios
previos de la cabina audio visual, para la puesta en marcha de la contratación.
7.      
Producción editorial y cerramientos: 
Con relación a la producción editorial, se ha avanzado en la recopilación y redacción del manual de servicios de la OAC, la cual estará lista para diagramación e impresión el día 16 de mayo. Se está haciendo una revisión del material teniendo en cuenta que no hay contrato vigente de impresión. De otra parte la redacción del libro de los compromisos IDU se encuentra en proceso de recopilación de información y redacción, proceso que finalizará en 2 meses o antes para enviar a proceso de diagramación e impresión. Los textos correspondientes al libro "Manual de Comunicaciones", están en un 75%, se terminará durante julio y  se espera poder definir la contratación para impresión que estaba suspendida por Ley de Garantías, al igual que el libro de obras compromisos 2014.
En cuanto a los cerramientos se elaboró el  diseño industrial y análisis de costos, además
se obtuvo la aprobación de la Secretaria de Movilidad y la Secretaria de Ambiente.
8.      
Documentar reuniones con la comunidad (OTC),
alimentar redes sociales y blog IDU: Se han realizado mensualmente reuniones
con OTC  para la documentación de Cables Aéreos,
creación del Fil minuto, piezas de comunicación para niños y  además se proyecta la producción de un
documental.
9.      
Adelantar campañas con la red de comunicación de
distrito y las diferentes dependencias del Idu:
En compañía de la Dirección de predios, OTC y
Valorización, se ha facilitado información a los medios de comunicación
comunitarios y Alcaldías locales para difundir la gestión del Idu.</t>
  </si>
  <si>
    <t>1.      
Estrategia de comunicación digital: 
Diseño de soluciones
web (intranet, Micro sitio, Media Center) recorridos de obra con el director,
Mailing, Streaming, carteleras digitales y redes sociales.
2.      
Estrategia de comunicación directa:
Se creó el noticiero “IDU-NOTICIAS”, que
tiene como fin dar a conocer a la ciudadanía y a los funcionarios la gestión
que realiza la entidad. Este se transmite quincenalmente a través de la página web,
redes sociales e intranet.Inicio contribución vale, RIO+20, Libro UN Habitat, Compromisos 2016, Esencia IDU. Se creo IduPedia, la cual es una alternativa creativa y educativa que pretende enseñarle a la ciudadania la terminologia básica que se maneja en la entidad.
3.      
Estrategia de comunicación audio visual: 
| Estrategia y modelación Cerramiento
Metro: obras geotécnicas
| Estrategia y modelación Video Compromisos
IDU 2014-2016
| Modelación Video Encuentro Metro
| Modelación de escenarios de la Nueva sede
IDU 
| Estrategia y esquema de contratación
Escenarios Urbanos 3d
| Estrategia de Video Proyección Torre
Colpatria
| Estrategia y adecuación de infraestructura
para la OAC                                                                                                                                                                                                                I Presentación ejecutiva de la troncal Boyacá, la cual incluyo el maual de crisis y la realización de un video de 7 minutos.                  l Presentación ejecutiva del proyecto Metro.         I Video áreas de oportunidad Linea Metro                                    I Video PUI/DOTS opertuidad metro 5minutos --                   I Video comercial metro 35segundos --                                    I Video comercial rio+20 torre colpatria  --                 I Banner Metro-Rio+20 | apoyo a imagen redes sociales metro
| campaña audiovisual e impresa para inaguración del canton norte
(1) Video/edicion Edición RIO+20 (Re naturalización y revitalización de centros históricos), corrección de sonido, cortinillas de presentación y títulos, revisión y “unión” de material (fragmentos/cortes). (2) Video aniversario IDU “máquina del tiempo” , animación, edición y musicalización del mismo.(3) Producción sonora “NiñosIDU”, sonido ambiente estación del metro y sonido informativo de las estaciones, estación central e intermodalidad. (4)Ambientación y apoyo grafico a las imágenes del evento “Estación Metro”.
4.      
10 campañas de comunicación interna:
En la OAC se han realizado las siguientes campañas:                                                                                                                                                                                                   Cero Papel,                                                                                                                                                                                                 IDU Noticias,
Logo PIGA,                                                                                                                                                                                                Día sin Carro,                                                                                                                                                                                          Nuevas plantillas IDU,                                                                                                                                                                            Celebración Hombre Mujer,
Manejo adecuado de recursos,                                                                                                                                                          Socialización de nuevos defensores del ciudadano en el IDU, Mundial IDU, Rio + 20, Semana de la salud
5.      
Adquirir 2 herramientas para comunicación
directa de las áreas (carteleras virtuales, intranet):
6.      
Adquirir 2 herramientas para el posicionamiento
de la OAC (cabina audio visual y página web): Se adelantaron los estudios
previos de la cabina audio visual, para la puesta en marcha de la contratación.
7.      
Producción editorial y cerramientos: 
Con relación a la producción editorial, se ha avanzado en la recopilación y redacción del manual de servicios de la OAC, la cual estará lista para diagramación e impresión el día 16 de mayo. Se está haciendo una revisión del material teniendo en cuenta que no hay contrato vigente de impresión. De otra parte la redacción del libro de los compromisos IDU se encuentra en proceso de recopilación de información y redacción, proceso que finalizará en 2 meses o antes para enviar a proceso de diagramación e impresión. Los textos correspondientes al libro "Manual de Comunicaciones", están en un 75%, se terminará durante julio y  se espera poder definir la contratación para impresión que estaba suspendida por Ley de Garantías, al igual que el libro de obras compromisos 2014.
En cuanto a los cerramientos se elaboró el  diseño industrial y análisis de costos, además
se obtuvo la aprobación de la Secretaria de Movilidad y la Secretaria de Ambiente.
8.      
Documentar reuniones con la comunidad (OTC),
alimentar redes sociales y blog IDU: Se han realizado mensualmente reuniones
con OTC  para la documentación de Cables Aéreos,
creación del Fil minuto, piezas de comunicación para niños y  además se proyecta la producción de un
documental.
9.      
Adelantar campañas con la red de comunicación de
distrito y las diferentes dependencias del Idu:
En compañía de la Dirección de predios, OTC y
Valorización, se ha facilitado información a los medios de comunicación
comunitarios y Alcaldías locales para difundir la gestión del Idu.</t>
  </si>
  <si>
    <t>Ejecución del mes correspondiente a giros presupuestales por $8.678.132. Sin programación para el mes.</t>
  </si>
  <si>
    <t>0.0</t>
  </si>
  <si>
    <t/>
  </si>
  <si>
    <t>Ejecución del mes correspondiente a giros presupuestales por $14.144.277</t>
  </si>
  <si>
    <t>Ejecución del mes correspondiente a giros presupuestales por $6.458.829. Sin programación para el mes.</t>
  </si>
  <si>
    <t>Ejecución del mes correspondiente a liberación presupuestal de $66.564 . Sin programación para el mes</t>
  </si>
  <si>
    <t>Sin ejecución en el mes. Sin programación para el mes.</t>
  </si>
  <si>
    <t>Sin ejecución en el mes. Sin programación para el mes. </t>
  </si>
  <si>
    <t>Ejecución Presupuestal Reservas</t>
  </si>
  <si>
    <t>43,939,640.0</t>
  </si>
  <si>
    <t>Ejecución del mes correspondiente a giros presupuestales por $43.939.640. Sin programación para el mes.</t>
  </si>
  <si>
    <t>33,554,064.0</t>
  </si>
  <si>
    <t>Ejecución del mes correspondiente a giros presupuestales por $33.554.064. Sin programación para el mes.</t>
  </si>
  <si>
    <t>18,986,034.0</t>
  </si>
  <si>
    <t>185,320,400.0</t>
  </si>
  <si>
    <t>Ejecución del mes correspondiente a giros presupuestales por $10.855.000 y liberaciones por $8.131.034. Sin programación para el mes.</t>
  </si>
  <si>
    <t>Ejecución del mes correspondiente a giros presupuestales por $104.388.904 y liberaciones por $8.131034. Sin programación para el mes.</t>
  </si>
  <si>
    <t>Ejecución del mes correspondiente a giros presupuestales por $7.397.610. Sin programación para el mes.</t>
  </si>
  <si>
    <t>Ejecución del mes correspondiente a giros presupuestales por $12.164.108 y liberaciones por $7.402.852. Sin programación para el mes.</t>
  </si>
  <si>
    <t>Presupuesto: $81.710.000                                CRP acumulado:$47.114.000</t>
  </si>
  <si>
    <t>Presupuesto: $81.710.000                                CRP acumulado:$77.114.000</t>
  </si>
  <si>
    <t>Presupuesto: $81.710.000                                CRP acumulado:$77.114.000</t>
  </si>
  <si>
    <t xml:space="preserve">La meta no fue alcanzada, ya que los $4.596.000 de diferencia entre el numerador y el denominador no pudo ser liberada, ya que estaba representada por los CRP y CDP solicitados por la OAC. </t>
  </si>
  <si>
    <t>No se han requerido planes de mejoramiento</t>
  </si>
  <si>
    <t>Cuadro de seguimiento a Planes de mejoramiento diligenciado por la OCI.</t>
  </si>
  <si>
    <t>1.0</t>
  </si>
  <si>
    <t>La OAC programó la actualización del Formato de elementos de divagación. Este formato se publicó en el mes de febrero.</t>
  </si>
  <si>
    <t>OFICINA ASESORA DE PLANEACIÓN</t>
  </si>
  <si>
    <t>Dato
Num</t>
  </si>
  <si>
    <t>Dato
Deno</t>
  </si>
  <si>
    <t>5.3. Realizar el seguimiento al 100% de los proyectos de inversión</t>
  </si>
  <si>
    <t>OAP-01</t>
  </si>
  <si>
    <t>Contar con el anteproyecto de presupuesto aprobado en la fecha determinada por la SDH</t>
  </si>
  <si>
    <t xml:space="preserve">Programación Presupuestal </t>
  </si>
  <si>
    <t>Medir el Cumplimiento oportuno de las  actividades para la aprobación del anteproyecto de presupuesto, de acuerdo con los lineamientos del nivel central</t>
  </si>
  <si>
    <t>No. de actividades realizadas oportunamente para la aprobación del anteproyecto / No. de actividades programadas en la planificación presupuestal * 100</t>
  </si>
  <si>
    <t>Circulares del nivel central
Plan de Acción de la OAP</t>
  </si>
  <si>
    <t>Cristina Navarro</t>
  </si>
  <si>
    <t>No Aplica seguimiento en este periodo</t>
  </si>
  <si>
    <t>Se llevaron a cabo las actividades prevista en la Circular Conjunta No 03 de 2014, en la cual se  establecen en materia de inversión 12 actividades para la elaboración del presupuesto de la Entidad. A continuación se detallan las acciones adelantadas:
1. Archivo ppt con la programación de inversión 2015
2. Reuniones de trabajo para programación y  aprobación  de gastos de inversión
3. Presentación Plan Financiero 
4. Comunicación cuota global de gastos (AnalisisI por parte de la Entidad)
5. Registro en PREDIS y SEGPLAN la información de los proyectos de inversión
6. Verificación en el sistema PREDIS Y SEGPLAN las prioridades de la administración
7. Programación de procesos en curso 
8. Detalle de los recursos proyectados para atención de población vulnerable 
9. Programación metas de indicadores de objetivo y productos - PMR
10. Elaboración y envío a SHD del anteproyecto de presupuesto
11.Presentación en CONFIS del anteproyecto de presupuesto
12. Presentación ante Junta Directiva del proyecto de presupuesto.</t>
  </si>
  <si>
    <t>OAP-02</t>
  </si>
  <si>
    <t>A 31 de diciembre de 2014 realizar el 100% de las actualizaciones programadas del Banco de Proyectos de Inversión</t>
  </si>
  <si>
    <t>Banco de Proyectos IDU actualizado</t>
  </si>
  <si>
    <t>Medir la actualización del Banco de Proyectos IDU</t>
  </si>
  <si>
    <t>Actualizaciones ejecutadas del Banco de Proyectos/ Actualizaciones programadas del Banco de Proyectos*100</t>
  </si>
  <si>
    <t>Banco de Proyectos SDP</t>
  </si>
  <si>
    <t>Dickson  Pinzón</t>
  </si>
  <si>
    <t>Se realizó la actualización de las formulaciones de los proyectos de Plan de Desarrollo inscritos en el Banco Distrital de Programas y Proyectos de la Secretaría Distrital de Planeación.</t>
  </si>
  <si>
    <t>En agosto de 2014 se realizó la actualización de las formulaciones de los proyectos de Plan de Desarrollo inscritos en el Banco Distrital de Programas y Proyectos de la Secretaría Distrital de Planeación, como corte a junio 30 de 2014, previa incorporación de la información en el Sistema SEGPLAN, por parte de la OAP.</t>
  </si>
  <si>
    <t>Reporte en Segplan del corte 31 de diciembre de 2013</t>
  </si>
  <si>
    <t>Se realizaron cuatro (4) actualizaciones del Banco de Proyectos y se tenian cuatro (4) actualizaciones programadas del Banco de Proyectos, obteniendo un resultado de cumplimiento del 100%.</t>
  </si>
  <si>
    <t>OAP-03</t>
  </si>
  <si>
    <t>A 31 de diciembre de 2014 realizar el 100% de las actividades para el seguimiento a SEGPLAN (Plan de Desarrollo) de acuerdo con lo dispuesto por la SDP según competencia del área</t>
  </si>
  <si>
    <t>Cumplimiento oportuno de actividades para el seguimiento a SEGPLAN según directrices SDP</t>
  </si>
  <si>
    <t>Medir el Cumplimiento oportuno de actividades para el seguimiento a SEGPLAN según directrices SDP</t>
  </si>
  <si>
    <t>No. de actividades realizadas oportunamente para el seguimiento a SEGPLAN / No. de actividades programadas según la SDP*100</t>
  </si>
  <si>
    <t>Directrices SDP
SEGPLAN</t>
  </si>
  <si>
    <t>Dorian Piedrahita</t>
  </si>
  <si>
    <t>Reporte en Segplan del corte 31 de marzo de 2014, queda pendiente en el corte de mayo culminar el seguimiento en el componente de territorialización.</t>
  </si>
  <si>
    <t>Reporte en Segplan del corte 30 de junio de 2014, culiminado exitosamente generando los reportes asociados.</t>
  </si>
  <si>
    <t>Se logra un cumplimiento del 95% en el indicador.</t>
  </si>
  <si>
    <t>OAP-04</t>
  </si>
  <si>
    <t>Implementar el 100% de los productos del SIG contemplados en la norma NTDSIG001 descritos en el Plan de Acción de la Secreataría General de la Alcaldía</t>
  </si>
  <si>
    <t>Implementación del SIG</t>
  </si>
  <si>
    <t>Medir la Implementación de  los productos del SIG contemplados en la Norma SIG Distrital</t>
  </si>
  <si>
    <t>No. de productos del SIG ejecutados / Total de productos programados en el periodo * 100%</t>
  </si>
  <si>
    <t>Norma NTDSIG 001
Plan de Acción SIG</t>
  </si>
  <si>
    <t>Carlos f. Campos</t>
  </si>
  <si>
    <t>Para el mes de abril se espera contar con tres productos del SIG (Procedimiento de Planeación Operativa, Procedimiento de Control de Registros y Socialización del procedimiento de Control de Registros). El primer producto se materializón con la adopción del procedimiento de planeación del SIG PR-AC-11. Los otros dos productos han sufrido retrazo debido a la demora de la alcaldia para definir el lineamiento de gestión documental, el cual fue presentado el 27 de Marzo. Se espera que el procedimiento sea adoptado en el mes de julio.</t>
  </si>
  <si>
    <t>Para el mes de junio se espera contar con once productos del SIG  Los productos terminados son : Estructurar el Plan de capacitación., Estructurar el programa de bienestar. ,Diseñar y revisar el Plan de comunicación de la entidad u organismo distritalyDocumentar e implementar el procedimiento de comunicaciones. Los productos pendientes porque la alcaldia no ha enviado los lineamiento son : Revisar y ajustar la metodología para la gestión del riesgoDivulgar resultados de la aplicación del lineamiento 1 en todos los niveles de la entidad u organismo distritalDocumentar e implementar el procedimiento de participación ciudadana. Adicionalmente hay productos que estan en contrucción pero su complejidad implica más tiempo del fijado por la alcaldia. Estos productos son: Carácterizar los bienes y servicios ,Construir el portafolio de bienes y servicios y Ajustar la documentación con el fin de que se apliquen los lineamientos establecidos en el procedimiento control de documentos.</t>
  </si>
  <si>
    <t>Para el mes de Septiembre se esperaba contar con quince productos SIG:
1. Procedimiento de Planeación Operativa,
2. Procedimiento de Control de Registros
3. Socialización del procedimiento de Control de Registros, 
4. Estructurar el Plan de capacitación.
5.  Estructurar el programa de bienestar,
6. Diseñar y revisar el Plan de comunicación de la entidad, 
7. Documentar e implementar el procedimiento de comunicaciones,  
8. Revisar y ajustar la metodología para la gestión del riesgo, 
9. Divulgar resultados de la aplicación del lineamiento 1 en todos los niveles de la entidad u organismo distrital, 
10. Documentar e implementar el procedimiento de participación ciudadana, 
11. Caracterizar los bienes y servicios 
12. Elaborar el portafolio de bienes y servicios 
13. Ajustar y Socializar Objetivos. 
Sin embargo la alcaldía modificó el producto divulgar resultados del lineamiento 1, el cual se refiere a los resultados del diagnóstico de la metodología de riesgos, la alcaldía no enviará los resultados, por lo tanto este producto se contabiliza como realizado porque no se requiere ningún tipo de acción. Sobre el producto Socializar el procedimiento de control de registros, la OAP realizará en el comité operativo de Noviembre la explicación del procedimiento. Finalmente, la alcaldía retrasó la entrega de algunos lineamientos lo cual impacto en la fecha de entrega del producto por lo cual no se contabilizarán el procedimiento de participación ciudadana, el cual fue reprogramado para el 30 de junio de 2015. En este sentido, en el mes de septiembre se deberían tener 12 productos de los cuales se tienen 10 terminados, teniendo pendiente la terminación de las caracterizaciones de productos y servicios y la socialización de procedimiento de control de registros.
 La información es generada con base en el cronograma de implementación SIG. 
Se realizó la actualización y socialización de la plataforma estratégica. 
Falta realizar la socialización del procedimiento de control de registros</t>
  </si>
  <si>
    <t xml:space="preserve">Para el mes de Diciembre  se esperaba contar con veinte productos SIG:
1. Procedimiento de Planeación Operativa,
2. Procedimiento de Control de Registros
3. Socialización del procedimiento de Control de Registros, 
4. Estructurar el Plan de capacitación.
5.  Estructurar el programa de bienestar,
6. Diseñar y revisar el Plan de comunicación de la entidad, 
7. Documentar e implementar el procedimiento de comunicaciones,  
8. Revisar y ajustar la metodología para la gestión del riesgo, 
9. Divulgar resultados de la aplicación del lineamiento 1 en todos los niveles de la entidad u organismo distrital, 
10. Documentar e implementar el procedimiento de participación ciudadana, 
11. Caracterizar los bienes y servicios 
12. Elaborar el portafolio de bienes y servicios 
13. Ajustar y Socializar Objetivos. 
14.Cartilla de trámites y Servicios
15.Manual SIG
16. Socializar cambios en caracterizaciones de proceso
17. Revisión y ajuste del normograma
18. Elaborar PIRE y enviar al IDIGER
19. Procedimiento de No conformidades
20.Mecanismos de satisfacción ciudadana (encuestas)
Sin embargo la alcaldía modificó el producto divulgar resultados del lineamiento 1, el cual se refiere a los resultados del diagnóstico de la metodología de riesgos, la alcaldía no enviará los resultados, por lo tanto este producto se contabiliza como realizado porque no se requiere ningún tipo de acción. Sobre el producto Socializar el procedimiento de control de registros, la OAP realizó su socialización en el comité operativo de Noviembre.  la alcaldía retrasó la entrega de algunos lineamientos lo cual impacto en la fecha de entrega del producto por lo cual no se contabilizarán el procedimiento de participación ciudadana, el cual fue reprogramado para el 30 de junio de 2015. En este sentido, en el mes de diciembre se deberían tener 19 productos de los cuales se tienen 17 terminados, teniendo pendiente la terminación de las caracterizaciones de productos y servicios y el procedimiento de No Conformes.
</t>
  </si>
  <si>
    <t>OAP-05</t>
  </si>
  <si>
    <t>Nivel de Actualización Documental</t>
  </si>
  <si>
    <t>Medir el nivel de gestión del IDU para la actualización de documentos del SIG (procedimientos, formatos, instructivos…etc)</t>
  </si>
  <si>
    <t>No. de Documentos SIG tramitados / No. de documentos SIG programados x 100%</t>
  </si>
  <si>
    <t>Plan documental Consolidado por la OAP</t>
  </si>
  <si>
    <t>John Quiroga</t>
  </si>
  <si>
    <t>La gestión para los trámites documentales es compartida entre la OAP y las áreas lideres de dicha documentación, el análisis detallado de la gestión por cada área está descrita en el informe consolidado del plan documental. A la fecha la Dirección Técnica de Proyectos no ha entregado el plan documental.</t>
  </si>
  <si>
    <t>De los ducomentos programado0s todos fueron públicados.</t>
  </si>
  <si>
    <t xml:space="preserve">El 53% corresponde al avance en la ejecución del plan documental consolidado para todas las áreas del IDU, conforme a lo definido por cada líder y la gestión conjunta entre ellas y la OAP. El detalle de los trámites documentales realizados y los ejecutados así como los pendientes están descritos en el Plan documental Consolidado que administra la OAP. Se encuentra pendiente 141 documentos a 30 de septiembre, y con respecto a todo el año se encuentran pendientes 194 trámites (nuevos, actualización, eliminación y cambio de proceso). </t>
  </si>
  <si>
    <t>CONSOLIDADO IDU. Se cumplieron con 316 trámites documentales. Aun están pendientes 50 trámites de los 367 programados.</t>
  </si>
  <si>
    <t>OAP-06</t>
  </si>
  <si>
    <t>Realizar el seguimiento a los proyectos IDU de cupo y valorización</t>
  </si>
  <si>
    <t>Nivel de Seguimiento a proyectos IDU (cupo  y valorización)</t>
  </si>
  <si>
    <t>Medir el nivel de seguimiento a los proyectos IDU de cupo y valorización</t>
  </si>
  <si>
    <t>No. de Proyectos con seguimiento mensual / Total de proyectos IDU de cupo y valorización* 100%</t>
  </si>
  <si>
    <t>Tablero de Seguimiento a Proyectos</t>
  </si>
  <si>
    <t>Rafael Arturo Molano</t>
  </si>
  <si>
    <t>El seguimiento a los proyectos de cupo y valorización empezó en el mes de enero con la definición de los procesos y la metodología a seguir. Durante el mes de febrero se dió inicio a las actividades de implementación de la metodología de monitoreo. En el mes de marzo y abril se realizó el seguimiento a todos los proyectos de cupo y valorización que se incluyeron en los grupos asignados a los 6 Gerentes.  Del total de 51 proyectos del segmento no se han incluido 6 de los cuales 4 tuvieron modificaciones que los llevaron a iniciar actividades en meses posteriores y 2 que no se han incluido en los grupos de gerentes asignados.</t>
  </si>
  <si>
    <t>La periodicidad del recibo de los reportes de desempeño de algunos proyectos a monitorear por parte de los Gerentes, no permitió incluirlos dentro del Tablero de Control del mes.</t>
  </si>
  <si>
    <t>Dentro de los proyectos monitoreados en el trimestre, no se incluyó reporte del proyecto Adecuación de infraestructuctura Cicloinclusiva debido a que se encuentra en construcción la línea base sobre la cual se realiza el monitoreo. La disminución de 6 proyectos en el universo de proyectos monitoreados inicialmente responde a la exclusión de los mismos ppor aplazamiento para futuras vigencias.</t>
  </si>
  <si>
    <t xml:space="preserve">En comparación con el último trimestre, el universo de proyectos se redujo en 12 debido a que por decisión del Consejo Directivo del IDU, se está a la espera de la aprobación de recursos luego de la negociación del Conpes entre Nación-Distrito.  Así mismo, se construyó la línea base del proyecto Adecuación de infraestructuctura Cicloinclusiva con lo cual se monitoreó el universo completo de proyectos en ejecución. </t>
  </si>
  <si>
    <t>La información con la cual se obtienen los datos de numerador y denominador corresponde al promedio de los proyectos monitoreados reportados en este indicador a lo largo de 2014. Se inició con un universo de 51 proyectos para hacer seguimiento de los cuales mensualmente se fueron aplazando un total de 26 proyectos para terminar el año 2014 con un total de 25 proyectos activos a monitorear.</t>
  </si>
  <si>
    <t>OAP-07</t>
  </si>
  <si>
    <t>Implementar el 100% del PIGA 2014</t>
  </si>
  <si>
    <t>Nivel de ejecución del PIGA 2014</t>
  </si>
  <si>
    <t>Medir el cumplimiento del PIGA 2014</t>
  </si>
  <si>
    <t>No. de actividades ejecutadas / No. de actividades programadas en el PIGA 2014 * 100%</t>
  </si>
  <si>
    <t>PIGA 2014</t>
  </si>
  <si>
    <t>Fabian Gómez</t>
  </si>
  <si>
    <t>Las 41 Actividades son de ejecución durante al año, para el primer trimestre se programó ejecutar el 25% del total de las actividades.</t>
  </si>
  <si>
    <t>Es de aclarar que existen 20 actividades de las cuales 7, son de ejecución durante la vigencia, por lo tanto estas y presentan avance cada trimestralemente, para el segundo trimestre se programo un avance del 50%
De igual forma se informa que la OAP hace segumiento a la implementación al PIGA el cual es ejecutado por la STRF, STRH, en colaboración de la OAC</t>
  </si>
  <si>
    <t>La Oficina Asesora de planeación realiza el seguimiento al PIGA de la entidad el cual es implementendo en la STRF, para lo cual la mayoria de actividades son realizadas por STRF, acorde a los linemientos establecidos por la normativa, la cual la OAP hace seguimiento; estas actividaes son con corte 30 de Octubre de 2014</t>
  </si>
  <si>
    <t>La Oficina Asesora de planeación realiza el seguimiento al PIGA de la entidad el cual es implementendo en la STRF, para lo cual la mayoria de actividades son realizadas por STRF, acorde a los linemientos establecidos por la normativa, la cual la OAP hace seguimiento.</t>
  </si>
  <si>
    <t>OCI</t>
  </si>
  <si>
    <t>No se han terminado las acciones correspondientes a la auditoría del contrato 854 en conjunto con la DTAF y STRF; adicionalmente no se han alineado los mapas de riesgo a la nueva estructura.</t>
  </si>
  <si>
    <t>OAP</t>
  </si>
  <si>
    <t>De los trámites programados inicialmente para ejecutar desde el 1° de enero hasta el 31 de diciembre, quedaron pendientes un total de 4 trámites. El detalle de los documentos se puede observar en el plan documental consolidado por la OAP o el plan específico en cada área.</t>
  </si>
  <si>
    <t>X</t>
  </si>
  <si>
    <t>Esta ejecución se hará en los meses de noviembre y/o diciembre. Se han adelantado las actividades de selección para la contratación del servicio de preauditoría y auditoría de certificación. Los docuemntos fueron enviados a la DPS, la cual devolvió para correcciones, y sus ajustes se envieron nuevamente. Se espera que el proveedor elegido se pueda conocer en el mes de diciembre, seguidamente, sin mebargo las actividades tendrán que realizarse tambien en el año siguiente. Las actividades del SIG para la semana se costearon por el contrato con compensar.</t>
  </si>
  <si>
    <t xml:space="preserve">En el mes de diciembre se dio cumplimiento a la ejecución de lo programado para este mes. </t>
  </si>
  <si>
    <t>En lo relativo a ejecución presupuesta la Oficina Asesora de Planeación realizó un cumpklimiento del 100 % de su compromiuso para la viegencia del año 2014,</t>
  </si>
  <si>
    <t>Se verifica la información registrada en el sistema de Información y Acompañamiento Contractual SIAC  por parte de la Oficina Asesora de Planeación frente a  las matrices de seguimiento de la DTGC como lo son Base de datos publicación SECOP, adiciones, prorrogas y suspensiones, para determinar el cumplimiento en la gestión de los estados SIAC competencia de cada una de las áreas del IDU, encontrando cumplimiento del 100% del indicador lo que permite garantizar la confiabilidad de la información reportada en el SIAC.</t>
  </si>
  <si>
    <t xml:space="preserve">Una vez verificado el Sistema de Información y Acompañamiento Contractual – SIAC, y de acuerdo a los parámetros establecidos de medición se establece que la información correspondiente a los contratos a cargo de la Oficina Asesora de Planeación se encuentra actualizada.
</t>
  </si>
  <si>
    <t>PENDIENTE REPORTE DTGC</t>
  </si>
  <si>
    <t xml:space="preserve">
Una vez verificado el Sistema de Información y Acompañamiento Contractual – SIAC, y de acuerdo a los parámetros establecidos de medición se establece que la información correspondiente a los contratos a cargo de la Oficina Asesora de Planeación se encuentra desactualizada en un contrato que se encuentra en legalización y su termino de ejecución ya termino.
</t>
  </si>
  <si>
    <t>Cristina Patricia Navarro Corrales</t>
  </si>
  <si>
    <t>Jefe Oficina Asesora de Planeación ( E )</t>
  </si>
  <si>
    <t>OFICINA DE CONTROL DISCIPLINARIO</t>
  </si>
  <si>
    <t>PERÍODO:</t>
  </si>
  <si>
    <t>5.4. Gestionar anticipadamente las quejas que se presenten o adelanten de oficio, y los procesos disciplinarios cuando haya lugar a ello</t>
  </si>
  <si>
    <t>A 31 de diciembre de 2014 haber adoptado las decisiones a que haya lugar, con anterioridad al término establecido en el Manual Distrital de Procesos y procedimientos (10 días hábiles a partir del reparto de la queja)</t>
  </si>
  <si>
    <t>% de quejas evaluadas y decididas de manera anticipada</t>
  </si>
  <si>
    <t>Agilizar el trámite de las quejas recibidas en aras de garantizar los principios de celeridad, , eficiencia y economía</t>
  </si>
  <si>
    <t xml:space="preserve">Número de quejas evaluadas y decididas antes de los 10 días hábiles establecidos en el MDPPD / Número de quejas recibidas en el periodo </t>
  </si>
  <si>
    <t>Cuadro de seguimiento procesos disciplinarios, base de datos de Acces y el SIID</t>
  </si>
  <si>
    <t xml:space="preserve">Porcentaje </t>
  </si>
  <si>
    <t>Carmen Vanessa Rodriguez Valentierra</t>
  </si>
  <si>
    <t>En el mes de enero de 2014, se evaluaron y decidieron dos(2) quejas de las cuatro (4) que llegaron, antes de los diez días hábiles establecidos en el MDPPD; las dos (2) restantes se evaluaran en el mes de febrero, dentro de los diez días hábiles establecidos en el MDPPD, por cuanto llegaron a final del mes. En consecuencia se cumple con el indicador, pues al final del trimestre se reflejará en el total de quejas evaluadas.</t>
  </si>
  <si>
    <t>En el mes de febrero de 2014, se allegaron un total de 8 quejas, de las cuales se evaluaron y decidieron dos (2) del mes de enero y seis del mes de febrero, para un total de ocho (8)  quejas  quejas evaluadas, antes de los diez días hábiles establecidos en el MDPPD.  Quedan pendientes de evaluar dos (2), del mes de febrero habida cuenta que se allegaron a final del mes, por lo tanto se evaluaran en el mes de marzo, dentro del término establecido. En consecuencia se cumple con el indicador, pues al final del trimestre se reflejará en el total de quejas evaluadas.</t>
  </si>
  <si>
    <t>En el mes de marzo de 2014, se allegaron un total de doce (12) quejas, de las cuales se evaluaron y decidieron dos (2) del mes de febrero y doce (12) del mes de marzo, para un total de catorce (14) quejas evaluadas, antes de los diez días hábiles establecidos en el MDPPD.   Se precisa que aunque el indicador da un porcentaje en la meta ejecutada superior al 100%, ello obedece a que al realizar la sumatoria del trimestre completo (enero-marzo) se refleja el real cumplimiento de lo evaluado, lo que corresponde al 100%</t>
  </si>
  <si>
    <t xml:space="preserve">En el mes de abril de 2014, se recibieron un total de siete (7) quejas, de las cuales se evaluaron y decidieron cuatro (4), antes de los diez días hábiles establecidos en el MDPPD.   
Queda pendiente de evaluación y decisión de una (1) queja, habida cuenta de que se allegó a final del mes, razón por la cual se evaluará y decidirá en el mes de mayo, dentro del término establecido.  
Se aclara, igualmente, que las dos (2) quejas restantes fueron decididas después de los diez días hábiles establecidos en el MDPPD, teniendo en cuenta el periodo de descanso compensado de Semana Santa y la posterior incapacidad médica de la jefe de la Oficina. </t>
  </si>
  <si>
    <t xml:space="preserve">En el mes de mayo de 2014, se allegaron un total de nueve (9) quejas, de las cuales se evaluaron y decidieron una (1) del mes de abril y cinco (5) del mes de mayo, para un total de seis (6) quejas evaluadas, antes de los diez días hábiles establecidos en el MDPPD.   Quedan pendientes de evaluar cuatro (4), del mes de mayo, habida cuenta que se allegaron a final del mes, por lo tanto se evaluaran en el mes de junio, dentro del término establecido. </t>
  </si>
  <si>
    <t>En el mes de junio de 2014, se allegaron un total de diez (10) quejas, de las cuales se evaluaron y decidieron cuatro (4) del mes de mayo y ocho (8) del mes de junio, para un total de doce (12) quejas evaluadas, las dos (2) restantes se evaluaran en el mes de julio, dentro de los diez días hábiles establecidos en el MDPPD Se precisa que aunque el indicador da un porcentaje en la meta ejecutada superior al 100%, ello obedece a que al realizar la sumatoria del periodo completo al finalizar el año se reflejará el real cumplimiento de lo evaluado, lo que corresponde al 100%</t>
  </si>
  <si>
    <t xml:space="preserve">En el mes de julio de 2014, se allegaron un total de nueve (9) quejas, de las cuales se evaluaron y decidieron una (1) del mes de junio y tres (3) del mes de julio, para un total de cuatro (4) quejas evaluadas, de las siete (7) restantes, una (1) se evaluará en el mes de agosto, dentro de los diez días hábiles establecidos en el MDPPD, y de las otras seis (6), se aclara que por la coyuntura de la salida de la Dra Rubiola Meléndez y el impedimento en varios temas por parte del jefe encargado, Dr Gustavo Salazar, se tuvo que aplazar la evaluación y decisión de las mimas, por lo cual serán objeto de estudio y decisión,  en el mes de agosto, por la nueva jefe de la Oficina. </t>
  </si>
  <si>
    <t>Se tenía un acumulado de siete (7) quejas del mes anterior y en el mes de agosto de 2014 se recibieron once (11) nuevas quejas. En total se evaluaron y decidieron seis (6) quejas dentro de los diez días hábiles establecidos en el MDPPD, y dos (2) del acumulado pendiente por decidir, con lo cual quedan pendientes por tramitar diez (10), que serán decididas en el mes de septiembre del año en curso. 
Se aclara que por la coyuntura de cambio de jefatura de la oficina y por la necesidad de dar prioridad a los procesos pendientes de decisión, se tramitaron solo dos (2) de las quejas acumuladas mencionadas, y se postergó para el mes de septiembre la evaluación y decisión de las demás quejas acumuladas.</t>
  </si>
  <si>
    <t xml:space="preserve">Se tenía un acumulado de diez (10) quejas del mes anterior y en el mes de septiembre de 2014 se recibieron siete (7) nuevas quejas. En total se evaluaron y decidieron siete (7) quejas dentro de los diez días hábiles establecidos en el MDPPD y nueve (9) del acumulado pendiente por decidir, con lo cual queda por tramitar una (1) queja, que será decidida en el mes de octubre del año en curso. 
Se aclara que por la necesidad de dar prioridad a los procesos pendientes de decisión, se tramitó el acumulado de las nueve (9) quejas mencionadas, quedando pendiente una (1) de ellas, la cual se tramitará en el mes de octubre. </t>
  </si>
  <si>
    <t xml:space="preserve">Se tenía un acumulado de una (1) queja del mes anterior y en el mes de octubre de 2014 se recibieron veintidos (22) nuevas quejas. En total se evaluaron y decidieron ventitres (23) quejas dentro de los diez días hábiles establecidos en el MDPPD.
</t>
  </si>
  <si>
    <t>En el mes de noviembre de 2014 se recibieron catorce (14) nuevas quejas. En total se evaluaron y decidieron doce (12) quejas dentro de los diez días hábiles establecidos en el MDPPD, y dos (2) del acumulado pendiente por decidir, las cuales vence su termino en el mes de diciembre quedado estas para el acumulado del siguiente mes</t>
  </si>
  <si>
    <t>Se tenía un acumulado de dos (2) queja del mes anterior las cuales vencia su termino en el mes de diciembre las cuales se les dio el respectivo trámite y en el mes de diciembre  de 2014 se recibieron doce (12) nuevas quejas. En total se evaluaron y decidieron doce (12) quejas dentro de los diez días hábiles establecidos en el MDPPD.</t>
  </si>
  <si>
    <t>Para el año 2014 la OCD remitieron 126 quejas de las cuales 104 se adoptaron las decisiones a que haya lugar, con anterioridad al término establecido en el Manual Distrital de Procesos y procedimientos (10 días hábiles a partir del reparto de la queja).</t>
  </si>
  <si>
    <t xml:space="preserve">Resolver anticipadamente el 25% de las actuaciones disciplinarias que se inicien y se encuentren en trámite </t>
  </si>
  <si>
    <t>% de actuaciones disciplinarias resueltas anticipadamente</t>
  </si>
  <si>
    <t>Anticipar etapas procesales, la evaluación y decisión de las actuaciones disciplinarias para agilizar la gestión de la OCD y garantizar la aplicación de los principios de celeridad y economía procesal</t>
  </si>
  <si>
    <t xml:space="preserve">Número decisiones de fondo anticipadas acumuladas / Universo de decisiones de fondo acumuladas. </t>
  </si>
  <si>
    <t>Cuadro de seguimiento procesos disciplinarios, base de datos de Acces, verificación física de los procesos disciplinarios</t>
  </si>
  <si>
    <t>De cinco (5) decisiones resueltas, en el mes de enero de 2014, cuatro (4) se realizaron de manera anticipada. Por lo cual se ha cumplido con el 55% adicional a la meta fijada, que era del 25%.</t>
  </si>
  <si>
    <t>De diez (10) decisiones de fondo tomadas al mes de febrero de 2014, seis (6) han sido de manera anticipada.Por lo cual se ha cumplido con el 35% adicional a la meta fijada, que era del 25%.</t>
  </si>
  <si>
    <t>De diecisiete (17) decisiones de fondo tomadas al mes de marzo de 2014, doce (12) han sido de manera anticipada. Por lo cual se ha cumplido con el 46% adicional a la meta fijada, que era del 25%.</t>
  </si>
  <si>
    <t>De veintinueve (29) decisiones de fondo tomadas al mes de abril de 2014, dieciséis (16) han sido de manera anticipada. Por lo cual se ha cumplido con el 30% adicional a la meta fijada, que era del 25%.</t>
  </si>
  <si>
    <t>De treinta y cuatro (34) decisiones de fondo tomadas al mes de mayo de 2014, dieciséis (16) han sido de manera anticipada. Por lo cual se ha cumplido con el 22% adicional a la meta fijada, que era del 25%.</t>
  </si>
  <si>
    <t>De cuarenta y cinco (45) decisiones de fondo tomadas al mes de junio de 2014, veintidós (22) han sido de manera anticipada. Por lo cual se ha cumplido con el 23% adicional a la meta fijada, que era del 25%.</t>
  </si>
  <si>
    <t>De cuarenta y siete (47) decisiones de fondo tomadas al mes de julio de 2014, veintitrés (23) han sido de manera anticipada. Por lo cual se ha cumplido con el 25% adicional a la meta fijada, que era del 25%.</t>
  </si>
  <si>
    <t>De cincuenta (50) decisiones de fondo tomadas al mes de agosto de 2014, veinticuatro (24) han sido de manera anticipada. Por lo cual se ha cumplido con el 23% adicional a la meta fijada para el año, que era del 25%.</t>
  </si>
  <si>
    <t>De sesenta y siete (67) decisiones de fondo tomadas al mes de septiembre de 2014, veintisiete (27) han sido de manera anticipada. Por lo cual se ha cumplido con el 15% adicional a la meta fijada para el año, que era del 25%.</t>
  </si>
  <si>
    <t>De noventa y dos (92) decisiones de fondo tomadas al mes de octubre de 2014, veinticinco (25) han sido de manera anticipada. Por lo cual se ha cumplido con el 15% adicional a la meta fijada para el año, que era del 25%.</t>
  </si>
  <si>
    <t>De ciento dos (102) decisiones de fondo tomadas al mes de noviembre de 2014, diez (10) han sido de manera anticipada. Por lo cual se ha cumplido con el 15% adicional a la meta fijada para el año, que era del 25%.</t>
  </si>
  <si>
    <t>De ciento catorce (114) decisiones de fondo tomadas al mes de diciembre de 2014, nueve (9) han sido de manera anticipada. Por lo cual se ha cumplido con el 15% adicional a la meta fijada para el año, que era del 25%.</t>
  </si>
  <si>
    <t>La OCD tramito anticipadamente las actuaciones disciplinarias que se inicien y se encuentren en trámite de las cuales solo se llego a la meta del 66% pactada para el 2014</t>
  </si>
  <si>
    <t>5.16. Implementar el 100% de las actividades de prevención dirigidas a los servidores y contratitas de la entidad, para evitar la comisión de faltas disciplinarias.</t>
  </si>
  <si>
    <t>A diciembre 31 de 2014, haber proyectado y enviado vía Outlook un total de doce (12) correos con el flash disciplinario</t>
  </si>
  <si>
    <t>% de flash disciplinarios remitidos a funcionarios y contratistas del IDU</t>
  </si>
  <si>
    <t>Adelantar las actividades de prevención diseñadas por la OCD de acuerdo a las necesidades evidenciadas o solicitudes formuladas por los servidores públicos y contratistas de la entidad</t>
  </si>
  <si>
    <t>(Total de correos enviados vía Outlook con el flash disciplinario )/ (Total de correos programados para el envío del flash disciplinario) * 100</t>
  </si>
  <si>
    <t>Consecutivo de Acces, carpeta física y virtual y consulta en intranet</t>
  </si>
  <si>
    <t>Dentro de la labor preventiva de la OCD se remitió, vía Outlook, un (1) flash disciplinario según la programación prevista para enero de 2014, por lo cual se cumplió con el 100% de la meta fijada para el mencionado mes</t>
  </si>
  <si>
    <t>Dentro de la labor preventiva de la OCD se remitió, vía Outlook, un (1) flash disciplinario según la programación prevista para febrero de 2014, por lo cual se cumplió con el 100% de la meta fijada para el mencionado mes</t>
  </si>
  <si>
    <t>Dentro de la labor preventiva de la OCD se remitieron, vía Outlook, dos (2) flash disciplinarios según la programación prevista para marzo de 2014, por lo cual se cumplió con el 100% de la meta fijada para el mencionado mes</t>
  </si>
  <si>
    <t>Dentro de la labor preventiva de la OCD se remitió, vía Outlook, un (1) flash disciplinario, según la programación prevista para abril de 2014, por lo cual se cumplió con el 100% de la meta fijada para este mes.</t>
  </si>
  <si>
    <r>
      <t>Dentro de la labor preventiva de la OCD se remitió, vía Outlook, un (1) flash disciplinario, según la programación prevista para mayo de 2014, por lo cual se cumplió con el 100% de la meta fijada para este</t>
    </r>
    <r>
      <rPr>
        <sz val="8"/>
        <color indexed="10"/>
        <rFont val="Arial"/>
        <family val="2"/>
      </rPr>
      <t xml:space="preserve"> </t>
    </r>
    <r>
      <rPr>
        <sz val="8"/>
        <rFont val="Arial"/>
        <family val="2"/>
      </rPr>
      <t>mes.</t>
    </r>
  </si>
  <si>
    <r>
      <t>Dentro de la labor preventiva de la OCD se remitió, vía Outlook, un (1) flash disciplinario, según la programación prevista para junio de 2014, por lo cual se cumplió con el 100% de la meta fijada para este</t>
    </r>
    <r>
      <rPr>
        <sz val="8"/>
        <color indexed="10"/>
        <rFont val="Arial"/>
        <family val="2"/>
      </rPr>
      <t xml:space="preserve"> </t>
    </r>
    <r>
      <rPr>
        <sz val="8"/>
        <rFont val="Arial"/>
        <family val="2"/>
      </rPr>
      <t>mes.</t>
    </r>
  </si>
  <si>
    <r>
      <t>Dentro de la labor preventiva de la OCD se remitió, vía Outlook, un (1) flash disciplinario, según la programación prevista para julio de 2014, por lo cual se cumplió con el 100% de la meta fijada para este</t>
    </r>
    <r>
      <rPr>
        <sz val="8"/>
        <color indexed="10"/>
        <rFont val="Arial"/>
        <family val="2"/>
      </rPr>
      <t xml:space="preserve"> </t>
    </r>
    <r>
      <rPr>
        <sz val="8"/>
        <rFont val="Arial"/>
        <family val="2"/>
      </rPr>
      <t>mes.</t>
    </r>
  </si>
  <si>
    <r>
      <t>Dentro de la labor preventiva de la OCD se remitió, vía Outlook, un (1) flash disciplinario, según la programación prevista para agosto de 2014, por lo cual se cumplió con el 100% de la meta fijada para este</t>
    </r>
    <r>
      <rPr>
        <sz val="8"/>
        <color indexed="10"/>
        <rFont val="Arial"/>
        <family val="2"/>
      </rPr>
      <t xml:space="preserve"> </t>
    </r>
    <r>
      <rPr>
        <sz val="8"/>
        <rFont val="Arial"/>
        <family val="2"/>
      </rPr>
      <t>mes.</t>
    </r>
  </si>
  <si>
    <t>Dentro de la labor preventiva de la OCD se remitió, vía Outlook, un (1) flash disciplinario, según la programación prevista para septiembre de 2014. 
Se deja constancia que por inconvenientes con el Outlook institucional, el flash disciplinario de este mes se pudo enviar solo hasta el 1 de octubre de 2014</t>
  </si>
  <si>
    <t xml:space="preserve">Dentro de la labor preventiva de la OCD se remitió, vía Outlook, un (1) flash disciplinario, según la programación prevista para octubre de 2014. 
</t>
  </si>
  <si>
    <t>Dentro de la labor preventiva de la OCD, fue remitdo vía correo Outlook, un flash disicplinario dentro de la programación hecha; esta se realizo el 28/11/2014</t>
  </si>
  <si>
    <t>Dentro de la labor preventiva de la OCD, fue remitdo vía correo Outlook, un flash disicplinario dentro de la programación hecha</t>
  </si>
  <si>
    <t xml:space="preserve"> En el año se remitieron vía Outlook un total de trece (13) correos con el flash disciplinario cumplianedo así con la meta planteada</t>
  </si>
  <si>
    <r>
      <t xml:space="preserve">A diciembre 31 de 2014, haber enviado todas las recomendaciones ordenadas en las providencias y que se consideren necesarias para fortalecer las funciones asignadas </t>
    </r>
    <r>
      <rPr>
        <sz val="7"/>
        <rFont val="Arial"/>
        <family val="2"/>
      </rPr>
      <t>a las dependencias del IDU</t>
    </r>
  </si>
  <si>
    <t>% de recomendaciones realizadas a las diferentes áreas del Instituto de las providencias que las ordenaron o que sean necesarias para el fortalecimiento del IDU.</t>
  </si>
  <si>
    <t>Adelantar las actividades de prevención diseñadas por la OCD de acuerdo con las situaciones verificadas en las actuaciones disciplinarias y evidenciadas en las áreas del Instituto por la OCD</t>
  </si>
  <si>
    <t>Número de recomendaciones efectuadas en el mes / Número de recomendaciones ordenadas en Autos o por situaciones evidenciadas dentro de la labor preventiva del mes * 100</t>
  </si>
  <si>
    <t xml:space="preserve">Cuadro consecutivo de recomendaciones, carpeta física y virtual </t>
  </si>
  <si>
    <t>En el mes de enero de 2014 no se enviaron recomendaciones por cuanto no hubo auto que así las ordenara, ni se evidenció alguna situación que así lo ameritara</t>
  </si>
  <si>
    <t>En el mes de febrero de 2014 no se enviaron recomendaciones por cuanto no hubo auto que así las ordenara, ni se evidenció alguna situación que así lo ameritara</t>
  </si>
  <si>
    <t>En el mes de marzo de 2014 se enviaron cinco (5) recomendaciones, de las cuales de la recomendación n° 5, se envió a 32 dependencias del IDU, por situaciones evidenciadas y en aras de adelantar la labor preventiva de la OCD.</t>
  </si>
  <si>
    <t>En abril de 2014 no se enviaron recomendaciones, por cuanto no hubo auto que así las ordenara, ni se evidenció alguna situación que así lo ameritara.</t>
  </si>
  <si>
    <t>En el mes de mayo de 2014 se envió una (1) recomendación, la cual se envió a 32 dependencias del IDU, por situaciones evidenciadas y en aras de adelantar la labor preventiva de la OCD.</t>
  </si>
  <si>
    <t>En el mes de junio de 2014 se enviaron tres (3) recomendaciones, de las cuales de la recomendación n° 7, se envió a 32 dependencias del IDU, por situaciones evidenciadas y en aras de adelantar la labor preventiva de la OCD.</t>
  </si>
  <si>
    <t>En julio de 2014 no se enviaron recomendaciones, por cuanto no hubo auto que así las ordenara, ni se evidenció alguna situación que así lo ameritara.</t>
  </si>
  <si>
    <t>En el mes de agosto de 2014 se envió una (1) recomendación a tres dependencias del IDU, en aras de adelantar la labor preventiva de la OCD.</t>
  </si>
  <si>
    <t>Se aclara que en el mes de septiembre de 2014  se envio recomendacion, a todas las areas.</t>
  </si>
  <si>
    <t>En el mes de octubre de 2014 se envió una (1) recomendación a dos dependencias del IDU, en aras de adelantar la labor preventiva de la OCD.</t>
  </si>
  <si>
    <t>en el mes de noviembre no se realizaron recomendaciones ya que no fueron programadas para este mes.</t>
  </si>
  <si>
    <t>En el mes de diciembre se realizon dos recomendaciones una de ellas se realizo vía cartelera informativa del IDU y la otra fue hecha a la OTC respecto de la atención que se depre prestar a la ciudadania.</t>
  </si>
  <si>
    <t>En el año 2014 se enviaron todas las recomendaciones ordenadas en las providencias y que se consideren necesarias para fortalecer las funciones asignadas a las dependencias del IDU</t>
  </si>
  <si>
    <t>A diciembre 31 de 2014 haber realizado todas y cada una de las inducciones y capacitaciones ordenadas por la STRH y/o solicitadas por las demás áreas del Instituto o la Dirección Distrital de Asuntos Disciplinarios de la Alcaldía Mayor de Bogotá</t>
  </si>
  <si>
    <t>% de inducciones y capacitaciones realizadas por la OCD</t>
  </si>
  <si>
    <t>Adelantar las actividades de prevención diseñadas por la OCD de acuerdo a las necesidades evidenciadas</t>
  </si>
  <si>
    <t>(Total de inducciones y capacitaciones realizadas por la OCD) /( Total de inducciones y capacitaciones solicitadas a la OCD)* 100%</t>
  </si>
  <si>
    <t>Carpeta física en la que se guarda copia de las certificaciones, Inducciones y capacitaciones impartidas por la OCD, y  cuadro Excel.</t>
  </si>
  <si>
    <t>Se  realizaron dos (2) capacitaciones de inducción, en el mes de enero de 2014, a nuevos funcionarios y/o contratistas que ingresaron a la entidad, por solicitud de la STRH. Una de las inducciones fue de carácter individual y la otra con la participación de 53 contratistas</t>
  </si>
  <si>
    <r>
      <t>Se  realizaron dos (2) capacitaciones de inducción, en el mes de febrero de 2014, a nuevos funcionarios y/o contratistas que ingresaron a la entidad, por solicitud de la STRH; una de las inducciones fue de carácter individual, la otra con la participación de 36</t>
    </r>
    <r>
      <rPr>
        <sz val="8"/>
        <rFont val="Arial"/>
        <family val="2"/>
      </rPr>
      <t xml:space="preserve"> personas. Y se realizó capacitación a los Directivos de la entidad, en coordinación con la Dirección Distrital de Asuntos Disciplinarios y la STRH, con una asistencia de 58 personas.</t>
    </r>
  </si>
  <si>
    <t>En el mes de marzo de 2014, no se realizaron capacitaciones, por cuanto no fueron programadas ni solicitadas por la STRH ni la Alcaldía Mayor</t>
  </si>
  <si>
    <t>En el mes de abril de 2014 no se realizaron capacitaciones, por cuanto no fueron programadas ni solicitadas por la STRH ni por la Alcaldía Mayor de Bogotá.</t>
  </si>
  <si>
    <t>En el mes de mayo de 2014 no se realizaron capacitaciones, por cuanto no fueron programadas ni solicitadas por la STRH ni por la Alcaldía Mayor de Bogotá.</t>
  </si>
  <si>
    <t>En el mes de junio de 2014 no se realizaron capacitaciones, por cuanto no fueron programadas ni solicitadas por la STRH ni por la Alcaldía Mayor de Bogotá.</t>
  </si>
  <si>
    <t>En el mes de julio de 2014 no se realizaron capacitaciones, por cuanto no fueron programadas ni solicitadas por la STRH ni por la Alcaldía Mayor de Bogotá.</t>
  </si>
  <si>
    <t xml:space="preserve">Se  realizó una (1) capacitación de inducción, en el mes de agosto de 2014, a una nueva funcionaria que ingresaró a la entidad, por solicitud de la STRH </t>
  </si>
  <si>
    <t>En el mes de septiembre de 2014 no se realizaron capacitaciones, por cuanto no fueron programadas ni solicitadas por la STRH ni por la Alcaldía Mayor de Bogotá.</t>
  </si>
  <si>
    <t>Se  realizó una (1) capacitación sobre responsabilidades publicas, en el mes de octubre de 2014, a 69 servidores (as).</t>
  </si>
  <si>
    <t>En el mes de noviembre de 2014 no se realizaron capacitaciones, por cuanto no fueron programadas ni solicitadas por la STRH ni por la Alcaldía Mayor de Bogotá.</t>
  </si>
  <si>
    <t>En el mes de diciembre se realizo un capacitación con ocasión de la incorporación al equipo de trabajo de la OCD de dos nuevos contratistas donde se trato el tema de los riesgos de corrupción, plan de capacitación, ejes tematicos y recomendaciones que se deben tener para salvaguardar los expedientes  e información que se maneja en la oficina.</t>
  </si>
  <si>
    <t>En el año 2014 se realizaron un total de 7 inducciones y capacitaciones ordenadas por la STRH y/o solicitadas por las demás áreas del Instituto o la Dirección Distrital de Asuntos Disciplinarios de la Alcaldía Mayor de Bogotá</t>
  </si>
  <si>
    <t xml:space="preserve">A diciembre 31 de 2014, haber realizado mínimo tres (3) visitas preventivas a diferentes áreas del Instituto, o adelantar actividades preventivas </t>
  </si>
  <si>
    <t>% de visitas preventivas realizadas por la OCD</t>
  </si>
  <si>
    <t>Adelantar las actividades de prevención diseñadas por la OCD de acuerdo a las necesidades evidenciadas, o puestas en conocimiento por los usuarios del Instituto</t>
  </si>
  <si>
    <t>(Total de visitas o actividades preventivas realizadas) / (Total de visitas y actividades  preventivas  requeridas) *100</t>
  </si>
  <si>
    <t>Carpeta física de visitas administrativas y  cuadro Excel.</t>
  </si>
  <si>
    <t>Yenny Martínez Gutiérrez</t>
  </si>
  <si>
    <t xml:space="preserve">No se realizaron visitas preventivas en el mes de enero de 2014, por cuanto no fueron evidenciadas o requeridas en este mes. </t>
  </si>
  <si>
    <t xml:space="preserve">No se realizaron visitas preventivas en el mes de febrero de 2014, por cuanto no fueron evidenciadas o requeridas en este mes. </t>
  </si>
  <si>
    <t xml:space="preserve">No se realizaron visitas preventivas en el mes de marzo de 2014, por cuanto no fueron evidenciadas o requeridas en este mes. </t>
  </si>
  <si>
    <t xml:space="preserve">No se realizaron visitas preventivas en el mes de abril de 2014, por cuanto no fueron evidenciadas o requeridas en este mes. </t>
  </si>
  <si>
    <t xml:space="preserve">No se realizaron visitas preventivas en el mes de mayo de 2014, por cuanto no fueron evidenciadas o requeridas en este mes. </t>
  </si>
  <si>
    <t>Se adelantaron dos (2) actividades de prevención, en el mes de junio de 2014, diseñadas por la OCD de acuerdo a las necesidades evidenciadas, o puestas en conocimiento por los usuarios del Instituto</t>
  </si>
  <si>
    <t xml:space="preserve">No se realizaron visitas ni actividades de prevención en el mes de mayo de 2014, por cuanto no fueron evidenciadas o requeridas en este mes. </t>
  </si>
  <si>
    <t xml:space="preserve">No se realizaron visitas ni actividades de prevención en el mes de agosto de 2014, por cuanto no fueron evidenciadas o requeridas en este mes. </t>
  </si>
  <si>
    <t xml:space="preserve">No se realizaron visitas ni actividades de prevención en el mes de septiembre de 2014, por cuanto no fueron evidenciadas o requeridas en este mes. </t>
  </si>
  <si>
    <t xml:space="preserve">No se realizaron visitas, por cuanto no es una actividad que sea de competencia de la Oficina. </t>
  </si>
  <si>
    <t xml:space="preserve">No se realizaron visitas, por cuanto no es una actividad que sea de competencia de la Oficina . </t>
  </si>
  <si>
    <t>Carlos Campos
John Quiroga 
Aplica a todas las áreas</t>
  </si>
  <si>
    <t>Esta Oficina a la fecha no tiene documentación pendiente por normalizar, por cuanto nos encontramos regidos bajo el Manual Distrital de Procesos y Procedimientos Disciplinarios</t>
  </si>
  <si>
    <t>Esta Oficina a la fecha no tiene documentación pendiente por normalizar</t>
  </si>
  <si>
    <t>Debido a la necesidad de normalizar los formatos que maneja la oficina, se coordinará con la OAP el inicio de dicho procedimiento.</t>
  </si>
  <si>
    <t>OCD no definió documentos del SIG, se ajusta a los exigidos por la normatividad.</t>
  </si>
  <si>
    <t>No. de Solicitudes de Acompañamiento, asesoría y elaboración de tramites contractuales Cargados en el SIAG / Total de solicitudes de acompañamiento, asesoría y elaboración de tramites contractuales. X1 01</t>
  </si>
  <si>
    <t>OCD</t>
  </si>
  <si>
    <t>Se da cumplimiento con el indicador verificado el Sistema de Información y Acompañamiento Contractual SIAC y las bases de datos de seguimiento de la DTGC.</t>
  </si>
  <si>
    <t xml:space="preserve">Se encuentra actualizada la información registrada en el Sistema de Información y Acompañamiento Contractual SIAC de los contratos a cargo de la Oficina de Control Disciplinario </t>
  </si>
  <si>
    <r>
      <t>v</t>
    </r>
    <r>
      <rPr>
        <sz val="7"/>
        <rFont val="Times New Roman"/>
        <family val="1"/>
      </rPr>
      <t xml:space="preserve">  </t>
    </r>
    <r>
      <rPr>
        <sz val="11"/>
        <rFont val="Calibri"/>
        <family val="2"/>
      </rPr>
      <t>Se aclara, frente al primer indicador, que no necesariamente las quejas recibidas en el mes serán decididas dentro del mismo período, por cuanto la meta de este indicador hace referencia a la toma de decisión antes de que transcurran diez (10) días luego del respectivo reparto, por lo cual el cambio de mes no incide en el cumplimiento del mismo.</t>
    </r>
  </si>
  <si>
    <t xml:space="preserve">Se aclara que se realizó corrección en el mes de mayo del indicador de Recomendaciones, por cuanto se hizo una y se reportaron dos. </t>
  </si>
  <si>
    <t xml:space="preserve">Se aclara que se realizó corrección en el mes de septiembre del indicador de Recomendaciones, por cuanto se hizo una y no se habian reportado. </t>
  </si>
  <si>
    <r>
      <t xml:space="preserve">Nombre: </t>
    </r>
    <r>
      <rPr>
        <b/>
        <sz val="10"/>
        <rFont val="Arial"/>
        <family val="2"/>
      </rPr>
      <t>CARMEN VANESSA RODRÍGUEZ VALENTIERRA</t>
    </r>
  </si>
  <si>
    <t>Cargo: Jefa Oficina de Control Disciplinario</t>
  </si>
  <si>
    <t>DIRECCIÓN TÉCNICA ADMINISTRATIVA Y FINANCIERA</t>
  </si>
  <si>
    <t>DIRECCIÓN TÉCNICA DE MANTENIMIENTO</t>
  </si>
  <si>
    <t>DIRECICIÓN TÉCNICA DE PROYECTOS</t>
  </si>
  <si>
    <t>OFICINA DE CONTROL INTERNO</t>
  </si>
  <si>
    <t>5.6 Evaluar el 100% de los procesos y la gestión de las dependencias del IDU</t>
  </si>
  <si>
    <t>213 Informes</t>
  </si>
  <si>
    <t>EVALUACIONES</t>
  </si>
  <si>
    <t>Medir el avance de la evaluación de la gestión del Instituto</t>
  </si>
  <si>
    <t xml:space="preserve">N° EVALUACIONES REALIZADAS / TOTAL DE EVALUACIONES DEL AÑO </t>
  </si>
  <si>
    <t>Matriz de Seguimiento OCI</t>
  </si>
  <si>
    <t>42 Informes</t>
  </si>
  <si>
    <t>SEGUIMIENTOS</t>
  </si>
  <si>
    <t xml:space="preserve">N° SEGUIMIENTOS REALIZADOS / TOTAL DE SEGUIMIENTOS  DEL AÑO </t>
  </si>
  <si>
    <t>Acumulado del año 92,86%</t>
  </si>
  <si>
    <t>14 Informes</t>
  </si>
  <si>
    <t xml:space="preserve">ENTES DE CONTROL </t>
  </si>
  <si>
    <t>Medir el cumplimiento de las actividades de monitoreo y de relación con entes de control</t>
  </si>
  <si>
    <t xml:space="preserve">N° MONITOREOS REALIZADOS / TOTAL DE MONITOREOS DEL AÑO </t>
  </si>
  <si>
    <t>Se presentaron dos seguimientos de los planes de mejoramiento y un reporte a la Contraloría Genera de la República.</t>
  </si>
  <si>
    <t>1 Informe</t>
  </si>
  <si>
    <t>EVALUACIONES SIG</t>
  </si>
  <si>
    <t>Medir el avance de la evaluación de la implementación de los SIG del Instituto - Decreto 334 de 2013</t>
  </si>
  <si>
    <t>Se realizó evaluación de la implementación SIG</t>
  </si>
  <si>
    <t>Las acciones programadas se adelantaron al 100% para el mes de julio de 2014.</t>
  </si>
  <si>
    <t>5.22 Implementar y evaluar el 100% del plan anticorrupción y atención al ciudadano, en el marco de las directrices nacionales y distritales.</t>
  </si>
  <si>
    <t>32 Informes</t>
  </si>
  <si>
    <t>INFORMES A ENTES ESTATALES</t>
  </si>
  <si>
    <t>Medir el cumplimiento de las actividades de monitoreo y de relación con entes estatales</t>
  </si>
  <si>
    <t xml:space="preserve">N° INFORMES REALIZADOS / TOTAL DE INFORMES DEL AÑO </t>
  </si>
  <si>
    <t xml:space="preserve">Por Corte Semestral los informes se presentan en Julio </t>
  </si>
  <si>
    <t>LOS INFORMES PROYECTADOS SE PRESENTAN FINALIZANDO EL AÑO 2014, CON LO CUAL SE CUMPLE LA META.</t>
  </si>
  <si>
    <t>Los informes proyectados con corte diciembre 31,  se presentan en el primer trimestre del año.</t>
  </si>
  <si>
    <t>No aplica ya que no hay acciones de mejoramiento para el periodo.</t>
  </si>
  <si>
    <t>No aplica ya que no se presentaron  acciones por  cumplir resultantes de los planes de mejoramiento con Entes de Control.</t>
  </si>
  <si>
    <t>Nombre: Luis Antonio Rodríguez Orozco</t>
  </si>
  <si>
    <t>Cargo: Jefe Oficina de Control Interno</t>
  </si>
  <si>
    <r>
      <rPr>
        <b/>
        <sz val="9"/>
        <rFont val="Arial"/>
        <family val="2"/>
      </rPr>
      <t>PROCESO</t>
    </r>
    <r>
      <rPr>
        <sz val="9"/>
        <rFont val="Arial"/>
        <family val="2"/>
      </rPr>
      <t xml:space="preserve">
ATENCIÓN AL CIUDADANO</t>
    </r>
  </si>
  <si>
    <t>OFICINA DE ATENCIÓN AL CIUDADANO</t>
  </si>
  <si>
    <t>A 31 de diciembre el IDU tendrá un documento implementado de política de gestión social, participación y atención al ciudadano</t>
  </si>
  <si>
    <t>Resolución de política de gestión social, participación y atención al ciudadano.</t>
  </si>
  <si>
    <t>Adoptar una política de gestión social, participación y atención al ciudadano.</t>
  </si>
  <si>
    <t>Resolución adoptada / Resolución programada * 100</t>
  </si>
  <si>
    <t>OTC</t>
  </si>
  <si>
    <t xml:space="preserve">
Porcentual  / Acumulada</t>
  </si>
  <si>
    <t>Se remitió el 18 de diciembre a la OAP propuesta de Resolución de adopción de la política  de gestión social y participación ciudadana, sin embargo esta no fue adoptada dentro de la vigencia</t>
  </si>
  <si>
    <t>Realizar en el 2014 13 jornadas de rendición de cuentas en diferetnes localidades de la ciudadn</t>
  </si>
  <si>
    <t>Rendición de cuentas a la ciudadanía</t>
  </si>
  <si>
    <t>Constituir y/o fortalecer escenarios  y mecanismos de participación, interlocución  y acceso a la información en los proyectos IDU</t>
  </si>
  <si>
    <t>Rendiciones de cuenta realizadas / Rendición de cuentas programadas * 100</t>
  </si>
  <si>
    <t>Porcentual acumulada</t>
  </si>
  <si>
    <t>No Aplica</t>
  </si>
  <si>
    <t>En el segundo trimestre se realizaron dos jornadas de rendición de cuentas correspondientes a las localidades de Rafael Uribe, Tunjuelito y Ciudad Bolívar. En el tercer trimestre se realizaron 5 jornadas de rendición de cuentas, cubriendo las localidades de san cristobal, Bosa, Teusaquillo, Barrios Unidos, Usme, Santa Fe, Martires y Candelaria. No fue posible realizar la rendicion de cuentas en la localidad de Sumapaz pues la alcaldia local no cedio el espacio para hacerla y solicitaban hacer reuniones en 3 veredas diferentes, lo cual no era viable teniendo en cuenta que el IDU no tenia intervención en la localidad.</t>
  </si>
  <si>
    <t>A 31 de diciembre el IDU contará con un modelo para el seguimiento y evalcuación de la gestión social en proyectos de infraestructura urbana.</t>
  </si>
  <si>
    <t>Seguimiento y evaluación de gestión social en proyectos de infraestructura urbana.</t>
  </si>
  <si>
    <t xml:space="preserve">Identificar objetivos y variables vinculadas a la intervención social y ambiental  en obra y Construir indicadores de Seguimiento y Evaluación </t>
  </si>
  <si>
    <t>Procedimiento adoptado / procedimiento programado * 100</t>
  </si>
  <si>
    <t>El 18 de diciembre se formalizo el prcedimiento Medición y seguimiento de percepción al componente socio ambiental de proyectos de infraestructura, el cual se encuentra asociado al proceso de Seguimiento a Proyectos, liderado por la OAP.</t>
  </si>
  <si>
    <t>4.6 Lograr el  90% de satisfacción  frente al servicio de atención al ciudadano en los puntos dispuestos por la entidad.</t>
  </si>
  <si>
    <t>La satisfacción ciudadana frente a los trámites y servicios que presta el IDU será del 85 %</t>
  </si>
  <si>
    <t>Satisfacción ciudadana</t>
  </si>
  <si>
    <t xml:space="preserve">Garantizar la satisfacción de la ciudadanía frente a la inforamción sobre trámites y servicios que se suministra a través de los canales de atención del IDU </t>
  </si>
  <si>
    <t>Porcentaje de satisfacción ciudadana trimestral</t>
  </si>
  <si>
    <t xml:space="preserve">
Porcentual  / Acumulada</t>
  </si>
  <si>
    <t>A marzo de este año, el porcentaje de satisfacción ciudadana por todos los canales fue de 84,9 % según la encuesta realizada por el Grupo de Evaluación y Seguimiento de la OTC.</t>
  </si>
  <si>
    <t>Para los tres meses del segundo trimestre de la vigencia , el porcentaje de satisfacción ciudadana por todos los canales fue de 81 % según la encuesta realizada por el Grupo de Evaluación y Seguimiento de la OTC.  Este valor evidencia la inconformidad de la ciudadania frente al tema de valorización y las demoras en las devoluciones.</t>
  </si>
  <si>
    <t>Para los tres meses del tercer trimestre de la vigencia , el porcentaje de satisfacción ciudadana por todos los canales fue de 81 % según la encuesta realizada por el Grupo de Evaluación y Seguimiento de la OTC.  Este valor evidencia la inconformidad de la ciudadania frente al tema de valorización y las demoras en las devoluciones.</t>
  </si>
  <si>
    <t>En el cuarto trimestre de la vigencia , el porcentaje de satisfacción ciudadana por todos los canales fue de 78% según la encuesta realizada por el Grupo de Evaluación y Seguimiento de la OTC.  Este valor evidencia la inconformidad de la ciudadania frente al tema de valorización teniendo en cuenta que el plazo para el pago se vencía en el mes de diciembre.</t>
  </si>
  <si>
    <t>A 31 de diciembre el IDU habrá presentado su solucitud de adhesión al Pacto Global</t>
  </si>
  <si>
    <t>Responsabilidad social IDU</t>
  </si>
  <si>
    <t>Adherir el IDU a los principios y políticas del Pacto Global</t>
  </si>
  <si>
    <t>Carta de adhesión aprobada / Carta de adhesión programada * 100</t>
  </si>
  <si>
    <t>Porcentual / Acumulada</t>
  </si>
  <si>
    <t>La Organización de las Naciones Unidas envio el 16 de abril a la Dirección del IDU una carta en la que da la bienvenida al Instituto a hacer parte de las empresas comprometidas con el cumplimiento del Pacto Global.</t>
  </si>
  <si>
    <t>Cumplida</t>
  </si>
  <si>
    <t>Queda pendiente la actualización del procedimiento PR-064 y el formato de Acta de vecindad, este ultimo se tramitó ante la OAP pero no fue publicado</t>
  </si>
  <si>
    <r>
      <t xml:space="preserve">DTAV – DTC – DTD – DTDP – DTE – DTGC – DTGJ– DTP – OAC – SGJ – STRF – STRH – STRT </t>
    </r>
    <r>
      <rPr>
        <sz val="7"/>
        <rFont val="Arial"/>
        <family val="2"/>
      </rPr>
      <t xml:space="preserve"> – STEST – STESV – STMST – STMSV - STOP </t>
    </r>
  </si>
  <si>
    <r>
      <t xml:space="preserve">DTAI – DTAV – DTC – DTD – DTDP – DTE – DTGC – DTGJ – DTM – DTP – OAC – SGJ – STRF – STRH – STRT </t>
    </r>
    <r>
      <rPr>
        <sz val="7"/>
        <color indexed="10"/>
        <rFont val="Arial"/>
        <family val="2"/>
      </rPr>
      <t xml:space="preserve"> </t>
    </r>
  </si>
  <si>
    <t>Se logra mantener sobre el 90% la ejecución del presupuesto del proyecto 955 manejado por la OTC, tramitando todos los contratos programados, la diferencia presentada radica en que los oferentes presentaron propuestas menores a la disponibilidad asignada a cada objeto contractual</t>
  </si>
  <si>
    <t>El sistema no actualizó el estado del contrato a pesar que se encontraban al día las fechas legales de terminación del mismo.</t>
  </si>
  <si>
    <t xml:space="preserve">Nombre: HENRY HUMBERTO BAQUERO TORRES </t>
  </si>
  <si>
    <t>Cargo:  JEFE DE OFICINA DE ATENCION AL CIUDADANO</t>
  </si>
  <si>
    <t>Subdirección General de Desarrollo Urbano.</t>
  </si>
  <si>
    <t>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t>
  </si>
  <si>
    <t xml:space="preserve">Orientar el 100% del desarrollo de las factibilidades a cargo de la DTP de acuerdo con las metas del Plan Distrital de Desarrollo. </t>
  </si>
  <si>
    <t>Orientación en las Factibilidades a cargo de la DTP.</t>
  </si>
  <si>
    <t>Cumplir con el 100% de las orientaciones impartidas por la SGDU  a las Factibilidades a cargo de la DTP de acuerdo con las metas del Pplan Distrital de Desarrollo ó el aprobado en el Acuerdo de Gestión del área.</t>
  </si>
  <si>
    <t>Número de Factibilidades orientadas/ Número de Factibilidades proyectadas.</t>
  </si>
  <si>
    <t>Cuadro de Seguimiento de Factibildades.</t>
  </si>
  <si>
    <t>Porcentual  /
 Acumulada</t>
  </si>
  <si>
    <t>SGDU</t>
  </si>
  <si>
    <r>
      <t xml:space="preserve">No se Programó Medición para este período.La medición de este Indicador se realiza para el mes de </t>
    </r>
    <r>
      <rPr>
        <b/>
        <sz val="8"/>
        <rFont val="Arial"/>
        <family val="2"/>
      </rPr>
      <t>Junio de 2014</t>
    </r>
    <r>
      <rPr>
        <sz val="8"/>
        <rFont val="Arial"/>
        <family val="2"/>
      </rPr>
      <t xml:space="preserve">. </t>
    </r>
  </si>
  <si>
    <t xml:space="preserve">La SGDU efectuó Orientacion al 100%  del desarrollo 15 de las 16 factibilidades  a cargo de la DTP de acuerdo con las metas del Plan Distrital de Desarrollo y se soportan en las Actas de los Comités de la Subdirección General de Desarrollo Urbano, las actas, correos y oficios de los coordinadores de los Proyectos en Etapa de Factibilidad. </t>
  </si>
  <si>
    <r>
      <t>No se Programa Medición para este período</t>
    </r>
    <r>
      <rPr>
        <sz val="8"/>
        <rFont val="Arial"/>
        <family val="2"/>
      </rPr>
      <t xml:space="preserve">. </t>
    </r>
  </si>
  <si>
    <t>La SGDU efectuo Orientacion al 100%  del desarrollo de las 16 factibilidades  a cargo de la DTP de acuerdo con las metas del Plan Distrital de Desarrollo y se soportan en las Actas de los Comités de la Subdirección General de Desarrollo Urbano, las actas, correos y oficios de los coordinadores de los Proyectos en Etapa de Factibilidad.</t>
  </si>
  <si>
    <t>La SGDU efectuó Orientación al 100%  del desarrollo de las 16 factibilidades  a cargo de la DTP de acuerdo con las metas del Plan Distrital de Desarrollo y se soportan en las Actas de los Comités de la Subdirección General de Desarrollo Urbano, las actas, correos y oficios de los coordinadores de los Proyectos en Etapa de Factibilidad, además de las acciones se relacionan con los siguientes memorandos: 1. Troncal Boyacá (Desde Yomasa hasta la Avda. San José y de la San José desde la Avda. Boyacá hasta la Autopista Norte). Fecha de Entrega el 21/02/2014/ No de Memorando 20142250040743.
2. Troncal Avda. Américas desde Puente Aranda hasta Avda. NQS. Fecha de Entrega el 06/05/2014/ No de Memorando 20142250232223.
3. Ampliación Portal Tunal. Fecha de Entrega el 06/05/2014/No de Memorando 20142250232253.
4. Troncal Villavicencio. Fecha de Entrega 06/06/2014/ No de Memorando 20142250379653.
5.  Avda. San Antonio (Cl 183) desde la Avda. Boyacá hasta la Cra. 54 D. Fecha de Entrega el 26/02/2014/ No de Memorando 20142250044103.
6. Rincón Tabor, Fecha de Entrega Febrero 28 de 2014/ No de Memorando 20142250045233.
7. Avenida Ciudad de Cali, desde Avenida Bosa hasta Avenida San Bernandino.. Fecha de Entrega el Febrero 28/02/2014/ No de Memorando 20142250045233.
8. Grupo 2: Carvajal. Fecha de Entrega el 14/03/2014/ No de Memorando 20142250059173.
9. Grupo 2: Restrepo. Fecha de Entrega el 14/03/2014/ No de Memorando 20142250059173.
10. Grupo 2: Kennedy Central. Fecha de Entrega el 28/03/2014.
11. Corredor Alsacia –Tintal- Constitución. Fechas de Entrega el 05/05/2014, 16/07/2014, 1/08/2014, 06/08/2014/ No de Memorando 2014225052723.
12.  Avda. Bosa entre la Avda. ciudad de Cali y Avda. Tintal. Fecha de Entrega el 27/06/2014/ No de Memorando 20142250418443.
13. Extensión Caracas. Fecha de Entrega el 14/07/2014/ No de Memorando 20142250420683.
14. Cable Aéreo Línea Ciudad Bolívar.  Fecha de Entrega el 28/07/2014/ No de Memorando 20142250475673.
15. Avenida Jorge Gaitán Cortés entre Avda. Boyacá y Avda. Congreso Eucarístico. Fecha de Entrega el 31/07/2014/ No de Memorando 20142250479973.
16. Avenida La Sirena (AC 153) desde la Avenida Laureano Gómez (AK 9) hasta Avenida Santa Bárbara (AK 19). Fecha de Entrega el 1/08/2014/ No de Memorando 20142250527803/ DVD correspondiente a la entrega de la Factibilidad de los 5 Puntos Inestables los cuales son los siguientes: 1. Brisas del Volador (1) 12 de Diciembre /2014. 2. Brisas del Volador (2) 16 de Diciembre /2014. 3. Juan José Rondón 18 de Diciembre/2014. 4. Vereda Margaritas/ 2 Entregas realizadas 18 y 26 de Diciembre de 2014. 5. Colegio Ofelia Uribe/ 24 de Noviembre de 2014.</t>
  </si>
  <si>
    <t>2.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t>
  </si>
  <si>
    <t>Participar en el 100% de instancias de coordinación inteinstitucional convocadas del D.C de acuerdo  con las competencias de la SGDU del IDU.</t>
  </si>
  <si>
    <t xml:space="preserve">Participación en las instancias de coordinación inteinstitucional convocadas del D.C de acuerdo con las competencias de la SGDU </t>
  </si>
  <si>
    <t>Medir el cumplimiento de la participación de la SGDU de las instancias de coordinación inteinstitucional convocadas del D.C de acuerdo con las competencias del IDU.</t>
  </si>
  <si>
    <t>Número de asistencia y participación en las instancias de coordinación de la SGDU/ Número de instancias de coordinación convocadas del D.C de acuerdo con las competencias de la SGDU del IDU.</t>
  </si>
  <si>
    <t xml:space="preserve">Actas de asistencia de participación en las instancias de coordinación de la SGDU convocadas del D.C de acuerdo con las competencias del IDU. </t>
  </si>
  <si>
    <t xml:space="preserve">Los reportes de este Indicador la SGDU asistió a 16 reuniones de las 16 convocadas durante el primero y segundo semestre del 2014, la asistencia a estas reuniones se  pueden evidenciar en las  actas y listas de asistencia abajo relacionadas y anexo en medio magnético:
1. Comité Técnico Interinstitucional de Movilidad (22 de Enero de 2014).
2. Comité Sectorial de Desarrollo Administrativo de Movilidad (30 de Enero de 2014).
3. Comité Técnico Interinstitucional  de Movilidad (06 de Marzo de 2014).
4. Comité Sectorial de Desarrollo Administrativo de Movilidad (03 de Abril de 2014).
5. Comité Técnico Interinstitucional de Movilidad (15 de Mayo de 2014).
</t>
  </si>
  <si>
    <t>Los reportes de este Indicador la SGDU asistió a 96 reuniones de las 96 convocadas durante el primero y segundo semestre del 2014, la asistencia a estas reuniones se  pueden evidenciar en las  actas y listas de asistencia abajo relacionadas y anexo en medio magnético:
1. Comité Técnico Interinstitucional de Movilidad (22 de Enero de 2014).
2. Comité Sectorial de Desarrollo Administrativo de Movilidad (30 de Enero de 2014).
3. Comité Técnico Interinstitucional  de Movilidad (06 de Marzo de 2014).
4. Comité Sectorial de Desarrollo Administrativo de Movilidad (03 de Abril de 2014).
5. Comité Técnico Interinstitucional de Movilidad (15 de Mayo de 2014).
6. Convocatoria a la reunión correspondiente al Comité Técnico Interinstitucional. (16 de Julio de 2014).
7. Convocatoria a la reunión correspondiente al Comité Técnico Interinstitucional. (31 de Julio de 2014).
8. Convocatoria Comisión Intersectorial de Operaciones Estratégicas y Macroproyectos. (5 de Agosto de 2014).
9. Acta correspondiente Comisión Intersectorial de Servicios Públicos (27 de Agosto de 2014).
10. Convocatoria a la reunión Comité Técnico Interinstitucional de Movilidad (27 de Agosto de 2014).
11. Convocatoria a la reunión Comité Técnico Interinstitucional de Movilidad (4 de Septiembre de 2014).
12. Convocatoria a la reunión Comité Técnico Interinstitucional de Movilidad (25 de Septiembre de 2014).
13. Acta correspondiente Comisión Intersectorial de Servicios Públicos (27 de Agosto de 2014).
14. Acta correspondiente Comisión Intersectorial de Servicios Públicos (8 de Octubre de 2014).
15. Convocatoria a la reunión Comité Sectorial de Desarrollo Administrativo de Movilidad. (6 de Noviembre de 2014).
16. Convocatoria a la reunión correspondiente al Comité Técnico Interinstitucional. (25 de Noviembre de 2014).  
17. Reuniones METRO Enero 7  Se ordena el seguimiento correspondiente. 
18. Enero 13 Diego Bejarano es asesor social  19. Enero 21 Reservas viales serán definidas por SDP y Susana 19. Enero 28 Project Finance
19. Febrero 4 Posibles ubicaciones del Puesto Central de Control
20. Febrero 11 Seguimiento impacto ambiental  
21. Febrero  18 BM no ve ampliación de la PLMB al Occidente
22. Marzo 11 Predio Gibraltar
23. Marzo 19 Pre Conpes
24. Marzo 26 Pendientes de concepto FOPAE sobre Gibraltar
25. Abril 3 Conclusiones II Encuentro proyecto PLMB
26. Abril 10 Contrato de Evaluación Social y Económica
27. Mayo 14 Patio Taller en Bosa
28. Mayo 21 Estructuración Financiera
29. Mayo 28 Alternativas Gibraltar
30. Junio  18 Riesgos / Componente social
31. Julio 9 Predios del proyecto PLMB
32. Agosto 6 Aplazada.</t>
  </si>
  <si>
    <t xml:space="preserve">33. Agosto 26 Preparando Foro
34. Sept. 10 DTS es necesario para anuncio de proyecto
35. Sept. 17 Ramal Técnico de Extensión de 4,5 km
36. Sept. 24 211 predios requieren $727 mil millones
37. Octubre 29 Avance estructuración financiera
38. Noviembre 11 Estructuración Financiera
39. Nov 13 Presentación estudio Evaluación Económica y Social
40. Diciembre 2 Se esquematiza opción de convenios con Universidades
41. Diciembre 9 Financiación por instrumentos de gestión
42. Diciembre 16 Sacar CDP de convenios.
43. Peatonalización Carrera 7/ Mesa de Coordinación Interinstitucional No. 1 (MCM)/ 04-ago-2014.
44. Mesa de Coordinación Interinstitucional No. 1 (MCM)/ 04-ago-14.
45. Mesa de Coordinación Interinstitucional No. 2 (MCM)/ 13-ago-14.
46. Mesa de Coordinación Interinstitucional No. 5 (MCM)/ 10-sep-14.
47. Mesa de Coordinación Interinstitucional No. 6 (MCESP)/ 10-sep-14
48. Mesa de Coordinación Interinstitucional No. 9 (MCM -MCESP)/ 01-oct-14
49. Mesa de Coordinación Interinstitucional No. 10 (MCM –MCESP/ 08-oct-14
50. Mesa de Coordinación Interinstitucional No. 11 (MCM -MCESP)/ 15-oct-14
51. Mesa de Coordinación Interinstitucional No. 12 (MCM -MCESP)/ 22-oct-14
52. Mesa de Coordinación Interinstitucional No. 13 (MCM -MCESP)/ 05-nov-14
53. Mesa de Coordinación IDU-EAB No. 2/ 29-oct-14
54. Lanzamiento de la Política de Ecourbanismo/ 25-nov-14
55. Taller: Lineamientos para la gestión ambiental del espacio público urbano en Colombia, en el marco de la política ambiental urbana/02-dic-14
56. Mesa de trabajo: Plan de Acción Política Ecourbanismo/ 18-dic-14.
57. Metas SUDS en PDD (IDU-SDA)/ 19-dic-14.
58. Proyectos conjuntos IDPC-U.ANDES-IDU/06-nov-14
59. Mesas de Trabajo con la Alcaldía Mayor de Bogotá – Coordinación Espacio Público/ 3 de Marzo de 2014.
60. Mesas de Trabajo con la Alcaldía Mayor de Bogotá – Coordinación Espacio Público/ 21 de Mayo de 2014.
61. Mesas de Trabajo con la Alcaldía Mayor de Bogotá – Coordinación Espacio Público/ 28 de Mayo de 2014.
62. Mesas de Trabajo con la Alcaldía Mayor de Bogotá – Coordinación Espacio Público/ 18 de Julio de 2014.
63. Mesas de Trabajo con la Alcaldía Mayor de Bogotá – Coordinación Espacio Público/ 30 de Julio de 2014.
64. Mesas de Trabajo con la Alcaldía Mayor de Bogotá – Coordinación Espacio Público/ 5 de Agosto de 2014.
65. Mesas de Trabajo con la Alcaldía Mayor de Bogotá – Coordinación Espacio Público/ 26 de Agosto de 2014.
</t>
  </si>
  <si>
    <t>66. Mesas de Trabajo con la Alcaldía Mayor de Bogotá – Coordinación Espacio Público/ 29 de Agosto de 2014.
67. Mesas de Trabajo con la Alcaldía Mayor de Bogotá – Coordinación Espacio Público/ 19 de Agosto de 2014.
68. Mesas de Trabajo con la Alcaldía Mayor de Bogotá – Coordinación Espacio Público/ 1 de Octubre de 2014.
69. Mesas de Trabajo con la Alcaldía Mayor de Bogotá – Coordinación Espacio Público/ 7 de Octubre de 2014.
70. Mesas de Trabajo con la Alcaldía Mayor de Bogotá – Coordinación Espacio Público/ 14 de Octubre de 2014.
71. Mesas de Trabajo con la Alcaldía Mayor de Bogotá – Coordinación Espacio Público/ 21 de Octubre de 2014.
72. Mesas de Trabajo con la Alcaldía Mayor de Bogotá – Coordinación Espacio Público/ 2 de Diciembre de 2014.
73. Mesas de Trabajo con la Alcaldía Mayor de Bogotá – Coordinación Espacio Público/ 16 de Diciembre de 2014.
74. CONVENIOS CON TERCEROS/ Price Smart - CC la Felicidad/24 de Abril de 2014.
75. CONVENIOS CON TERCEROS/ Complejo Empresarial Avenida Boyacá x Calle 80/28 de Mayo de 2014.
76. CONVENIOS CON TERCEROS/ Plan Parcial Triangulo de Bavaria /28 de Junio de 2014.
77. CONVENIOS CON TERCEROS/ Centro Comercial Alsacia/ 22 de Septiembre de 2014.
78. CONVENIOS CON TERCEROS/ Centro Comercial Alsacia/ 22 de Septiembre de 2014.
79. CONVENIOS CON TERCEROS /Plan Parcial la Felicidad/ 22 de Octubre y 10 de Noviembre de 2014.
80. CONVENIOS CON TERCEROS /Plan Parcial la Felicidad/ 22 de Octubre y 10 de Noviembre de 2014.
81. CONVENIOS CON TERCEROS / Centro Comercial Plaza Central/ 22 de Septiembre de 2014.
82. CONVENIOS CON TERCEROS / Asociación de Residentes de Santa Ana Oriental/ 22 de Diciembre de 2014.
83. CONVENIOS CON TERCEROS / Asociación de Residentes de Santa Ana Oriental/ 22 de Diciembre de 2014.
84. CONVENIOS CON TERCEROS / Centro Comercial Plaza Imperial/ 21 de Mayo, 05 de Junio, 17 de Junio, 10 de Junio/ 2014. 
85. CONVENIOS CON TERCEROS / Plan parcial el Pedregal/ 11  y 22 de Diciembre/ 2014.
86. CONVENIOS CON TERCEROS /Comercio Metropolitano de Kennedy/ 16 de Septiembre /2014. 
87. SEGUIMIENTO DEL CONPES 3677 DE 2010/21 de  Febrero de 2014.
88. SEGUIMIENTO DEL CONPES 3677 DE 2010/28 de  Febrero de 2014.
89. SEGUIMIENTO DEL CONPES 3677 DE 2010/6 de  Marzo de 2014.
90. SEGUIMIENTO DEL CONPES 3677 DE 2010/ 19 de  Marzo de 2014.
91. SEGUIMIENTO DEL CONPES 3677 DE 2010/ 27 de  Marzo de 2014.
92. SEGUIMIENTO DEL CONPES 3677 DE 2010/ 10 de  Abril de 2014.
93. SEGUIMIENTO DEL CONPES 3677 DE 2010/ 7 de  Mayo de 2014.
94. SEGUIMIENTO DEL CONPES 3677 DE 2010/ 3 de Julio de 2014.
95. SEGUIMIENTO DEL CONPES 3677 DE 2010/ 28 de Noviembre de 2014.
96. SEGUIMIENTO DEL CONPES 3677 DE 2010/ 26 de Diciembre de 2014.</t>
  </si>
  <si>
    <t>33. Agosto 26 Preparando Foro
34. Sept. 10 DTS es necesario para anuncio de proyecto
35. Sept. 17 Ramal Técnico de Extensión de 4,5 km
36. Sept. 24 211 predios requieren $727 mil millones
37. Octubre 29 Avance estructuración financiera
38. Noviembre 11 Estructuración Financiera
39. Nov 13 Presentación estudio Evaluación Económica y Social
40. Diciembre 2 Se esquematiza opción de convenios con Universidades
41. Diciembre 9 Financiación por instrumentos de gestión
42. Diciembre 16 Sacar CDP de convenios.
43. Peatonalización Carrera 7/ Mesa de Coordinación Interinstitucional No. 1 (MCM)/ 04-ago-2014.
44. Mesa de Coordinación Interinstitucional No. 1 (MCM)/ 04-ago-14.
45. Mesa de Coordinación Interinstitucional No. 2 (MCM)/ 13-ago-14.
46. Mesa de Coordinación Interinstitucional No. 5 (MCM)/ 10-sep-14.
47. Mesa de Coordinación Interinstitucional No. 6 (MCESP)/ 10-sep-14
48. Mesa de Coordinación Interinstitucional No. 9 (MCM -MCESP)/ 01-oct-14
49. Mesa de Coordinación Interinstitucional No. 10 (MCM –MCESP/ 08-oct-14
50. Mesa de Coordinación Interinstitucional No. 11 (MCM -MCESP)/ 15-oct-14
51. Mesa de Coordinación Interinstitucional No. 12 (MCM -MCESP)/ 22-oct-14
52. Mesa de Coordinación Interinstitucional No. 13 (MCM -MCESP)/ 05-nov-14
53. Mesa de Coordinación IDU-EAB No. 2/ 29-oct-14
54. Lanzamiento de la Política de Ecourbanismo/ 25-nov-14
55. Taller: Lineamientos para la gestión ambiental del espacio público urbano en Colombia, en el marco de la política ambiental urbana/02-dic-14
56. Mesa de trabajo: Plan de Acción Política Ecourbanismo/ 18-dic-14.
57. Metas SUDS en PDD (IDU-SDA)/ 19-dic-14.
58. Proyectos conjuntos IDPC-U.ANDES-IDU/06-nov-14
59. Mesas de Trabajo con la Alcaldía Mayor de Bogotá – Coordinación Espacio Público/ 3 de Marzo de 2014.
60. Mesas de Trabajo con la Alcaldía Mayor de Bogotá – Coordinación Espacio Público/ 21 de Mayo de 2014.
61. Mesas de Trabajo con la Alcaldía Mayor de Bogotá – Coordinación Espacio Público/ 28 de Mayo de 2014.
62. Mesas de Trabajo con la Alcaldía Mayor de Bogotá – Coordinación Espacio Público/ 18 de Julio de 2014.
63. Mesas de Trabajo con la Alcaldía Mayor de Bogotá – Coordinación Espacio Público/ 30 de Julio de 2014.
64. Mesas de Trabajo con la Alcaldía Mayor de Bogotá – Coordinación Espacio Público/ 5 de Agosto de 2014.
65. Mesas de Trabajo con la Alcaldía Mayor de Bogotá – Coordinación Espacio Público/ 26 de Agosto de 2014.
66. Mesas de Trabajo con la Alcaldía Mayor de Bogotá – Coordinación Espacio Público/ 29 de Agosto de 2014.</t>
  </si>
  <si>
    <t>67. Mesas de Trabajo con la Alcaldía Mayor de Bogotá – Coordinación Espacio Público/ 19 de Agosto de 2014.
68. Mesas de Trabajo con la Alcaldía Mayor de Bogotá – Coordinación Espacio Público/ 1 de Octubre de 2014.
69. Mesas de Trabajo con la Alcaldía Mayor de Bogotá – Coordinación Espacio Público/ 7 de Octubre de 2014.
70. Mesas de Trabajo con la Alcaldía Mayor de Bogotá – Coordinación Espacio Público/ 14 de Octubre de 2014.
71. Mesas de Trabajo con la Alcaldía Mayor de Bogotá – Coordinación Espacio Público/ 21 de Octubre de 2014.
72. Mesas de Trabajo con la Alcaldía Mayor de Bogotá – Coordinación Espacio Público/ 2 de Diciembre de 2014.
73. Mesas de Trabajo con la Alcaldía Mayor de Bogotá – Coordinación Espacio Público/ 16 de Diciembre de 2014.
74. CONVENIOS CON TERCEROS/ Price Smart - CC la Felicidad/24 de Abril de 2014.
75. CONVENIOS CON TERCEROS/ Complejo Empresarial Avenida Boyacá x Calle 80/28 de Mayo de 2014.
76. CONVENIOS CON TERCEROS/ Plan Parcial Triangulo de Bavaria /28 de Junio de 2014.
77. CONVENIOS CON TERCEROS/ Centro Comercial Alsacia/ 22 de Septiembre de 2014.
78. CONVENIOS CON TERCEROS/ Centro Comercial Alsacia/ 22 de Septiembre de 2014.
79. CONVENIOS CON TERCEROS /Plan Parcial la Felicidad/ 22 de Octubre y 10 de Noviembre de 2014.
80. CONVENIOS CON TERCEROS /Plan Parcial la Felicidad/ 22 de Octubre y 10 de Noviembre de 2014.
81. CONVENIOS CON TERCEROS / Centro Comercial Plaza Central/ 22 de Septiembre de 2014.
82. CONVENIOS CON TERCEROS / Asociación de Residentes de Santa Ana Oriental/ 22 de Diciembre de 2014.
83. CONVENIOS CON TERCEROS / Asociación de Residentes de Santa Ana Oriental/ 22 de Diciembre de 2014.
84. CONVENIOS CON TERCEROS / Centro Comercial Plaza Imperial/ 21 de Mayo, 05 de Junio, 17 de Junio, 10 de Junio/ 2014. 
85. CONVENIOS CON TERCEROS / Plan parcial el Pedregal/ 11  y 22 de Diciembre/ 2014.
86. CONVENIOS CON TERCEROS /Comercio Metropolitano de Kennedy/ 16 de Septiembre /2014. 
87. SEGUIMIENTO DEL CONPES 3677 DE 2010/21 de  Febrero de 2014.
88. SEGUIMIENTO DEL CONPES 3677 DE 2010/28 de  Febrero de 2014.
89. SEGUIMIENTO DEL CONPES 3677 DE 2010/6 de  Marzo de 2014.
90. SEGUIMIENTO DEL CONPES 3677 DE 2010/ 19 de  Marzo de 2014.
91. SEGUIMIENTO DEL CONPES 3677 DE 2010/ 27 de  Marzo de 2014.
92. SEGUIMIENTO DEL CONPES 3677 DE 2010/ 10 de  Abril de 2014.
93. SEGUIMIENTO DEL CONPES 3677 DE 2010/ 7 de  Mayo de 2014.
94. SEGUIMIENTO DEL CONPES 3677 DE 2010/ 3 de Julio de 2014.
95. SEGUIMIENTO DEL CONPES 3677 DE 2010/ 28 de Noviembre de 2014.
96. SEGUIMIENTO DEL CONPES 3677 DE 2010/ 26 de Diciembre de 2014.</t>
  </si>
  <si>
    <t>3.Ejecutar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t>
  </si>
  <si>
    <t>Participar en la formulación de la Política Ambiental del IDU.</t>
  </si>
  <si>
    <t>Participar en la formulación de la Política Ambiental.</t>
  </si>
  <si>
    <t>Medir el cumplimiento de la SGDU en la formulación  de la Política Ambiental.</t>
  </si>
  <si>
    <t>Número de particiapación en la Formulación de política Ambiental formulada/ Número de particiapación de Políca Ambiental proyectada.</t>
  </si>
  <si>
    <t>Gestiones ejecutadas en la particiapación de la política ambiental</t>
  </si>
  <si>
    <t xml:space="preserve">Los reportes de este Indicador en la participación en reuniones   la SGDU asistió a las siguientes reuniones durante el primero y segundo semestre del 2014, estas reuniones se pueden evidenciar en las convocatorias, actas y lista de asistencia correspondientes:
1. Acta correspondiente Subdirección de Políticas y Prácticas Ambientales- Sesión ordinaria de la mesa de salud Ambiental- CISPAER  (28 de Enero de 2014).
2. Lista de asistencia correspondiente Sesión ordinaria de la mesa de salud Ambiental- CISPAER  (28 de Enero de 2014).
3. Acta correspondiente Comisión Intersectorial  para la sostenibilidad, la protección ambiental, el Ecourbanismo y la ruralidad del D.C (26 de Febrero de 2014).
4. Lista de asistencia correspondiente Comisión Intersectorial  para la sostenibilidad, la protección ambiental, el Ecourbanismo y la ruralidad del D.C (26 de Febrero de 2014).
5. Acta correspondiente Subdirección de Políticas y Prácticas Ambientales- Sesión ordinaria de la mesa de salud Ambiental- CISPAER  (29 de Abril de 2014).
6. Lista de asistencia correspondiente Sesión ordinaria de la mesa de salud Ambiental- CISPAER  (29 de Abril de 2014).
</t>
  </si>
  <si>
    <t xml:space="preserve">Los reportes de este Indicador en la participación en reuniones   la SGDU asistió a las siguientes reuniones durante el primero y segundo semestre del 2014, estas reuniones se pueden evidenciar en las convocatorias, actas y lista de asistencia correspondientes:
1. Acta correspondiente Subdirección de Políticas y Prácticas Ambientales- Sesión ordinaria de la mesa de salud Ambiental- CISPAER  (28 de Enero de 2014).
2. Lista de asistencia correspondiente Sesión ordinaria de la mesa de salud Ambiental- CISPAER  (28 de Enero de 2014).
3. Acta correspondiente Comisión Intersectorial  para la sostenibilidad, la protección ambiental, el Ecourbanismo y la ruralidad del D.C (26 de Febrero de 2014).
4. Lista de asistencia correspondiente Comisión Intersectorial  para la sostenibilidad, la protección ambiental, el Ecourbanismo y la ruralidad del D.C (26 de Febrero de 2014).
5. Acta correspondiente Subdirección de Políticas y Prácticas Ambientales- Sesión ordinaria de la mesa de salud Ambiental- CISPAER  (29 de Abril de 2014).
6. Lista de asistencia correspondiente Sesión ordinaria de la mesa de salud Ambiental- CISPAER  (29 de Abril de 2014). 7. Acta correspondiente a la mesa de trabajo Ambiental (2 de Julio de 2014). 
8. Acta correspondiente Subdirección de Control Ambiental Trámites de IDU ante SDA - Aplicativo WEB Resolución 1115. (10 de Septiembre 2014).
9. Acta correspondiente al control ambiental al Sector Público (10 de Septiembre de 2014).
10. Acta correspondiente al control ambiental al Sector Público (10 de Septiembre de 2014).
11. Acta correspondiente a seguimiento Trámites IDU- Secretaría de Ambiente- DCA. (12 de Noviembre de 2014).
</t>
  </si>
  <si>
    <r>
      <t xml:space="preserve">Los reportes de este Indicador en la participación en reuniones   la SGDU asistió a las siguientes reuniones durante el primero y segundo semestre del 2014, estas reuniones se pueden evidenciar en las convocatorias, actas y lista de asistencia correspondientes:
1. Acta correspondiente Subdirección de Políticas y Prácticas Ambientales- Sesión ordinaria de la mesa de salud Ambiental- CISPAER  (28 de Enero de 2014).
2. Lista de asistencia correspondiente Sesión ordinaria de la mesa de salud Ambiental- CISPAER  (28 de Enero de 2014).
3. Acta correspondiente Comisión Intersectorial  para la sostenibilidad, la protección ambiental, el Ecourbanismo y la ruralidad del D.C (26 de Febrero de 2014).
4. Lista de asistencia correspondiente Comisión Intersectorial  para la sostenibilidad, la protección ambiental, el Ecourbanismo y la ruralidad del D.C (26 de Febrero de 2014).
5. Acta correspondiente Subdirección de Políticas y Prácticas Ambientales- Sesión ordinaria de la mesa de salud Ambiental- CISPAER  (29 de Abril de 2014).
6. Lista de asistencia correspondiente Sesión ordinaria de la mesa de salud Ambiental- CISPAER  (29 de Abril de 2014). 7. Acta correspondiente a la mesa de trabajo Ambiental (2 de Julio de 2014). 
8. Acta correspondiente Subdirección de Control Ambiental Trámites de IDU ante SDA - Aplicativo WEB Resolución 1115. (10 de Septiembre 2014).
9. Acta correspondiente al control ambiental al Sector Público (10 de Septiembre de 2014).
10. Acta correspondiente al control ambiental al Sector Público (10 de Septiembre de 2014).
11. Acta correspondiente a seguimiento Trámites IDU- Secretaría de Ambiente- DCA. (12 de Noviembre de 2014). </t>
    </r>
    <r>
      <rPr>
        <sz val="8"/>
        <rFont val="Arial"/>
        <family val="2"/>
      </rPr>
      <t xml:space="preserve">
</t>
    </r>
  </si>
  <si>
    <t>1. Implementar, evaluar y auditar el 100% del Sistema Integrado de Gestión del IDU.</t>
  </si>
  <si>
    <t xml:space="preserve">No Aplica Evaluación del Indicador en este Periodo. </t>
  </si>
  <si>
    <t>El indicador de la SGDU es la sumatoria de los documentos de sus áreas adscritas: DTE y DTP (ésta ultima no entregó el plan documental)</t>
  </si>
  <si>
    <t>El indicador es la sumatoria de los documentos de sus áreas adscritas. De los trámites programados inicialmente para ejecutar desde el 1° de enero hasta el 30 de septiembre, Solamente la DTE dio trámite a sus documentos, ya que la DTP no definió plan de actualización documental. El detalle de los documentos se puede observar en el plan documental consolidado por la OAP o el plan específico en cada área.</t>
  </si>
  <si>
    <t>2. Cumplir la totalidad de los planes de mejoramiento establecidos por los entes de control internos y externos, en la vigencia correspondiente</t>
  </si>
  <si>
    <t xml:space="preserve">No Aplica Evaluación del Indicador de Planes de Mejoramiento en este Periodo. </t>
  </si>
  <si>
    <t>El área no contaba con acciones de Mejora para analizar en este período</t>
  </si>
  <si>
    <t>No Aplica Evaluación en el Período</t>
  </si>
  <si>
    <t>3. Cumplir la totalidad de los planes de mejoramiento establecidos por los entes de control internos y externos, en la vigencia correspondiente</t>
  </si>
  <si>
    <t>El análisis detallado del cumplimiento de los Planes de Mejoramiento con la Contraloría de Bogotá y con la Contraloría General de la República fue socializado en las reuniones de seguimiento programadas por la OCI y por la Dirección General, tanto para la Contraloría De Bogotá como para la Contraloría General de la República.</t>
  </si>
  <si>
    <t>4. Contar con la información integral, veraz y oportuna que soporte la planeación, el seguimiento y el control de la gestión de la Entidad.</t>
  </si>
  <si>
    <t>Se da cumplimiento con el indicador por parte de la Subdirección General de Desarrollo Urbano,  verificado el Sistema de Información y Acompañamiento Contractual SIAC y las bases de datos de seguimiento de la DTGC.</t>
  </si>
  <si>
    <t>Verificado el Sistema de Información y Acompañamiento Contractual SIAC se evidencia la desactualización de un (1) contrato a cargo de la Subdirección General de Desarrollo Urbano , el cual se encuentra suspendido cuando ya esta nuevamente en ejecución.</t>
  </si>
  <si>
    <t>Se verifica el Sistema de Información y Acompañamiento Contractual - SIAC, encontrando que la Subdirección General de Desarrollo Urbano tiene actualizado el estado de los contratos a su cargo.</t>
  </si>
  <si>
    <t>Sully Magalys Rojas Bayona</t>
  </si>
  <si>
    <t>Subdirectora General de Desarrollo Urbano. (e )</t>
  </si>
  <si>
    <t>SUBDIRECCIÓN GENERAL DE GESTIÓN CORPORATIVA</t>
  </si>
  <si>
    <t>SGGC-01</t>
  </si>
  <si>
    <t>Ajustar la Planeación estratégica de la entidad</t>
  </si>
  <si>
    <t>Objetivos y Metas estratégicas</t>
  </si>
  <si>
    <t>Medir la implementación de Objetivos y Metas estratégicas en la entidad a Diciembre 31 de 2014</t>
  </si>
  <si>
    <t>1. Objetivos Estratégicos
2. Metas Estratégicas
50% para la implementación de Objetivos + 50% para la implementación de metas estratégicas = 100% Planeación Estratégica Ajustada.</t>
  </si>
  <si>
    <t>Oficina Asesora de Planeación
Pavel Pinto
Carlos Campos</t>
  </si>
  <si>
    <t>Porcentual  / Acumulada</t>
  </si>
  <si>
    <t>PARA ESTE PERIODO NO APLICA EVALUACION</t>
  </si>
  <si>
    <t>5.1. Desarrollar una estrategia que articule la implementación de los subsistemas SGSI, SIGA y S&amp;SO.</t>
  </si>
  <si>
    <t>SGGC-02</t>
  </si>
  <si>
    <t>Implementar un programa que articule las principales intervenciones de los tres subsistemas de gestión a cargo de la SGGC</t>
  </si>
  <si>
    <t>Proyecto CERO PAPEL</t>
  </si>
  <si>
    <t>Medir el cumplimiento en la implementación de ocho (8) metas dentro de la estrategia cero papel a 31 de Diciembre de 2014</t>
  </si>
  <si>
    <t>Se espera cumplir con ocho metas CERO PAPEL programadas.
(Metas Ejecutadas / metas Programadas) X 100</t>
  </si>
  <si>
    <t>SGGC - Nelson Rodríguez
STRT - John Ardila
STRF - Martha Amaya</t>
  </si>
  <si>
    <t>Porcentual  / Mensual</t>
  </si>
  <si>
    <t>Esta en trámite la asignación de impresoras con la opción de imprimir por doble cara</t>
  </si>
  <si>
    <t>SGGC-03</t>
  </si>
  <si>
    <t>Implementar las acciones dispuestas en el plan de acción del Subsistema SISO para la vigencia 2014</t>
  </si>
  <si>
    <t>Ejecución SISO</t>
  </si>
  <si>
    <t>Medir el cumplimiento en la implementación del Subsistema SISO a 31 de Diciembre de 2014</t>
  </si>
  <si>
    <t>(Acciones o productos ejecutados / Acciones o productos programados en el plan de acción de SISO) X 100</t>
  </si>
  <si>
    <t>SGGC - Omar Garcia
STRH - Claudia Amparo Mojica
Plan de Acción del Subsistema SySO
SGGC - Omar Garcia</t>
  </si>
  <si>
    <t>El indicador SySO de Acuerdo con el plan de Acción se ven reflejado el cumplimiento de ocho acciones sobre nueve que debemos realizar. Queda pendiente para el próximo corte</t>
  </si>
  <si>
    <t xml:space="preserve"> Se ajustó el plan de acción del subsistema SySO para unificar acciones </t>
  </si>
  <si>
    <t>El plan de acción fue ajustado a 21 actividades para ejecutar a 2014 de las cuales se han logrado ejecutar 18 actividades reprogramadas, con una ejecución total del 86%</t>
  </si>
  <si>
    <t xml:space="preserve">Las 3 actividades pendientes de encuentan en implemnetación 2 y una debido a </t>
  </si>
  <si>
    <t>SGGC-04</t>
  </si>
  <si>
    <t>Implementar las acciones dispuestas en el plan de acción del Subsistema SIGA para la vigencia 2014</t>
  </si>
  <si>
    <t>Ejecución SIGA</t>
  </si>
  <si>
    <t>Medir el cumplimiento en la implementación del Subsistema SIGA a 31 de Diciembre de 2014</t>
  </si>
  <si>
    <t>(Acciones o productos ejecutados / Acciones o productos programados en el plan de acción de SIGA) X 100</t>
  </si>
  <si>
    <t>SGGC - Omar Garcia
STRF - Martha Amaya
STRF - Gina Aristizabal
Plan de Acción del Subsistema SIGA</t>
  </si>
  <si>
    <t xml:space="preserve"> El archivo distrital tienen en trámite la aprobación de las TVD, tampoco aprobó el archivo distrital los estudios previos para contratar el PGD y estan en trámite las correcciones en el area de archivo y correspondencia de la STRF.</t>
  </si>
  <si>
    <t>El plan de acción fue ajustado a 20 actividades para ejecutar a 2014 de las cuales se han logrado ejecutar 18 actividades reprogramadas, con una ejecución total del 90%</t>
  </si>
  <si>
    <t>SGGC-05</t>
  </si>
  <si>
    <t>Implementar las acciones dispuestas en el plan de acción del Subsistema SGSI para la vigencia 2014</t>
  </si>
  <si>
    <t>Ejecución SGSI</t>
  </si>
  <si>
    <t>Medir el cumplimiento en la implementación del Subsistema SGSI a 31 de Diciembre de 2014</t>
  </si>
  <si>
    <t>(Acciones o productos ejecutados / Acciones o productos programados en el plan de acción de SGSI) X 100</t>
  </si>
  <si>
    <t>SGGC - Omar Garcia
STRT - Hector Mafla
Plan de Acción del Subsistema SGSI</t>
  </si>
  <si>
    <t>Debido al cambio de versión de la norma técnica se ajusta el plan de acción, pero por la complejidad para la implementación del SGSI y al bajo nivel de ejecución, la SGGC tomó la decisión de contratar una consultoría que acompañe y oriente con su experiencia la implementación del subsistema, esto acompañado de un Software que facilite la administración del mismo para lograr los objetivos trazados por la Alcaldía Mayor.</t>
  </si>
  <si>
    <t>El plan de acción fue ajustado a cinco actividades para ejecutar a 2014 de las cuales se han logrado ejecutar 4 de las 5 actividades reprogramadas, con una ejecución total del 80%</t>
  </si>
  <si>
    <t>SGGC-06</t>
  </si>
  <si>
    <t>Implementar Teletrabajo en la Entidad</t>
  </si>
  <si>
    <t>Teletrabajo</t>
  </si>
  <si>
    <t>Medir el cumplimiento en la implementación del proyecto "Teletrabajo" en la entidad a Diciembre de 2014</t>
  </si>
  <si>
    <t>1. Implementar Piloto de Teletrabajo
100% para la implementación del Piloto.</t>
  </si>
  <si>
    <t>SGGC - Edwin clavijo
STRH - Carolina Gutierrez
STRT - Hector Mafla
OAP - Carlos Campos
Plan de Acción del proyecto Teletrabajo</t>
  </si>
  <si>
    <t xml:space="preserve">Para el mes de Junio de 2014 se ha realizado la implementación del piloto de teletrabajo con funcionarios de la entidad, logrando adecuar todos los aspectos logísticos y tecnológicos para su puesta en marcha. </t>
  </si>
  <si>
    <t>Dos actividades del plan fueron reprogramadas para el 2015, lo que significa que para 2014 solo quedaron 9 actividades, para diciembre se han ejecutado las 2 actividades programadas al 100%</t>
  </si>
  <si>
    <t>5.13. Estructurar técnicamente la propuesta para la ampliación de la planta de personal de acuerdo con las necesidades de la entidad y presentarla para su aprobación.</t>
  </si>
  <si>
    <t>SGGC-07</t>
  </si>
  <si>
    <t>Coordinar y apoyar la elaboración de un estudio técnico para la creación de la planta de empleo temporal.</t>
  </si>
  <si>
    <t>Planta de Empleo Temporal</t>
  </si>
  <si>
    <t>Medir el cumplimiento de actividades para la radicación de un estudio técnico para la planta de empleos temporal para la entidad a junio 30 de 2014</t>
  </si>
  <si>
    <t>1. Validar y ajustar estudio de cargas laborales por proyecto.
2. Elaborar documento técnico.
3. Elaborar Manual de Funciones.
4. Realizar el costeo de la planta.
5. Elaborar proyecto de actos administrativos.
6. Radicar en el DASCD
(Actividades ejecutadas / Actividades Programadas) X 100</t>
  </si>
  <si>
    <t>SGGC - Nelson Rodríguez
STRH - Jorge Sepulveda</t>
  </si>
  <si>
    <t>Queda para el año 2015</t>
  </si>
  <si>
    <t>Este proyecto se presento a DASCD pero quedo aplazado por recursos de la SHD para 2015.</t>
  </si>
  <si>
    <t>SGGC-08</t>
  </si>
  <si>
    <t>Coordinar y apoyar la elaboración del proyecto de ampliación de la planta de empleo permanente.</t>
  </si>
  <si>
    <t>Planta de Empleo Permanente</t>
  </si>
  <si>
    <t>Medir el cumplimiento de actividades relacionadas con los ajustes a la planta de empleos radicada en el DASCD a junio 30 de 2014</t>
  </si>
  <si>
    <t>1. Ajustar Proyecto de Acuerdo del Consejo Directivo IDU - Distribución de Cargos.
2 . Ajustar Resolución de Manual de Funciones
3. Ajustar Manual de Funciones.
(Actividades ejecutadas / Actividades Programadas) X 100</t>
  </si>
  <si>
    <t>SGGC - Nelson Rodríguez
STRH - Jorge Sepulveda
Concepto Favorable del DASCD
Memorando 20145260824172</t>
  </si>
  <si>
    <t>Concepto Favorable del DASCD
Memorando 20145260824172</t>
  </si>
  <si>
    <t>El indicador de la SGGC, es la sumatoria de los documentos trasmitidos de sus áreas adscritas.</t>
  </si>
  <si>
    <t>El indicador de la SGGC, es la sumatoria de los documentos tramitados de sus áreas adscritas. La DTAF y la DTAV.
Los documentos tramitados de la DTAF son 52 y de la DTAV son 2</t>
  </si>
  <si>
    <t>Reprogramado mes de cumplimiento, a Diciembre 2014</t>
  </si>
  <si>
    <t>La SGGC reprograma para el mes de Diciembre de 2014 este indicador, debido a que constantemente existen documentos, procedimientos y formatos que se están actualizando para las áreas a cargo (DTAF y DTAV), con los cuales se mide el indicador por parte de la OAP..</t>
  </si>
  <si>
    <t xml:space="preserve">De los trámites programados inicialmente para ejecutar quedaron pendientes un total de 20 trámites.  </t>
  </si>
  <si>
    <t xml:space="preserve">De los trámites programados inicialmente para ejecutar desde el 1° de enero hasta el 31 de diciembre, quedaron pendientes un total de 20 trámites.  </t>
  </si>
  <si>
    <t>la DTAF ha ejecutado 3 aciones de 24 reportadas por OCI. Se han reformulado las acciones de esta subdirección en trámite ante Control interno.</t>
  </si>
  <si>
    <t>la DTAF ha tramitadao una reprogarmación del plan de mejoramiento ante la OCI</t>
  </si>
  <si>
    <t xml:space="preserve"> Los resultados reflejan el cálculo sobre los reportes efectuados por cada uno de los auditores designados </t>
  </si>
  <si>
    <t>INCUMPLIDA LA ACCIÓN DEL HALLAZGO 1, 2,9,15.</t>
  </si>
  <si>
    <t>INCUMPLIDA LA ACCIÓN DEL HALLAZGO 2,9,15,1</t>
  </si>
  <si>
    <t>REPROGRAMAR INDICADOR</t>
  </si>
  <si>
    <t>La SGGC hasta el mes de mayo no era Ordenadora de Gasto y por lo tanto se pretendía medir el indicador respecto al cumplimiento que generaba la DTAF y la DTAV, debido a lo anterior, la SGGC entró a ser ordenador de Gasto a partir de junio de 2014 y la ejecución reflejada con corte a 30 de junio es del 0%. Por lo tanto es necesario reprogramar el indicador semestral cuyo valor a final de diciembre de 2014 será buscar el 100% de ejecución.</t>
  </si>
  <si>
    <t>Se ejecutaron $49.742.278.135 de los $55.137.270.863 presupuestados para la vigencia.</t>
  </si>
  <si>
    <t>La programación Inicial (PI) del PAC es de $ 21.728.400   y la Reprogramación del mes ( RM )fue de $ 21.022.800  . La Ejecución del PAC  en este mes fue de $43.939.640  . Por lo tanto se ejecutó el 202   % frente a la programación Inicial y el   209 % frente a la Reprogramación del mes. Adicionalmente la información  SI se entregó dentro del plazo estipulado. Esto arroja  30     puntos en el Indicador de Gestión del PAC.</t>
  </si>
  <si>
    <t>La programación Inicial (PI) del PAC es de $41.728.400    y la Reprogramación del mes ( RM )fue de $0   . La Ejecución del PAC  en este mes fue de $42.232.196  . Por lo tanto se ejecutó el  101  % frente a la programación Inicial y el 0   % frente a la Reprogramación del mes. Adicionalmente la información  SI se entregó dentro del plazo estipulado. Esto arroja  40     puntos en el Indicador de Gestión del PAC.</t>
  </si>
  <si>
    <t>La programación Inicial (PI) del PAC es de $123,228,400 y la Reprogramación del mes ( RM )fue de $16,321,145. La Ejecución del PAC  en este mes fue de $21,506,345. Por lo tanto se ejecutó el  17% frente a la programación Inicial y el 132% frente a la Reprogramación del mes. Adicionalmente la información  SI se entregó dentro del plazo estipulado. Esto arroja  25 puntos en el Indicador de Gestión del PAC.</t>
  </si>
  <si>
    <t>La programación Inicial (PI) del PAC es de $126.500.000 y la Reprogramación del mes ( RM )fue de $17.313.829. La Ejecución del PAC  en este mes fue de $31.585.123. Por lo tanto se ejecutó el  25% frente a la programación Inicial y el 182% frente a la Reprogramación del mes. Adicionalmente la información  SI se entregó dentro del plazo estipulado. Esto arroja  25 puntos en el Indicador de Gestión del PAC.
Afecto el valor del indicador los pagos del Proyecto RIO + 20</t>
  </si>
  <si>
    <t>la DTAF presenta una programación Inicial (PI) del PAC es de $9,749,665,505 y la Reprogramación del mes (RM )fue de $9,655,726,573. La Ejecución del PAC  en este mes fue de $9,321,452,623. Por lo tanto se ejecutó el 96% frente a la programación Inicial y el 97% frente a la Reprogramación del mes. Adicionalmente la información SI se entregó dentro del plazo estipulado. Esto arroja 100 puntos en el Indicador de Gestión del PAC.  La DTAV en la programación Inicial (PI) del PAC es de $127,072,627  y la Reprogramación del mes ( RM ) fue de $82,158,283. La Ejecución del PAC  en este mes fue de $82,427,175. Por lo tanto se ejecutó el 65% frente a la programación Inicial y el 100% frente a la Reprogramación del mes. Adicionalmente la información  SI se entregó dentro del plazo estipulado. Esto arroja 80 puntos en el Indicador de Gestión del PAC; y para la SGGC La programación Inicial (PI) del PAC fue de $171,500,000 y la Reprogramación del mes (RM ) fue de $39,151,441.  La Ejecución del PAC  en este mes fue de $13,830,774.  Por lo tanto se ejecutó el 8% frente a la programación Inicial y el 35% frente a la Reprogramación del mes. Adicionalmente la información  SI se entregó dentro del plazo estipulado. Esto arroja 25 puntos en el Indicador de Gestión del PAC.</t>
  </si>
  <si>
    <t xml:space="preserve"> La programación Inicial (PI) del PAC es de $171,500,000 y la Reprogramación del mes (RM ) fue de $39,151,441.  La Ejecución del PAC  en este mes fue de $13,830,774.  Por lo tanto se ejecutó el 8% frente a la programación Inicial y el 35% frente a la Reprogramación del mes. Adicionalmente la información  SI se entregó dentro del plazo estipulado. Esto arroja 25 puntos en el Indicador de Gestión del PAC.</t>
  </si>
  <si>
    <t>La programación Inicial (PI) del PAC es de $121,500,000 y la Reprogramación del mes ( RM )fue de $23,173,333.  La Ejecución del PAC  en este mes fue de $10,400,676. Por lo tanto se ejecutó el 9% frente a la programación Inicial y el 45% frente a la Reprogramación del mes. Adicionalmente la información  SI se entregó dentro del plazo estipulado. Esto arroja 25 puntos en el Indicador de Gestión del PAC.</t>
  </si>
  <si>
    <t>La programación Inicial (PI) del PAC es de $111,500,000 y la Reprogramación del mes ( RM ) fue de $7,500,000.  La Ejecución del PAC  en este mes fue de $33,988,000. Por lo tanto se ejecutó el 30% frente a la programación Inicial y el 453% frente a la Reprogramación del mes. Adicionalmente la información  SI se entregó dentro del plazo estipulado. Esto arroja 25 puntos en el Indicador de Gestión del PAC.</t>
  </si>
  <si>
    <t>La información se entregó dentro del plazo estipulado, cada mes en promedio esto arroja 25 puntos en el Indicador de Gestión del PAC.</t>
  </si>
  <si>
    <t>Se verifica el SIAC evidenciando que se anulo un contrato pero no se cambio en estado en el SIAC de en elaboración a anulado.</t>
  </si>
  <si>
    <t>Verificada la información de los estados de cada uno de los contratos a cargo de la Subdirección General de Gestión Corporativa en el Sistema de Información y Acompañamiento Contractual SIAC, se encuentra que esta esta actualizada.</t>
  </si>
  <si>
    <t xml:space="preserve">Se evidencia la desactualización de un (1) contrato a cargo de la Subdirección General de Gestión Corporativa. de la Dirección Técnica Administrativa y Financiera se encuentra la desactualización de seis (6) contratos. De la DTAV Se evidencia la desactualización de dos (2) contratos en el Sistema de Información y Acompañamiento Contractual SIAC. </t>
  </si>
  <si>
    <t xml:space="preserve">Verificado el Sistema de Información y Acompañamiento Contractual - SIAC para la SGGC se evidencia la desactualización de un (1) contrato a cargo de la Subdirección General de Gestión Corporativa. Una vez revisados los estados de los contratos de la Dirección Técnica Administrativa y Financiera se encuentra la desactualización de seis (6) contratos. Para la DTAV Se evidencia la desactualización de dos (2) contratos en el Sistema de Información y Acompañamiento Contractual SIAC. </t>
  </si>
  <si>
    <t>Verificado el Sistema de Información y Acompañamiento Contractual - SIAC se evidencia la desactualización de un (1) contrato a cargo de la Subdirección General de Gestión Corporativa.</t>
  </si>
  <si>
    <t xml:space="preserve">En importante implementar controles y realizar la revisión permanente al estado de cada uno de los contratos a cargo del área toda vez que se refleja desactualización del Sistema de Información y Acompañamiento contractual </t>
  </si>
  <si>
    <r>
      <t xml:space="preserve">Nombre: </t>
    </r>
    <r>
      <rPr>
        <b/>
        <sz val="10"/>
        <rFont val="Arial"/>
        <family val="2"/>
      </rPr>
      <t>EDGAR MAURICIO PEDRAZA CORREDOR</t>
    </r>
  </si>
  <si>
    <t>Cargo: SUBDIRECTOR GENERAL DE GESTIÓN CORPORATIVA</t>
  </si>
  <si>
    <t>SUBDIRECCION GENERAL DE INFRAESTRUCTURA</t>
  </si>
  <si>
    <t xml:space="preserve">Ampliar la red de Transmilenio en 46% mediante la construcción de la troncal Boyacá y nuevas conexiones sobre la red de troncales existentes </t>
  </si>
  <si>
    <t>Diseños</t>
  </si>
  <si>
    <t xml:space="preserve">Completar el 100% de los diseños  para el mes de agosto correspondiente a  los 4 tramos del proyecto Troncal Avenida Boyacá </t>
  </si>
  <si>
    <t>(% de avance ejecutado / % de avance programado) *100</t>
  </si>
  <si>
    <t>Informe de avance gerencia gerente de proyecto</t>
  </si>
  <si>
    <t>% ACUMULADO</t>
  </si>
  <si>
    <t>Denice Bibiana Acero Vargas SGI</t>
  </si>
  <si>
    <t>Teniendo en cuenta las modificaciones al alcance del proyecto, y los cambios de normatividad presentados durante el presente año como la suspensión al mepot, se presentan atrasos en el avance de los diseños in House del proyecto de la Boyacá.</t>
  </si>
  <si>
    <t xml:space="preserve">Se  aclara que debido a que en la etapa de estudios y diseños se han identificado nuevos parámetros de diseño respecto a restricciones de ubicación de la Troncal Boyacá sobre la red de agua potable Tibitoc y riesgo de desarrollo de la construcción de la Troncal al lado de la Tibitoc, se reprogramo el proyecto definiéndose cinco (5) tramos para el desarrollo de los diseños.
Respecto a los proyectos de integración a Junio de 2014 no se han cerrado las factibilidades de los proyectos 
- Ampliación Troncal Américas (Puente Aranda – NQS)
- Ampliación Portal Tunal
El Miércoles 16 de Julio de 2014 se realizó Comité Sectorial con Secretaria de Movilidad, Transmilenio S.A., IDU, para definir priorización de los proyectos Obras de Integración y establecer cuales proyectos requieren tramite de vigencias futuras. Por lo anteriore no se ha podido cumplir con la meta programada
</t>
  </si>
  <si>
    <t xml:space="preserve">es importante aclarar que debido a que en la etapa de estudios y diseños se han identificado nuevos parámetros de diseño respecto a restricciones de ubicación de la Troncal Boyacá sobre la red de agua potable Tibitoc y riesgo de desarrollo de la construcción de la Troncal al lado de la Tibitoc, se reprogramo el proyecto definiéndose cinco (5) tramos para el desarrollo de los diseños.
Respecto a los proyectos de integración a Junio de 2014 no se han cerrado las factibilidades de los proyectos 
- Ampliación Troncal Américas (Puente Aranda – NQS)
- Ampliación Portal Tunal
</t>
  </si>
  <si>
    <t>s importante aclarar que debido a que en la etapa de estudios y diseños se han identificado nuevos parámetros de diseño respecto a restricciones de ubicación de la Troncal Boyacá sobre la red de agua potable Tibitoc y riesgo de desarrollo de la construcción de la Troncal al lado de la Tibitoc, se reprogramo el proyecto definiéndose cinco (5) tramos para el desarrollo de los diseños.
Respecto a los proyectos de integración a Junio de 2014 no se han cerrado las factibilidades de los proyectos 
- Ampliación Troncal Américas (Puente Aranda – NQS)
- Ampliación Portal Tunal</t>
  </si>
  <si>
    <t>Este porcentaje es el presentado en las fechas de corte respectivas a la OAP de acuerdo al modelo de seguimiento y control del proyecto. Se presentó una solicitud de cambio que está en estudio por la OAP, pues para diciembre de 2014 se entregaran los estudios y diseños de los tramos 1,2 y 5, quedando pendiente los tramos 3 y 4 para presentarlos a finales de enero y mediados de marzo respectivamente.</t>
  </si>
  <si>
    <t>Para el 2014 la DTD programó contar con  los estudios y diseños IN HOUSE de  4 TRAMOS de la Troncal Boyacá.
Los 4 Tramos de la Troncal Boyacá, se replantearón, quedando finalmente  5 Tramos.
El grupo encargado de realizar los estudios y diseños IN HOUSE de la Troncal Boyacá, entregó los productos de estudios y diseños de los tramos 1, 2,y 5 de la Troncal Boyacá, faltando los componenetes de redes secas y redes húmedas, para se revisado por la DTD. 
La  Dirección Técnica de Diseño de Proyectos esta realizando la verificación y aprobación de los estudios y diseños realizados por el grupo de especialistas de la Troncal Boyacá, liderados por la gerencia asignada.
Para finales del primer trimestre de 2015,  se espera contar con la aprobación de los estudios y diseños, entregados, de los tramos 1, 2 y 5., los cuales contarian con  memorias, planos y presupuesto para iniciar el proceso licitatorio en el momento que se cuente con los recursos correspondientes.</t>
  </si>
  <si>
    <t>Al mes de octubre de 2014 estarán completados en un 100%  la elaboración de insumos de la consultoría de la Primera Línea del Metro de Bogotá (PLMB)</t>
  </si>
  <si>
    <t>Avance Consultoría PLMB</t>
  </si>
  <si>
    <t>Realizar seguimiento al avance de la consultoría PLMB</t>
  </si>
  <si>
    <t>% Avance de Cronograma</t>
  </si>
  <si>
    <t>Cronograma PMLB</t>
  </si>
  <si>
    <t xml:space="preserve">Fabian Andres Carrascal Penaranda </t>
  </si>
  <si>
    <t>El Consorcio L1 reportó al mes de Marzo un avance del 63%, lo cual es congruente con la programación realizada.</t>
  </si>
  <si>
    <t xml:space="preserve">Desde el mes de febrero fue detectado que la programación vigente a la fecha arrojaba una sobreestimación en el avance pactado inicialmente, respecto al avance real alcanzable en la ejecución normal de los diseños. Es así como para los diez primeros meses del plazo se proyectaba un avance del 90% mientras que en los cinco meses restantes solo se ejecutaba un 10%; también se presentan actividades programadas con mucha anticipación respecto a las fechas en que pueden realmente ejecutarse o requerirse, tales como  el diseño de las estructuras subterráneas de pantallas y túneles y la determinación de costos de las distintas obras, evaluación que generalmente se realiza en la fase  final del proyecto con los diseños  definitivos avanzados, para lo cual se acordó de manera conjunta entre la Interventoría, Consultoría e IDU, realizar una reprogramación que consecuentemente cambio los avances proyectados para cada uno de los meses, Este ajuste de fechas  no pretende evaluar la fecha final del proyecto manteniendo la fecha de entrega inicialmente pactada. </t>
  </si>
  <si>
    <t>NO TIENE PROGRAMACION POARA ESTE MES</t>
  </si>
  <si>
    <t>dado que en los Términos de Referencia del Contrato IDU-849-2013, no figura el Estudio de la Superestructura de la Vía, necesario para completar los Diseños de la Primera Línea de Metro de Bogotá, ese hace necesario adicionar el valor del contrato IDU 849-2013 y prorrogar el plazo del mismo.
Como consecuencia de lo anterior se se modifican los indicadores de avance del contrato de Diseño.</t>
  </si>
  <si>
    <t xml:space="preserve">No se programa avance durante los meses de octubre y noviembre </t>
  </si>
  <si>
    <t>Teniendo en cuenta que el contrato No. 849 de 2013 fue Adicionado y prorrogado su plazo en 4 meses más; el porcentaje de ejecución se vio afectado, toda vez que el contratista  no solo debe entregar los 27 productos que se pactaron inicialmente, sino que se incluyeron 8 productos nuevos, y se ampliaron  9 productos de los ya existentes, como consecuencia de la reubicación de los patios y talleres en el predio denominado Bosa 37.</t>
  </si>
  <si>
    <t>Se cumplio con el 94% de la ejecucion en el año</t>
  </si>
  <si>
    <t>Aumentar 5% de la construcción de la malla vial arterial</t>
  </si>
  <si>
    <t>Construcción malla vial Arterial</t>
  </si>
  <si>
    <t>A 31 de diciembre de 2014, esta programado construir 8.06 KM-CARRIL de vía arteria.</t>
  </si>
  <si>
    <t>(Total de km subsistema vial construidos / 8.06 km de subsistema vial a construir)*100</t>
  </si>
  <si>
    <t>FO-173</t>
  </si>
  <si>
    <t>Habib Leonardo Mejia Rivera DTC</t>
  </si>
  <si>
    <t xml:space="preserve">Se cumple con más  del 100% de la meta programada; Los contratos que aportan meta física a este indicador son:  IDU-070-2012, IDU-928-2013  y el contrato IDU-032-2011.
Y se realiza lo que estaba pendiente por ejecutar en el periodo del mes de mayo.            Se cumple con mas del 100% de la meta programada, se logró la construcción de 1,43 Km - carril de vía de los 0,93 Km programados y corresponden a los contratos IDU-070-2012, IDU-868-2013, IDU-032-2011 y el IDU-074-2012. 
</t>
  </si>
  <si>
    <t xml:space="preserve">Se supera el 100% de la meta programada, toda vez que se ejecutarón metas programadas en meses anteriores, los  contratos que ejecutaron meta física son: IDU-032-2011 e   IDU-070-2012, </t>
  </si>
  <si>
    <t>Se reprograma esta meta mediante el memorando DTC, 20143350631523, pasando  a 12,91 Km-carril.  Los contratos que aportan meta física son : IDU-70-2012, IDU-928-2013, IDU-1724-2013, IDU-1878-2013, IDU-1510 -2013 y IDU-1885-2013.</t>
  </si>
  <si>
    <t>No se cumple con la meta programada para este mes porque contratos como el IDU-70-2012, IDU1885-2013, IDU-1510-2013,IDU-1727-2013, presentaron retrasos a causa de las lluvias. Esta meta fue reprogramada mediante memorando: 20143350656903 del 27 de noviembre de 2014 programando construir en la vigencia un total de 12,91 km carril, es decir 4,85 km carril adicional a lo proyectado inicialmente</t>
  </si>
  <si>
    <t>Se da cumplimiento en mas del 100% de las metas programadas en el año
 Los contratos que aportan meta física son los siguientes: IDU-74-2012,IDU-70-2012, IDU-928-2013, IDU-1724-2013, IDU-1878-2013, IDU-1510 -2013  IDU-1885-2013, IDU-1727-2013, IDU-032-2011</t>
  </si>
  <si>
    <t xml:space="preserve">Construir 3%de puentes vehiculares </t>
  </si>
  <si>
    <t>porcentaje de puentes vehiculares construidos</t>
  </si>
  <si>
    <t>A 31 de diciembre de 2014, esta programado construir 1.12 puentes vehiculares</t>
  </si>
  <si>
    <t>(%  puentes vehiculares construidos / 1.12 puentes vehiculares programados )*100</t>
  </si>
  <si>
    <t xml:space="preserve">                                                                                              0,07 </t>
  </si>
  <si>
    <t>0,065</t>
  </si>
  <si>
    <t>Se terminó la construcción del puente vehicular del contrato IDU-32-2011 (Av. La Sirena) y el contrato 044-2010 aporta meta fisica del 0,067 para el mes de octubre y 0,065 del contrato IDU-44-2010 para el mes de noviembre.</t>
  </si>
  <si>
    <t>Se da cumplimiento al 100% de las metas programadas en el año.
Los contratos que aportan meta física son los siguientes:  IDU-044-2010 e IDU-032-2011</t>
  </si>
  <si>
    <t xml:space="preserve">Habilitar 2.3% del espacio público de la ciudad mediante la construcción de 727.410 M2 de redes peatonales </t>
  </si>
  <si>
    <t>Construcción Espacio Público</t>
  </si>
  <si>
    <t>A 31 de diciembre de 2014, esta programado construir 23016.47 M2 de espacio público</t>
  </si>
  <si>
    <t>(Total de m2 de espacio público construidos / 23016.47  m2 de espacio público a construir)*100</t>
  </si>
  <si>
    <t>los contratos IDU-032-2011, IDU-074-2012  y el IDU-1279-2013, aportaran en los próximos meses</t>
  </si>
  <si>
    <t>durante los meses de mayo y abril  no se cumple con las metas programadas  por las siguientes razones: 1. El contrato IDU-868-2013 cumple con más de lo programado,  2. El contrato  IDU-074-2012 reinició con la instalación de material reciclado, una vez evaluados los resultado de los ensayos realizados al material de siga que  se utiliza en la conformación de la estructura, 3. El contrato IDU-1279-2013, iniciará proceso de incumplimiento por los atrasos presentado en la ejecución de las metas programadas. En el mes de junio se  realizó lo que estaba programado en los meses de Marzo y Abri supernado la meta programada Los contratos que aportaron meta física en este período fueron: IDU-070-2012, IDU-074-2012,  IDU-032-2011,  IDU-1279-2013, IDU-928-2013  y el IDU-972-2013. Se realizó lo que estaba programado en los meses de Marzo y Abril</t>
  </si>
  <si>
    <t xml:space="preserve">   2.516,87 </t>
  </si>
  <si>
    <t xml:space="preserve">                                                                                         339,37 </t>
  </si>
  <si>
    <t>Se supera el 100% de la meta programada, toda vez que se ejecutarón metas programadas en meses anteriores, los  contratos que ejecutaron meta física son: IDU-070-2012, IDU-074-2012,  IDU-032-2011,   y el IDU-1279-2013.</t>
  </si>
  <si>
    <t>Se reprograma esta meta mediante el memorando DTC, 20143350631523, pasando  a 38,014 m2. Los contratos que aportan meta física son: IDU-32-2011,  IDU-70-2012, IDU-928-2013, IDU-1724-2013, IDU-1878-2013, IDU-1727-2013, IDU-2172-2013, IDU-1510 -2013 y IDU-1885-2013.</t>
  </si>
  <si>
    <t>No se cumple con la meta programada para este mes porque contratos como el IDU-1727-2013 presentaron retrasos a causa de las lluvias, el contrato IDU-2172-2013 (K Séptima) por la temporada decembrina que impidió ejecutar tramos programados, el contrato IDU-1885-2013 (Cll 45) no ha intervenido el andén del costado sur por pendientes de aprobación de muro.
Esta meta fue reprogramada mediante memorando: 20143350656903 del 27 de noviembre de 2014</t>
  </si>
  <si>
    <t>se Afecta la ejecución de este indicador, debido a los problemas climáticos y la temporada decembrina que impidió la ejecución de la totalidad de este indicador. 
Los contratos que aportan meta física son los siguientes:  IDU-2172-2013, IDU-74-2012,IDU-70-2012, IDU-928-2013, IDU-1724-2013, IDU-1878-2013, IDU-1510 -2013  IDU-1885-2013, IDU-1727-2013, IDU-032-2011</t>
  </si>
  <si>
    <t xml:space="preserve">Aumentar la infraestructura vial de la red de ciclorutas </t>
  </si>
  <si>
    <t>Ampliación y Mejoramiento Red de Ciclo rutas</t>
  </si>
  <si>
    <t>A 31 de diciembre de 2014, esta programado construir 1.88 km de ciclo ruta.</t>
  </si>
  <si>
    <t>(Total de km de red de ciclo rutas para ampliar y optimizar / 1.88 km de red de ciclo rutas para ampliar y optimizar )*100</t>
  </si>
  <si>
    <t>a disminución obedece a:  1. El contrato IDU-868-2013 se encuentra enfocado en la construcción del espacio público, 2. Se realizó reprogramación de esta meta física para el contrato  IDU-074-2012 porque falta la definición del traslado de la subestación eléctrica que permita la adecuación de la calzada occidental de la vía.</t>
  </si>
  <si>
    <t>Durante el mes de mayo el contrato IDU-032-2011 ejecutó ciclo ruta, durante este mes se cumple con más del 100% de la meta programada toda vez que los contratos que han debido reportar en meses anteriores, lo hicieron para este periodo. Durante el mes de junio Los contratos IDU-032-2011 e IDU-868-2013 que aportaban meta física, realizaron el reporte de la totalidad de meta física ejecutada en el mes de mayo, el contrato IDU-074-2012 no reporto lo estimado por el traslado de la subestación eléctrica frente al Colegio Patria.</t>
  </si>
  <si>
    <t xml:space="preserve">                                                                                              0,26 </t>
  </si>
  <si>
    <t xml:space="preserve">                                                                                              0,08 </t>
  </si>
  <si>
    <t>Se da cumplimiento al 100% de las metas programadas en el año.
Los contratos que aportan meta física son los siguientes:  IDU-74-2012,IDU-70-2012, IDU-1885-2013, IDU-1727-2013, IDU-032-2011, IDU-044-2010</t>
  </si>
  <si>
    <t>A 31 de diciembre de 2014 cumplir el 100%  en la ejecución de la construcción, rehabilitación y mantenimiento de 149.3 km-carril de la malla vial arterial, intermedia, troncal, SITP y rural</t>
  </si>
  <si>
    <t>Silvia Liliana Santos Angel DTM</t>
  </si>
  <si>
    <t>Se cumplió la meta física programada</t>
  </si>
  <si>
    <t>Se cumplió el 98% de la meta física programada</t>
  </si>
  <si>
    <t>Se cumplió la meta programada. Se ejecutaron obras adicionales en la Troncal Calle 80</t>
  </si>
  <si>
    <t>Se cumplio con mas de lo proyectado en el mes</t>
  </si>
  <si>
    <t>Se ejecutó mas de lo programado en el año</t>
  </si>
  <si>
    <t xml:space="preserve">A 31 de diciembre de 2014 cumplir el 100 % en la ejecución del mantenimiento 70.344 de m2 de espacio público </t>
  </si>
  <si>
    <t>Mediante memorando 20142250065823 se excluyeron las obras de las Acciones Populares de Suba 2009-00072 y 2010-00148, en reemplazo se priorizaron las obras de la Acción Popular de  San Cristóbal Sur 2010-00065. El contrato se prorrogo 2 meses para cumplir con los compromisos priorizados, incluida la Acción Popular 2002-2351 de la Calle 19 No 32-43</t>
  </si>
  <si>
    <t>Se ejecutó el 55% del indicador para este mes</t>
  </si>
  <si>
    <t>Se ejecutó el 74% de este indicador</t>
  </si>
  <si>
    <t>A 31 de diciembre de 2014 cumplir el 100% en la ejecución del mantenimiento de 30.6 km de ciclo-rutas</t>
  </si>
  <si>
    <t xml:space="preserve">El contrato se prorrogo 2 meses para cumplir los compromisos priorizados. La ciclorruta de la AV Cali entre AC 13 y AV Américas se intervino de acuerdo a los recursos disponibles. </t>
  </si>
  <si>
    <t>No se tenia programado la ejecucion de este indicador para este mes</t>
  </si>
  <si>
    <t>se cumplio con el 48% de este indicador</t>
  </si>
  <si>
    <t>contar con viabilidad predial para 6 proyectos de Cupo de Endeudamiento y Valorización.</t>
  </si>
  <si>
    <t>Viabilidad Predial</t>
  </si>
  <si>
    <t>Obtener la viabilidad Predial para los compromisos IDU 2014-2016</t>
  </si>
  <si>
    <t>(# de proyectos con viabilidad predial a 31 de diciembre de 2014)/(6 proyectos con viabilidad predial a 31 de diciembre de 2014)*100</t>
  </si>
  <si>
    <t>Documento de Viabilidad Predial</t>
  </si>
  <si>
    <t>No tiene meta programada durante el primer trimestre 2014</t>
  </si>
  <si>
    <t>No tiene meta programada durante el segundo trimestre 2014</t>
  </si>
  <si>
    <t>NO TIENE META PROGRAMADA PARA EL MES DE JULIO</t>
  </si>
  <si>
    <t>eniendo en cuenta las ordenes impartidas por la Dirección General en el Comité de presupuesto del día 12 de noviembre de 2014 se informa que se ajusta la meta de esta indicador.  Se excluye la viabilidad del proyecto Bosa entre Agoberto Mejia y Av. Ciudad de Cali, es decir, la DTDP otorgará la viabilidad al proyecto la Sirena;  la meta se fija así:  
Otorgar viabilidad predial a un (1) proyecto a 31 de diciembre de 2014.
En el mes de noviembre la dirección técnica de predios  DTDP reportó en cumplimiento de la meta del indicador a través del radicado N° 20143250657653 de fecha 28 de noviembre de 2014  otorgo Concepto de Viabilidad Predial Para el Inicio de Obra en Terreno Para el Proyecto Avenida La Sirena (AC 153) -desde Avenida Laureano Gómez (AK 9) hasta la Avenida Alberto Lleras -Camargo (AK 7) del Acuerdo 523 de 2013.</t>
  </si>
  <si>
    <t>Se da la viabilidad predial a un (1) proyecto a 31 de diciembre de 2014.
En el mes de noviembre la dirección técnica de predios  DTDP reportó en cumplimiento de la meta del indicador a través del radicado N° 20143250657653 de fecha 28 de noviembre de 2014  otorgo Concepto de Viabilidad Predial Para el Inicio de Obra en Terreno Para el Proyecto Avenida La Sirena (AC 153) -desde Avenida Laureano Gómez (AK 9) hasta la Avenida Alberto Lleras -Camargo (AK 7) del Acuerdo 523 de 2013.</t>
  </si>
  <si>
    <t>Licitar durante la vigencia semestre del año 47 proyectos correspondientes a   los compromisos IDU 2014-2016 de Cupo de Endeudamiento y Valorización.</t>
  </si>
  <si>
    <t>Elaboración de Estudios previos</t>
  </si>
  <si>
    <t xml:space="preserve">Durante la vigencia 2014 se radicaran en la Dirección Técnica de Procesos Selectivos para licitación 47 procesos de Cupo de Endeudamiento y valorización </t>
  </si>
  <si>
    <t>(# de proyectos radicados en DTPS  /47  proyectos  programados para radicar en DTPS )*100</t>
  </si>
  <si>
    <t>Memorando de radicación</t>
  </si>
  <si>
    <t xml:space="preserve">Imelda Bernal Raquira </t>
  </si>
  <si>
    <t>Teniendo en cuenta la reprogramación de la línea base de los proyectos  durante el primer trimestre del año se dio cumplimiento a la meta. El número de procesos radicados incluye proceso de interventoría.</t>
  </si>
  <si>
    <t>Para el  2014 la DTD programó radicar 108 proyectos en Total, de los cuales para el mes abril,  programó radicar en la DTPS  18 proyectos correspondientes al  16,7% del total de los proyectos programados; y la DTD radico 2 correspondiente  al  1,9% ,no cumpliendose la programación del mes .
Nota:Causas por las cuales no se cumplio con lo programado:
1.) implementación del Decreto 1510 de2013. 2.) Ajuste en los sistemas compras y contratación pública. 3.) Implementación de la Ley de Infraestructura. 4.) Implementación del 7X24, tiempos de trabajo. 5.) Aprobación del APUs. 5.) Ajustesn en documentos en la estructuración de procesos licitatorios.</t>
  </si>
  <si>
    <t>Para el  2014 el IDU programó radicar 108 proyectos en Total, de los cuales para el mes  mayo,  programó radicar en la DTPS  22 proyectos correspondientes al  20.4% del total de los proyectos programados; no cumplinedose con la meta.La DTD radico  8 proyectos correspondiente  al  7.4% del mes de abril.
Nota 1:Causas por las cuales no se cumplio con lo programado:
A.) Ajustes en los modelos de los pliegos de condiciones para la estructuración de procesos licitatorios. B.) Demora en la aprobación del APUs en algunos de estos proyectos. C.) Proyectos programados para radicar en DTPS solo se recibio la factibilidad en  mayo  9 de 2014.  D.)  Un proyecto programado para mayo, no cuenta con viabilidad predial . E.) Proyectos en tramite de presupuesto.
Nota 2:El Proyecto Estación Intermedia Avenida Primera de Mayo,  programado para mayo, TransMilenio no ha generado CDP.</t>
  </si>
  <si>
    <t>Para el  2014 el IDU programó radicar 108 proyectos en Total, de los cuales para el mes  mayo,  programó radicar en la DTPS  22 proyectos correspondientes al  20.4% del total de los proyectos programados; no cumplinedose con la meta.La DTD radico  8 proyectos correspondiente  al  7.4% del mes de abril.
Nota 1:Causas por las cuales no se cumplio con lo programado:
A.) Ajustes en los modelos de los pliegos de condiciones para la estructuración de procesos licitatorios. B.) Demora en la aprobación del APUs en algunos de estos proyectos. C.) Proyectos programados para radicar en DTPS solo se recibio la factibilidad en  mayo  9 de 2014.  D.)  Un proyecto programado para mayo, no cuenta con viabilidad predial . E.) Proyectos en tramite de presupuesto.
Nota 2:El Proyecto Estación Intermedia Avenida Primera de Mayo,  programado para mayo, TransMilenio no ha generado CDP. Para el mes abril,  programó radicar en la DTPS  18 proyectos correspondientes al  16,7% del total de los proyectos programados; y la DTD radico 2 correspondiente  al  1,9% ,no cumpliendose la programación del mes .
Nota:Causas por las cuales no se cumplio con lo programado:
1.) implementación del Decreto 1510 de2013. 2.) Ajuste en los sistemas compras y contratación pública. 3.) Implementación de la Ley de Infraestructura. 4.) Implementación del 7X24, tiempos de trabajo. 5.) Aprobación del APUs. 5.) Ajustesn en documentos en la estructuración de procesos licitatorios. Para el mes  junio,  programó radicar en la DTPS  4 proyectos correspondientes al  3.7% del total de los proyectos programados; no cumplinedose con la meta en este mes, recibiendose la  factibilidad de uno de los proyectos el  1 de junio de 2014 con memorando 20142250418443; el otro proyecto esta por definirse los recursos.
La DTD radico 14 proyectos correspondiente  al  13% ,  0cho (8) proyectos del mes de abril y 6 proyectos del mes de mayo.
Nota 1:Los proyectos programados y reprogramados del mes de abril se cunpliron en su totalidad.
Nota 2:Causas por las cuales no se cumplio con lo programado en el de mayo: No hay alcance definido para el proceso licitatorio.
Nota 3:El Proyecto Estación Intermedia Avenida Primera de Mayo,  programado para mayo, en junio o se cumplio por  que aun TransMilenio no ha generado CDP.</t>
  </si>
  <si>
    <t>Se radicaron en la Direccion Tecnica deProcesos Selectivos 8 de los 9 procesos programados por parte de la DTD.</t>
  </si>
  <si>
    <t>Para el 2014 el IDU programó radicar 108 proyectos en total de los cuales para el mes de octubre programo radicar en la DTPS 4 proyectos correspndientes al 37% del total de los proyectos . Para el mes de octubre  se radicaron los proyectos programados en meses anterirores y los programados para este mes.  Todos los proyectos radicados en el mes de noviembre corresponden a proyectos que no estaban programados. de los que si estaban programados la Avenida Villavicencio fue suspendida para radicacion en el mes de enero de 2015 y el proyecto de cable San Cristobal no se ha cerrado el ciclo de factibilidad.</t>
  </si>
  <si>
    <t>Se proyectaron radicar 108 proyectos en todo el año  alcanzado a radicar 96 proyectos</t>
  </si>
  <si>
    <t>Iniciar proceso de construcción de Obra de  5 proyectos de Cupo de Endeudamiento y Valorización.</t>
  </si>
  <si>
    <t>Ejecución de obra</t>
  </si>
  <si>
    <t>Durante la vigencia 2014 se iniciara la etapa de construcción para 5 proyectos de Cupo de Endeudamiento y Valorización.</t>
  </si>
  <si>
    <t>(# de proyectos iniciados en etapa de construcción a 30 de junio de 2014 )/(14   proyectos programados para  iniciar en etapa de construcción )*100</t>
  </si>
  <si>
    <t>Acta de Inicio</t>
  </si>
  <si>
    <t xml:space="preserve">Teninedo en cuenta que durante la vigencia 2014 se adicionaran los contratos de conservacion No. 1825, 1792, 1810, 1815, 1804. del 2013; es necesario reprogramar este indicador, haciendo referencia a adiciones de contratos y no a acta de inicio de contrato. Las adiciones a los contratos estan programadas para radicacion en la DTC durante el mes de agosto y los objetos son, ejecucion de mejoramientos geometricos, acciones de moblidad y bicicarriles. </t>
  </si>
  <si>
    <t xml:space="preserve">Se reprograma esta meta mediante el memorando DTC, 20143350631523, pasando de 5 contratos a 11 contratos. Se da inicio a los contratos: 
Octubre: Avenida Colombia
Noviembre: IDU-714-2014 RAPS NIEVES,  IDU-715-2014 RAPS TEUSAQUILLO, IDU-1345-2014 RAPS CARVAJAL, IDU-1346-2014 RAPS  RESTREPO, IDU-1347-2014 RAPS  KENNEDY y IDU-1662-2014 AVENIDA CIUDAD DE CALI,
</t>
  </si>
  <si>
    <t>Se da inicio a los contratos: IDU-1654-2014 LA AVENIDA LA SIRENA, IDU-1725-2014 AVENIDA RINCÓN - AVENIDA TABOR y IDU-1746-2014 AV LOS CERROS. Esta meta fue reprogramada mediante memorando: 20143350656903 del 27 de noviembre de 2014.</t>
  </si>
  <si>
    <t>Se da cumplimiento al 100% de las metas programadas en el año. 
Se da inicio a los contratos: IDU-1259-2014 Av. Colombia,  IDU-714-2014 RAPS NIEVES,  IDU-715-2014 RAPS TEUSAQUILLO, IDU-1345-2014 RAPS CARVAJAL, IDU-1346-2014 RAPS  RESTREPO, IDU-1347-2014 RAPS, IDU-1654-2014 LA AVENIDA LA SIRENA, IDU-1725-2014 AVENIDA RINCÓN - AVENIDA TABOR y IDU-1746-2014 AV LOS CERROS.</t>
  </si>
  <si>
    <t>Liquidar todos los contratos terminados y que ya superaron su termino contractual de liquidación</t>
  </si>
  <si>
    <t>Liquidación de contratos</t>
  </si>
  <si>
    <t>A 31 de diciembre de 2014, se liquidaran 125 contratos y/o convenios a cargo del grupo de liquidaciones del IDU.</t>
  </si>
  <si>
    <t>(# de contratos liquidados a 31 de diciembre de 2014 )/(125 contratos liquidados a 31 de diciembre de 2014)*100</t>
  </si>
  <si>
    <t>Acta de Liquidación</t>
  </si>
  <si>
    <t>Martha Lucia Meza Arango SGI</t>
  </si>
  <si>
    <t>En el mes de mayo se liquidaron 2 contratos del mes de marzo</t>
  </si>
  <si>
    <t xml:space="preserve">En el mes de abril Se liquidó el contrato 950/13 de la DTM, programado en marzo.
Los contratos no liquidados DTC: 64/09, 65/09, 48/11, 50/11, 81/08, 90/08, 170/07, 54/11, 68/11, 33/10, 04/11, 33/04, 19/08, 60/10. DTD: 36/11, 02/09. DTDP: 2/09.
En el mes de mayo Los contratos liquidados: DTC: 060/11 y 072/11 programados en marzo. 048/011, 054/11, 068/11 y 33/10 programados en abril. DTM: 42/10 programado para marzo.  DTDP: 057/09 cumplimiento de mayo.
Los contratos no liquidados: DTC: 43/09, 46/09, 37/10, 5/11, 60/09, 19/09, 22/09. DTD: 103/09 y 97/09. DTM 93/08. En el mes de junio Contratos liquidados: DTC 050-2011,  19/08 programados para abril, 116/05 programado para marzo, 82/08, programado en junio. DTM 65/11 y 69/11 (nuevos contratos ingresados al grupo de liquidaciones). Contratos no liquidados programados para este mes: DTC47/12, 85/12, 173/07, 36/09 y 58/10. DTM: 119/09, 74/08, 96/08, 70/08, 92/08, Conv. 22/09 y 3/12. DTD: 28/11, 30/06 y 53/06 DTDP: Conv. 6/09 . El diagnóstico no abarcaba la totalidad de asuntos pendientes y la complejidad era mayor a la prevista en su momento.  Factores externos e internos que afectan: informes de interventoría técnico, social y ambiental; suscripción de Actas de cierre social y ambiental, recibo de obras ETB, paz y salvos EAB y aprobación SDM. Aunado a esto, algunos contratistas dilatan los procesos de liquidación por factores como: inasistencia a reuniones convocadas, incumplimiento de compromisos pactados, entrega de productos sin atender correcciones, excesivos tiempos de revisión interna jurídica de las actas de liquidación. 
</t>
  </si>
  <si>
    <t>La meta para el mes de diceimbre era de 0 contratos liquidados, sin embargo fue necesario replantear la meta y programar 27 contratos para liquidacion en el mes de diciembre. Lo anterior teniendo en cuenta que  la totalidad de asuntos pendientes y la complejidad era mayor a la prevista en su momento.  Factores externos e internos que afectan: informes de interventoría técnico, social y ambiental; suscripción de Actas de cierre social y ambiental, recibo de obras ETB, Codensa, EAB, aprobación SDA y SDM. Aunado a esto, algunos contratistas dilatan los procesos de liquidación por factores como: inasistencia a reuniones convocadas, incumplimiento de compromisos pactados, entrega de productos sin atender correcciones, excesivos tiempos de revisión interna jurídica de las actas de liquidación.</t>
  </si>
  <si>
    <t>La meta se debe a  la totalidad de asuntos pendientes y la complejidad era mayor a la prevista en su momento.  Factores externos e internos que afectan: informes de interventoría técnico, social y ambiental; suscripción de Actas de cierre social y ambiental, recibo de obras ETB, Codensa, EAB, aprobación SDA y SDM. Aunado a esto, algunos contratistas dilatan los procesos de liquidación por factores como: inasistencia a reuniones convocadas, incumplimiento de compromisos pactados, entrega de productos sin atender correcciones, excesivos tiempos de revisión interna jurídica de las actas de liquidación.</t>
  </si>
  <si>
    <t>La meta anual se debe a  la totalidad de asuntos pendientes y la complejidad era mayor a la prevista en su momento.  Factores externos e internos que afectan: informes de interventoría técnico, social y ambiental; suscripción de Actas de cierre social y ambiental, recibo de obras ETB, Codensa, EAB, aprobación SDA y SDM. Aunado a esto, algunos contratistas dilatan los procesos de liquidación por factores como: inasistencia a reuniones convocadas, incumplimiento de compromisos pactados, entrega de productos sin atender correcciones, excesivos tiempos de revisión interna jurídica de las actas de liquidación.</t>
  </si>
  <si>
    <t>Garantizar la estabilidad de las obras</t>
  </si>
  <si>
    <t>seguimiento a pólizas de estabilidad</t>
  </si>
  <si>
    <t>se cumplio con el  100% de la meta programada</t>
  </si>
  <si>
    <t>Conservar la infraestructura vial y el espacio publico</t>
  </si>
  <si>
    <t xml:space="preserve">Conservación  </t>
  </si>
  <si>
    <t xml:space="preserve">Hacer seguimiento y control a  la  ejecución de los contratos derivados de los programas de conservación de los sistemas de movilidad y espacio publico </t>
  </si>
  <si>
    <t>(# contratos del programa de conservación iniciados / 7 contratos del programa de conservación iniciados) *100</t>
  </si>
  <si>
    <t>Se iniciaron los siguientes contratos: troncal grupo 3, troncal grupo 4,  troncal grupo 5,  troncal grupo 6 y troncal grupo 7.</t>
  </si>
  <si>
    <t>Ana Lucia Bacares SGI</t>
  </si>
  <si>
    <t>no tiene meta programada para el mes de julio</t>
  </si>
  <si>
    <t xml:space="preserve"> Con respecto al cumplimiento oportuno de las acciones de mejora establecidas en los Planes de Mejoramiento con las Contralorías de Bogotá y General de la República, es importante tener en cuenta que el porcentaje de ejecución solo tiene dos rangos de avance porcentual los cuales son 100% y 0%, lo cual significa que únicamente se obtendría porcentaje de avance si se cumple con el 100% de las acciones.
Con respecto al porcentaje de avance correspondiente a plan de mejoramiento de las contralorías  General de la Republica y Distrital, se informa que durante el primer semestre del año la SGI trabajó en conjunto con la Dirección Técnica de Diseño de Proyectos en la formulación de la acción de mejora para el hallazgo No. 2.7.7.2 “Hallazgo Administrativo con presunta incidencia disciplinaria por la aprobación de ítems no previstos sin la correspondiente especificación técnica”, razón por la cual el porcentaje de avance es de 0%.” 
</t>
  </si>
  <si>
    <t>El valor reportado es el promedio de las cuatro calificaciones del año.</t>
  </si>
  <si>
    <t>El análisis detallado del cumplimiento de los Planes de Mejoramiento con la Contraloría de Bogotá y con la Contraloría General de la República fue socializado a la Dirección General y a las áreas a través de:
1. Plan Contraloría de Bogotá: Matriz de análisis y resultados socializados durante el mes de diciembre de 2013 en las reuniones de seguimiento lideradas por la Dirección General.
2. Planes 2011 y 2013 Contraloría Gral. de la República: Matriz de análisis por correo electrónico el día 13 de enero de 2013 y resultados socializados durante el mes de diciembre de 2013 y el pasado 8 de enero de 2014 en las reuniones de seguimiento lideradas por la Dirección General.</t>
  </si>
  <si>
    <t>CUMPLIÓ CON LA ACCIÓN (1) según el reporte de la OCI del consolidado de de indicadores transversales para palnes externos</t>
  </si>
  <si>
    <t xml:space="preserve">Nombre: LIBARDO ALFONSO CELIS YARURO </t>
  </si>
  <si>
    <t>Cargo: Subdirector General de Infraestructura</t>
  </si>
  <si>
    <t>subdirección general jurídica</t>
  </si>
  <si>
    <t>Enero - diciembre de 2014</t>
  </si>
  <si>
    <t xml:space="preserve"> 5.11 Implementar y articular un modelo de gerencia jurídica</t>
  </si>
  <si>
    <t>Desarrollar dos (2) actualizaciones del Normograma, (Incluye Identificación, verificación, reporte, consolidación y/o actualización  y divulgación de la normatividad vigente aplicable a los procesos del IDU y los subsistemas que hacen parte del SIG).</t>
  </si>
  <si>
    <t>Actualización Normograma</t>
  </si>
  <si>
    <t>Medir el porcentaje de avance de las actividades descritas en cronograma de actualización del normagrama</t>
  </si>
  <si>
    <t>No. De actualizaciones del Normograma / Total de actualizaciones del Normograma anual*100</t>
  </si>
  <si>
    <t>Cronograma actualización normograma</t>
  </si>
  <si>
    <t>Se realizarón las siguientes actividades:
1) Planificación de las actividades a realizar en la revisión y actualización 
2) Elaborar los oficios correspondientes a las dependencias  para que remitan el  formato  FO-JU-203- NORMOGRAMA 
3)  Recibir, revisar y consolidar la información enviada  por las dependencias.  
4) El Normograma fue actualizado en la intranet el día 28 de marzo de 2014 a la Oficina Asesora de Planeación y Oficina asesora de comunicaciones publicado en el Flash IDU a más tardar el día  de Abril de 2014.</t>
  </si>
  <si>
    <t xml:space="preserve">Este indicador se reporta en el mes de Octubre </t>
  </si>
  <si>
    <t>Se realizarón las siguientes actividades:
1) Planificación de las actividades a realizar en la revisión y actualización 
2) Elaborar los oficios correspondientes a las dependencias  para que remitan el  formato  FO-JU-203- NORMOGRAMA 
3)  Recibir, revisar y consolidar la información enviada  por las dependencias.  
4) El Normograma fue actualizado en la intranet el día 31 de octubre  de 2014 a la Oficina Asesora de Planeación y Oficina asesora de comunicaciones publicado en el Flash IDU r el día  4 de  noviembre de 2014.
De esta manera de acuerdo a la meta programada de dos actualizciones en el 2014, se da por cumplida al 100% como se evidencia en el mes de abril y la de octubre.</t>
  </si>
  <si>
    <t>Este indicador se reportó en el mes de Octubre, dando cumplimiento al 100%</t>
  </si>
  <si>
    <t>el Normograma fue actualizado en los meses de Abril y Octubre de acuerdo a la programacion de este indicador.</t>
  </si>
  <si>
    <t>Garantizar la revisión, viabilidad y respuesta al 100% de los conceptos jurídicos ó instrucciones Jurídicas radicados por las dependencias del Instituto a la SGJ en un plazo no mayor a 30 días habiles.</t>
  </si>
  <si>
    <t xml:space="preserve">Conceptos Jurídicos o instrucciones Juridicos expedidos </t>
  </si>
  <si>
    <t>Medir el porcentaje de revisión y aprobación de conceptos o instrucciones jurídicos radicados en la SGJ.</t>
  </si>
  <si>
    <t>No. de Conceptos Juridicos ó instrucciones Jurídicas tramitados  en los términos establecidos (30 Días Hábiles) / Total de conceptos juridicos ó instrucciones Jurídicas solicitadas * 100</t>
  </si>
  <si>
    <t>Libro radicador de memorandos</t>
  </si>
  <si>
    <t xml:space="preserve"> Se emitieron 5 documentos en el tiempo establecido (30 días Habiles). De estos Tres corresponden   a conceptos Jurídicos y 2 a Instrucciones juridicas. l
Información disponibles en la Instranet.</t>
  </si>
  <si>
    <t xml:space="preserve">Se emitieron  dos (2)   conceptos  jurídicos  en  en los términos establecidos (30 Días Hábiles) </t>
  </si>
  <si>
    <t xml:space="preserve">Se emitió  un (1)   concepto  jurídico  en  en los términos establecidos (30 Días Hábiles) </t>
  </si>
  <si>
    <t xml:space="preserve">Se emitieron  seis (6)   conceptos  jurídicos  en  en los términos establecidos (30 Días Hábiles) </t>
  </si>
  <si>
    <t xml:space="preserve">Se emitieron dos (2) conceptos  jurídicos  en  en los términos establecidos (30 Días Hábiles) </t>
  </si>
  <si>
    <t xml:space="preserve">Se emitieron   Una Instrucción Jurídica y tres (3) conceptos  jurídicos  en  en los términos establecidos (30 Días Hábiles) </t>
  </si>
  <si>
    <t xml:space="preserve">Se emitieron   dos (2) Instrucciónes Jurídicas  y no se emitieron conceptos  jurídicos  en  en los términos establecidos (30 Días Hábiles) </t>
  </si>
  <si>
    <t xml:space="preserve">En el mes de Agosto no se emiten conceptos y/o instrucciones jurídicas toda vez que no se reciben solicitudes al respecto. </t>
  </si>
  <si>
    <t xml:space="preserve">Se emitieron  dos (2) Instrucciónes Jurídicas  y no se emitieron conceptos  jurídicos  en  en los términos establecidos (30 Días Hábiles) </t>
  </si>
  <si>
    <t>Se emitio un (1)   conceptos  jurídicos  en  en los términos establecidos (30 Días Hábiles) y dos (2)  Instrucciones juridicas. 
Información disponibles en la Intranet.</t>
  </si>
  <si>
    <t xml:space="preserve">Se emitio un (1) concepto Jurídico  y no se emitieron instrucciones  jurídicas  en  en los términos establecidos (30 Días Hábiles) </t>
  </si>
  <si>
    <t xml:space="preserve">Se emitieron  dos (2) conceptos Jurídicos  y no se emitieron instrucciones  jurídicas  en  en los términos establecidos (30 Días Hábiles) </t>
  </si>
  <si>
    <t>Fueron tramitados 30 conceptos juridicos y 8 Instrucciones Juridicas  en el trascurso del año  2014, en los tiempos establecidos</t>
  </si>
  <si>
    <t xml:space="preserve">Garantizar la estructuración jurídica y el control de legalidad del 90%  de los actos administrativos o documentos de gestión contractual  radicados en la SGJ  </t>
  </si>
  <si>
    <t>Actos administrativos expedidos o documentos de gestión contractual</t>
  </si>
  <si>
    <t>Medir el porcentaje de actos administrativos o documentos de gestión contractual orientados y estructurados por la Dirección frente a las solicitudes recibidas</t>
  </si>
  <si>
    <t>No. de actos administrativos o documentos de gestión contractual verificados / No. de actos administrativos o documentos de gestión contractual radicados para control de legalidad * 100</t>
  </si>
  <si>
    <t>Actos Administrativos (Documentos y otras Resoluciones)</t>
  </si>
  <si>
    <t>Actos administrativos ó documentos de gestión contractual orientados y estructurados por la Dirección frente a las solicitudes recibidas, así:
Documentos contractuales (0), actas  contractuales (8), adendas (0), Resoluciones DTGC (3), Resoluciones DTPS (0), Resoluciones de Valorización (65),  otras resoluciones (11) y otros actos administrativos (3)</t>
  </si>
  <si>
    <t>Actos administrativos ó documentos de gestión contractual orientados y estructurados por la Dirección frente a las solicitudes recibidas, así:
Documentos contractuales (1), actas  contractuales (14), adendas (0), Resoluciones DTGC (1), Resoluciones DTPS (1), Resoluciones de Valorización (203),  otras resoluciones (7) y otros actos administrativos (2)</t>
  </si>
  <si>
    <t>Actos administrativos ó documentos de gestión contractual orientados y estructurados por la Dirección frente a las solicitudes recibidas, así:
Documentos contractuales (7), actas  contractuales (6), adendas (0), Resoluciones DTGC (6), Resoluciones DTPS (26), Resoluciones de Valorización (304),  otras resoluciones (22) y otros actos administrativos (5)</t>
  </si>
  <si>
    <t>Actos administrativos ó documentos de gestión contractual orientados y estructurados por la Dirección frente a las solicitudes recibidas, así:
Documentos contractuales (2), actas  contractuales (24), adendas (3), Resoluciones DTGC (5), Resoluciones DTPS (3), Resoluciones de Valorización (186),  otras resoluciones (9) y otros actos administrativos (6)</t>
  </si>
  <si>
    <t xml:space="preserve">Actos administrativos ó documentos de gestión contractual orientados y estructurados por la Dirección frente a las solicitudes recibidas, así:
Se revisaron 473 documentos clasificados como: documentos contractuales (0), actas  contractuales (13), adendas (3), Resoluciones DTGC (1), Resoluciones DTPS (3), Resoluciones de Valorización (428),  otras resoluciones 25 y otros actos administrativos (0), del total de 477  documentos recibidos en el mes. </t>
  </si>
  <si>
    <t xml:space="preserve">Actos administrativos ó documentos de gestión contractual orientados y estructurados por la Dirección frente a las solicitudes recibidas, así:
Se revisaron 194 documentos clasificados como: documentos contractuales (4), actas  contractuales (8), adendas (12), Resoluciones DTGC (1), Resoluciones DTPS (30), Resoluciones de Valorización (59),  otras resoluciones 54 y otros actos administrativos (26), del total de 184  documentos recibidos en el mes. </t>
  </si>
  <si>
    <t xml:space="preserve">Actos administrativos ó documentos de gestión contractual orientados y estructurados por la Dirección frente a las solicitudes recibidas, así:
Se revisaron 333 documentos clasificados como: documentos contractuales (7), actas  contractuales (18), adendas (51), Resoluciones DTGC (0), Resoluciones DTPS (44), Resoluciones de Valorización (255),  otras resoluciones 8 y otros actos administrativos (22), del total de 325 documentos recibidos en el mes. </t>
  </si>
  <si>
    <t xml:space="preserve">Actos administrativos ó documentos de gestión contractual orientados y estructurados por la Dirección frente a las solicitudes recibidas, así:
Se revisaron 270 documentos clasificados como:
Documentos contractuales (5)
Actas  contractuales (12)
Adendas (24)
Resoluciones DTGC (0)
Resoluciones DTPS (21)
Resoluciones de Valorización (192)
Otras resoluciones (2)
Otros Actos administrativos (14), del total de 270 documentos recibidos en el mes. </t>
  </si>
  <si>
    <t xml:space="preserve">Actos administrativos ó documentos de gestión contractual orientados y estructurados por la Dirección frente a las solicitudes recibidas, así:
Se revisaron 173 documentos clasificados como:
Documentos contractuales (7)
Actas  contractuales (32)
Adendas (34)
Resoluciones DTGC (0)
Resoluciones DTPS (18)
Resoluciones de Valorización (73)
Otras resoluciones (6)
Otros Actos administrativos (3), del total de 209 documentos recibidos en el mes. </t>
  </si>
  <si>
    <t xml:space="preserve">Actos administrativos ó documentos de gestión contractual orientados y estructurados por la Dirección frente a las solicitudes recibidas, así:
Se revisaron 417 documentos clasificados como:
Documentos contractuales (6)
Actas  contractuales (12)
Adendas (17)
Resoluciones DTGC (0)
Resoluciones DTPS (26)
Resoluciones de Valorización (297)
Otras resoluciones (14)
Memorandos generales (69)
Otros Actos administrativos (7) del total de 448 documentos recibidos en el mes. </t>
  </si>
  <si>
    <t>Actos administrativos ó documentos de gestión contractual orientados y estructurados por la Dirección frente a las solicitudes recibidas, así:
Se revisaron 365 documentos clasificados como:
Documentos contractuales (5)
Actas  contractuales (8)
Adendas (40)
Resoluciones DTGC (0)
Resoluciones DTPS (29)
Resoluciones de Valorización (196)
Otras resoluciones (22)
Memorandos generales (23)
Otros Actos administrativos (9) del total de 332 documentos recibidos en el mes de noviembre.</t>
  </si>
  <si>
    <t>Actos administrativos ó documentos de gestión contractual orientados y estructurados por la Dirección frente a las solicitudes recibidas, así:
Se revisaron 1135 documentos clasificados como:
Documentos contractuales (10)
Actas  contractuales (35)
Adendas (16)
Resoluciones DTGC (0)
Resoluciones DTPS (13)
Resoluciones de Valorización (1029)
Otras resoluciones (26)
Memorandos generales (42)
Otros Actos administrativos (2) del total de 1173 documentos recibidos en el mes de Diciembre.</t>
  </si>
  <si>
    <t>Actos administrativos ó documentos de gestión contractual orientados y estructurados por la Dirección frente a las solicitudes recibidas, así:
Se revisaron un total de  4505 documentos clasificados asi:
Documentos contractuales (54)
Actas  contractuales (190)
Adendas (200) 
Resoluciones DTGC (17)
Resoluciones DTPS (214)
Resoluciones de Valorización (3240)
Otras resoluciones (206)
Memorandos generales (349)
Otros Actos administrativos (35) del total de 4505 documentos recibidos en el año 2014.</t>
  </si>
  <si>
    <t>Garantizar la estructuración jurídica y el control de legalidad del 96%  de todos los Derechos de Petición radicados en la SGJ.</t>
  </si>
  <si>
    <t>Respuestas a requerimientos de Organismos de control y derechos de petición orientadas y estructuradas por la SGJ</t>
  </si>
  <si>
    <t>Medir el porcentaje de Derechos de Peticion orientados y estructutados por la Dirección frente a las solicitudes remitidas</t>
  </si>
  <si>
    <t>No. De derechos de petición verificados  en su estructuración juridica  y/o control de legalidad / total de derechos de petición radicados en la SGJ * 100</t>
  </si>
  <si>
    <t xml:space="preserve">Libro radicador requerimientos y derechos de petición </t>
  </si>
  <si>
    <t>En este indicador la Subdirecciòn relaciona el control de legalidad o respuesta a 178 requerimientos de Organismos de Control y derechos de peticiónen el mes de enero,  de un total de 178 documentos recibidos:
* Organos de control (130) oficios, así:  Procuraduria (4), Personeria (41), Contraloría (14),  Veeduria (6), Fiscalía (64) y Defensoría  (1) del total de 130 documentos  recibidos.
* Y, 48 respuestas a requerimientos provenientes  Concejo de Bogotá, (26), Congreso de la República (0) y los generales (22).de los 48 documentps recibidos en enero.</t>
  </si>
  <si>
    <t>En este indicador la Subdirecciòn relaciona el control de legalidad o respuesta a 264 requerimientos de Organismos de Control y derechos de peticiónen el mes de Febrero,  de un total de 264 documentos recibidos:
* Organos de control  (183) oficios, así:  Procuraduria (7), Personeria (58), Contraloría (19),  Veeduria (7), Fiscalía (91) y Defensoría  (1) del total de 183 documentos  recibidos.
* Y, 81 respuestas a requerimientos provenientes  Concejo de Bogotá, (41), Congreso de la República (0) y los generales (40) de los 81 documentos recibidos en febrero.</t>
  </si>
  <si>
    <t>En este indicador la Subdirecciòn relaciona el control de legalidad o respuesta a 268 requerimientos de Organismos de Control y derechos de peticiónen el mes de Marzo,  de un total de 272 documentos recibidos:
* Organos de control  (211) oficios, así:  Procuraduria (11), Personeria (59), Contraloría (35),  Veeduria (12), Fiscalía (93) y Defensoría  (1) del total de 213 documentos  recibidos.
* Y, 57 respuestas a requerimientos provenientes  Concejo de Bogotá, (37), Congreso de la República (0) y los generales (20) de los 59 documentos recibidos en Marzo.</t>
  </si>
  <si>
    <t>En este indicador la Subdirecciòn relaciona el control de legalidad o respuesta a 298 requerimientos de Organismos de Control y derechos de peticiónen el mes de Abril,  de un total de 297 documentos recibidos:
* Organos de control  (251) oficios, así:  Procuraduria (13), Personeria (55), Contraloría (36),  Veeduria (9), Fiscalía (138) y Defensoría  (0) del total de 252 documentos  recibidos.
* Y, 47 respuestas a requerimientos provenientes  Concejo de Bogotá, (24), Congreso de la República (0) y los generales (23) de los 48 documentos recibidos en Marzo.</t>
  </si>
  <si>
    <t>La Subdirecciòn relaciona el control de legalidad o respuesta a 198 requerimientos de Organismos de Control y derechos de peticiónen el mes de Mayo,  de un total de 200 documentos recibidos:
Organos de control (150) oficios, así:  Procuraduria (12), Personeria (56), Contraloría (12),  Veeduria (6), Fiscalía (64) y Defensoría  (0) del total de 150 documentos  recibidos.
* Y, 48 respuestas a requerimientos provenientes  Concejo de Bogotá, (24), Congreso de la República (0) y los generales (24) de los 50 documentos recibidos en Mayo.</t>
  </si>
  <si>
    <t>La Subdirecciòn relaciona el control de legalidad o respuesta a 263 requerimientos de Organismos de Control y derechos de peticiónen el mes de Junio,  de un total de 265 documentos recibidos:
*178 respuestas a  Organos de control, así:  Procuraduria (3), Personeria (60), Contraloría (31),  Veeduria (10), Fiscalía (74) y Defensoría  (0) del total de 175 documentos  recibidos.
* Y, 91 respuestas a requerimientos provenientes  Concejo de Bogotá, (28), Congreso de la República (0) y los generales (63) de los 90 documentos recibidos en Junio.</t>
  </si>
  <si>
    <t>La Subdirecciòn relaciona el control de legalidad o respuesta a 375 requerimientos de Organismos de Control y derechos de petición en el mes de Julio así:
*188 respuestas a  Organos de control: 
Procuraduria (11)
Personeria (52),
Contraloría (32)
Veeduria (14)
Fiscalía (78)
Defensoría  (1) 
Y, 187 respuestas a requerimientos provenientes  Concejo de Bogotá, (40), Congreso de la República (0) y los generales (147)</t>
  </si>
  <si>
    <t>La Subdirección relaciona el control de legalidad o respuesta a 238 requerimientos de Organismos de Control y derechos de petición en el mes de Agosto así:
106 oficios de respuestas a  Órganos de control: 
Procuraduría (5)
Personería (48),
Contraloría (23)
Veeduría (12)
Fiscalía (18)
Defensoría  (0) 
Y, 132 respuestas a requerimientos provenientes  Concejo de Bogotá, (39), Congreso de la República (5) y los generales (88)</t>
  </si>
  <si>
    <t>La Subdirección relaciona el control de legalidad o respuesta a 286 requerimientos de Organismos de Control y derechos de petición en el mes de Agosto así:
173 oficios de respuestas a  Órganos de control: 
Procuraduría (9)
Personería (74),
Contraloría (30)
Veeduría (10)
Fiscalía (50)
Defensoría (0) 
Y, 113 respuestas a requerimientos provenientes  Concejo de Bogotá, (42), Congreso de la República (2) y los generales (69)</t>
  </si>
  <si>
    <t>La Subdirección relaciona el control de legalidad o respuesta a 324 requerimientos de Organismos de Control y derechos de petición en el mes de octubre  así:
215 oficios de respuestas a  Órganos de control: 
Procuraduría (16)
Personería (80),
Contraloría (25)
Veeduría (8)
Fiscalía (86)
Defensoría (0) 
Y, 109  respuestas a requerimientos provenientes  Concejo de Bogotá (37), Congreso de la República (0) y los generales (72)</t>
  </si>
  <si>
    <t>La Subdirección relaciona el control de legalidad o respuesta a 237 requerimientos de Organismos de Control y derechos de petición en el mes de octubre  así:
126 oficios de respuestas a  Órganos de control: 
Procuraduría (5)
Personería (54),
Contraloría (12)
Veeduría (8)
Fiscalía (47)
Defensoría (0) 
Y, 111  respuestas a requerimientos provenientes  Concejo de Bogotá (23), Congreso de la República (4) y los generales (84)</t>
  </si>
  <si>
    <t>La Subdirección relaciona el control de legalidad o respuesta a 187  requerimientos de Organismos de Control y derechos de petición en el mes de Diciembre  así:
96 oficios de respuestas a  Órganos de control: 
Procuraduría (7)
Personería (56),
Contraloría (13)
Veeduría (16)
Fiscalía (4)
Defensoría (0) 
Y, 91  respuestas a requerimientos provenientes  Concejo de Bogotá (26), Congreso de la República (6) y los generales (59)</t>
  </si>
  <si>
    <t>La Subdirección relaciona el control de legalidad o respuesta a 3123  requerimientos de Organismos de Control y derechos de petición en el año 2014  así:
2007 oficios de respuestas a  Órganos de control: 
Procuraduría (103)
Personería (693),
Contraloría (282)
Veeduría (118)
Fiscalía (807)
Defensoría (4) 
Y, 1116  respuestas a requerimientos provenientes  Concejo de Bogotá (387), Congreso de la República (17) y los generales (712)</t>
  </si>
  <si>
    <t>5.23 Implementar el 100% del procedimiento de prevención de daño antijurídico</t>
  </si>
  <si>
    <t xml:space="preserve">Crear e implementar dos (2) estrategias de prevencion del daño antijuridico </t>
  </si>
  <si>
    <t>Estrategias de Prevención de Daño Antijurídico implementadas</t>
  </si>
  <si>
    <t>Mitigar el riesgo
de los efectos nocivos de las condenas y solucionar potenciales acciones jurídicas en contra de
la entidad y sus servidores públicos.</t>
  </si>
  <si>
    <t>No. de estrategias de Prevención de Daño Anijutiridico implementadas  / Total estrategias de prevención de Daño Antíjuridico programadas</t>
  </si>
  <si>
    <t>Actas de los Comites de Conciliacion y Mesas de Trabajo del Daño Antijuridico.</t>
  </si>
  <si>
    <t>_</t>
  </si>
  <si>
    <t xml:space="preserve">Se aprobó el 26 de junio de 2014  en comite extraordinario de  Conciliación la siguiente estrategia "Fortalecer los instrumentos administrativos y disciplinarios con que cuenta la Entidad para garantizar el cumplimiento de los requerimientos y las decisiones judiciales, por parte de las diferentes dependencias de la Entidad, estableciendo mecanismos que busquen dar cumplimiento a la reglamentación establecida, haciendo uso de acciones efectivas que logren que asuntos que deban ser resueltos dentro de un término se les de cumplimiento en los tiempos y en las condiciones establecidas (estas condiciones se refieren a la celeridad, claridad, contundencia, efectividad de las respuestas), pues de ello depende el resultado de las decisiones judiciales". 
</t>
  </si>
  <si>
    <t xml:space="preserve">No se reporta en este periodo de medición </t>
  </si>
  <si>
    <t>Se aprobó el día 02 de diciembre de 2014 en Comité Extraordinario de Conciliación la Segunda estrategia de Prevención del Daño Antijurídico “Con el fin de dar cumplimiento a aquellos pronunciamientos judiciales de diferentes acciones populares que se encuentran pendientes por parte del IDU, la Subdirección General Jurídica a través de la Dirección Técnica de Gestión Judicial  propone liderar la actividad consistente en apoyar las diferentes dependencias técnicas del Instituto, a través de la instauración de un grupo interdisciplinario de profesionales con especialidades técnicas que agilicen los cronogramas establecidos en los pronunciamientos judiciales, para dar un efectivo cumplimiento dentro de los términos legales.”</t>
  </si>
  <si>
    <t xml:space="preserve">Se dio cumplimiento al 100% respecto a las dos estrategias del Daño Antijuridicos ( Antecedentes administrativos  y Acciones Populares) </t>
  </si>
  <si>
    <t>Programar diez (10) sesiones para asesorar y/o acompañar Jurídicamente las dependencias del IDU  en los procesos de Gestión contractual y Gestión Legal.</t>
  </si>
  <si>
    <t>Plan de Acompañamiento Juridico a las dependencias del IDU  en los procesos de Gestión contractual y Gestión Legal.</t>
  </si>
  <si>
    <t>Realizar actividades preventivas de prevención de daño antíjuridico</t>
  </si>
  <si>
    <t xml:space="preserve">No. De Acompañamientos Juridicos realizados / No. De Acompañamientos Juridicos programados </t>
  </si>
  <si>
    <t>Actas de Reunión y listas de Asistencia</t>
  </si>
  <si>
    <t xml:space="preserve">El 30 de abril de 2014 se realizó  "SOCIALIZACIÓN PR-GC- 074  DECLARATORIA DE iNCUMPLIMIENTO PARA LA IMPOSICIÓN DE MULTA, CLÁUSULA PENAL, CADUCIDAD Y/O AFECTACIÓN DE LA GARANTÍA ÚNICA DE CUMPLIMIENTO V_3.0, con la cual se cumplio con esta actividad
</t>
  </si>
  <si>
    <t>Los días 28 y 29 de mayo  se realizó  la socialización del Normograma como soporte al acompañamiento jurídico de La Institución.</t>
  </si>
  <si>
    <t>Se realizan dos (2) jornadas de socialización de la Versión 12 del Manual de Gestión Contractual:
1, Junio 11 de 2014
2, Junio 12 de 2014</t>
  </si>
  <si>
    <t>Durante el mes de julio de 2014 se realiza acompañamiento Jurídico a los comité de obra de las Direcciones Técnica de Mantenimiento y Construcciones.</t>
  </si>
  <si>
    <t>Durante el mes de Agosto de 2014 se realiza  acompañamiento Jurídico a los comité de obra de las Direcciones Técnica de Mantenimiento y Construcciones.</t>
  </si>
  <si>
    <t>Durante el mes de Septiembre de 2014 se realiza  acompañamiento Jurídico a los comité de obra de las Direcciones Técnica de Mantenimiento y Construcciones.</t>
  </si>
  <si>
    <t>Durante el mes de octubre de 2014 se realiza  acompañamiento Jurídico a un comité de obra de las Direcciones Técnica de Mantenimiento y Construcciones y una socializacion del Normograma a todas las dependencias del IDU</t>
  </si>
  <si>
    <t>Durante el mes de Noviembre  de 2014 se realiza  acompañamiento Jurídico a un comité de obra de las Direcciones Técnica de Mantenimiento y Construcciones.</t>
  </si>
  <si>
    <t>Este indicador no se programó para este mes, se dio cumplimiento al 100% en el mes de noviembre.</t>
  </si>
  <si>
    <t>se realizaron un total de 10 acompañamientos juridicos cumpliendo de esta manera con la meta programada para el año 2014</t>
  </si>
  <si>
    <t>La Subdirección General Jurídica se encuentra en mesas de trabajo para realizar la actualización de los documentos acorde con el compromiso documental .</t>
  </si>
  <si>
    <t>El 1 de Agosto de 2014 Sale publicada la primera versión del Procedimiento PR-GL-01 Procedimiento para la Gestión del Pago de Providencias Judiciales y Decisiones Extrajudiciales.</t>
  </si>
  <si>
    <t>De los trámites programados inicialmente para ejecutar desde el 1° de enero hasta el 31 de diciembre, quedaron pendientes un total de 0 trámites. El detalle de los documentos se puede observar en el plan documental consolidado por la OAP o el plan específico en cada área. La documentación de la SGJ corresponde a la asignada a sus áreas adcritas mas 5 documentos tramitados directamente por la SGJ.</t>
  </si>
  <si>
    <t>De los trámites programados inicialmente para ejecutar desde el 1° de enero hasta el 31 de diciembre se cumpli con el 100%. El detalle de los documentos se puede observar en el plan documental consolidado por la OAP o el plan específico en cada área. La documentación de la SGJ corresponde a la asignada a sus áreas adcritas mas 5 documentos tramitados directamente por la SGJ.</t>
  </si>
  <si>
    <t>El análisis de los planes de mejoramiento se remite por memorando por parte del auditor.
El concepto juridico se realizo con numero de radicado 20144050072553 de fecha 26 de marzo de 2014. A pesar de este memorando la Oficina de Control Interno sigue comprometiendo a la Subdirección General Juridica y deja la meta ejecutada en 0%.</t>
  </si>
  <si>
    <t>No. de Solicitudes de Acompañamiento, asesoría y elaboración de tramites contractuales Cargados en el SIAG / Total de solicitudes de acompañamiento, asesoría y elaboración de tramites contractuales. X1 26</t>
  </si>
  <si>
    <t>Se evidencia cumplimiento del indicador una vez verificada la información reportada en el SIAC por parte de la Subdirección General Jurídica, frente a las matrices de seguimiento de la DTGC y se evidencia el cumplimiento del 100% del indicador transversal.</t>
  </si>
  <si>
    <t>Realizado el seguimiento a la información de los contratos a cargo de la Subdirección General Jurídica, se encuentra que de acuerdo con los parámetros establecidos de medición la información que reposa a la fecha de corte junio 30 de 2014 en el Sistema de Información y Acompañamiento Contractual SIAC se encuentra Actualizada.</t>
  </si>
  <si>
    <t xml:space="preserve">Revisado el SIAC se evidencia la actualización de los estados de los contratos a cargo de la Subdirección General Jurídica </t>
  </si>
  <si>
    <t>Se refleja una oportuna y permanente actualización del sistema de información contractual SIAC, durante el año 2014.</t>
  </si>
  <si>
    <t>NO APLICA EVALUACIÓN DEL INDICADOR DE PLANES DE MEJORAMIENTO EN ESTE PERIODO.</t>
  </si>
  <si>
    <t>Analizadas las acciones a cumplir en el periodo y los resultados  obtenidos por el área, no aplica evaluación del indicador de planes de mejoramiento con la contraloría de Bogotá y/o la contraloría general de la república.</t>
  </si>
  <si>
    <t>Sin programación. Sin ejecución para el mes.</t>
  </si>
  <si>
    <t>NO SE GENERARON MOVIMIENTOS</t>
  </si>
  <si>
    <t>Sin programación. Ejecución esperada del 3%.</t>
  </si>
  <si>
    <t>Ejecución correspondiente a giros presupuestales por $52.333.333. Meta esperada del 3%.</t>
  </si>
  <si>
    <t>Ejecución correspondiente a liberaciones por $8.989.464. Meta esperada del 3%.</t>
  </si>
  <si>
    <t>Sin ejecución para el mes. Meta esperada del 3%.</t>
  </si>
  <si>
    <t>Ejecución del mes correspondiente a giros presupuestales por $3.338.000. Meta esperada del 3%.</t>
  </si>
  <si>
    <t>Sin ejecución en el mes. Meta esperada del 3%.</t>
  </si>
  <si>
    <t>Sin ejecución en el mes. Meta esperada del 5%.</t>
  </si>
  <si>
    <t>Sin ejecución para el mes. Sin meta esperada para el mes.</t>
  </si>
  <si>
    <t>Se cumplio en un 23% de la ejecucción de los Pasivos Exigibles, respecto a los 31% programados inicialmente, (Este indicador esta sujeto a las decisiones judiciales que se encuentran en curso, así las cosas el cumplimiento de este indicador depende de los fallos judiciales)</t>
  </si>
  <si>
    <t>NO SE PROGRAMARON RECURSOS PARA ESTE MES</t>
  </si>
  <si>
    <t>Ejecución del 30% correspondiente a giros presupuestales por $237.866.666. Ejecución por encima de la esperada del 3%.</t>
  </si>
  <si>
    <t>Se liberarón $200,000 de saldos de contratos, sin embargo no se presentó giros de los pasivos exigibles</t>
  </si>
  <si>
    <t>Ejecución del mes correspondiente a giros presupuestales por $133'970.967. Meta esperada del 3%.</t>
  </si>
  <si>
    <t>Ejecución del mes correspondiente a giros presupuestales por $19,594.966. Meta esperada del 10%.</t>
  </si>
  <si>
    <t>Ejecución del mes correspondiente a giros presupuestales por $8.700.000. Meta esperada del 3%.</t>
  </si>
  <si>
    <t>Sin ejecución en el mes. Meta esperada del 10%.</t>
  </si>
  <si>
    <t>Ejecución del mes, correspondiente a giros presupuestales por $92.800.000. Ejecución esperada del 5%</t>
  </si>
  <si>
    <t xml:space="preserve">Para el año 2014 se obtuvo una ejecucción del 178%, lo que permite evidenciar un optimo ejercicio respecto al cumplimiento en el pago del presupuesto asignado en reservas, teniendo en cuenta que la meta programada era del 48%. </t>
  </si>
  <si>
    <t>N.Aplica para este mes</t>
  </si>
  <si>
    <t>Una vez verificado el reporte enviado por la Oficina Asesora de Planeación se pudo constatar que la cifra que reporta de $7.088.564.850 no es el presupuesto asignado a la Subdirección General jurídica, el presupuesto oficial es de $4.570.348.850 por lo tanto se debe realizar los ajustes correspondientes.</t>
  </si>
  <si>
    <t xml:space="preserve">No se mide este mes </t>
  </si>
  <si>
    <t>El  presupuesto ejecutado (CRP)  de la SGJ en el mes de octubre fue de $ 856,238,000 respecto a la apropicaion de  la depencia,  la cual corresponde a $ 6,115,713,851.</t>
  </si>
  <si>
    <t>Debido al cambio en la ordenacion del gasto a la SGGC, la SGJ tuvo una baja sensible en su ejecucion presupuetal en el mes de noviembre  toda vez que el centro de costo : Apoyo Tecnico y logistico Asesorias ya no esta a su cargo; no obstante durante los meses subsiguientes se han gestionado los diferentes CDPS  y CRPS relacionados con los  centros de costos de su gestion directa.</t>
  </si>
  <si>
    <t>Durante el mes de diciembre se ejecuto el 59% del presupuesto correspondiente a la SGJ, dado  que en este mes fue donde se concentro la mayoria de sentencias y laudos arbitrales a pagar, debido a factores externos de la entidad.</t>
  </si>
  <si>
    <t>Se ejecutó el 72% del presupuesto asignado a la Subdirección General Jurídica del 2014, respecto al 28% no ejecutado se debio a  factores externos "Paro Judicial" que no permitiero la normalidad del proceso.</t>
  </si>
  <si>
    <t>La programación Inicial (PI) del PAC es de $ 0    y la Reprogramación del mes ( RM )fue de $ 0    . La Ejecución del PAC  en este mes fue de $ 0 . Por lo tanto se ejecutó el   100 % frente a la programación Inicial y el    100% frente a la Reprogramación del mes. Adicionalmente la información  SI se entregó dentro del plazo estipulado. Esto arroja   100     puntos en el Indicador de Gestión del PAC.</t>
  </si>
  <si>
    <t>La programación Inicial (PI) del PAC es de $ 0    y la Reprogramación del mes ( RM )fue de $767.747.448   . La Ejecución del PAC  en este mes fue de $237.866.666  . Por lo tanto se ejecutó el  0  % frente a la programación Inicial y el  31  % frente a la Reprogramación del mes. Adicionalmente la información  SI se entregó dentro del plazo estipulado. Esto arroja   25    puntos en el Indicador de Gestión del PAC.</t>
  </si>
  <si>
    <t>La programación Inicial (PI) del PAC es de $0.00 y la Reprogramación del mes ( RM )fue de $52,333.333.  La Ejecución del PAC  en este mes fue de $52.333.333. Por lo tanto no se presentó ejecución frente a la programación Inicial y  se presentó el 100% frente a la Reprogramación del mes.  Adicionalmente la información  SI se entregó dentro del plazo estipulado. Esto arroja  65 puntos en el Indicador de Gestión del PAC.</t>
  </si>
  <si>
    <t>La programación Inicial (PI) del PAC es de $0.00 y la Reprogramación del mes ( RM )fue de $0,00.  La Ejecución del PAC  en este mes fue de $0,00. Por lo tanto no se presentó ejecución frente a la programación Inicial y  se presentó el 100% frente a la Reprogramación del mes.  Adicionalmente la información  SI se entregó dentro del plazo estipulado. Esto arroja  100 puntos en el Indicador de Gestión del PAC.</t>
  </si>
  <si>
    <t xml:space="preserve">La programación Inicial (PI) del PAC es de $0.00 y la Reprogramación del mes ( RM )fue de $0,00.  Por lo tanto no se presentó ejecución frente a la programación Inicial y la Reprogramación. La información  SI se entregó dentro del plazo estipulado. Esto arroja  100 puntos en el Indicador de Gestión del PAC.  Toda vez que se cumplieron con los parámetros establecidos por los puntajes arrojados según los factores del indicador del semáforo </t>
  </si>
  <si>
    <t>La programación Inicial (PI) del PAC es de $0.00 y la Reprogramación del mes ( RM )fue de $236.298.434. La Ejecución del PAC  en este mes fue de $0.00. Por lo tanto se presentó UNA  ejecución frente a la programación Inicial DEL 100%  y  se presentó el 0.0% frente a la Reprogramación del mes.  Adicionalmente la información  SI se entregó dentro del plazo estipulado. Esto arroja  15 puntos en el Indicador de Gestión del PAC.</t>
  </si>
  <si>
    <t>La programación Inicial (PI) del PAC es de $0.00 y la Reprogramación del mes ( RM )fue de $0.00. La Ejecución del PAC  en este mes fue de $0.00. Por lo tanto se ejecutó el 100% frente a la programación Inicial y el 100% frente a la Reprogramación del mes. Adicionalmente la información  SI se entregó dentro del plazo estipulado. Esto arroja 100 puntos en el Indicador de Gestión del PAC.</t>
  </si>
  <si>
    <t>La programación Inicial (PI) del PAC es de $0,00 y la Reprogramación del mes ( RM )fue de $280,000,000.  La Ejecución del PAC  en este mes fue de $0,00. Por lo tanto se ejecutó el 100% frente a la programación Inicial y el 0,00% frente a la Reprogramación del mes. Adicionalmente la información  SI se entregó dentro del plazo estipulado. Esto arroja  40 puntos en el Indicador de Gestión del PAC.</t>
  </si>
  <si>
    <r>
      <t xml:space="preserve">La programación Inicial (PI) del PAC es de $0,00 y la Reprogramación del mes ( RM ) fue de $367,627,959.  La Ejecución del PAC  en este mes fue de $367,627,959. Por lo tanto se ejecutó el 0% frente a la programación Inicial y el 100% frente a la Reprogramación del mes. Adicionalmente la información  </t>
    </r>
    <r>
      <rPr>
        <b/>
        <sz val="8"/>
        <color indexed="8"/>
        <rFont val="Calibri"/>
        <family val="2"/>
      </rPr>
      <t>SI</t>
    </r>
    <r>
      <rPr>
        <sz val="8"/>
        <color indexed="8"/>
        <rFont val="Calibri"/>
        <family val="2"/>
      </rPr>
      <t xml:space="preserve"> se entregó dentro del plazo estipulado. Esto arroja 65 puntos en el Indicador de Gestión del PAC.</t>
    </r>
  </si>
  <si>
    <t>El PAC en el 2014 fue del  31% de acuerdo a los puntos otorgados (25)  con la metodología de  la Subdirección Técnica de Tesorería y Recaudo, esta calificación se debio al cumplimiento en las programaciones iniciales del año, reprogramaciones del mes y finalmente el pago oportuno de las fechas estipuladas,  dado que este indicador se encuentra sujeto a las desiciones judiciales, presenta dificultad en programar los pagos.</t>
  </si>
  <si>
    <t>Gustavo Adolfo Salazar Herrán</t>
  </si>
  <si>
    <t>Subdirector General Jurídico</t>
  </si>
  <si>
    <t>SUBDIRECCIÓN TÉCNICA DE EJECUCIÓN DEL SUBSISTEMA DE TRANSPORTE</t>
  </si>
  <si>
    <t>Total</t>
  </si>
  <si>
    <t xml:space="preserve">A 31 de diciembre de 2014, haber dado inicio a Dos (2) contratos de obra </t>
  </si>
  <si>
    <t>Se cumple con las actas de inicio de los contratos:
- IDU-1636-2013 e IDU-1638-2013.</t>
  </si>
  <si>
    <t>Este indicador no esta programado para este mes</t>
  </si>
  <si>
    <t>Ejecutado al 100% en enero.</t>
  </si>
  <si>
    <t>A 31 de diciembre de 2014, haber iniciado la fase de ejecución de Cuatro (4) contactos de obra.</t>
  </si>
  <si>
    <t>(Total de Contratos que iniciaron su fase de ejecución) / ( Total de Contratos programados a ejecutar) * 100</t>
  </si>
  <si>
    <t>Acta de inicio de la etapa de construcción</t>
  </si>
  <si>
    <t>Se cumple con el acta de inicio  de etapa de construcción del contrato:
- IDU-945-2013.</t>
  </si>
  <si>
    <t>No cumple con la meta para el mes ya que el contrato IDU-895-2013, se encuentra suspendido desde el 21-03-2014.</t>
  </si>
  <si>
    <t>Se cumple con el acta de inicio  de etapa de construcción del contrato:
- IDU-895-2013.</t>
  </si>
  <si>
    <t>Cumple según el contrato IDU-1636-2013, con el Acta N° 8 de inicio etapa de Construcción y no cumple con el contrato IDU-1638-2013 ya que el contrato se encuentra suspendido a la fecha.</t>
  </si>
  <si>
    <t>Este indicador se ejecuto al 75% de la meta planteada para el año, toda ves que el contrato 1638 de 2013 no cuenta con el Acta de Inicio.</t>
  </si>
  <si>
    <t>A 31 de diciembre de 2014 aprobar el PIPMA, de Cuatro (4) contratos iniciados en la vigencia a cargo de la STEST</t>
  </si>
  <si>
    <t>Establecer el Número  de PIPMA, aprobados</t>
  </si>
  <si>
    <t xml:space="preserve"> PlPMA guardado en las carpetas de los contratos</t>
  </si>
  <si>
    <t xml:space="preserve">Este indicador cumple con los contratos:
- IDU-945-2013, mediante radicado 20145260377002, respuesta IDU 20143460287441.
-IDU-895-2013. </t>
  </si>
  <si>
    <t>Cumple según el contrato IDU-1636-2013, con el radicado IDU 20143461130871 del 15 de septiembre de 2014 y con el contrato IDU-1638-2013 no cuenta con el PIPMA aprobado ya que el contrato no a iniciado su fase de ejecución.</t>
  </si>
  <si>
    <t>Este indicador se ejecuto al 75% de la meta planteada para el año, toda ves que el contrato 1638 de 2013 no cuenta con el PIPMA aprobado.</t>
  </si>
  <si>
    <t>A 31 de diciembre de 2014, haber terminado Tres (3) contratos</t>
  </si>
  <si>
    <t xml:space="preserve">Acta de terminación firmada, guardada en las carpetas de los contratos  </t>
  </si>
  <si>
    <t>Se cumple con el acta de terminación  del contrato:
- IDU-137-2007.</t>
  </si>
  <si>
    <t>Se cumple con el acta de terminación  del contrato:
- IDU-19-2010.</t>
  </si>
  <si>
    <t>Cumple con el contrato  IDU-945-2013, Acta de Terminación N° 23</t>
  </si>
  <si>
    <t>Ejecutada al 100% con las Actas de terminación de los contratos:
 IDU-137-2007, IDU-19-2010 e IDU-945-2013.</t>
  </si>
  <si>
    <t>A 31 de diciembre de 2014, haber recibido Dos (2) obras</t>
  </si>
  <si>
    <t xml:space="preserve">Acta de recibo final de obra firmada, guardada en las carpetas de los contratos  </t>
  </si>
  <si>
    <t>Este indicador no cumple para este mes. Con el contrato IDU-19-2012.</t>
  </si>
  <si>
    <t>El contrato 137 de 2007 cuenta con terminación según la resolución 1768 del 13 de febrero de 2014, dicha resolución es el documento de terminación del contrato en mención, y los valores finales del contrato quedaran establecidos en el acta de liquidación del contrato.</t>
  </si>
  <si>
    <t>Este indicador no esta programado para este mes, no obstante ya se encuentra suscrita el Acta  18 de Recibo Final de Obra del contrato IDU-19-2012</t>
  </si>
  <si>
    <t xml:space="preserve">Este indicador no esta programado para este mes </t>
  </si>
  <si>
    <t>Ejecutada al 100% en octubre IDU-137-2007 y noviembre con el contrato IDU-19-2010.</t>
  </si>
  <si>
    <t>A 31 de diciembre de 2014, haber liquidado  Tres (3) Contratos</t>
  </si>
  <si>
    <t xml:space="preserve">Acta de liquidación de obra firmada, guardada en las carpetas de los contratos  </t>
  </si>
  <si>
    <t>Este indicador no cumple para este mes. Con el contrato IDU-33-2010.</t>
  </si>
  <si>
    <t>Se liquido el contrato IDU-33-2010 que estaba programado para abril, el contrato IDU-19-2012 no cuenta para el mes con el acta de liquidación</t>
  </si>
  <si>
    <t xml:space="preserve">No cumple con el contrato IDU-60-2010 ya que no se ha firmado el documento, se cuenta con un borrador del mismo en su versión preliminar. El documento definitivo se encuentra supeditado al cumplimiento del contratista en la entrega de toda la documentación que permita suscribir el acta.
Adicional a lo anterior, el contratista ha efectuado reclamación a la interventoría por mayores costos PMT, Resoluciones ambientales y mayor permanencia, documentación que se encuentra en estudio por parte de la interventoría.
</t>
  </si>
  <si>
    <t xml:space="preserve">Este indicador no esta programado para este mes, 
Pero reporta para el año la Liquidación del Contrato IDU-60-2010. </t>
  </si>
  <si>
    <t>Este indicador cumplió con la ejecución del 33% de la meta planteada para el año, toda ves que el contrato 19 de 2012 no cuenta con el Acta de Liquidación.</t>
  </si>
  <si>
    <t>A 31 de diciembre de 2014, haber recibido tres (3) Contratos actas de recibo por parte de las E.S.P.</t>
  </si>
  <si>
    <t xml:space="preserve">Acta de recibo de las obras por parte de la E.S.P, guardada en las carpetas de los contratos  </t>
  </si>
  <si>
    <t>No cumple con el contrato IDU-60-2010 ya que se encuentran pendientes con la EAB la asignación de número a los planos record y la firma del acta de cruce de cuentas, que ya fue remitida a la EAB.</t>
  </si>
  <si>
    <t>Cumple con el contrato IDU-137-2007 según acta de recibo de E.S.P. No obstante se aclara que para el contrato IDU-134-2007 se reprogramo la meta según el memorando N° 20143350631523 del 31 de octubre de 2014.</t>
  </si>
  <si>
    <t>Este indicador no esta programado para este mes, según reprogramación de metas memorando N° 20143350656903 del 27 noviembre 2014. Pero reporta el acta del contrato 60 de 2010,</t>
  </si>
  <si>
    <t>Este indicador cumplió con la ejecución del 100% de la meta planteada para el año, con los contratos IUD-137-2007 e IDU-60-2010.</t>
  </si>
  <si>
    <t>A 31 de diciembre de 2014 esta programado construir 0,08 Km-carril de vía arteria intermedia</t>
  </si>
  <si>
    <t xml:space="preserve"> Km-carril de vía arteria intermedia construidos</t>
  </si>
  <si>
    <t>Este indicador no cumple con el cont. 44 de 2010, no se logró terminar debido a que en la adecuación de la intersección calle 6 con AV caracas se encontraron redes de acueducto y alcantarillado que se deben reubicar y todavía la EAB no se ha pronunciado al respecto.</t>
  </si>
  <si>
    <t>A 31 de diciembre de 2014 construir 0,66 Km-carril de Troncales</t>
  </si>
  <si>
    <t>A 31 de diciembre de 2014 está programado la Construcción de 0,80 de Puente vehicular</t>
  </si>
  <si>
    <t>La ejecución de este indicador corresponde a el Contrato IDU-44-2010</t>
  </si>
  <si>
    <t>Ejecutada al 100% en diciembre con el contrato  IDU-44-2010</t>
  </si>
  <si>
    <t>A 31 de diciembre de 2014 está programado la construcción de un (1) puente peatonal</t>
  </si>
  <si>
    <t>Puente peatonal Construido</t>
  </si>
  <si>
    <t>Puente peatonal</t>
  </si>
  <si>
    <t>No cumple con la meta del mes, según el cont. IDU-945-2013, ya que se realiza  cronograma de contingencia para cumplir con el cronograma general ya que el retraso que presenta es dado a que el acero debe importarse, teniendo en cuenta las especificaciones del puente y las luces que toca vencer. Por lo tanto la importación retrasa el cronograma.</t>
  </si>
  <si>
    <t>Ejecutada al 100% en noviembre con el contrato IDU-945-2013</t>
  </si>
  <si>
    <t xml:space="preserve">A 31 de diciembre de 2014 construir 0,31 Km de Cicloruta </t>
  </si>
  <si>
    <t>Km de Cicloruta construida</t>
  </si>
  <si>
    <t>La ejecución de este indicador corresponde a el contrato IDU-44-2010. 
Terminación de meta física.</t>
  </si>
  <si>
    <t>Este indicador no esta programado para este mes. Pero ejecuto un puente del Contrato 44-2010</t>
  </si>
  <si>
    <t>Ejecutada al 100% en diciembre con el contrato IDU-44-2010.</t>
  </si>
  <si>
    <t>A 31 de diciembre de 2014 construir 2445,70 M2 de Espacio Público</t>
  </si>
  <si>
    <t>Ejecutada al 100% en marzo con el contrato IDU-44-2010.</t>
  </si>
  <si>
    <t>A 31 de diciembre de 2014 esta programada la construcción de 2,1 Estaciones Sencillas para el Sistema Transmilenio</t>
  </si>
  <si>
    <t>No cumple con la meta del mes, según los contratos:
- IDU-895-2013: En la etapa de construcción de acuerdo al manual de interventoría existe una etapa de preliminares en la cual  se están realizando actividades necesarias como reunión de inicio con la comunidad, aprobación pmts general de construcción, aprobación pipma, aprobación manejo silvicultural, que son requisitos indispensables para dar inicio a las obras, además la empresa de acueducto y alcantarillado de Bogotá no ha aprobado el traslado o la solución constructiva de la tubería de 36" que se encuentra actualmente en la zona de influencia de la obra. No se ha dado inicio por razones no imputables al IDU.
-IDU-1636-2013: Se suspensión de los contratos a partir del 11/jun/14 hasta el 30/jun/14 debido a que se requiere la aprobación por parte de la Secretaria Distrital de Movilidad del Estudio de Tránsito presentado por el contratista de obra para posteriormente solicitar el PMT para la Etapa de Construcción.  Contrato suspendido por causas no imputables al IDU.</t>
  </si>
  <si>
    <t>No cumple con la meta del año, para el contrato IDU-1636-2013, ya que  solo se han adelantado actividades de Tratamientos silviculturales.</t>
  </si>
  <si>
    <t>A 31 de diciembre de 2014 esta programada la construcción de 0,96  Estación bidireccional para el Sistema Transmilenio</t>
  </si>
  <si>
    <t>No cumple con las metas del mes, según el contrato:
-IDU-1638-2013: Teniendo en cuenta que el contrato tiene dos etapas:
1 - Estudios y Diseños y 2 -Construcción, se establecen estas metas provisionalmente, de acuerdo con el alcance del contrato. Una vez se cuente con los estudios y diseños se establecerán metas más detalladas. Contrato suspendido por causas no imputables al IDU.</t>
  </si>
  <si>
    <t>No cumple con la meta del año, para el contrato IDU-1638-2013 ya que teniendo en cuenta que el contrato tiene dos etapas: 1 - Estudios y Diseños y 2 -Construcción, se establecen estas metas provisionalmente, de acuerdo con el alcance del contrato. Una vez se cuente con los estudios y diseños se establecerán metas más detalladas.</t>
  </si>
  <si>
    <t>A 31 de diciembre de 2014 esta programada la construcción de 0,48 Retorno Operacional para el Sistema Transmilenio</t>
  </si>
  <si>
    <t>A 31 de diciembre de 2014 esta programada la construcción de 1800 m2 Patio Portal Garaje para el Sistema Transmilenio</t>
  </si>
  <si>
    <t>Este indicador no esta programado para este mes, según reprogramación de metas memorando N° 20143350631523.</t>
  </si>
  <si>
    <t>Este indicador no esta programado para este mes, según reprogramación de metas memorando N° 20143350631523 del 31 de octubre de 2014.</t>
  </si>
  <si>
    <t>A 31 de diciembre de 2014 aprobar el  Plan de acción y Plan de Gestión social de cuatro (4) contratos indicados en la vigencia, a cargo de la STEST.</t>
  </si>
  <si>
    <t xml:space="preserve"> Plan de acción y Plan de Gestión social, aprobados y guardados en las carpetas de los contratos en la vigencia a cargo de la STEST</t>
  </si>
  <si>
    <t>Este indicador cumple con los contratos:
- IDU-945-2013, mediantes radicado 20145260102912 del 10-2-2014 y respuesta IDU-20143460180591 del 11-3-2014.
-IDU-895-2013.</t>
  </si>
  <si>
    <t>Cumple según el contrato IDU-1636-2013, con el radicado IDU 2014346125871 del 7 de octubre de 2014 (aunque dicho plan fue devuelto con observaciones) y con el contrato IDU-1638-2013 no cuenta con el  Plan de acción y Plan de Gestión social aprobado ya que el contrato no a iniciado su fase de ejecución.</t>
  </si>
  <si>
    <t>Este indicador no esta programado para este mes.</t>
  </si>
  <si>
    <t xml:space="preserve">Este indicador cumple con el 75%  de la meta planteada para el año, toda vez que falta la aprobación Plan de acción y Plan de Gestión social del contrato 1638 de 2013. </t>
  </si>
  <si>
    <t>A 31 de diciembre de 2014, suscribir el Acta de Cierre Social de cuatro (4)  contratos</t>
  </si>
  <si>
    <t>Acta de  cierre social firmada, guardada en las carpetas de los contratos</t>
  </si>
  <si>
    <t>En cuanto al componente social, según el contrato IDU-19-2012 no lo exige. Por tanto para el contrato se presumen cumplido con la aprobación final social.</t>
  </si>
  <si>
    <t>Este indicador no esta programado para este mes, según reprogramación de metas memorando N°20143350656903 del 27 de noviembre de 2014.</t>
  </si>
  <si>
    <t>Ejecutada al 100% en junio con el contrato IDU-19-2012 y octubre con el contrato IDU-60-2010.</t>
  </si>
  <si>
    <t>A 31 de diciembre de 2014, suscribir el Acta de Cierre Ambiental de cuatro (4)  contratos</t>
  </si>
  <si>
    <t>(Total de actas de cierre Ambiental firmada, guardada en las carpetas de los contratos) / ( Total de actas de cierre elaboradas) * 100</t>
  </si>
  <si>
    <t>Acta de  cierre Ambiental firmada, guardada en las carpetas de los contratos</t>
  </si>
  <si>
    <t xml:space="preserve">No cumple con la meta del mes, según el cont. IDU-19-2012 ya que a  la fecha falta la aprobación del informe final de cierre ambiental.
</t>
  </si>
  <si>
    <t xml:space="preserve">Este indicador no esta programado para este mes pero se reporta la firma del Acta </t>
  </si>
  <si>
    <t>No cumple con el contrato IDU-60-2010 ya que se encuentra pendiente el  pronunciamiento del Jardín Botánico de Bogotá respecto a la compensaciones por mantenimiento no incluido en el alcance del contrato.</t>
  </si>
  <si>
    <t xml:space="preserve">Este indicador no esta programado para este mes, cumple con el Acta de Cierre Ambiental del Contrato 60-2010. </t>
  </si>
  <si>
    <t>Este indicador cumple con el 50% de la meta planteada para el año, toda vez que falta la aprobación el Acta de Cierre Ambiental del contrato 19 de 2010.</t>
  </si>
  <si>
    <t>ESTE REPORTE ES REALIZADO POR LA DIRECCION TÉCNICA DE CONSTRUCCIONES</t>
  </si>
  <si>
    <t>Estas acciones se remitieron a la OCI mediante memorando 20143350086303 del 8 de abril del 2014 y memorando 20143350083113 4 de abril del 2014.</t>
  </si>
  <si>
    <t>Este indicador no cumple para el mes pero se aclara que mediante memorando No. 20143350418553 del 27 de junio de 2014 se envía el último reporte mencionando los inconvenientes presentados con el recibo de las empresas de servicios públicos, en donde se anexó el cronograma de recibos con las actividades pendientes por ejecutar y que en su gran mayoría dependen de terceros.</t>
  </si>
  <si>
    <t>Según el reporte de indicador de planes de mejoramiento interno corte  septiembre de 2014.</t>
  </si>
  <si>
    <t>hallazgo 184, plan de mejoramiento 2011 fecha de vencimiento 31/07/2014, avance a la fecha 85%.
-hallazgo 42 y 49 cumplido al 100%,</t>
  </si>
  <si>
    <t>Este indicador cumple con los hallazgos 2,2.
-Con el hallazgo 3.1.9.6.13. cumple con un porcentaje de 67%.
-Con el hallazgo 2.4.1 cumple con el 50% a la fecha, pero cuenta con plazo al 2014/12/19.</t>
  </si>
  <si>
    <t>Este indicador no cumple para el mes pero se aclara que el análisis detallado del cumplimiento de los Planes de Mejoramiento con la Contraloría de Bogotá y con la Contraloría General de la República fue socializado en las reuniones de seguimiento programadas por la Dirección General,  OCI y OAP, tanto para la Contraloría de Bogotá como para la Contraloría General de la República.</t>
  </si>
  <si>
    <t>INCUMPLIDA LA ACCIÓN DEL HALLAZGO 3,1,9,6,13</t>
  </si>
  <si>
    <t>INCUMPLIDA LA ACCIÓN DEL HALLAZGO 3,1,9,6,13 CUMPLIÓ (1) ACCIÓN</t>
  </si>
  <si>
    <r>
      <t xml:space="preserve">DA – DTC – DTC – FTP – DE – DTGC – DTGC– FTP – OCA – SIJ – SURF – SER – SER </t>
    </r>
    <r>
      <rPr>
        <sz val="7"/>
        <rFont val="Arial"/>
        <family val="2"/>
      </rPr>
      <t xml:space="preserve"> – STEST – STESV – STEST – STESV - STOP </t>
    </r>
  </si>
  <si>
    <t>La STEST se encuentra a la espera del informe del cumplimiento del indicador por parte de Contractual.</t>
  </si>
  <si>
    <t xml:space="preserve">Este indicador cumple al 100% según el Reporte Indicador Transversal SIAC 2° Trimestre, según el seguimiento de la Dirección Técnica de Gestión Contractual. </t>
  </si>
  <si>
    <t>Verificado el SIAC se evidencia la desactualización de ocho  (8)  estados de contratos PSP.
Se aclara que la DTC es la encargada de actualizar los contrato de Prestacion de Servicio. Y encuanto al contrato IDU-2254-2013, se encontraba desactualizado, se informa que a la fecha, ya se actualizo este contrato en el SIAC.</t>
  </si>
  <si>
    <t>Promedio realizado con los reportes del año.</t>
  </si>
  <si>
    <t xml:space="preserve">Nombre: Denice Bibiana Acero Vargas </t>
  </si>
  <si>
    <t>Cargo: Subdirectora Técnica de Ejecución del Subsistema de Transporte ( E )</t>
  </si>
  <si>
    <r>
      <t xml:space="preserve">FORMATO
</t>
    </r>
    <r>
      <rPr>
        <sz val="20"/>
        <rFont val="Arial"/>
        <family val="2"/>
      </rPr>
      <t>CARACTERIZACIÓN DE INDICADORES DE GESTIÓN STESV</t>
    </r>
  </si>
  <si>
    <t xml:space="preserve">CÓDIGO   
FO-PE-01                                                                                                                                                                                                                                                                                                                                                                                       </t>
  </si>
  <si>
    <t>S/T Ejecución del Subsistema Vial</t>
  </si>
  <si>
    <t xml:space="preserve">DICIEMBRE </t>
  </si>
  <si>
    <t xml:space="preserve">CONSOLIDADO AÑO </t>
  </si>
  <si>
    <r>
      <t xml:space="preserve">A 31 de diciembre de 2014, haber dado inicio Ocho </t>
    </r>
    <r>
      <rPr>
        <sz val="30"/>
        <rFont val="Arial Narrow"/>
        <family val="2"/>
      </rPr>
      <t xml:space="preserve"> (8) contratos de obra. </t>
    </r>
  </si>
  <si>
    <r>
      <t xml:space="preserve">Se cumple con el </t>
    </r>
    <r>
      <rPr>
        <b/>
        <sz val="24"/>
        <rFont val="Arial"/>
        <family val="2"/>
      </rPr>
      <t>100%</t>
    </r>
    <r>
      <rPr>
        <sz val="24"/>
        <rFont val="Arial"/>
        <family val="2"/>
      </rPr>
      <t xml:space="preserve"> de la meta programada, toda vez que se logró la firma del acta de inicio del contrato  IDU-1279-2013</t>
    </r>
  </si>
  <si>
    <r>
      <t xml:space="preserve">Se cumple con el </t>
    </r>
    <r>
      <rPr>
        <b/>
        <sz val="24"/>
        <rFont val="Arial"/>
        <family val="2"/>
      </rPr>
      <t>100%</t>
    </r>
    <r>
      <rPr>
        <sz val="24"/>
        <rFont val="Arial"/>
        <family val="2"/>
      </rPr>
      <t xml:space="preserve"> de la meta programada, toda vez que se logró la firma del acta de inicio de los contratos 1510. 1727 y 1878 de 2013.</t>
    </r>
  </si>
  <si>
    <r>
      <t xml:space="preserve">Se cumple con el </t>
    </r>
    <r>
      <rPr>
        <b/>
        <sz val="24"/>
        <rFont val="Arial"/>
        <family val="2"/>
      </rPr>
      <t>100%</t>
    </r>
    <r>
      <rPr>
        <sz val="24"/>
        <rFont val="Arial"/>
        <family val="2"/>
      </rPr>
      <t xml:space="preserve"> de la meta programada, toda vez que se logró la firma del acta de inicio de los contratos 1724, 2172 y 1885 de 2013.</t>
    </r>
  </si>
  <si>
    <r>
      <t xml:space="preserve">Se cumple con el </t>
    </r>
    <r>
      <rPr>
        <b/>
        <sz val="24"/>
        <rFont val="Arial"/>
        <family val="2"/>
      </rPr>
      <t>100%</t>
    </r>
    <r>
      <rPr>
        <sz val="24"/>
        <rFont val="Arial"/>
        <family val="2"/>
      </rPr>
      <t xml:space="preserve"> de la meta programada, toda vez que se logró la firma del acta de inicio de los contratos IDU-1510-2013, IDU-1727-2013 e IDU-1878-2013.</t>
    </r>
  </si>
  <si>
    <r>
      <t xml:space="preserve">Se cumple con el </t>
    </r>
    <r>
      <rPr>
        <b/>
        <sz val="24"/>
        <rFont val="Arial"/>
        <family val="2"/>
      </rPr>
      <t>100%</t>
    </r>
    <r>
      <rPr>
        <sz val="24"/>
        <rFont val="Arial"/>
        <family val="2"/>
      </rPr>
      <t xml:space="preserve"> de la meta programada, toda vez que se logró la firma del acta de inicio de los contratos IDU-1724-2013, IDU-2172-2013 e IDU-1885-2013.</t>
    </r>
  </si>
  <si>
    <t>Ya se cumplió con el 100% de la meta anual programada a 31 de diciembre de 2014.</t>
  </si>
  <si>
    <t>En este mes no se tenía programada meta física, ya se cumplió con  la meta programada para esta vigencia.</t>
  </si>
  <si>
    <t>Se dio inicio a la totalidad de contratos programados.</t>
  </si>
  <si>
    <t>CTO IDU-1279-2013</t>
  </si>
  <si>
    <t>CTOS:  PL3.
PL 4 y 
PL 5 (1510/13, 1727/13 Y 1878/13)</t>
  </si>
  <si>
    <t>CTOS: CLL45,
PL2 y 
7 MA  (1885/13, 1724/2013 Y EL 2172/13)</t>
  </si>
  <si>
    <r>
      <t xml:space="preserve">Según el cronograma de cupo de Endeudamiento y Valorización A 31 de diciembre de 2014, haber dado inicio a Diez (10) </t>
    </r>
    <r>
      <rPr>
        <sz val="30"/>
        <rFont val="Arial Narrow"/>
        <family val="2"/>
      </rPr>
      <t xml:space="preserve"> contratos de obra. (el cumplimiento depende de otras áreas del IDU.)</t>
    </r>
  </si>
  <si>
    <t xml:space="preserve">Se programaron  iniciar tres contratos de acuerdo a los cronogramas de cupo y valorización, no obstante de acuerdo a la ultima versión de el cronograma, de agosto 15 de 2014, estos contratos se reprogramaron y no han llegado al área. </t>
  </si>
  <si>
    <t>Se da inicio a los contratos: idu-1654-2014 la avenida la sirena, idu-1725-2014 avenida rincón - avenida tabor y idu-1746-2014 av los cerros.</t>
  </si>
  <si>
    <t>Se dio inicio a la totalidad de contratos programados según el cronograma de cupo de Endeudamiento y Valorización.</t>
  </si>
  <si>
    <t>3 v - 2c</t>
  </si>
  <si>
    <t>1 v 1 c</t>
  </si>
  <si>
    <t>2v</t>
  </si>
  <si>
    <r>
      <t xml:space="preserve">A 31 de diciembre de 2014, haber iniciado la fase de ejecución de once </t>
    </r>
    <r>
      <rPr>
        <sz val="30"/>
        <rFont val="Arial Narrow"/>
        <family val="2"/>
      </rPr>
      <t>(10) contratos de obra.</t>
    </r>
  </si>
  <si>
    <r>
      <t xml:space="preserve">Se cumple con el </t>
    </r>
    <r>
      <rPr>
        <b/>
        <sz val="24"/>
        <rFont val="Arial"/>
        <family val="2"/>
      </rPr>
      <t>100%</t>
    </r>
    <r>
      <rPr>
        <sz val="24"/>
        <rFont val="Arial"/>
        <family val="2"/>
      </rPr>
      <t xml:space="preserve"> de la meta programada, toda vez que se logró que los contratos 070/12, 928/13 y 1279/13 iniciaran su fase de ejecución.</t>
    </r>
  </si>
  <si>
    <t>Se cumple con el 100% de la meta programada, toda vez que se logró que el contrato 972 de 2013 iniciara su fase de ejecución.</t>
  </si>
  <si>
    <r>
      <t xml:space="preserve">Se cumple con el </t>
    </r>
    <r>
      <rPr>
        <b/>
        <sz val="24"/>
        <rFont val="Arial"/>
        <family val="2"/>
      </rPr>
      <t>100%</t>
    </r>
    <r>
      <rPr>
        <sz val="24"/>
        <rFont val="Arial"/>
        <family val="2"/>
      </rPr>
      <t xml:space="preserve"> de la meta programada, toda vez que se logró que los contratos: IDU-070-2012, IDU-928-2013 y IDU-1279-2013 iniciaran su fase de ejecución.</t>
    </r>
  </si>
  <si>
    <t>Se cumple con el 100% de la meta programada, toda vez que se logró que el contrato IDU-972-2013 iniciara su fase de ejecución.</t>
  </si>
  <si>
    <t>Se cumple con el 100% de la meta programada, toda vez que se logró que los  contratos IDU-1878-2013 y el IDU-1510-2013 iniciaran su fase de ejecución.</t>
  </si>
  <si>
    <r>
      <t xml:space="preserve">Se cumple con el </t>
    </r>
    <r>
      <rPr>
        <b/>
        <sz val="24"/>
        <rFont val="Arial"/>
        <family val="2"/>
      </rPr>
      <t>100%</t>
    </r>
    <r>
      <rPr>
        <sz val="24"/>
        <rFont val="Arial"/>
        <family val="2"/>
      </rPr>
      <t xml:space="preserve"> de la meta programada, toda vez que se logró que el  contrato IDU-1885-2013 iniciara su fase de ejecución.</t>
    </r>
  </si>
  <si>
    <t>Se da inicio al contrato IDU-1727-2013. el contrato IDU-2172-2013 (Peatonalización de la carrera Séptima) no se inicia por las aprobaciones del Ministerio de Cultura, se tiene previsto el inicio para Agosto. El contrato IDU-759-2013 (Plazoleta del Concejo) no ha podido iniciar por ausencia licencia de construcción y los inconvenientes presentados con el MPOT.</t>
  </si>
  <si>
    <t>Aunque no se tenia meta programada para este mes, se logró dar inicio al contrato de obra No IDU-2172-2013 (Peatonalización de la Séptima)</t>
  </si>
  <si>
    <t>Se logró dar inicio a la fase de ejecución totalidad de contratos programados.</t>
  </si>
  <si>
    <t>CTOS Cll 169,  PPL1 Y  Kfw ( 070/13, 928/13 y 1279/13 )</t>
  </si>
  <si>
    <t>CTO Quebrada Limas (972/139</t>
  </si>
  <si>
    <t>CTOS: PPL3 Y PPL4  (1878 Y 1510 DE 2013)</t>
  </si>
  <si>
    <t>CTO  PPL2 (1724 DE 2013)</t>
  </si>
  <si>
    <t xml:space="preserve">CTO Cll 45 (1885 DE 2013)  </t>
  </si>
  <si>
    <t>CTOS: ,  PPL5,  2172, 1727 de 2013)</t>
  </si>
  <si>
    <r>
      <t>A 31 de diciembre de 2014, haber terminado siete</t>
    </r>
    <r>
      <rPr>
        <sz val="30"/>
        <rFont val="Arial Narrow"/>
        <family val="2"/>
      </rPr>
      <t xml:space="preserve"> (7) contratos.</t>
    </r>
  </si>
  <si>
    <t>Se cumple con el 100% de la meta programada, toda vez que se logró terminar la fase de obra del contrato IDU-037-2011.</t>
  </si>
  <si>
    <r>
      <t xml:space="preserve">En este mes se cumple con el </t>
    </r>
    <r>
      <rPr>
        <b/>
        <sz val="24"/>
        <rFont val="Arial"/>
        <family val="2"/>
      </rPr>
      <t>67%</t>
    </r>
    <r>
      <rPr>
        <sz val="24"/>
        <rFont val="Arial"/>
        <family val="2"/>
      </rPr>
      <t xml:space="preserve"> de la meta programada toda vez que se logró, la terminación de los contratos IDU-868-2013 e IDU-972-2013; está pendiente la terminación del contrato IDU-1279-2013 para el mes de julio del año en curso.</t>
    </r>
  </si>
  <si>
    <t>No se cumple con la meta programada por que El contrato IDU-074-2011, solicitó adición y prorroga; ahora bien el contrato IDU-032-2011 solicita adición de recursos para poder culminar las obras.</t>
  </si>
  <si>
    <t>Para el contrato idu-074-2012 se firma acta no. 26 de terminación en septiembre 26 de 2014. que se tenía programada para el mes de Agosto del 2014</t>
  </si>
  <si>
    <t>Se termina el contrato IDU-32-2011 CALZADA SUR DE LA AVENIDA LA SIRENA en noviembre 20.</t>
  </si>
  <si>
    <t>Se logran terminar la totalidad de contratos proyectados.</t>
  </si>
  <si>
    <t>868-2013 (Sta. Lucía)
1279-2013 (kfw
limas) y 972 -2013 Quebrada Limas</t>
  </si>
  <si>
    <t>074-2013 (Cantón) y  032-2011 (la sirena)
cantón</t>
  </si>
  <si>
    <t xml:space="preserve"> PPL1 928-2013</t>
  </si>
  <si>
    <r>
      <t>A 31 de diciembre de 2014, haber recibido Ocho</t>
    </r>
    <r>
      <rPr>
        <sz val="30"/>
        <rFont val="Arial Narrow"/>
        <family val="2"/>
      </rPr>
      <t xml:space="preserve"> (8) obras.</t>
    </r>
  </si>
  <si>
    <r>
      <t xml:space="preserve">Se cumple con el </t>
    </r>
    <r>
      <rPr>
        <b/>
        <sz val="24"/>
        <rFont val="Arial"/>
        <family val="2"/>
      </rPr>
      <t>100%</t>
    </r>
    <r>
      <rPr>
        <sz val="24"/>
        <rFont val="Arial"/>
        <family val="2"/>
      </rPr>
      <t xml:space="preserve"> de la meta programada, toda vez que se logró firmar el acta de recibo final de obra del contrato IDU-037-2011.</t>
    </r>
  </si>
  <si>
    <t>Se recibió el contrato IDU-972-2013 el 11 de Julio de 2014,  El contrato IDU-868-2013  no cuenta con el acta de recibo final de obra, por compromisos  pendientes en relación al arreglo de tapas para cajas de CODENSA, y remates de los andenes entre otros.  De igual manera El contrato IDU-1279-2013 no cuenta con acta de terminación por ampliación de un mes en la ejecución del contrato.</t>
  </si>
  <si>
    <t>Se  suscribe el acta No. 11 de recibo de obra del contrato IDU-1279-2014. (Doña Liliana) que estaba programado para el mes de Julio.  El contrato IDU-74-2012 había solicitado prorroga por un mes por el traslado de la subestación del costado occidental y fue terminado el 26 de septiembre su acta de recibo final se encuentra en trámite, de igual manera el contrato IDU-032-2011 (Av. la Sirena) se proyecta la terminación para el mes de Octubre ya que su ejecución se vio afectada por las nuevas exigencias de las ESP´S</t>
  </si>
  <si>
    <t>El 15 de octubre se firma el acta 19 de recibo final de obra  del contrato IDU-868-2013 (santa Lucia) , el  1 de octubre se suscribe el acta 24 de recibo final de obra de contrato IDU-47-2012 y el 16 de octubre el acta recibo final del contrato IDU-18-2009.
De igual manera se reporta el recibo de la obra del contrato IDU-111-2009.</t>
  </si>
  <si>
    <t>Aunque en este mes no se tenía programada meta física,  se reporta la el recibo  de  la avenida la sirena, contrato IDU-32-2011 con acta No. 45 del 9 de diciembre.</t>
  </si>
  <si>
    <t>Se liquida el contrato IDU-047-2012.</t>
  </si>
  <si>
    <t>Se reciben 8 obras durante la vigencia.</t>
  </si>
  <si>
    <t>Contratos 037-2011 y 084-2012</t>
  </si>
  <si>
    <t>037-2011 (Colombia Humanitaria)  y 084-2012
(Gonzalo Ariza)</t>
  </si>
  <si>
    <t>047-2012 (Tramonti)</t>
  </si>
  <si>
    <t xml:space="preserve">
868-2013 (Santa lucia)
1279-2013 (Kfw)
972-2013 (Quebrada limas)</t>
  </si>
  <si>
    <t>032-2011 (La
sirena) y 074-2012 
(Cantón)</t>
  </si>
  <si>
    <r>
      <t xml:space="preserve">A 31 de diciembre de 2014, haber liquidado un </t>
    </r>
    <r>
      <rPr>
        <sz val="30"/>
        <rFont val="Arial Narrow"/>
        <family val="2"/>
      </rPr>
      <t xml:space="preserve"> (1) Contrato.</t>
    </r>
  </si>
  <si>
    <t>Se liquida el contrato IDU-047-2009 (Tramonti), que no estaba programado para este mes.</t>
  </si>
  <si>
    <t>Esta meta se cumplió en el mes anterior con el contrato IDU-047-2012</t>
  </si>
  <si>
    <t>Esta meta se cumplió en el mes anterior con el contrato IDU-047-2012.</t>
  </si>
  <si>
    <t>Se liquida el contrato IDU-047-2012</t>
  </si>
  <si>
    <t>Se cumple con esta meta con la liquidación del contrato IDU-047-2012.</t>
  </si>
  <si>
    <t>COL HUM</t>
  </si>
  <si>
    <r>
      <t xml:space="preserve">A 31 de diciembre de 2014 esta programado construir 12,47,34 </t>
    </r>
    <r>
      <rPr>
        <sz val="30"/>
        <rFont val="Arial Narrow"/>
        <family val="2"/>
      </rPr>
      <t xml:space="preserve"> Km-carril de vía arteria.</t>
    </r>
  </si>
  <si>
    <r>
      <t xml:space="preserve">Se cumple con el </t>
    </r>
    <r>
      <rPr>
        <b/>
        <sz val="24"/>
        <rFont val="Arial"/>
        <family val="2"/>
      </rPr>
      <t>100%</t>
    </r>
    <r>
      <rPr>
        <sz val="24"/>
        <rFont val="Arial"/>
        <family val="2"/>
      </rPr>
      <t xml:space="preserve"> de la meta programada, toda vez que se logró la construcción de 1,34 Km - carril de vía y corresponden a los contratos IDU-868-2013, IDU-074-2012 y el IDU-032-2011.</t>
    </r>
  </si>
  <si>
    <r>
      <t xml:space="preserve">Se cumple con el </t>
    </r>
    <r>
      <rPr>
        <b/>
        <sz val="24"/>
        <rFont val="Arial"/>
        <family val="2"/>
      </rPr>
      <t>100%</t>
    </r>
    <r>
      <rPr>
        <sz val="24"/>
        <rFont val="Arial"/>
        <family val="2"/>
      </rPr>
      <t xml:space="preserve"> de la meta programada, toda vez que se logró la construcción de 1,34 Km - carril de vía y corresponden a los contratos IDU-868-2013 y el IDU-074-2013 </t>
    </r>
  </si>
  <si>
    <r>
      <t xml:space="preserve">Se cumple con el </t>
    </r>
    <r>
      <rPr>
        <b/>
        <sz val="24"/>
        <rFont val="Arial"/>
        <family val="2"/>
      </rPr>
      <t>100%</t>
    </r>
    <r>
      <rPr>
        <sz val="24"/>
        <rFont val="Arial"/>
        <family val="2"/>
      </rPr>
      <t xml:space="preserve"> de la meta programada, toda vez que se logró la construcción de 1,34 Km - carril de vía y corresponden a los contratos IDU-868-2013 y el IDU-074-2012 </t>
    </r>
  </si>
  <si>
    <r>
      <t xml:space="preserve">Se cumple con el </t>
    </r>
    <r>
      <rPr>
        <b/>
        <sz val="24"/>
        <rFont val="Arial"/>
        <family val="2"/>
      </rPr>
      <t>63%</t>
    </r>
    <r>
      <rPr>
        <sz val="24"/>
        <rFont val="Arial"/>
        <family val="2"/>
      </rPr>
      <t xml:space="preserve"> de la meta programada, por las siguientes razones: los contratos IDU-868-2013, e IDU-074-2011 solicitaron adición y prorroga  y en el contrato IDU-032-2011 por que en la Autopista Norte con Calle 153 se presentó una red de aguas lluvias defectuosa requiriéndose en la Calle 153 la construcción de un nuevo colector .</t>
    </r>
  </si>
  <si>
    <t>Se cumple con mas del 100% de la meta programada, toda vez que se logró la construcción  de 1,43 Km- carril de vía de los 0,93 Km programados y corresponden a los contratos IDU-070-2012, IDU-868-2013, IDU-032-2011 y  IDU-074-2012.</t>
  </si>
  <si>
    <r>
      <t>Aunque los contratos IDU-070-2012  y el IDU-928-2013 alcanzaron a ejecutar lo que tenían programado, solo se cumple con el 59</t>
    </r>
    <r>
      <rPr>
        <b/>
        <sz val="24"/>
        <rFont val="Arial"/>
        <family val="2"/>
      </rPr>
      <t>%</t>
    </r>
    <r>
      <rPr>
        <sz val="24"/>
        <rFont val="Arial"/>
        <family val="2"/>
      </rPr>
      <t xml:space="preserve"> de la meta programada, por las siguientes razones: los contratos IDU-074-2011, realizaron reprogramación de metas físicas, solicitaron adición y prorroga  y en el contrato IDU-032-2011 solicitan adición de recursos para poder culminar las obras.</t>
    </r>
  </si>
  <si>
    <r>
      <t xml:space="preserve">Se cumple con mas  del </t>
    </r>
    <r>
      <rPr>
        <b/>
        <sz val="24"/>
        <rFont val="Arial"/>
        <family val="2"/>
      </rPr>
      <t>100%</t>
    </r>
    <r>
      <rPr>
        <sz val="24"/>
        <rFont val="Arial"/>
        <family val="2"/>
      </rPr>
      <t xml:space="preserve"> de la meta programada; Los contratos que aportan meta física a este indicador son:  IDU-070-2012, IDU-928-2013  y el contrato IDU-032-2011.</t>
    </r>
  </si>
  <si>
    <t>Se supera el 100% de la meta programada,  los  contratos que ejecutaron meta física son: IDU-74-2012,   IDU-70-2012, IDU-928-2013, IDU-1724-2013 Y IDU-1885-2013.</t>
  </si>
  <si>
    <t>No se cumple con la meta programada para este mes porque contratos como el IDU-70-2012, IDU1885-2013, IDU-1510-2013, IDU-1727-2013, presentaron retrasos a causa de las lluvias.</t>
  </si>
  <si>
    <t>Se cumple con el 95% de la meta programada, el faltante de la ejecución se presentó por atrasos por causas climáticas en el mes de Diciembre de 2014.</t>
  </si>
  <si>
    <t>Se logró ejecutar mayor  cantidad de Km-carril  de la programada para la  vigencia.</t>
  </si>
  <si>
    <r>
      <t>A 31 de diciembre de 2014 construir 4,08</t>
    </r>
    <r>
      <rPr>
        <sz val="30"/>
        <rFont val="Arial Narrow"/>
        <family val="2"/>
      </rPr>
      <t xml:space="preserve">  Km de vía arteria.</t>
    </r>
  </si>
  <si>
    <r>
      <t xml:space="preserve">Se cumple con el </t>
    </r>
    <r>
      <rPr>
        <b/>
        <sz val="24"/>
        <rFont val="Arial"/>
        <family val="2"/>
      </rPr>
      <t>100%</t>
    </r>
    <r>
      <rPr>
        <sz val="24"/>
        <rFont val="Arial"/>
        <family val="2"/>
      </rPr>
      <t xml:space="preserve"> de la meta programada, toda vez que se logró la construcción de 0,61 Km  de vía que se tenían programados y que corresponden a los contratos IDU-868-2013, IDU-074-2012 y el IDU-032-2011.</t>
    </r>
  </si>
  <si>
    <r>
      <t xml:space="preserve">Se cumple con el </t>
    </r>
    <r>
      <rPr>
        <b/>
        <sz val="24"/>
        <rFont val="Arial"/>
        <family val="2"/>
      </rPr>
      <t>81%</t>
    </r>
    <r>
      <rPr>
        <sz val="24"/>
        <rFont val="Arial"/>
        <family val="2"/>
      </rPr>
      <t xml:space="preserve"> de la meta programada toda vez que el contrato IDU-074-2012 por reprogramación de la des energización de redes de media tensión en el mismo,  solo ejecutó 0,04 Km de vía de los 0,086 Km que se tenían programados.  Los contratos que aportan a esta meta son IDU-868-2013 y el IDU-074-2013. </t>
    </r>
  </si>
  <si>
    <r>
      <t xml:space="preserve">Se cumple con el </t>
    </r>
    <r>
      <rPr>
        <b/>
        <sz val="24"/>
        <rFont val="Arial"/>
        <family val="2"/>
      </rPr>
      <t>100%</t>
    </r>
    <r>
      <rPr>
        <sz val="24"/>
        <rFont val="Arial"/>
        <family val="2"/>
      </rPr>
      <t xml:space="preserve"> de la meta programada.  Los contratos que aportan a esta meta física para cumplir con este indicador son IDU-868-2013 y el IDU-074-2012. </t>
    </r>
  </si>
  <si>
    <r>
      <t xml:space="preserve">Se cumple con el </t>
    </r>
    <r>
      <rPr>
        <b/>
        <sz val="24"/>
        <rFont val="Arial"/>
        <family val="2"/>
      </rPr>
      <t>102%</t>
    </r>
    <r>
      <rPr>
        <sz val="24"/>
        <rFont val="Arial"/>
        <family val="2"/>
      </rPr>
      <t xml:space="preserve"> de la meta programada, toda vez que se logró la construcción de 0,316 Km de vía de los 0,311 programados y corresponden a los contratos 070-2012, IDU-868-2013, IDU-032-2011 y el IDU-074-2013. </t>
    </r>
  </si>
  <si>
    <r>
      <t xml:space="preserve">Se cumple con más del </t>
    </r>
    <r>
      <rPr>
        <b/>
        <sz val="24"/>
        <rFont val="Arial"/>
        <family val="2"/>
      </rPr>
      <t>102%</t>
    </r>
    <r>
      <rPr>
        <sz val="24"/>
        <rFont val="Arial"/>
        <family val="2"/>
      </rPr>
      <t xml:space="preserve"> de la meta programada, toda vez que se logró la construcción de 0,444 Km de vía de los 0,275 programados y corresponden a los contratos 070-2012, IDU-868-2013 y el IDU-032-2011 . </t>
    </r>
  </si>
  <si>
    <t>Aunque el contrato IDU-070-2012  alcanzó a ejecutar lo que tenían programado, solo se cumple con el 59% de la meta programada, por las siguientes razones: los contratos IDU-074-2011, realizaron reprogramación de metas físicas, solicitaron adición y prorroga  y en el contrato IDU-032-2011 solicitan adición de recursos para poder culminar las obras.</t>
  </si>
  <si>
    <r>
      <t xml:space="preserve">Se cumple con el </t>
    </r>
    <r>
      <rPr>
        <b/>
        <sz val="24"/>
        <rFont val="Arial"/>
        <family val="2"/>
      </rPr>
      <t>76% de l</t>
    </r>
    <r>
      <rPr>
        <sz val="24"/>
        <rFont val="Arial"/>
        <family val="2"/>
      </rPr>
      <t>a meta programada, por la siguientes razones: *El contrato IDU-074-2012 no avanzó en la construcción de Km -carril de vía que se tenía programada porque se encuentra en trámite la aprobación del PMT, para el cierre de la calle 100 por 11; lo que permitirá la construcción, conexión y cruces para la EAB, ETB, SDM y Codensa; de igual forma se iniciaron actividades para el cerramiento y construcción de obra civil para el traslado de la Subestación eléctrica que permita la adecuación de la calzada occidental de la vía. Ahora bien los contrato que nos aportaron meta física a este indicador son:  IDU-070-2012, e IDU-032-2011.</t>
    </r>
  </si>
  <si>
    <t xml:space="preserve">En el memorando de solicitud de reprogramación  DTC. 20143350631523 por un error de digitalización se programó parte de la meta “Km-carril” como “Km de vía” incrementando esta última en 0.9 Km, pasando de 0.4457 Km a 1.3457 Km. Mediante memorando a Oficina Asesora de Planeación se solicita corrección. </t>
  </si>
  <si>
    <t>Los contratos que aportan meta física son IDU-32-2011, IDU-70-2012 e IDU-1885-2013. No se alcaza la meta programada, debido a que para la ejecución de la meta fisica restante, se debia contar con  las areas de los predios del colegio San Tarsicio y Hard Body afectando la ejecucion en el  contrato IDU-070-2012</t>
  </si>
  <si>
    <t xml:space="preserve">No se alcanza la meta programada debido a retrasos en la ejecución de los contratos. </t>
  </si>
  <si>
    <t>A 31 de diciembre de 2014 está programado la Construcción de un (1) puente vehicular.</t>
  </si>
  <si>
    <t>No se cumple con la meta programada porque el contrato IDU-032-2011 solicita adición de recursos para poder culminar las obras.</t>
  </si>
  <si>
    <t>Se terminó la construcción del puente vehicular del contrato IDU-32-2011 (Av. La Sirena)</t>
  </si>
  <si>
    <t>Se construyó el paso vehicular de la avenida la sirena sobre el canal Córdoba.</t>
  </si>
  <si>
    <r>
      <t xml:space="preserve">A 31 de diciembre de 2014 está programado la Construcción de </t>
    </r>
    <r>
      <rPr>
        <sz val="30"/>
        <rFont val="Arial Narrow"/>
        <family val="2"/>
      </rPr>
      <t>0,07 de Box coulvert deprimido</t>
    </r>
  </si>
  <si>
    <t>Box Coulvert - deprimido - Túnel vehicular construido</t>
  </si>
  <si>
    <t>FO - 174</t>
  </si>
  <si>
    <t>Box coulvert deprimido</t>
  </si>
  <si>
    <r>
      <t xml:space="preserve">A 31 de diciembre de 2014 está programado la construcción de un </t>
    </r>
    <r>
      <rPr>
        <sz val="30"/>
        <rFont val="Arial Narrow"/>
        <family val="2"/>
      </rPr>
      <t>(1) paso peatonal y/o puente peatonal.</t>
    </r>
  </si>
  <si>
    <r>
      <t xml:space="preserve">Se cumple con el </t>
    </r>
    <r>
      <rPr>
        <b/>
        <sz val="24"/>
        <rFont val="Arial"/>
        <family val="2"/>
      </rPr>
      <t>100%</t>
    </r>
    <r>
      <rPr>
        <sz val="24"/>
        <rFont val="Arial"/>
        <family val="2"/>
      </rPr>
      <t xml:space="preserve"> de la meta programada; toda vez que se logró terminar la construcción y   poner en uso el  paso peatonal con el contrato IDU-972-2012, IDU-928-2013  y el contrato IDU-032-2011.En este mes no se tenía programa meta física.</t>
    </r>
  </si>
  <si>
    <t>La construcción del puente sobre Quebrada Limas (IDU-972-2013) se realizo anticipadamente en el mes anterior.</t>
  </si>
  <si>
    <t>Ya se cumplió con la meta programada para el año.</t>
  </si>
  <si>
    <t>Ya se cumplió con la meta física programada para es te año.</t>
  </si>
  <si>
    <t>Se construyó el paso peatonal sobre la Quebrada Limas.</t>
  </si>
  <si>
    <r>
      <t>A 31 de diciembre de 2014 construir</t>
    </r>
    <r>
      <rPr>
        <sz val="30"/>
        <rFont val="Arial Narrow"/>
        <family val="2"/>
      </rPr>
      <t xml:space="preserve"> 1,573 Km de Cicloruta. </t>
    </r>
  </si>
  <si>
    <r>
      <t xml:space="preserve">Aunque no se tenía programada meta física para este mes, se cumplió con el </t>
    </r>
    <r>
      <rPr>
        <b/>
        <sz val="24"/>
        <rFont val="Arial"/>
        <family val="2"/>
      </rPr>
      <t>100%</t>
    </r>
    <r>
      <rPr>
        <sz val="24"/>
        <rFont val="Arial"/>
        <family val="2"/>
      </rPr>
      <t xml:space="preserve"> de la meta programada toda vez que se logró la construcción de 0,0295 Km de cicloruta en el  contrato IDU-032-2011.</t>
    </r>
  </si>
  <si>
    <r>
      <t xml:space="preserve">Se cumple con el </t>
    </r>
    <r>
      <rPr>
        <b/>
        <sz val="24"/>
        <rFont val="Arial"/>
        <family val="2"/>
      </rPr>
      <t>100%</t>
    </r>
    <r>
      <rPr>
        <sz val="24"/>
        <rFont val="Arial"/>
        <family val="2"/>
      </rPr>
      <t xml:space="preserve"> de la meta programada, toda vez que se logró la construcción de 0,10 Km de Cicloruta y corresponde al contrato IDU-074-2013. </t>
    </r>
  </si>
  <si>
    <r>
      <t xml:space="preserve">Se cumple con el </t>
    </r>
    <r>
      <rPr>
        <b/>
        <sz val="24"/>
        <rFont val="Arial"/>
        <family val="2"/>
      </rPr>
      <t>100%</t>
    </r>
    <r>
      <rPr>
        <sz val="24"/>
        <rFont val="Arial"/>
        <family val="2"/>
      </rPr>
      <t xml:space="preserve"> de la meta programada, toda vez que se logró la construcción de 0,10 Km  de ciclorruta y corresponden al contrato el IDU-074-2012 </t>
    </r>
  </si>
  <si>
    <t>Durante este mes no se ejecuta meta física por las siguiente razones: los contratos IDU-868-2013, e IDU-074-2011 solicitaron adición y prorroga  y en el contrato IDU-032-2011 por que en la Autopista Norte con Calle 153 se presentó una red de aguas lluvias defectuosa requiriéndose en la Calle 153 la construcción de un nuevo colector .</t>
  </si>
  <si>
    <t>Durante este mes se cumple con el 53% de la meta programada por la siguientes razones: 1. El contrato IDU-868-2013 se encuentra enfocado en la construcción del Espacio Público, 2. Se realizó reprogramación de esta meta física para el contrato IDU-074 DE 2012, porque falta la definición del traslado de la subestación eléctrica que permita  la adecuación de la calzada occidental de la vía y 3. El contrato IDU-032-2011, EJECUTÓ 017 Km de cicloruta.</t>
  </si>
  <si>
    <t>Aunque el contrato IDU-032-2011 ejecutó cicloruta, durante este mes se cumple con más del 100% de la meta programada toda vez que el Contrato IDU-868-2013 reportó en este mes, la totalidad de Kilómetro de cicloruta (0,80 Km) y el IDU-074-2012, ejecuto mas de lo que tenía programado.</t>
  </si>
  <si>
    <r>
      <t xml:space="preserve">El reporte de este mes alcanza el </t>
    </r>
    <r>
      <rPr>
        <b/>
        <sz val="24"/>
        <rFont val="Arial"/>
        <family val="2"/>
      </rPr>
      <t>10%</t>
    </r>
    <r>
      <rPr>
        <sz val="24"/>
        <rFont val="Arial"/>
        <family val="2"/>
      </rPr>
      <t xml:space="preserve"> porque  los contratos IDU-032-2011 e IDU-868-2013 que aportaban meta física, realizaron el reporte de la totalidad de meta física ejecutada en el mes de mayo; ya para el caso del contrato IDU-074-2012, aunque en este mes realizó el respectivo reporte,  se encuentra pendiente del traslado de la subestación eléctrica frente al Colegio Patria lo que permitirá llevar a cobola nivelación y estabilización del terreno para la conformación de la estructura de la cicloruta.</t>
    </r>
  </si>
  <si>
    <t>No se cumple con la meta programada porque una vez realizados los ajustes al PMR, de los predios del Cantón Norte, en especial los ubicados sobre el acceso a la guardia PM 15 o área administrativa, se evidenció disminución en la longitud de la cicloruta para el contrato IDU-074-2012.</t>
  </si>
  <si>
    <t>Aunque en este mes no se tenía programado reportan avance en esta meta el contrato IDU-2172-2013 (k séptima), IDU-1885-2013 (calle 45)  y IDU-32-2011 (La Sirena)</t>
  </si>
  <si>
    <t>En este mes no se tenía programada meta física, ya se cumplió con  la meta programada en esta vigenciaEn este mes no se tenía programa meta física</t>
  </si>
  <si>
    <t>Se ejecutó desde el mes de octubre, sobrepasando la ejecución programada, esta sobre ejecución se debe al adicional del contrato IDU-032-2011 (Av la sirena) el cual incluía ejecución de este indicador.</t>
  </si>
  <si>
    <r>
      <t xml:space="preserve">A 31 de diciembre de 2014 construir 34,115 </t>
    </r>
    <r>
      <rPr>
        <sz val="30"/>
        <rFont val="Arial Narrow"/>
        <family val="2"/>
      </rPr>
      <t>M2 de Espacio Público.</t>
    </r>
  </si>
  <si>
    <r>
      <t>Se cumple con el</t>
    </r>
    <r>
      <rPr>
        <b/>
        <sz val="24"/>
        <rFont val="Arial"/>
        <family val="2"/>
      </rPr>
      <t xml:space="preserve"> 100%</t>
    </r>
    <r>
      <rPr>
        <sz val="24"/>
        <rFont val="Arial"/>
        <family val="2"/>
      </rPr>
      <t xml:space="preserve"> de la meta programada,  y corresponden a los contratos IDU-074-2012 y el IDU-032-2011.</t>
    </r>
  </si>
  <si>
    <r>
      <t xml:space="preserve">Se cumple con el </t>
    </r>
    <r>
      <rPr>
        <b/>
        <sz val="24"/>
        <rFont val="Arial"/>
        <family val="2"/>
      </rPr>
      <t>96%</t>
    </r>
    <r>
      <rPr>
        <sz val="24"/>
        <rFont val="Arial"/>
        <family val="2"/>
      </rPr>
      <t xml:space="preserve"> de la meta programada toda vez que de los contratos  IDU-868-2013, el IDU-074-2013, IDU-074-2012  y el IDU-1279-2013, este último no alcanzó a ejecutar la meta física que tenía programada, razón por la cual  se realizará un apremio por incumplimiento.</t>
    </r>
  </si>
  <si>
    <t>Se cumple con el 100% de la meta programada, los que aportan meta física para cumplir con este indicador son:  IDU-868-2013, el IDU-074-2013, IDU-074-2012 y el IDU-1279-2013.</t>
  </si>
  <si>
    <r>
      <t xml:space="preserve">Se cumple con el </t>
    </r>
    <r>
      <rPr>
        <b/>
        <sz val="24"/>
        <rFont val="Arial"/>
        <family val="2"/>
      </rPr>
      <t>49,6%</t>
    </r>
    <r>
      <rPr>
        <sz val="24"/>
        <rFont val="Arial"/>
        <family val="2"/>
      </rPr>
      <t xml:space="preserve"> de la meta programada por las siguientes razones: el contrato IDU-032-2011 por que en la Autopista Norte con Calle 153 se presentó una red de aguas lluvias defectuosa requiriéndose en la Calle 153 la construcción de un nuevo colector, el IDU-074-2012 por solicitud de adición y prórroga y el IDU-1279-2013 por atrasos en la ejecución, lo que originó el inicio de incumplimiento, tanto al contratista como a la interventoría a excepción del IDU-868-2013 que si cumplió con lo programado.</t>
    </r>
  </si>
  <si>
    <r>
      <t xml:space="preserve">Se cumple con el </t>
    </r>
    <r>
      <rPr>
        <b/>
        <sz val="24"/>
        <rFont val="Arial"/>
        <family val="2"/>
      </rPr>
      <t>48,5%</t>
    </r>
    <r>
      <rPr>
        <sz val="24"/>
        <rFont val="Arial"/>
        <family val="2"/>
      </rPr>
      <t xml:space="preserve"> de la meta programada por las siguientes razones: 1.El contrato IDU-868-2013 cumple con más de los programado, 2. El contrato IDU-074-2012 reinició con la instalación de material reciclado, una vez evaluados los resultados de los ensayos realizados al material de sbga que se utiliza en la conformación de la estructura. 3. Para el  caso del Contrato IDU-032-2011 por que en la Autopista Norte con Calle 153 se presentó una red de aguas lluvias defectuosa requiriéndose en la Calle 153 la construcción de un nuevo colector,  y 4. El contrato IDU-1279-2013 iniciará proceso de incumplimiento por los atrasos presentados en la ejecución de las metas programadas.</t>
    </r>
  </si>
  <si>
    <r>
      <t>Se cumple con el 9</t>
    </r>
    <r>
      <rPr>
        <b/>
        <sz val="24"/>
        <rFont val="Arial"/>
        <family val="2"/>
      </rPr>
      <t>8,7%</t>
    </r>
    <r>
      <rPr>
        <sz val="24"/>
        <rFont val="Arial"/>
        <family val="2"/>
      </rPr>
      <t xml:space="preserve"> de la meta programada, los contratos que aportaron meta física en este período fueron: IDU-070-2012, IDU-074-2012,  IDU-032-2011,  IDU-1279-2013, IDU-928-2013 y el IDU-868-2013 </t>
    </r>
  </si>
  <si>
    <r>
      <t xml:space="preserve">Se cumple con más del </t>
    </r>
    <r>
      <rPr>
        <b/>
        <sz val="24"/>
        <rFont val="Arial"/>
        <family val="2"/>
      </rPr>
      <t>100%</t>
    </r>
    <r>
      <rPr>
        <sz val="24"/>
        <rFont val="Arial"/>
        <family val="2"/>
      </rPr>
      <t xml:space="preserve"> de la meta programada, los contratos que aportaron meta física en este periódo fueron: IDU-070-2012, IDU-074-2012,  IDU-032-2011,  IDU-1279-2013, IDU-928-2013  y el IDU-972-2013. </t>
    </r>
  </si>
  <si>
    <t>Se supera el 100% de la meta programada, toda vez que se ejecutarón metas programadas en meses anteriores, los  contratos que ejecutaron meta física son: IDU-070-2012, IDU-074-2012,  IDU-032-2011,   y el IDU-1279-2013.</t>
  </si>
  <si>
    <t>Se supera el 100% de la meta programada, toda vez que se ejecutarón metas programadas que no se habían ejecutado en meses anteriores; adicionalemente porque el contrato IDU-928-2013, que no estaba priorizado, ejecutó en este mes 2021 m2 de espacio público;  los  contratos que ejecutaron meta física adicional al anterior son: IDU-070-2012, IDU-074-2012 y el   IDU-032-2011.</t>
  </si>
  <si>
    <t>No se cumple con la meta programada para este mes porque contratos como el IDU-1727-2013 presentaron retrasos a causa de las lluvias, el contrato IDU-2172-2013 (K Séptima) por la temporada decembrina que impidió ejecutar tramos programados, el contrato IDU-1885-2013 (Cll 45) no ha intervenido el andén del costado sur por pendientes de aprobación de muro con tendencia verde.</t>
  </si>
  <si>
    <t>Se ejecutó más de lo programado para la  vigencia.</t>
  </si>
  <si>
    <r>
      <t xml:space="preserve">A 31 de diciembre de 2014 esta programada la construcción de </t>
    </r>
    <r>
      <rPr>
        <sz val="30"/>
        <rFont val="Arial Narrow"/>
        <family val="2"/>
      </rPr>
      <t>1,72 de Estaciones para el Sistema Transmilenio</t>
    </r>
  </si>
  <si>
    <r>
      <t>A 31 de diciembre de 2014 está programado la Construcción de 303</t>
    </r>
    <r>
      <rPr>
        <sz val="30"/>
        <rFont val="Arial Narrow"/>
        <family val="2"/>
      </rPr>
      <t xml:space="preserve"> ML </t>
    </r>
    <r>
      <rPr>
        <sz val="30"/>
        <rFont val="Arial"/>
        <family val="2"/>
      </rPr>
      <t>de Talud.</t>
    </r>
  </si>
  <si>
    <r>
      <t xml:space="preserve">Se cumple con el </t>
    </r>
    <r>
      <rPr>
        <b/>
        <sz val="24"/>
        <rFont val="Arial"/>
        <family val="2"/>
      </rPr>
      <t>100%</t>
    </r>
    <r>
      <rPr>
        <sz val="24"/>
        <rFont val="Arial"/>
        <family val="2"/>
      </rPr>
      <t xml:space="preserve"> de la meta programada, toda véz que se logró la contrucción de 65 ml  deTalud de 65  que se tenian programados y corresponde al contrato IDU-037-2011.</t>
    </r>
  </si>
  <si>
    <r>
      <t xml:space="preserve">Se cumple con el </t>
    </r>
    <r>
      <rPr>
        <b/>
        <sz val="24"/>
        <rFont val="Arial"/>
        <family val="2"/>
      </rPr>
      <t>100%</t>
    </r>
    <r>
      <rPr>
        <sz val="24"/>
        <rFont val="Arial"/>
        <family val="2"/>
      </rPr>
      <t xml:space="preserve"> de la meta programada, toda véz que se logró la contrucción de 132,94 ml  deTalud de 132,94  que se tenian programados y corresponde al contrato IDU-037-2011.</t>
    </r>
  </si>
  <si>
    <r>
      <t xml:space="preserve">Se cumple con el </t>
    </r>
    <r>
      <rPr>
        <b/>
        <sz val="24"/>
        <rFont val="Arial"/>
        <family val="2"/>
      </rPr>
      <t>100%</t>
    </r>
    <r>
      <rPr>
        <sz val="24"/>
        <rFont val="Arial"/>
        <family val="2"/>
      </rPr>
      <t xml:space="preserve"> de la meta programada, toda vez que se logró la contrucción de 132,94 ml  deTalud de 132,94  que se tenian programados y corresponde al contrato IDU-037-2011.</t>
    </r>
  </si>
  <si>
    <r>
      <t xml:space="preserve">Se cumple con el </t>
    </r>
    <r>
      <rPr>
        <b/>
        <sz val="24"/>
        <rFont val="Arial"/>
        <family val="2"/>
      </rPr>
      <t>157%</t>
    </r>
    <r>
      <rPr>
        <sz val="24"/>
        <rFont val="Arial"/>
        <family val="2"/>
      </rPr>
      <t xml:space="preserve"> de la meta programada, toda véz que se logró la contrucción de 83,36 ml  deTalud de 53,06  porque se aprobaron mayores cantidades de obra a las inicialmente programadas y corresponde al contrato IDU-037-2011.</t>
    </r>
  </si>
  <si>
    <r>
      <t xml:space="preserve">Se cumple con el </t>
    </r>
    <r>
      <rPr>
        <b/>
        <sz val="24"/>
        <rFont val="Arial"/>
        <family val="2"/>
      </rPr>
      <t>100%</t>
    </r>
    <r>
      <rPr>
        <sz val="24"/>
        <rFont val="Arial"/>
        <family val="2"/>
      </rPr>
      <t xml:space="preserve"> de la meta programada, toda véz que se logró la contrucción de 21,7 ml  deTalud; es importante mencionar que en este mes se logró terminar el contrato IDU-037-2011 cumpliendo así con el indicador establecido para este año.</t>
    </r>
  </si>
  <si>
    <r>
      <t xml:space="preserve">Ya se cumplió con el </t>
    </r>
    <r>
      <rPr>
        <b/>
        <sz val="24"/>
        <rFont val="Arial"/>
        <family val="2"/>
      </rPr>
      <t xml:space="preserve">100% </t>
    </r>
    <r>
      <rPr>
        <sz val="24"/>
        <rFont val="Arial"/>
        <family val="2"/>
      </rPr>
      <t>de la meta anual programada a 31 de diciembre de 2014.</t>
    </r>
  </si>
  <si>
    <t>No se tenía programada meta física para este periodo.</t>
  </si>
  <si>
    <t>En este mes no se tenía programa meta física, ya se cumplio con la meta programada para esta vigencia</t>
  </si>
  <si>
    <t>En este mes no se tenía programa meta física, ya se cumplió con la meta programada para esta vigencia.</t>
  </si>
  <si>
    <t>Se construyeron los 303 metros lineales de talud del contrato  IDU-037-2011.</t>
  </si>
  <si>
    <r>
      <t>A 31 de diciembre de 2014 aprobar el  Plan de acción y Plan de Gestión social de</t>
    </r>
    <r>
      <rPr>
        <sz val="30"/>
        <rFont val="Arial Narrow"/>
        <family val="2"/>
      </rPr>
      <t xml:space="preserve"> siete (7)  contratos indicados en la vigencia, a cargo de la STESV.</t>
    </r>
  </si>
  <si>
    <t xml:space="preserve"> Plan de acción y Plan de Gestión social, aprobados y guardados en las carpetas de los contratos en la vigencia a cargo de la STESV</t>
  </si>
  <si>
    <r>
      <t xml:space="preserve">Se cumple con el </t>
    </r>
    <r>
      <rPr>
        <b/>
        <sz val="24"/>
        <rFont val="Arial"/>
        <family val="2"/>
      </rPr>
      <t>100%</t>
    </r>
    <r>
      <rPr>
        <sz val="24"/>
        <rFont val="Arial"/>
        <family val="2"/>
      </rPr>
      <t xml:space="preserve"> de la meta programada , toda véz que se logró la aprobación del  Plan de acción y Plan de Gestión social del contrato IDU-1279-2013</t>
    </r>
  </si>
  <si>
    <t>Se cumple con el 100% de la meta programada, toda vez que se logró la aprobación del  Plan de acción y Plan de Gestión social del contrato IDU-1279-2013</t>
  </si>
  <si>
    <t>Se cumple con el 100% de la meta programada, toda véz que se logró la firma y/o aprobación de los Planes de Acción y Plan de Gestión social de los contratos IDU-1878-2013 y el IDU-1510-2013</t>
  </si>
  <si>
    <t>Se cumple con el 100% de la meta programada, toda véz que se logró la firma y/o aprobación del Planes de Acción y Plan de Gestión social del contrato IDU-1724-2013.</t>
  </si>
  <si>
    <r>
      <t>Se cumple con el</t>
    </r>
    <r>
      <rPr>
        <b/>
        <sz val="24"/>
        <rFont val="Arial"/>
        <family val="2"/>
      </rPr>
      <t xml:space="preserve"> 100%</t>
    </r>
    <r>
      <rPr>
        <sz val="24"/>
        <rFont val="Arial"/>
        <family val="2"/>
      </rPr>
      <t xml:space="preserve"> de la meta programada, toda véz que se logró la firma y/o aprobación del Planes de Acción y Plan de Gestión social del contrato IDU-1885-2013.</t>
    </r>
  </si>
  <si>
    <t>Se firma y/o aprueba el Plan de Acción y Plan de Gestión social del contrato PPL5</t>
  </si>
  <si>
    <t xml:space="preserve">No se tenía programada meta física para este periodo </t>
  </si>
  <si>
    <t xml:space="preserve">Aunque en este mes no se tenía programa meta física, se reporta la aprobacion del plan de acción social y plan de gestión social del contrato IDU-972-2013 </t>
  </si>
  <si>
    <t>Se da la aprobación a siete planes de acción social y planes de gestión social.</t>
  </si>
  <si>
    <t xml:space="preserve">1279-2013 (kfw) </t>
  </si>
  <si>
    <t>1878 -2013 (PPL3) Y 1510 (PPL4)</t>
  </si>
  <si>
    <t>1724 (PPL2)</t>
  </si>
  <si>
    <t xml:space="preserve">1885 (Cll45)
</t>
  </si>
  <si>
    <t>2172 (Peatonalización de la 7) y  (ppl5)</t>
  </si>
  <si>
    <r>
      <t xml:space="preserve">A 31 de diciembre de 2014, suscribir el Acta de cierre social de tres </t>
    </r>
    <r>
      <rPr>
        <sz val="30"/>
        <rFont val="Arial Narrow"/>
        <family val="2"/>
      </rPr>
      <t>(3)  contratos.</t>
    </r>
  </si>
  <si>
    <r>
      <t xml:space="preserve">Se cumple con el </t>
    </r>
    <r>
      <rPr>
        <b/>
        <sz val="24"/>
        <rFont val="Arial"/>
        <family val="2"/>
      </rPr>
      <t>100%</t>
    </r>
    <r>
      <rPr>
        <sz val="24"/>
        <rFont val="Arial"/>
        <family val="2"/>
      </rPr>
      <t xml:space="preserve"> de la meta programada , toda véz que se logró suscribir el acta de Cierre Ambiental del contrato IDU-047-2012.</t>
    </r>
  </si>
  <si>
    <t>No se cumple con la meta programada, ya que el acta de cierre social está en trámite de firmas.</t>
  </si>
  <si>
    <t>Aunque en este mes no se tenía programado se reporta se reporta el cierre social de los contratos IDU-027-2009 y IDU-82-2008 completando así la meta programada para este año.</t>
  </si>
  <si>
    <t>Se suscriben las actas de cierre social de tres (3) contratos.</t>
  </si>
  <si>
    <t>47-2012 (Tramonti)</t>
  </si>
  <si>
    <t>066-2011 (Virgilio Barcos)</t>
  </si>
  <si>
    <t>37-2011 (Colombia Humanitaria)</t>
  </si>
  <si>
    <r>
      <t xml:space="preserve">A 31 de diciembre de 2014 aprobar el PIPMA, de diez </t>
    </r>
    <r>
      <rPr>
        <sz val="30"/>
        <rFont val="Arial Narrow"/>
        <family val="2"/>
      </rPr>
      <t>(10) contratos iniciados en la vigencia a cargo de la STESV.</t>
    </r>
  </si>
  <si>
    <r>
      <t xml:space="preserve">Se cumple con el </t>
    </r>
    <r>
      <rPr>
        <b/>
        <sz val="24"/>
        <rFont val="Arial"/>
        <family val="2"/>
      </rPr>
      <t>100%</t>
    </r>
    <r>
      <rPr>
        <sz val="24"/>
        <rFont val="Arial"/>
        <family val="2"/>
      </rPr>
      <t xml:space="preserve"> de la meta programada , toda véz que se logró la aprobación del  Plan de acción y Plan de Gestión social de los contratos IDU-1279-2013 y el IDU-928-2013</t>
    </r>
  </si>
  <si>
    <r>
      <t xml:space="preserve">Se cumple con el </t>
    </r>
    <r>
      <rPr>
        <b/>
        <sz val="24"/>
        <rFont val="Arial"/>
        <family val="2"/>
      </rPr>
      <t>100%</t>
    </r>
    <r>
      <rPr>
        <sz val="24"/>
        <rFont val="Arial"/>
        <family val="2"/>
      </rPr>
      <t xml:space="preserve"> de la meta programada , toda véz que se logró la aprobación del  Plan de acción y Plan de Gestión social del contrato IDU-1972-2013. </t>
    </r>
  </si>
  <si>
    <r>
      <t xml:space="preserve">Se cumple con el </t>
    </r>
    <r>
      <rPr>
        <b/>
        <sz val="24"/>
        <rFont val="Arial"/>
        <family val="2"/>
      </rPr>
      <t>100%</t>
    </r>
    <r>
      <rPr>
        <sz val="24"/>
        <rFont val="Arial"/>
        <family val="2"/>
      </rPr>
      <t xml:space="preserve"> de la meta programada, toda vez que se logró la aprobación del  Plan de acción y Plan de Gestión social de los contratos IDU-1279-2013 y el IDU-928-2013</t>
    </r>
  </si>
  <si>
    <r>
      <t xml:space="preserve">Se cumple con el </t>
    </r>
    <r>
      <rPr>
        <b/>
        <sz val="24"/>
        <rFont val="Arial"/>
        <family val="2"/>
      </rPr>
      <t>100%</t>
    </r>
    <r>
      <rPr>
        <sz val="24"/>
        <rFont val="Arial"/>
        <family val="2"/>
      </rPr>
      <t xml:space="preserve"> de la meta programada , toda véz que se logró la aprobación del  Plan de acción y Plan de Gestión social del contrato IDU-972-2013. </t>
    </r>
  </si>
  <si>
    <r>
      <t>Se cumple con el 50</t>
    </r>
    <r>
      <rPr>
        <b/>
        <sz val="24"/>
        <rFont val="Arial"/>
        <family val="2"/>
      </rPr>
      <t>%</t>
    </r>
    <r>
      <rPr>
        <sz val="24"/>
        <rFont val="Arial"/>
        <family val="2"/>
      </rPr>
      <t xml:space="preserve"> de la meta programada , toda véz que se logró la aprobación del  PlPMA para el contrato IDU-1878-2013 el 7/05/2014; con respecto a  al contrato IDU-1510-2013 no se dio  de acuerdo a la programación inicial, el cual debería estar para el mes de abril de 2014, lo anterior debido a que el contrato se suspendió por un mes y por tal motivo no se podía radicar este tipo de documentos.</t>
    </r>
  </si>
  <si>
    <r>
      <t>Se cumple con más del 100</t>
    </r>
    <r>
      <rPr>
        <b/>
        <sz val="24"/>
        <rFont val="Arial"/>
        <family val="2"/>
      </rPr>
      <t>%</t>
    </r>
    <r>
      <rPr>
        <sz val="24"/>
        <rFont val="Arial"/>
        <family val="2"/>
      </rPr>
      <t xml:space="preserve"> de la meta programada , toda véz que se logró la aprobación del  PlPMA para los contratos IDU-1724-2013  y el IDU-1510-2013. </t>
    </r>
  </si>
  <si>
    <r>
      <t xml:space="preserve">Se cumple con el </t>
    </r>
    <r>
      <rPr>
        <b/>
        <sz val="24"/>
        <rFont val="Arial"/>
        <family val="2"/>
      </rPr>
      <t xml:space="preserve">100% </t>
    </r>
    <r>
      <rPr>
        <sz val="24"/>
        <rFont val="Arial"/>
        <family val="2"/>
      </rPr>
      <t>de la meta programada , toda véz que se logró la aprobación del  PlPMA del  contrato IDU-1885-2013.</t>
    </r>
  </si>
  <si>
    <t>Se aprueba el PIPMA del contrato IDU-1727-2013. el contrato IDU-1279-2013 (Peatonalización de la carrera Septima) y el IDU-759-2013 (Plazoleta del Concejo) no se ha dado el inicio a la etapa de construcción, por tal razón no se encuentra con el documento aprobado</t>
  </si>
  <si>
    <t>Se reporta la aprobacion del PIPMa del contrato IDU-2172-2013, y del contrato IDU-70-2012, aprobados con oficios numeros, 20143361209181 y 20143360105641 respectivamente</t>
  </si>
  <si>
    <t>En este mes no se tenía programa meta.</t>
  </si>
  <si>
    <t>Se cumple con la totalidad de la meta programada para este año.</t>
  </si>
  <si>
    <t>1279-2013 (kfw) Y 928-2013 (PPL1)</t>
  </si>
  <si>
    <t xml:space="preserve">
972-2013 (Quebrada Limas)</t>
  </si>
  <si>
    <t>1878-2013 (PPL3) Y 1510-2013 (PPL4)</t>
  </si>
  <si>
    <t xml:space="preserve">
1885-2013 (
Clle 45)</t>
  </si>
  <si>
    <t>2172-2013 (PEATONALIZACIÓN DE LA 7) , 1727-2013 (PPL5) y 
759 - 2013 (Plazoleta del Concejo)</t>
  </si>
  <si>
    <t xml:space="preserve">A 31 de diciembre de 2014, suscribir tres (3) Actas de recibo de obras por parte de la ESP </t>
  </si>
  <si>
    <t>Recibo de obras por parte de la ESP</t>
  </si>
  <si>
    <t>Acta de recibo de obras por parte de la ESP suscrita</t>
  </si>
  <si>
    <t>(Total de actas de recibo por parte de las ESP firmadas, guardada en las carpetas de los contratos) / ( Total de actas de recibo por parte de las ESP elaboradas) * 100</t>
  </si>
  <si>
    <r>
      <t xml:space="preserve">Se cumple con el </t>
    </r>
    <r>
      <rPr>
        <b/>
        <sz val="24"/>
        <rFont val="Arial"/>
        <family val="2"/>
      </rPr>
      <t>100%</t>
    </r>
    <r>
      <rPr>
        <sz val="24"/>
        <rFont val="Arial"/>
        <family val="2"/>
      </rPr>
      <t xml:space="preserve"> de la meta programada , toda véz que se logró suscribir el acta de recibo  de  obras por parte  de EPS del  contrato IDU-047-2012.</t>
    </r>
  </si>
  <si>
    <t>Se recibe por parte de las empresas de servicio publico el contrato IDU-066-2011</t>
  </si>
  <si>
    <t>Aunque en este mes no se tenía programado reporta avance en esta meta el contrato IDU-972-2013 (Quebrada Limas) reporta la totalidad de actas cumpliendo con lo programado para la vigencia por parte de la dependencia.</t>
  </si>
  <si>
    <t xml:space="preserve"> Se suscriben las actas de recibo de obra por parte de las ESP para 3 contratos.</t>
  </si>
  <si>
    <t>047-2013 (tramonti)</t>
  </si>
  <si>
    <t>066-2011 (virgilio barco)</t>
  </si>
  <si>
    <r>
      <t xml:space="preserve">A 31 de diciembre de 2014, suscribir el Acta de cierre ambiental de tres </t>
    </r>
    <r>
      <rPr>
        <sz val="30"/>
        <rFont val="Arial Narrow"/>
        <family val="2"/>
      </rPr>
      <t>(3) contratos.</t>
    </r>
  </si>
  <si>
    <t>Acta de  cierre ambiental firmada, guardada en las carpetas de los contratos</t>
  </si>
  <si>
    <t>No se cumple con la meta programada  porque a la fecha no se ha radicado el informe final Ambiental SISOMA del contrato IDU-047-2012.</t>
  </si>
  <si>
    <t>Se suscribe el acta de cierre ambiental del contrato IDU-047-2012. el acta se firma en el mes de Octubre</t>
  </si>
  <si>
    <t>Se reportan las actas de cierre ambiental del contrato IDU-027-2009 correspondientes a los códigos de obra 414 y 406 de el acuerdo 180 de 2005. y el acta de cierre ambiental del contrato IDU-030-2009 dando cumplimiento para la vigencia</t>
  </si>
  <si>
    <r>
      <t xml:space="preserve">Se suscriben las Actas de cierre ambiental de tres </t>
    </r>
    <r>
      <rPr>
        <sz val="30"/>
        <rFont val="Arial Narrow"/>
        <family val="2"/>
      </rPr>
      <t>(3) contratos.</t>
    </r>
  </si>
  <si>
    <t xml:space="preserve">
tramonti</t>
  </si>
  <si>
    <t>066-2011 (Virgilio barco)</t>
  </si>
  <si>
    <t>EL REPORTE ES REALIZADO POR LA DIRECCION TECNICA DE CONSTRUCCIONES</t>
  </si>
  <si>
    <t>El reporte es realizado por la DTC.</t>
  </si>
  <si>
    <t>Esta información la reporta la DTC</t>
  </si>
  <si>
    <t>Este reporte lo realiza la DTC.</t>
  </si>
  <si>
    <t>Este reporte lo realiza la DTC pero no se tenia programado para este periodo</t>
  </si>
  <si>
    <t>Cumplir oportunamente el 100% de las acciones de mejora establecidas en los Planes de Mejoramiento Internos por Procesos durante la vigencia  2014.</t>
  </si>
  <si>
    <t>Cumple todas las acciones=100%
Incumple alguna acción=0%
Se evalúan las acciones a cumplir en el periodo analizado.</t>
  </si>
  <si>
    <t>En este período no aplica evaluación del indicador de Planes de Mejoramiento Interno.</t>
  </si>
  <si>
    <r>
      <t xml:space="preserve">No aplica evaluación del indicador de Planes de Mejoramiento Interno en este periodo; Este información fue suministrada por </t>
    </r>
    <r>
      <rPr>
        <b/>
        <sz val="24"/>
        <rFont val="Arial"/>
        <family val="2"/>
      </rPr>
      <t>Camlio Oswaldo Barajas</t>
    </r>
    <r>
      <rPr>
        <sz val="24"/>
        <rFont val="Arial"/>
        <family val="2"/>
      </rPr>
      <t xml:space="preserve"> de la Oficina de Control Interno.</t>
    </r>
  </si>
  <si>
    <t xml:space="preserve">Solo se cumple con dos (2) acciones de las seis (6) que se tenían programadas para este período, según la información suministrada por Camilo Oswaldo Barajas Sierra Profesional Especializado Oficina de Control Interno mediante correo electrónico el pasado 21 de abril de 2014.
</t>
  </si>
  <si>
    <t>En este periodo no aplica evaluación del indicador de Planes de Mejoramiento Interno.</t>
  </si>
  <si>
    <r>
      <t>Aunque el área encargada de realizar este reporte es la DTC, quien para este caso, es la que  envía  el  reporte  mediante memorando No 20143350370043 de mayo 23 de 2014, se logró cumplir con el</t>
    </r>
    <r>
      <rPr>
        <b/>
        <sz val="24"/>
        <rFont val="Arial"/>
        <family val="2"/>
      </rPr>
      <t xml:space="preserve"> 100%</t>
    </r>
    <r>
      <rPr>
        <sz val="24"/>
        <rFont val="Arial"/>
        <family val="2"/>
      </rPr>
      <t xml:space="preserve"> de la meta programada,</t>
    </r>
  </si>
  <si>
    <t>Aun no se ha establecido los controles, para la adición de recursos en el plan de mejoramiento interno del contrato IDU-062-2009, s envían los reportes del plan de mejoramiento interno del contrato IDU-075-2008</t>
  </si>
  <si>
    <t>Se da cumplimiento en 100% en los planes de mejoramiento Internos del área.</t>
  </si>
  <si>
    <t>Se da cumplimiento en 100% en los planes de mejoramiento Internos del área</t>
  </si>
  <si>
    <t>Cumplir oportunamente el 100% de las acciones de mejora establecidas en los Planes de Mejoramiento con las Contralorías de Bogotá y General de la República durante la vigencia  2014.</t>
  </si>
  <si>
    <t>En este periodo no aplica evaluación del indicador de Planes de Mejoramiento Interno con las Contralorías de Bogotá y General de la República.</t>
  </si>
  <si>
    <r>
      <t xml:space="preserve">No aplica evaluación del Indicador de Planes de Mejoramiento en este período; Es importante mencionar que esta información fue suministrada por </t>
    </r>
    <r>
      <rPr>
        <b/>
        <sz val="24"/>
        <rFont val="Arial"/>
        <family val="2"/>
      </rPr>
      <t>Raul Ernesto Solano Ocampo</t>
    </r>
    <r>
      <rPr>
        <sz val="24"/>
        <rFont val="Arial"/>
        <family val="2"/>
      </rPr>
      <t xml:space="preserve"> de la Oficina de Control Interno el pasado 21 de abril del año en curso.</t>
    </r>
  </si>
  <si>
    <t>Según la información suministrada por Wilson Guillermo Herrera Reyes - Profesional Especializado de la Oficina de Control Interno el pasado 11 de julio de 2014 mediante correo electrónico, no se cumple con la meta programada  porque  la Contraloría Distrital encontró un hallazgo con número 2.7.12.1 (Amortización del anticipo) que está relacionado con el Contrato del Puente calle 63.</t>
  </si>
  <si>
    <t>No se da cumplimiento a la acción 2,5,1 en cuanto a la suscripción del acta de liquidación del contrato IDU-56-2010.</t>
  </si>
  <si>
    <t>Ejecutar el 100% de las Reservas Presupuestales programadas para la vigencia.</t>
  </si>
  <si>
    <t>En este periodo no aplica El seguimiento al registro de información Contractual .</t>
  </si>
  <si>
    <t>En este período no aplica evaluación del indicador de Seguimiento al registro de la Información Contractual.</t>
  </si>
  <si>
    <t>Se cumplen con mas del 100% de la meta programada.</t>
  </si>
  <si>
    <t>En este período no se aplica el seguimiento al registro de la información contractual.</t>
  </si>
  <si>
    <r>
      <t xml:space="preserve">Se cumple con el  </t>
    </r>
    <r>
      <rPr>
        <b/>
        <sz val="24"/>
        <rFont val="Arial"/>
        <family val="2"/>
      </rPr>
      <t>100%</t>
    </r>
    <r>
      <rPr>
        <sz val="24"/>
        <rFont val="Arial"/>
        <family val="2"/>
      </rPr>
      <t xml:space="preserve"> de la meta programada, toda vez que se logró la actualización del Sistema de Acompañamiento Contractual SIAC, en lo que hace referencia a fechas de terminación, fechas legales, actas legales y roles del proceso legal (coordinador, ordenador del gasto, jefe de coordinación legal) para los contratos del año 2013. </t>
    </r>
  </si>
  <si>
    <t>“Se presentan observaciones al reporte enviado por la DTGC, en relación al contrato IDU-1209-2014 que de acuerdo al reporte  se indica que estaba “Desactualizado Estado en el SIAC”  a la fecha de  corte del 30 de Septiembre su estado se encontraba en “Legalización”  y en el SIAC se reportó el estado “EN LEGALIACION” es decir que no estaba desactualizado.  Por otro lado el reporte de la ejecución de los contratos de Prestación de servicios le corresponden a la D/T construcciones”</t>
  </si>
  <si>
    <t>Según  Reporte Indicador Transversal SIAC 4° Trimestre 2014 realizado por la DTGC se identifican 10 contratos de prestación de servicios que no presentan su estado real como "terminado psp" en el sistema, cabe aclarar que la totalidad de contratos de PSP de esta subdirección son manejados desde la DTC donde realizan las modificaciones y actualizaciones correspondientes.</t>
  </si>
  <si>
    <t>Se informó a la  DTC de las observaciones realizadas por DTGC en cuanto a la actualización de contratos de PSP bajo su manejo y que presentan novedades y de afectan la calificación de la Subdirección.</t>
  </si>
  <si>
    <t>Se informó a la  DTC de las observaciones realizadas por DTGC en cuanto a la actualización de contratos de PSP bajo su manejo y que presentan novedades que afectan la calificación de la Subdirección.</t>
  </si>
  <si>
    <t>Nombre: CARMENCY ARLETH GARCIA MARTINEZ</t>
  </si>
  <si>
    <t>Cargo: SUBDIRECTORA TÉCNICA DE EJECUCIÓN DE SUBSISTEMA VIAL</t>
  </si>
  <si>
    <t>SUBDIRECCIÓN TÉCNICA JURÍDICA Y DE EJECUCIONES FISCALES</t>
  </si>
  <si>
    <t>ENERO FEBRERO MARZO</t>
  </si>
  <si>
    <t>OCTUBRE-NOVIEMBRE-DICIEMBRE</t>
  </si>
  <si>
    <t>2.6. Recuperar el 72% de la cartera vencida por concepto de valorización.</t>
  </si>
  <si>
    <t xml:space="preserve">A 31 de diciembre de 2014, se habrá recuperado el 4% de la cartera de valorízacion relacionada con los Acuerdos: 31/92, 25/95, 48/01, Obra por tu lugar,  que se encuentra en etapa de cobro coactivo. </t>
  </si>
  <si>
    <t xml:space="preserve">Porcentaje de cartera recuperada </t>
  </si>
  <si>
    <t>Medir los recursos captados originados por el cobro de valorización de la cartera vencida a 31 de diciembre de 2013.</t>
  </si>
  <si>
    <t>(Valor cartera recuperada) / (Valor cartera a recuperar) *100</t>
  </si>
  <si>
    <t>Informe de recaudo de cartera</t>
  </si>
  <si>
    <t xml:space="preserve">Porcentaje- Valor de la cartera recuperada </t>
  </si>
  <si>
    <t>STJEF</t>
  </si>
  <si>
    <t>El resultado del recaudo de la cartera relacionada con Acuerdos 31/92, 25/95, 48 de 2001 y obra por tu lugar, durante el trimestre de enero a marzo de  2014 alcanzo un total de $136,431,429, valor con el que se alcanzo un cumplimiento del  64%.</t>
  </si>
  <si>
    <t>El recaudo de la cartera relacionada con Acuerdos 31/92, 25/95, 48 de 2001 y obra por tu lugar, durante el trimestre de octubre, a diciembre de 2014, fue de $225.646.336, valor con el que se logró un cumplimiento del 105%.</t>
  </si>
  <si>
    <t xml:space="preserve">A 31 de diciembre de 2014, se habrá recuperado el 30% de la cartera de valorízacion relacionada con el acuerdo 180/05,  que se encuentra en etapa de cobro coactivo. </t>
  </si>
  <si>
    <t>El resultado del recaudo de la cartera relacionada con Acuerdo 180 de 2005, durante el trimestre de enero a marzo de  2014 alcanzo un total de $638,393,305, valor con el que se alcanzo un cumplimiento del 37%.</t>
  </si>
  <si>
    <t>El recaudo de la cartera relacionada con Acuerdo 180 de 2005, durante el trimestre de octubre a diciembre  de  2014, fue de $1.659.510.927,  valor con el que se logró un cumplimiento del 97%.</t>
  </si>
  <si>
    <t xml:space="preserve">A 31 de diciembre de 2014, se habrá recuperado el 12% de la cartera de valorízacion relacionada con el acuerdo 398/09,  que se encuentra en etapa de cobro coactivo. </t>
  </si>
  <si>
    <t>El resultado del recaudo de la cartera relacionada con Acuerdo 398 de 2009, durante el trimestre de enero a marzo de  2014 alcanzo un total de $279,810,327, valor con el que se alcanzo un cumplimiento del  341%.</t>
  </si>
  <si>
    <t>El recaudo de la cartera relacionada con Acuerdo 398 de 2009, durante el trimestre de octubre a diciembre, fue de $227.735.201,valor con el que se logró un cumplimiento del  277%.</t>
  </si>
  <si>
    <t>A 31 de diciembre de 2014,  se habrán proyectado y remitido el 50% de los  actos administrativos***, que cuenten con el recaudo probatorio para resolver el recurso de reconsideración interpuesto con ocasión de la notificación de la asignación del Acuerdo 523 de 2013.</t>
  </si>
  <si>
    <t xml:space="preserve">Numero de actos administrativos proyectadao </t>
  </si>
  <si>
    <t>Analizar la sustanciación de los  recursos interpuestos contra la asignación notíficada del Acuerdo 523 de 2013.</t>
  </si>
  <si>
    <t>(Nº de actos administrativos proyectados que resuelven de fondo y radicados en la SGJ ) / (N° de recursos de reconsideracion presentados por los contribuyentes )*100</t>
  </si>
  <si>
    <t xml:space="preserve">Reporte y registro en el aplicativo informativo Valoricemos </t>
  </si>
  <si>
    <t>Porcentaje -Numero de actos administrativos proyectados</t>
  </si>
  <si>
    <t>Resultado del indicador programado para el mes de diciembre del año en curso</t>
  </si>
  <si>
    <t>Teniendo en cuenta que por orden de la Alcaldía Mayor de Bogotá, la notificación de la contribución de valorización ordenada por el Acuerdo 523 del 2013 y reasignada mediante resoluciones IDU VA38, VA39, VA39A y 40 del 27 de diciembre del 2013, se inició hasta el mes de julio del año 2014, según cronograma de remisión de correspondencia organizado por localidades para ser distribuida durante los meses de julio a octubre, la interposición de los recursos de reconsideración no sobrevino según las proyecciones establecidas al inicio del año 2014, trayendo como consecuencia que la recopilación del acervo probatorio se iniciara a finales del año 2014. Actualmente estamos recibiendo progresivamente  respuesta a las solicitudes de concepto técnico, las cuales serán objeto de analisis jurídico para efectos de la proyección de los actos administrativos que resolveran los cuestionamientos planteados por los contribuyentes.</t>
  </si>
  <si>
    <t xml:space="preserve">A 31 de diciembre de 2014,  se habrá iniciado el trámite de notificación  del 100% de los actos administrativos que resuelven de fondo los recursos  de reconsideración, con firma del Subdirector General Jurídico que al 30 de noviembre del 2014 se hayan recibido en la STJEF. </t>
  </si>
  <si>
    <t xml:space="preserve">Numero de actos administrativos que resuelven de fondo notificados </t>
  </si>
  <si>
    <t>Analizar la notificación de los  recursos interpuestos contra la asignación notíficada del Acuerdo 523 de 2013.</t>
  </si>
  <si>
    <t xml:space="preserve"> (Nº de actos administrativos con citación para notificación personal/ actos administrativos que resuelven de fondo con firma del SGJ radicados en la STJEF el mes inmediatamente anterior )*100</t>
  </si>
  <si>
    <t xml:space="preserve">Porcentaje -Numero de actos administrativos notificados </t>
  </si>
  <si>
    <t>Resultado del indicador programado para el mes de diciembre del año 2014, toda vez que dados los cronogramas de notificación de la asignación de la contribución de valorización, ordenada mediante Acuerdo 523 de 2013, a la fecha aún no se cuentan con datos para medir este indicador.</t>
  </si>
  <si>
    <t xml:space="preserve">A traves del memorando 20145660075633 de marzo 28 de 2014, se remitio el formato de compromiso  de actualizacion documental por proceso 2014. </t>
  </si>
  <si>
    <t>Mediante memorando 20145660082223 se remitio solicitud de cierre por cumplimiento Plan de Mejoramiento interno procedimiento 2-STJEF-Al-4.4.1 “Atención a Reclamaciones”, publicado enComunicaciones - Formatos el dia 07/04/2014, y en la intranet ruta: documentacion vigente/ procedimientos/gestion corporativa/gestion de la contribucion de valorizacion/PR-VF-01 TRAMITE RECLAMACIONES INTERPUESTAS CON OCASION DE LA ASIGNACIÓN DE LA CONTRIBUCION DE VALORIZACION V_2.0.pdf</t>
  </si>
  <si>
    <t xml:space="preserve">Mediante memorando 20145660595043 del 24 de septiembre de 2014, se remitió a la OCI, el "Avance Plan de Mejoramiento Interno con fundamento en el Informe de auditoría procedimiento de valorización- cobro coactivo-Memorando 20141350370683 de mayo 26 de 2014".  </t>
  </si>
  <si>
    <t xml:space="preserve">No se presentan acciones o planes de mejoramiento con las Contralorias  de Bogota Y General de la Republica. </t>
  </si>
  <si>
    <t>No. de Solicitudes de acompañamiento, asesoría y elaboración de tramites contractuales Cargados en el SIAC / Total de solicitudes de acompañamiento, asesoría y elaboración de tramites contractuales. X100</t>
  </si>
  <si>
    <t>Revisado el sistema de Información y Acompañamiento Contractual se evidencia la actualización de la totalidad de los contratos.</t>
  </si>
  <si>
    <t xml:space="preserve">Nombre: CARLOS FRANCISCO RAMIREZ CARDENAS </t>
  </si>
  <si>
    <t>Cargo: Subdirector Técnico Jurídico y de Ejecuciones Fiscales</t>
  </si>
  <si>
    <t>*** Lo anterior con base a una proyección estimada de 25 mil recursos presentados a partir de la notificación de la asignación del Acuerdo 523 de 2013, en cuyo caso se requerirá la contratación de la totalidad del personal previsto en el plan de contratación para la resolución del 100% de los recursos.</t>
  </si>
  <si>
    <t>A 31 de diciembre de 2014, haber dado inicio a 4 contratos de diferentes tipos que se desarrollen a traves de la STMST</t>
  </si>
  <si>
    <t>Se dio Inicio a los contratos 2053 de 2013, 2128 de 2013, 1969 de 2013, 2051 de 2013. cumpliendo las metas programadas.</t>
  </si>
  <si>
    <t>No hay meta programada para este mes</t>
  </si>
  <si>
    <t>SE DIO INICIO A LOS CONTRATOS 2053 DE 2013, 2128 DE 2013, 1969 DE 2013, 2051 DE 2013. POR LO TANTO EL PORCENTAJE DE CUMPLIMIENTO ES DEL 100%</t>
  </si>
  <si>
    <t>A 31 de diciembre de 2013, haber terminado 16  Contratos a cargo de la STMST</t>
  </si>
  <si>
    <t>Establecer el número de contratos y/o convenios terminados en la vigencia, a partir del acta de terminación</t>
  </si>
  <si>
    <t>(Total de contratos y/o convenios  con Acta de Terminación)/(Total contratos y/o convenios programados a terminar)*100</t>
  </si>
  <si>
    <t>Se firmo acta de terminacion de los contratos 076-2012, 063-2012, 082-2012, 072/2012. cumpliendo con la meta programada.</t>
  </si>
  <si>
    <t>Se firmo acta de terminacion de los contratos 080-2012, 071-2012, los contratos 081-2013, 083-2012, 078-2012, 068-2012, fueron prorrogados para el mes de mayo, por lo tanto la meta se aplaza.</t>
  </si>
  <si>
    <t>Los contratos 079 de 2012 y 062 de 2012 fueron prorrogados para el mes de mayo, por lo tanto la meta se aplaza.</t>
  </si>
  <si>
    <t>Se terminaron los contratos 079/12 062/12 078/12 y 068/12, el conmtrato 081/12 y 083/12 se prorrogaron hasta el mes de julio de 2014</t>
  </si>
  <si>
    <t>Se termino el contrato 081 de 2012 con acta N° 12 de 28 de julio de 2012 y el contrato 83 de 2012 con el acta N° 16 de julio 28 de 2014</t>
  </si>
  <si>
    <t>Los contratos 075 de 2012 y 067 de 2012 fueron prorrogados para el mes de octubre</t>
  </si>
  <si>
    <t>SE TERMINARON LOS CONTRATOS 77-2012, 73-2012, 75-2012 Y 67-2012</t>
  </si>
  <si>
    <t>DE LOS 16 CONTRATOS PROGRAMADOS SE CUMPLIO LA META EN UN 100% Y SE DIERON POR TERMINADOS</t>
  </si>
  <si>
    <t>1.3 Realizar el 100% de la gestión y coordinación interinstitucional para la ejecucion de las obras</t>
  </si>
  <si>
    <t>A 31 de diciembre de 2013 haber liquidado 8 contratos a cargo de la  STMST</t>
  </si>
  <si>
    <t xml:space="preserve">Los contratos programados no se han podido liqudar debido a que esta pendiente sanear observaciones por parte de laS ESP;S </t>
  </si>
  <si>
    <t>No se cumplio la meta programada debido a que el  Cto interadministrativo 3/12: Demoras en entrega de información por parte de la UAERMV han impedido la liquidación.</t>
  </si>
  <si>
    <t>SE TENIA PROGRAMADO LIQUIDAR EL CONVENIO 8-2011, EL CUAL FUE TRASLADADO  PARA EL MES DE  DICIEMBRE, TENIENDO EN CUENTA LOS PENDIENTES QUE SE TIENEN CON LA UAERMV</t>
  </si>
  <si>
    <t>SE LIQUIDARON LOS CONTRATOS  84-2009 Y  76-2009</t>
  </si>
  <si>
    <t>DE LOS CONTRATOS 8 CONTRATOS PROGRAMADOS PARA LIQUIDACIÓNSE LIQUIDARON 2, OBTENIENDO CUMPLIMIENTO DEL 25% LOS CONTRATOS PENDIENTES DE LIQUIDACION CORRESPONDEN A CTO 74/09 ACTA DE LIQUIDACIÓN EN UN 95% PENDIENTE APROBACIÓN DE LA SDM. CTO 82/09 DEPENDE DE LA LIQUIDACIÓN DEL 74/09. CTO 76/09: PENDIENTE SUSCRIPCIÓN DE ACTA DE RECIBO ETB. ACTA DE LIQUIDACIÓN EN UN 95%. CTOSINTERADMINISTRATIVOS 3/12 Y 8/2011: DEMORAS EN ENTREGA DE INFORMACIÓN POR PARTE DE LA UAERMV HAN IMPEDIDO LA LIQUIDACIÓN.</t>
  </si>
  <si>
    <t>Garantizar el mantenimiento de 14,61 km -carril de las calzadas de lasTroncales de Transmilenio: Calle 80 , Auto Norte, Caracas, Eje Ambiental-Av Jimenez, Calle 13, Av Americas, Av Suba y Av NQS</t>
  </si>
  <si>
    <t xml:space="preserve">Km - carril mantenidos de vías troncales </t>
  </si>
  <si>
    <t>Garantizar el mantenimiento de las calzadas de las Troncales de Transmilenio: Calle 80 , Auto Norte, Caracas, Eje Ambiental-Av Jimenez, Calle 13, Av Americas, Av Suba y Av NQS</t>
  </si>
  <si>
    <t>KM CARRIL</t>
  </si>
  <si>
    <t>Se cumplio la meta programada</t>
  </si>
  <si>
    <t>LAS LABORES PROGRAMADAS PARA HACER EN LAS TRONCALES FINALIZARON EN EL MES DE  JULIO Y LAS ACTIVIDADES DE OBRA SE CONCENTRARON  EN LOS CORREDORES PRIORIZADOS DEL  SITP.</t>
  </si>
  <si>
    <t>NO SE PROGRAMO META FISICA PARA EL MES</t>
  </si>
  <si>
    <t>DE 14,6 KM- CARRIL PROGRAMADO SE EJECUTÓ 16,9KM-CARRIL SOBRE PASANDO LA META Y CUMPLIENDO CON EL 100%</t>
  </si>
  <si>
    <t>Garantizar la conservacion de 12,82 km-carril de las calzadas de las vias priorizadas del SITP</t>
  </si>
  <si>
    <t xml:space="preserve">Km - carril conservados de vías del SITP </t>
  </si>
  <si>
    <t>Garantizar la conservacion de las calzadas de las vias priorizadas del SITP</t>
  </si>
  <si>
    <t>El contrato 83-2012 de la Troncal Auto Norte fue prorrogado, esto aumento siginificativamente el area ejecutada de vias SITP, terminando asi con todas la intervenciones programadas en el contrato.</t>
  </si>
  <si>
    <t>SE CUMPLIÓ LA META FÍSICA</t>
  </si>
  <si>
    <t>EN EL CONTRATO 2128-2013, SE EJECUTARON ACCIONES DE MOVILIDAD EN CORREDORES QUE NO HABIAN SIDO PRIORIZADOS INICIALMENTE POR LA DTP</t>
  </si>
  <si>
    <t>EN EL CONTRATO 2053-2013, SE TERMINARON VARIOS CORREDORES QUE HABIAN SIDO PRIORIZADOS INICIALMENTE POR LA DTP</t>
  </si>
  <si>
    <t>DE 12,82KM CARRIL PROGRAMADOS SE EJECUTARON 50.6 KM CARRIL SOBRE PASANDO LA META Y CUMPLIENDO AL 100%</t>
  </si>
  <si>
    <t>Garantizar el mantenimiento de 28,372,69 m2 de espacio público en las Troncales de Transmilenio: Calle 80 , Auto Norte, Caracas, Eje Ambiental-Av Jimenez, Calle 13, Av Americas, Av Suba y Av NQS</t>
  </si>
  <si>
    <t xml:space="preserve">m2 mantenidos de espacio publico </t>
  </si>
  <si>
    <t>Garantizar el mantenimiento del espacio público en las Troncales de Transmilenio: Calle 80 , Auto Norte, Caracas, Eje Ambiental-Av Jimenez, Calle 13, Av Americas, Av Suba y Av NQS</t>
  </si>
  <si>
    <t>M2</t>
  </si>
  <si>
    <t>El contrato de Autopista Norte se prorrogo 75 días y las actividades de limpieza de vallados se reprogramaron.</t>
  </si>
  <si>
    <t>Se termina la limpieza de Vallados de la Autopista Norte y quedan solo los trabajos para aprobación y entrega.</t>
  </si>
  <si>
    <t>Mediante el contrato 67-2012 se reporto la limpieza de las piletas del Eje ambiental y mediante el contrato 83-2012 de la Troncal Auto Norte, el cua fue prorrogado, se termino con lo programado en vallados.</t>
  </si>
  <si>
    <t>NO SE PROGRAMÓ META FÍSICA</t>
  </si>
  <si>
    <t>DE 28372,7 M2 PROGRAMADOS SE EJECUTARON 31352,3 M2 SOBREPASANDO LA META Y CUMPLIENDO EL 100%</t>
  </si>
  <si>
    <t>A 31 de diciembre de 2013 mantener 4 puentes peatonales</t>
  </si>
  <si>
    <t>Garantizar el mantenimiento de puentes peatonales de las Troncales de Transmilenio: Calle 80 , Auto Norte, Caracas, Eje Ambiental-Av Jimenez, Calle 13, Av Americas, Av Suba y Av NQS</t>
  </si>
  <si>
    <t xml:space="preserve">UNIDAD </t>
  </si>
  <si>
    <t>DE 4 PUENTES PEATONALES PROGRAMADOS SE EJECUTARON 4 CUMPLIENDO CON EL 100 % DE LA META</t>
  </si>
  <si>
    <t xml:space="preserve">NO SE PROGRAMARON METAS PARA ESTE MES </t>
  </si>
  <si>
    <t>ANALIZADAS LAS ACCIONES A CUMPLIR EN EL PERIODO Y LOS RESULTADOS  OBTENIDOS POR EL ÁREA, NO APLICA EVALUACIÓN DEL INDICADOR DE PLANES DE MEJORAMIENTO INTERNOS</t>
  </si>
  <si>
    <t>NO SE RECIBIO INDICADOR PARA ESTE MES</t>
  </si>
  <si>
    <t>Se da cumplimiento con el indicador verificado el Sistema de Información y Acompañamiento Contractual SIAC y las bases de datos de seguimiento de la DTGC</t>
  </si>
  <si>
    <t>Se encuentra actualizada la información registrada en el Sistema de Información y Acompañamiento Contractual SIAC de los contratos a cargo de la Subdirección Técnica de mantenimiento del Subsistema de Transporte.</t>
  </si>
  <si>
    <t>SE ENCUENTRA ACTUALIZADA LA INFORMACIÓN REGISTRADA EN EL SISTEMA DE INFORMACIÓN Y ACOMPAÑAMIENTO CONTRACTUAL SIAC DE LOS CONTRATOS A CARGO DE LA SUBDIRECCIÓN TÉCNICA DE MANTENIMIENTO DEL SUBSISTEMA DE TRANSPORTE.</t>
  </si>
  <si>
    <t>NO SE PROGRAMO METRA PARA EL MES</t>
  </si>
  <si>
    <t>SE DA CUMPLIMIENTO AL 100% DEL INDICADOR VERIFICADO EL SISTEMA DE INFORMACIÓN Y ACOMPAÑAMIENTO CONTRACTUAL SIAC Y LAS BASES DE DATOS DE SEGUIMIENTO DE LA DTGC</t>
  </si>
  <si>
    <t>Se informo que no se planifico nada para este cuatrimestre.</t>
  </si>
  <si>
    <t>De los 2 documentos programados por derogar, se retiraron del SIG mediante acta con fecha del 06/05/2014 y derogados mediante la Resolucuón No. 40483 de 2014 del 12/06/2014.</t>
  </si>
  <si>
    <t>DE LOS TRÁMITES PROGRAMADOS INICIALMENTE PARA EJECUTAR DESDE EL 1° DE ENERO HASTA EL 30 DE SEPTIEMBRE, SE ENCUENTRA PENDIENTE  ADOPCIÓN DEL PROCEDIMIENTO DE CONSERVACIÓN SE TOMARÁN HASTA EL MES DE DICIEMBRE, POR LOS DIFERENTES CAMBIOS QUE IDENTIFICARON.</t>
  </si>
  <si>
    <t xml:space="preserve">Nombre:  LUIS ERNESTO BERNAL </t>
  </si>
  <si>
    <t xml:space="preserve">ST de mantenimiento del subsistema de Transporte </t>
  </si>
  <si>
    <t>SUDIRECCION TECNICA DE MANTENIMIENTO DEL SUBSISTEMA VIAL</t>
  </si>
  <si>
    <t>A 31 de diciembre de 2014, haber dado inicio a 15 contratos y/o Convenios de diferentes tipos que se desarrollen a traves de la STMSV ; sujeto al Diagnostico y Presupuesto Disponible</t>
  </si>
  <si>
    <t>Se dio Inicio a los contratos 1815 de 2013, 1836 de 2013, 2052 de 2013 y 2142 de 2013, cumpliendo con la meta programada.</t>
  </si>
  <si>
    <t>NO SE PROGRAMO META PARA ESTEMES</t>
  </si>
  <si>
    <t>SE INICIARON LOS 15 CONTRATOS PROGRAMADOS, POR LO TANTO LA SE OBTUVO UN 100% DE CUMPLIMIENTO.</t>
  </si>
  <si>
    <t>A 31 de diciembre de 2014, haber terminado 22 contratos y /o convenios a cargo de la STMSV; sujeto al Diagnostico y Presupuesto Disponible</t>
  </si>
  <si>
    <t>Se terminaron los contratos  49-2012, 56-2012, 55-2012, 54-2012, 57-2012, 52-2012. cumpliendo con la meta programada</t>
  </si>
  <si>
    <t>Los contratos 059 de 2012 y 066 de 2012 fueron prorrogados hasta el de mayo de 2014, la meta no se incumplio, fue aplazada para el mes de mayo de 2014</t>
  </si>
  <si>
    <t>Se termino el contrato 064 de 2012, el convenio 11 de 2011 fue prorogado una vez mas para el mes de junio de 2014.</t>
  </si>
  <si>
    <t>NO SE PROGRAMO META PARA ESTE MES, Sin embargo se terminaron los contratos 059/2012 y 066/2012 con el acta n° 34 del 03 de junio de 2014</t>
  </si>
  <si>
    <t>Se termino el convenio 009 de 2011 con el acta N°02 de 07 de julio de 2014</t>
  </si>
  <si>
    <t>El convenio 11de 2012 se termino con el acta N° 2 del 01 de septiembre de 2014 y el convenio 1323 de 2013 se prorrogo para el 16 de septiembre de 2014</t>
  </si>
  <si>
    <t>SE TENIAN PROGRAMADOS LOS CONTRATOS 2052-2013 Y 2142-2013</t>
  </si>
  <si>
    <t>SE TERMINARON LOS CONTRATOS 1792-2013 Y 1840-2013</t>
  </si>
  <si>
    <t>SE TERMINARON LOS CONTRATOS 1705-2013, 1739-2013, 2052-2013,  2142-2013, 1323-2013</t>
  </si>
  <si>
    <t>DE LOS 22 CONTRATOS PROGRAMADOSPARA TERMINAR EN EL 2014, SE DIO CUMPLIMIENTO A 20, LOS 2 PENDIENTES CORRESPONDEN A 1815-2013 Y 1836-2013 LOS CUALES FUERON PRORROGADOS HASTA EL MES DE FEBRERO CON EL FIN DE CONTINUAR CON LA INTERVENCION EN LA MALLA VIAL ARTERIAL</t>
  </si>
  <si>
    <t xml:space="preserve">A 31 de diciembre de 2014 dar tramite a 21 contratos y/o convenios liquidados y/o archivados por perdida de competencia  a cargo de la STMSV; sujeto al Diagnostico y Presupuesto Disponible </t>
  </si>
  <si>
    <t xml:space="preserve">Los contratos programados no se han podido liqudar debido a que esta pendiente sanear observaciones por parte de las ESP;S </t>
  </si>
  <si>
    <t>Se liquido el contrato 950 de 2013</t>
  </si>
  <si>
    <t>El 15 de Mayo se liquido el contrto IDU-42-2010</t>
  </si>
  <si>
    <t>TENIENDO EN CUENTA QUE LOS CONTRATOS 69-2008, 91-2008, 73-2008, 95-2008, 44-2011 Y 45-2011 SE ENCUENTRAN TRAMITANDO PAZ Y SALVOS CON LAS ESPS, SE POSTERGA LA LIQUIDACIÓN PARA LA VIGENCIA 2015</t>
  </si>
  <si>
    <t>SE LIQUIDO CONTRATO 119/2009, EL CUAL SE TENIA PROGRAMADO PARA EL MES DE JUNIO</t>
  </si>
  <si>
    <t>SE LIQUIDARON  CONTRATOS 55-201 Y 54-2012</t>
  </si>
  <si>
    <t>SE LIQUIDARON LOS CONTRATOS 30-2012, 06-2013, 07-2013, 57-2012,  90-2009 Y CONV 22-2009</t>
  </si>
  <si>
    <t xml:space="preserve">DE 21 CONTRATOS PROGRAMADOS A LA FECHA, SE LIQUIDARON  15, SE PRESENTARON DIFICULTADES CON LOS PAZ Y SALVOS DE ALGUNAS ESP´S . CUMPLIENDO EN UN 71% LA PROGRAMACION                                                                                                                                                                                                                                                                                                                                                                                                                                                                                                                                                                                                                                                                                                                                                                                                                                                                                                                                                                                                                                                                                                                                                                                                                     </t>
  </si>
  <si>
    <t>A 31 de diciembre de 2014 construir, rehabilitar y mantener 92,68 km-carril de la malla vial arterial;  sujeto al Diagnostico y Presupuesto Disponible</t>
  </si>
  <si>
    <t xml:space="preserve">km-carril construidos, rehabilitados y mantenidos de la malla vial arterial </t>
  </si>
  <si>
    <t>Garantizar la construcción, la rehabilitación y el mantenimiento de las vías priorizadas en los programas vigentes pertenecientes a la malla vial arterial</t>
  </si>
  <si>
    <t>Se cumplio el 78% de la meta fisica programada</t>
  </si>
  <si>
    <t>La obras programadas del convenio 1323-2013 se ejecutaron en abril.</t>
  </si>
  <si>
    <t>Se cumplio el 91% de la meta fisica programada. Algunos contratos de Conservacion de MVA no troncal no han comenzado obras por resultados de diagnósticos y por tramites de PMT's</t>
  </si>
  <si>
    <t>Se cumplio la meta fisica programada . Se ejecutaron acciones de movilidad en los corredores priorizados de la MVA</t>
  </si>
  <si>
    <t>Se cumplio la meta fisica programada . Ademas se ejecutaron acciones de movilidad en los corredores priorizados de la MVA</t>
  </si>
  <si>
    <t>Se cumplio la meta fisica programada . Ademas se ejecutaron acciones de movilidad en los corredores priorizados por la DTP en la MVA</t>
  </si>
  <si>
    <t>Se cumplio la meta fisica programada . Ademas se ejecutaron acciones de movilidad en los corredores priorizados por la DTP en la MVA, especificamente en el carril exclusivo para SITP en la AK 7 desde la CL 32 hasta la AC 100</t>
  </si>
  <si>
    <t>SE CUMPLIO EL 90% DE LA META PROGRAMADA</t>
  </si>
  <si>
    <t>LOS RECURSOS PARA ACCIONES DE MOVILIDAD SE AGOTARON EN ALGUNOS CONTRATOS DE CONSERVACION MVA NO TRONCAL; SIN EMBARGO SE EJECUTARON ACCIONES DE MOVILIDAD EN VARIOS CORREDORES PRIORIZADOS POR LA DTP</t>
  </si>
  <si>
    <t>LOS RECURSOS PARA ACCIONES DE MOVILIDAD SE AGOTARON EN ALGUNOS CONTRATOS DE CONSERVACION MVA NO TRONCAL; SIN EMBARGO SE EJECUTARON ACCIONES DE MOVILIDAD EN VARIOS CORREDORES PRIORIZADOS POR LA DTP Y SE AVANZO EN LOS CORREDORES QUE SE ESTAN REHABILITANDO</t>
  </si>
  <si>
    <t>SE CUMPLIO LA META FISICA PROGRAMADA . ADEMAS SE REPORTAN LAS ACCIONES DE MOVILIDAD EJECUTADAS EN EL CONVENIO 1323-2013 EN LOS CORREDORES PRIORIZADOS POR LA DTP EN LA MVA.</t>
  </si>
  <si>
    <t xml:space="preserve">DE 92,68 KM- CARRIL PROGRAMADOS SE EJECUTARON 130,2KM -CARRIL SOBREPASANDO LA META Y CUMPLIENDO CON EL 100% SE PRESENTA MAYOR META FISICA EJECUTADA , DADO QUE LAS EMERGENCIAS EJECUTADAS NO FUERON PROGRAMADAS, TENIENDO EN CUENTA QUE ESTAS NO SON PRIORIZADAS, ADICIONALMENTE LOS CONTRATOS FUERON ADICIONADOS. </t>
  </si>
  <si>
    <t>A 31 de diciembre de 2014 construir, rehabilitar y mantener 15,23 km-carril de la malla vial interemedia; sujeto al Diagnostico y Presupuesto Disponible</t>
  </si>
  <si>
    <t>km-carril construidos, rehabilitados y mantenidos de la malla vial intermedia</t>
  </si>
  <si>
    <t>Garantizar la construcción, la rehabilitación y el mantenimiento de las vías priorizadas en los programas vigentes pertenecientes a la malla vial intermedia</t>
  </si>
  <si>
    <t>Se cumplio el 81% de la meta fisica programada en Convenios UAERMV</t>
  </si>
  <si>
    <t xml:space="preserve">Se cumplio la meta fisica programada . </t>
  </si>
  <si>
    <t>Los recursos se agotaron en los Convenios 009-2011 y 011-2011 UAERMV-IDU</t>
  </si>
  <si>
    <t>LOS RECURSOS SE AGOTARON EN EL CONVENIO 1323-2013, SE TRAMITO ADICIONAL PARA OBRAS EN LA  MVA AUTO NORTE, AV CARACAS Y AK 7. LA META EJECUTADA CORRESPONDE A ACCIONES DE MOVILIDAD PARA LA ADECUACIÓN DE DESVÍOS POR OBRAS  EN TRANSVERSAL  DE SUBA</t>
  </si>
  <si>
    <t>SE REPORTAN LAS ACCIONES DE MOVILIDAD EJECUTADAS EN EL CONVENIO 1323-2013 EN LOS CORREDORES PRIORIZADOS POR LA DTP EN LA MVI.</t>
  </si>
  <si>
    <t>SE EJECUTO 15,7 KM CARRIL DE 15,23 KM CARRIL PROGRAMADOS, SOBREPASANDO LA META PROGRAMADA</t>
  </si>
  <si>
    <t>A 31 de diciembre de 2014 mantener35,267 m2 de espacio publico; sujeto al Diagnostico y Presupuesto Disponible</t>
  </si>
  <si>
    <t>Se cumplio el 67% de la meta fisica programada. Obras de construccion de muros de contención en un tramo del frente de la AK 7  entre calles 188  y 193 debido a la estabilidad del terreno</t>
  </si>
  <si>
    <t>Se cumplio el 63% de la meta fisica programada. Continuan las obras de construccion de muros de contención en un tramo del frente de la AK 7  entre calles 188  y 193 debido a la estabilidad del terreno, excavacion manual, fundida de concreto ciclopeo, figurado y amarre de acero de refuerzo para vigas y columnas</t>
  </si>
  <si>
    <t>el contrato 2052-2013 presento la siguiente situación por la cual no se cumplio la meta fisica  programada: La Subdirección General de Infraestructura mediante comunicaciones con radicados IDU 20143560068513 de 02 de abril de 2014 e IDU-20143560232503 de 06 de mayo de 2014, solicito dar inicio al procedimiento administrativo, por presunto incumplimiento de las obligaciones contractuales por parte del CONSORCIO ESPACIO PUBLICO, con quien se suscribiera el contrato de obra IDU-2052-2013.</t>
  </si>
  <si>
    <t>El contrato 2052-2013 presento la siguiente situación por la cual no se cumplio la meta fisica  programada: La Subdirección General de Infraestructura mediante comunicaciones con radicados IDU 20143560068513 de 02 de abril de 2014 e IDU-20143560232503 de 06 de mayo de 2014, solicito dar inicio al procedimiento administrativo, por presunto incumplimiento de las obligaciones contractuales por parte del CONSORCIO ESPACIO PUBLICO, con quien se suscribiera el contrato de obra IDU-2052-2013.</t>
  </si>
  <si>
    <t>Las labores de mantenimiento en el contrato 2052-2013 se concentraron en el mantenimiento de  ciclorrutas. La intervención en espacio público (andenes) fue minima en los frentes que estan en ejecución.</t>
  </si>
  <si>
    <t>SE EJECUTARON ACTIVIDADES EN EL MANTENIMIENTO DE ESPACIO PÚBLICO EN LOS CONTRATOS 2052-2013, 1815-2013 Y 1804-2013</t>
  </si>
  <si>
    <t>SE EJECUTARON ACTIVIDADES EN EL MANTENIMIENTO DE ESPACIO PUBLICO EN LOS CONTRATOS 1810-2013 Y 1804-2013. EL CONTRATO 2052-2013 FUE SUSPENDIDO</t>
  </si>
  <si>
    <t>SE CUMPLIO EL 67% DE LA META FISICA PROGRAMADA. OBRAS DE CONSTRUCCION DE MUROS DE CONTENCIÓN EN UN TRAMO DEL FRENTE DE LA AK 7  ENTRE CALLES 188  Y 193 DEBIDO A LA ESTABILIDAD DEL TERRENO</t>
  </si>
  <si>
    <t xml:space="preserve">SE TERMINARON ACTIVIDADES DE MANTENIMIENTO DE ESPACIO PUBLICO EN EL CONTRATO 1815-2013.
</t>
  </si>
  <si>
    <t>DE 35267 M2 PROGRAMADOS SE EJECUTARON 16375,3 M2 CUMPLIENDO CON EL 48% DE LA META, DEBIDO A LAS LABORES DE MANTENIMIENTO EN EL CONTRATO 2052-2013 SE CONCENTRARON EN EL MANTENIMIENTO DE  CICLO RUTAS. EL CONTRATO PRESENTO REPROGRAMACIÓN DE OBRA, YA QUE COMO RESULTADO DEL DIAGNÓSTICO LOS RECURSOS ASIGNADOS ERAN INSUFICIENTES PARA LA META INICIAL.</t>
  </si>
  <si>
    <t>A 31 de diciembre de 2014 mantener 29,52 km de ciclo-rutas; sujeto al Diagnostico y Presupuesto Disponible</t>
  </si>
  <si>
    <t>Garantizar el mantenimiento de las ciclo rutas priorizadas en los programas vigentes</t>
  </si>
  <si>
    <t>LA META  NO SE CUMPLIÓ DEBIDO  A LA SUSPENSIÓN DEL CONTRATO 2052-2013</t>
  </si>
  <si>
    <t>SE EJECUTARON ACTIVIDADES EN EL MANTENIMIENTO DE ESPACIO PUBLICO EN EL CONTRATO 2052-2013</t>
  </si>
  <si>
    <t>DE 29,5 KM PROGRAMADOS SE EJECUTARON 10,1KM OBTENIENDO UN AVANCE DEL  41% DE LA META, DEBIDO  A QUE LOS RECURSOS ASIGNADOS INICIALMENTE AL CONTRATO 2052-2013</t>
  </si>
  <si>
    <t>A 31 de diciembre de 2014 mantener 1 puente peatonal; sujeto al Diagnostico y Presupuesto Disponible</t>
  </si>
  <si>
    <t>NO SE PROGRAMO META FISICA</t>
  </si>
  <si>
    <t>SE CUMPLIO CON LA META PROGRAMADA. CUMPLIENDO EL 100% DE LA PROGRAMACION</t>
  </si>
  <si>
    <t>A 31 de diciembre de 2014  rehabilitar y mantener 40,95 km-carril de la malla vial rural; sujeto al Diagnostico y Presupuesto Disponible</t>
  </si>
  <si>
    <t>km-carril rehabilitados y mantenidos de la malla vial rural</t>
  </si>
  <si>
    <t>Garantizar la rehabilitación y el mantenimiento de las vías priorizadas en los programas vigentes pertenecientes a la malla vial rural</t>
  </si>
  <si>
    <t>Se determinó adelantar la reprogramación del corredor vial de Choachí a partir del 30 de Abril dentro del plazo contractual sin modificar la fecha de terminación del Contrato (22 de Septiembre de 2014). Esto debido a la priorización de obras por parte del IDU y el Paro Agrario. Se esta ejecutando mantenimiento rutinario e Instalación de postes de referencia SI-04</t>
  </si>
  <si>
    <t>Se cumplio la meta fisica programada. Se esta realizando mantenimiento rutinario, limpieza de cunetas y roceria</t>
  </si>
  <si>
    <t>Se cumplio la meta fisica programada. Se esta realizando mantenimiento rutinario, limpieza de cunetas y roceria. Estas actividades aumentan la meta fisica ejecutada</t>
  </si>
  <si>
    <t>NO SE CUMPLIÓ LA META FÍSICA PROGRAMADA, SIN EMBARGO SE HAN VENIDO EJECUTANDO EN MESES ANTERIORES ACTIVIDADES DE MANTENIMIENTO RUTINARIO, LIMPIEZA DE CUNETAS Y ROCERÍA. ESTAS ACTIVIDADES AUMENTARON SIGNIFICATIVAMENTE LA META FÍSICA ACUMULADA EJECUTADA</t>
  </si>
  <si>
    <t>SE CUMPLIO LA META FISICA PROGRAMADA, SE HAN VENIDO EJECUTANDO ACTIVIDADES DE MANTENIMIENTO RUTINARIO, LIMPIEZA DE CUNETAS Y ROCERIA. ESTAS ACTIVIDADES AUMENTARON SIGNIFICATIVAMENTE LA META FISICA ACUMULADA EJECUTADA</t>
  </si>
  <si>
    <t>Se cumplio la meta fisica programada, se han venido ejecutando actividades de mantenimiento rutinario, limpieza de cunetas y roceria. Estas actividades aumentaron significativamente la meta fisica acumulada ejecutada</t>
  </si>
  <si>
    <t>DE 40,9 KM-CARRIL PROGRAMADOS, SE HAN EJECUTADO 100,8 KM -CARRIL,SOBREPASANDO LA META PROGRAMADA EN UN 100%, DEBIDO A QUE LOS CONTRATOS DE RURALIDADES REALIZARON MANTENIMIENTO RUTINARIO, LIMPIEZA DE CUNETAS Y ROCERÍA. ESTAS ACTIVIDADES AUMENTARON LA META FÍSICA EJECUTADA</t>
  </si>
  <si>
    <t>No se recibio el Indicador Transversal</t>
  </si>
  <si>
    <t>NO APLICA EVALUACIÓN, NO SE GENERARON COMPROMISOS A CUMPLIR EN LA VIGENCIA</t>
  </si>
  <si>
    <t>En el Indicador recibido por OCI se informo que N/A</t>
  </si>
  <si>
    <t>No se recibio informacion para este mes</t>
  </si>
  <si>
    <t>No se recibio el indicador transversal</t>
  </si>
  <si>
    <t>Se verifica cada uno de los registros del Sistema de Información y Acompañamiento Contractual SIAC de la Subdirección Técnica de Mantenimiento del Subsistema Vial encontrando actualizada la información.</t>
  </si>
  <si>
    <t>VERIFICADO EL SIAC SE EVIDENCIA QUE LOS ESTADOS DE LOS CONTRATOS REGISTRADOS SE ENCUENTRAN ACTUALIZADOS EN SU TOTALIDAD.</t>
  </si>
  <si>
    <t>SE VERIFICO CADA UNO DE LOS REGISTROS DEL SISTEMA DE INFORMACIÓN Y ACOMPAÑAMIENTO CONTRACTUAL SIAC DE LA SUBDIRECCIÓN TÉCNICA DE MANTENIMIENTO DEL SUBSISTEMA VIAL ENCONTRANDO ACTUALIZADA LA INFORMACIÓN. Y CUMPLIENDO EN UN 100%</t>
  </si>
  <si>
    <t>Se informa que para no se planifico nada para el primer cuatrimestre.</t>
  </si>
  <si>
    <t>NO SE PRESENTO PROGRAMACION DE TRAMITES PARA EL MES</t>
  </si>
  <si>
    <t xml:space="preserve">  Luis Gabriel Talero Reina</t>
  </si>
  <si>
    <t>ST de Mantenimiento del Subsistema Vial (E)</t>
  </si>
  <si>
    <t>Adriana Bareño Rojas</t>
  </si>
  <si>
    <t>SUBDIRECCION TECNICA DE OPERACIONES</t>
  </si>
  <si>
    <t>TIPO 
DE INDICADOR</t>
  </si>
  <si>
    <t>1 TRIMESTRE</t>
  </si>
  <si>
    <t>2 TRIMESTRE</t>
  </si>
  <si>
    <t>3 TRIMESTRE</t>
  </si>
  <si>
    <t>4 TRIMESTRE</t>
  </si>
  <si>
    <t>CONSOLIDADO AÑO 2014</t>
  </si>
  <si>
    <t>Recuperar el 72% de la cartera vencida por concepto de valorización</t>
  </si>
  <si>
    <t>A 31 de diciembre de 2014 se recuperará el 10%de la cartera Acuerdo 180/05, correspondiente a la vigencia de 2013</t>
  </si>
  <si>
    <t>% de recaudo de la cartera de Acuerdo 180/05</t>
  </si>
  <si>
    <t>Recuperar el 10%de la cartera a 31 de diciembre de 2013</t>
  </si>
  <si>
    <t>Valor cartera recuperadapor Acuerdo 180/05  / Valor cartera a 31 de diciembre de 2013*100</t>
  </si>
  <si>
    <t>Informe de Recaudo de Cartera y reporte generado por el aplicativo de información</t>
  </si>
  <si>
    <t>El resultado del recaudo de la cartera relacionada con el Acuerdo 180 de 2005, durante el primer trimestre de 2014,  fue del 3%, teniendo en cuenta que la cartera a 31 de diciembre de 2013  era $2,908,884,280 , se concluye que se cumplió con la meta establecida.</t>
  </si>
  <si>
    <t>El resultado del recaudo de la cartera relacionada con el Acuerdo 180 de 2005, durante el segundo trimestre de 2014,  fue del 5%, teniendo en cuenta que la cartera a 31 de diciembre de 2013  era $2,908,884,280 , se concluye que se cumplió con la meta establecida.</t>
  </si>
  <si>
    <t>Durante este mes no se proyectó realizar seguimiento</t>
  </si>
  <si>
    <t>El resultado del recaudo de la cartera relacionada con el Acuerdo 180 de 2005, durante el tercer trimestre de 2014,  fue del 2%, teniendo en cuenta que la cartera a 31 de diciembre de 2013  era $2,908,884,280 , se aclara que apesar de que la meta de este período no se alcanzó,la meta acumulada ya se cumplió, porque durante el año 2014 se proyectó recaudar el 10% de la cartera y hasta este momento,faltando aún el 4 trimestre ya se realizó el recaudo proyectado, cumpliendo con la meta establecida.</t>
  </si>
  <si>
    <t>No presenta seguimiento en este período</t>
  </si>
  <si>
    <t>El resultado del recaudo de la cartera relacionada con el Acuerdo 180 de 2005, durante el cuarto trimestre de 2014,  fue del 1%, teniendo en cuenta que la cartera a 31 de diciembre de 2013  era $2,908,884,280 , se aclara que apesar de que la meta de este período no se alcanzó,la meta acumulada ya se cumplió, porque durante el año 2014 se proyectó recaudar el 10% de la cartera y ya se realizó el recaudo proyectado, cumpliendo con la meta establecida.</t>
  </si>
  <si>
    <t>El resultado del recaudo de la cartera relacionada con el Acuerdo 180 de 2005, durante el año 2014,  fue del 14%, teniendo en cuenta que la cartera a 31 de diciembre de 2013  era $2,908,884,280 y la meta proyectada era del 10% se concluye que se cumplió  con la meta establecida.</t>
  </si>
  <si>
    <t>A 31 de diciembre de 2014 se recuperará el 10%de la cartera Acuerdo 398/09, correspondiente a la vigencia de 2013</t>
  </si>
  <si>
    <t>% de recaudo de la cartera de Acuerdo 398/09</t>
  </si>
  <si>
    <t>Valor cartera recuperada por Acuerdo 398/09  / Valor cartera a 31 de diciembre de 2013*100</t>
  </si>
  <si>
    <t xml:space="preserve">El resultado del recaudo de la cartera relacionada con el Acuerdo 398 de 2009, durante el primer trimestre de 2014, fue del 0.5%, teniendo en cuenta que la cartera a 31 de diciembre de 2013 era  $20,151,627,176 .  </t>
  </si>
  <si>
    <t xml:space="preserve">El resultado del recaudo de la cartera relacionada con el Acuerdo 398 de 2009, durante el primer segundo de 2014, fue del 0.3%, teniendo en cuenta que la cartera a 31 de diciembre de 2013 era  $20,151,627,176 .  </t>
  </si>
  <si>
    <t xml:space="preserve">El resultado del recaudo de la cartera relacionada con el Acuerdo 398 de 2009, durante el tercer trimestre de 2014, fue del 1%, teniendo en cuenta que la cartera a 31 de diciembre de 2013 era  $1.859.325.732.  Se aclara que apesar de que la meta de este período no se alcanzó,la meta acumulada yaestá por cumplirse, porque durante el año 2014 se proyectó recaudar el 10% de la cartera y hasta este momento,faltando aún el 4 trimestre ya se realizó el 9% del recaudo proyectado, cumpliendo con la meta establecida.  </t>
  </si>
  <si>
    <t>El resultado del recaudo de la cartera relacionada con el Acuerdo 398 de 2009, durante el cuarto trimestre de 2014, fue del 0%, teniendo en cuenta que la cartera a 31 de diciembre de 2013 era  $1.859.325.732.  Se aclara que la mayor parte de la cartera por este Acuerdo se encuentra en cobro coactivo.</t>
  </si>
  <si>
    <t>El resultado del recaudo de la cartera relacionada con el Acuerdo 398 de 2009, durante la vigencia 2014, fue del 9%, teniendo en cuenta que la cartera a 31 de diciembre de 2013 era  $1.859.325.732.  Se aclara que la mayor parte de la cartera por este Acuerdo se encuentra en cobro coactivo.</t>
  </si>
  <si>
    <t>A 31 de diciembre de 2014 se recuperará el 5%de la cartera de Acuerdos anteriores, correspondiente a la vigencia de 2013</t>
  </si>
  <si>
    <t>% de recaudo de la cartera de Acuerdos anteriores</t>
  </si>
  <si>
    <t>Recuperar el 5%de la cartera a 31 de diciembre de 2013</t>
  </si>
  <si>
    <t>Valor cartera recuperadapor Acuerdos anteriores  / Valor cartera a 31 de diciembre de 2013*100</t>
  </si>
  <si>
    <t xml:space="preserve">El resultado del recaudo de la cartera relacionada con  Acuerdos Anteriores, durante el primer trimestre de 2014, fue del 2%, teniendo en cuenta que la cartera 31 de diciembre de 2013 era $810,719,958, se concluye que se cumplió con la meta establecida.  </t>
  </si>
  <si>
    <t xml:space="preserve">El resultado del recaudo de la cartera relacionada con  Acuerdos Anteriores, durante el segundo trimestre de 2014, fue del 6%, teniendo en cuenta que la cartera 31 de diciembre de 2013 era $810,719,958, se concluye que se cumplió con la meta establecida.  </t>
  </si>
  <si>
    <t xml:space="preserve">El resultado del recaudo de la cartera relacionada con  Acuerdos Anteriores, durante el tercer trimestre de 2014, fue del 10%, teniendo en cuenta que la cartera 31 de diciembre de 2013 era $810,719,958, se concluye que se cumplió con la meta establecida. Al igual, ya se cumplió con la meta anual proyectada. </t>
  </si>
  <si>
    <t xml:space="preserve">El resultado del recaudo de la cartera relacionada con  Acuerdos Anteriores, durante el cuarto trimestre de 2014, fue del 9%, teniendo en cuenta que la cartera 31 de diciembre de 2013 era $810,719,958, se concluye que se cumplió con la meta establecida. Al igual, ya se cumplió con la meta anual proyectada. </t>
  </si>
  <si>
    <t xml:space="preserve">El resultado del recaudo de la cartera relacionada con  Acuerdos Anteriores, durante el año 2014, fue del 27%, teniendo en cuenta que la cartera 31 de diciembre de 2013 era $810,719,958, se concluye que se cumplió con la meta establecida. </t>
  </si>
  <si>
    <t xml:space="preserve">Lograr el 90% de satisfacción del servicio al contribuyente </t>
  </si>
  <si>
    <t>A 31 de diciembre de 2014 expedir el 100% de solicitudes efectuadas por los contribuyentes en los puntos de atención dispuestos por la entidad</t>
  </si>
  <si>
    <t xml:space="preserve">% de Solicitudes   atendidas </t>
  </si>
  <si>
    <t>Lograr la atención del 100% de las solicitudes de los contribuyentes</t>
  </si>
  <si>
    <t>No. Solicitudes   atendidas / No. solicitudes recibidas*100</t>
  </si>
  <si>
    <t>Informes mensuales de la STOP, y de los reportes generados por el aplicativo</t>
  </si>
  <si>
    <t>El porcentaje de cumplimiento de las solicitudes realizadas por los contribuyentes fue del 100%, debido a que 90,311 solicitudes fueron respondidas.</t>
  </si>
  <si>
    <t>El porcentaje de cumplimiento de las solicitudes realizadas por los contribuyentes fue del 100%, debido a que 100.798 solicitudes fueron respondidas.</t>
  </si>
  <si>
    <t>El porcentaje de cumplimiento de las solicitudes realizadas por los contribuyentes fue del 100%, debido a que 126.184 solicitudes fueron respondidas.</t>
  </si>
  <si>
    <t>El porcentaje de cumplimiento de las solicitudes realizadas por los contribuyentes durante el último trimestre del año 2014 fue del 100%, debido a que  134.486 solicitudes fueron respondidas.</t>
  </si>
  <si>
    <t>El porcentaje de cumplimiento de las solicitudes realizadas por los contribuyentes durante el año 2014 fue del 100%, debido a que  451.779 solicitudes fueron respondidas.</t>
  </si>
  <si>
    <t xml:space="preserve">A 31 de diciembre de 2014 resolver  el 90% de las solicitudes  que requieran estudios técnicos para generar certificados de estado de cuenta para trámite notarial </t>
  </si>
  <si>
    <t>% de estudios técnicos realizados</t>
  </si>
  <si>
    <t xml:space="preserve"> Resolver el 90% de las solicitudes que requieran estudios técnicos  para generar certificados de estado de cuenta para trámite notarial </t>
  </si>
  <si>
    <t>No.estudios técnicos realizados / No. solicitudes recibidas *100</t>
  </si>
  <si>
    <t>Informes del aplicativo Valoricemos y del Sistema ORFEO</t>
  </si>
  <si>
    <t>Las solicitudes que requieren estudios técnicos para generar certificados de estado de cuenta para trámite notarial durante el primer trimestre del año 2014 fue del 97%, cumpliendo con la meta programada.</t>
  </si>
  <si>
    <t>Las solicitudes que requieren estudios técnicos para generar certificados de estado de cuenta para trámite notarial durante el primer segundo del año 2014 fue del 80%, cumpliendo con la meta programada.</t>
  </si>
  <si>
    <t>Las solicitudes que requieren estudios técnicos para generar certificados de estado de cuenta para trámite notarial durante el tercer trimestre del año 2014 fue del 80%, cumpliendo con la meta programada.</t>
  </si>
  <si>
    <t>Las solicitudes que requieren estudios técnicos para generar certificados de estado de cuenta para trámite notarial durante el cuarto trimestre del año 2014 fue del 100%, cumpliendo con la meta programada. Se aclara que se resolvieron más conceptos de los que ingresaron porque se dio respuesta a solicitudes que habían quedado pendientes en  meses anteriores.</t>
  </si>
  <si>
    <t xml:space="preserve">El porcentaje de cumplimiento de las solicitudes que requieren estudios técnicos para generar certificados de estado de cuenta para trámite notarial durante el  año 2014 fue del 90%, cumpliendo con la meta programada. </t>
  </si>
  <si>
    <t>A 31 de diciembre de 2014 responder el 60% de las solicitudes que requieran conceptos técnicos por el Acuerdo 523 de 2013</t>
  </si>
  <si>
    <t>% de conceptos técnicos realizados</t>
  </si>
  <si>
    <t xml:space="preserve"> Responder el 60% de las solicitudes que requieran conceptos técnicos por Ac. 523/2013</t>
  </si>
  <si>
    <t>No.conceptos técnicos realizados / No. solicitudes recibidas *100</t>
  </si>
  <si>
    <t>El siguimiento se realizará en el mes de septiembre</t>
  </si>
  <si>
    <t>Las solicitudes que requieran conceptos técnicos por Ac. 523/2013 durante el tercer trimestre del año 2014 logró el 57%, cumpliendo con la meta establecida</t>
  </si>
  <si>
    <t>Las solicitudes que requieran conceptos técnicos por Ac. 523/2013 durante el tercer trimestre del año 2014 logró el 54%, cumpliendo con la meta establecida</t>
  </si>
  <si>
    <t>El porcentaje de cumplimiento de las solicitudes que requieran conceptos técnicos por Ac. 523/2013 durante el año 2014 logró el 100%, cumpliendo con la meta establecida</t>
  </si>
  <si>
    <t>A 31 de diciembre de 2014 responder el 100% de las radicaciones recibidas en el mes inmediatamente anterior (mayo-noviembre) de 2014 por devoluciones efectuadas por los contribuyentes por concepto del Acuerdo 523 de 2013</t>
  </si>
  <si>
    <t>% de respuestas generadas</t>
  </si>
  <si>
    <t>Responder el 100% de las solicitudes por Devolución Ac. 523/2013</t>
  </si>
  <si>
    <t>No.respuestas generadas / No. de radicaciones recibidas*100</t>
  </si>
  <si>
    <t>El siguimiento se realizará en el mes de junio</t>
  </si>
  <si>
    <t xml:space="preserve">Con corte a mayo 31 de 2014, la comunidad ha radicado por concepto de devolución por el Acuerdo 523 de 2014, 53.825 solicitudes de los cuales 44701 se encuentran en estudio que comprende el reparto, el análisis, y la revisión de cada una de las radicaciones. Para este primer semestre,  el avance para éste indicador asciende al 83%.
Es importante mencionar que existen 9.124 solicitudes giradas y 2.945 solicitudes con autos inadmisorios.
</t>
  </si>
  <si>
    <t>El siguimiento se realizará en el mes de diciembre</t>
  </si>
  <si>
    <t>Entre los meses de junio a noviembre de  2014 , la comunidad ha radicado por concepto de devolución por el Acuerdo 523 de 2014, 64.611 solicitudes de las cuales 81.404 han tenido algún trámite, discriminadas de la siguiente manera: Giradas 76.180, Autos inadmisorios 5.224 , arrojando un porcentaje de cumplimiento del 126%, debido a las modificaciones en las ordenes de pago las cuales  se realizan de forma masiva lo que permite ser mas proactivos en los resultados. Así mismo, la implementación de la firma mecánica y la numeración automatica.</t>
  </si>
  <si>
    <t>Con corte a noviembre 30 de 2014 y segun lo propuesto en el indicador, la comunidad ha radicado por concepto de devolución por el Acuerdo 523 de 2014, 118.436 solicitudes de las cuales 118.397 fueron tramitadas arrojando un porcentaje de cumplimiento del 100%.</t>
  </si>
  <si>
    <t xml:space="preserve">A traves del memorando 20145760077783 de marzo 31 de 2014 se remitio el formato de compromiso  de actualizacion documental por proceso 2014. </t>
  </si>
  <si>
    <t>De los 11 documentos programados con corte a junio, 3 fueron públicados en la resolución de derogación, 3 estan en revisión en la OAP para su públicación, 4 no presentan avance a la fecha de corte y 1 se encuentra en estado cerrado.</t>
  </si>
  <si>
    <t>Según el reporte enviado por la Oficina Asesora de Planeación informan que de los trámites programados inicialmente para ejecutar desde el 1° de enero hasta el 30 de septiembre, quedaron pendientes un total de 8 trámites.  Sin embargo, se debe aclarar que tres (3) documentos con códigos: PR-GCV-11, PR-GCV-07 y PR-GCV-08, se encuentran para derogación en la Resolución N. 86642, la cual está pendiente para la firma del Director. Así mismo, los documentos PR-GCV-08 y  DTF-GF-2-2.1.6 se encuentra en revisión por parte de la Oficina Asesora de Planeación y la STOP está en espera de la validación para su publicación. Esto significa que el indicador se modificaría favorablemente para el área.</t>
  </si>
  <si>
    <t>De los trámites programados inicialmente para ejecutar desde el 1° de enero hasta el 31 de diciembre, quedaron pendientes un total de 3 trámites,  Pago por abonos, Sustitución de Contribuyentes y Planeación e implementación del Censo.</t>
  </si>
  <si>
    <t>De los trámites programados inicialmente para ejecutar desde el 1° de enero hasta el 31 de diciembre, quedaron pendientes un total de 3 trámites,  Pago por abonos, Sustitución de Contribuyentes y Planeación e implementación del Censo, para lo cual  su trámite se concluirá en el primer trimestre del año 2015.</t>
  </si>
  <si>
    <t>Se realizaron reuniones entre el área de Planeación y la Subdirección Técnica de Operaciones y se diseñó un plan estratégico para dar cumplimiento al hallazgo encontrado.</t>
  </si>
  <si>
    <t>Mediante memorando N. 20145760597963 de septiembre 29 de 2014 la STOP envió a la Oficina de Control Interno las actividades programadas y acciones implementadas sobre el hallazgo 1 y 2 del Plan de Mejoramiento, concluyendo que se cuplió con la meta establecida.</t>
  </si>
  <si>
    <t>No han reportado información</t>
  </si>
  <si>
    <t>Con los resultados de los monitoreos realizados por la Oficina de Control Interno que fueron socializados durante los meses de julio y agosto de 2014, en las diferentes reuniones de seguimiento programadas por la Dirección General, la Oficina Asesora de Planeación y la Oficina de Control Interno, el área presenta el siguiente reporte: 
"NO APLICA EVALUACIÓN DEL INDICADOR DE PLANES DE MEJORAMIENTO EN ESTE PERIODO"</t>
  </si>
  <si>
    <t xml:space="preserve">No se tiene proyectado seguimiento para este período </t>
  </si>
  <si>
    <t>Con los resultados de los monitoreos realizados por la Oficina de Control Interno que fueron socializados durante los meses de septiembre  y octubre de 2014, en las diferentes reuniones e instancias de seguimiento,  el área presenta el siguiente reporte:  "NO APLICA EVALUACIÓN DEL INDICADOR DE PLANES DE MEJORAMIENTO EN ESTE PERIODO"</t>
  </si>
  <si>
    <t>La información de los contratista del área se encuentra actualizada en el SIAC</t>
  </si>
  <si>
    <t>Verificados los registros en el Sistema de Información y Acompañamiento Contractual se encuentra desactualización de los estados de diez (10) contratos en cuanto a las fechas de terminación de acuerdo a las adiciones suscritas.</t>
  </si>
  <si>
    <t>Según lo reportado por el área de Contractual se evidencia que dieciocho (18) de los contratos tienen el estado desactualizado, sin embargo según información verificada por el área, los datos no coinciden con lo reportado.</t>
  </si>
  <si>
    <t xml:space="preserve">Verificado el Sistema de Información y Acompañamiento Contractual - SIAC se evidencia que un (1) contrato se encuentra desactualizado </t>
  </si>
  <si>
    <t>Nombre:  NELSON HUMBERTO GAMBOA BARACALDO</t>
  </si>
  <si>
    <t>Cargo:  SUBDIRECTOR TÉCNICO DE OPERACIONES</t>
  </si>
  <si>
    <t>Nombre: HERNANDO ARENAS CASTRO</t>
  </si>
  <si>
    <t>Cargo: SUBDIRECTOR TECNICO DE OPERACIONES (E)</t>
  </si>
  <si>
    <t>SUBDIRECCION TECNICA DE PRESUPUESTO Y CONTABILIDAD</t>
  </si>
  <si>
    <t>Ingresar diariamente en el aplicativo Predis, toda la información Presupuestal de la entidad,  tanto Certificados de disponibilidad presupuestal, Certificados de registro presupuestal y giros presupuestales con el fin de generar las ejecucuones  presupuestales mensuales.</t>
  </si>
  <si>
    <t>Registro de Operaciones en el Sistema Predis</t>
  </si>
  <si>
    <t>Mantener la Ejecución presupuestal al día en el Sistema Predis, realizando todos los registros presupuestales</t>
  </si>
  <si>
    <t>(No. De Informes  de ejecucion presupuestal enviados / No. De informes  de ejecucion presupuestal requeridos) * 100</t>
  </si>
  <si>
    <t>Ejecuciones mensuales del sistema STONE y ejecuciones mensuales del sistema PREDIS</t>
  </si>
  <si>
    <t xml:space="preserve">Al 31 de diciembre se cumplio el 100%  de la meta establecida  registrando toda la información presupuestal  en Archivos Planos con los reportes de emisión, anulacion y liberacion   de CDPs y  CRPs  a demas de los Giros Presupuestales  lo cual se realiza en forma diaria en el sistema predis de la Secretaria de Hacienda Distrital.  De esta manera se cumple la meta establecida en el acuerdo de Gestion </t>
  </si>
  <si>
    <t>Diariamente a las 4 p.m se baja a archivos planos la información ejecución presupuestal de ingresos y gastos y se sube al sistema  de información PREDIS de la Secretaria Distrital de Hacienda, utilizando la interfaz de cargue de archivos planos.</t>
  </si>
  <si>
    <t>ok</t>
  </si>
  <si>
    <t>Realizar reuniones mensuales con todas y cada una de las areas ordenadoras del gasto para establecer compromisos de pago  de pasivos exigibles y reservas presupuestales.</t>
  </si>
  <si>
    <t>Seguimiento a la Gestión de Pasivos Exigibles</t>
  </si>
  <si>
    <t xml:space="preserve">Cumplir con el 100% de las reuniones programadas </t>
  </si>
  <si>
    <t>( No. De Reuniones realizadas / No. De reuniones proyectadas) * 100</t>
  </si>
  <si>
    <t xml:space="preserve">Actas de reuniones suscritas </t>
  </si>
  <si>
    <t>Se  cumplio con mas del 100% de la meta establecida  de realizar reuniones mensuales con todas y cada una de las areas ordenadoras del gasto del instituto para establecer compromisos de pago  de pasivos exigibles y reservas presupuestales. Se habia programado inicialmente 11 reuniones  en el año  pero realmente se llevaron a cabo un total de (69) reuniones lo que conlleva a un cumplimiento del 627% de este indicador. Los compromisos y liberaciones acumuladas del año alcanzan los $160,370 millones aproximadamente.</t>
  </si>
  <si>
    <t>Se llevaron a cabo nueve (9) reuniones con las Subdir Tec de Ejecución del Subsistema de Transporte, Subdir Tec de Ejecución del Subsistema de Vial, Mantenimiento, Diseño de Proyectos, Administrativa y Financiera, Predios, Subdirección Gral Jurídica, Subdir Gral de Desarrollo Urbano y Oficina Asesora de Comunicaciones. Los compromisos y liberaciones acumuladas alcanzan a la fecha de corte $89,730 millones aproximadamente.</t>
  </si>
  <si>
    <t>Atender el 100% de las solicitudes de certificados de disponibilidad presupuestal y registro presupuestal de pasivos exigibles por parte de las areas ordenadoras del gasto, asi como las solicitudes de liberacion de saldos de Pasivos Exigibles.</t>
  </si>
  <si>
    <t xml:space="preserve"> Pasivos Exigibles</t>
  </si>
  <si>
    <t>Atender el 100% de las solicitudes de certificados de disponibilidad presupuestal y registro presupuestal de pasivos exigibles por parte de las areas ordenadoras del gasto, asi como las solicitudes de liberacion de saldos de pasivos exigibles.</t>
  </si>
  <si>
    <t>( No. de certificados de disponibilidad presupuestal y certificados de registro presupuestal  de pasivos exigibles expedidos / No. de certificados de disponibilidad presupuestal y certificados de registro presupuestal de pasivos exigibles solicitados) * 100</t>
  </si>
  <si>
    <t>Certificados de disponibilidad presupuestal y certificados de registro presupuestal  de pasivos exigibles expedidos</t>
  </si>
  <si>
    <t>Se  cumplio con mas del 100% de la meta establecida de atender las solicitudes de certificados de disponibilidad  y registro presupuestal de pasivos exigibles por parte de las areas ordenadoras del gasto, asi como atender  las solicitudes de liberacion de saldos de los mismos. 
Se habia programado para el periodo 2014  la expedicion de 11 certificados  y registros presupuestales de pasivos exigibles   pero se solicitaron y expidieron  realmente cuatrocientos treinta (430) certificados de disponibilidad y su respectivo registro presupuestal lo que conlleva  un cumplimiento del 3.909% de la meta establecida; para amparar pasivos exigibles, por valor aproximado de $113.305 millones.</t>
  </si>
  <si>
    <t>Se solicitaron y expidieron en el mes de Agosto, setenta y seis (76) certificados de disponibilidad y su respectivo registro presupuestal; para amparar pasivos exigibles, por valor aproximado de $33.019 millones.</t>
  </si>
  <si>
    <t>Ejecutar el 100%  del plan de trabajo de la subdireccion Tecnica de presupuesto y Contabilidad</t>
  </si>
  <si>
    <t>Seguimiento al Plan de Accion</t>
  </si>
  <si>
    <t xml:space="preserve">Cumplir con el 100% de las acciones programadas </t>
  </si>
  <si>
    <t>(Acciones ejecutadas / Accciones programadas en el plan de accion) *100</t>
  </si>
  <si>
    <t>Plan de trabajo del area</t>
  </si>
  <si>
    <t>Se cumplio con la meta  de ejecutar el 100%  del plan de trabajo de la subdireccion Tecnica de presupuesto y Contabilidad.
Se realizo seguimiento individual a los funcionarios y contratistas de la subdireccion de acuerdo a las actividades contenidas en el plan de trabajo del area</t>
  </si>
  <si>
    <t>No esta programado indicador para este mes</t>
  </si>
  <si>
    <t>Se cumplio oportunamente con el 100% de las acciones de mejora establecidas en los Planes de Mejoramiento Internos por Procesos durante la vigencia  2014.</t>
  </si>
  <si>
    <t>Al 31 de diciembre  se cumplio  con el  100% de las  acciones de mejora establecidas en los Planes de Mejoramiento Internos por Procesos  con la Contraloría de Bogotá. Se cumplio las acciones del Hallazgo 2.2.6.1  lo cual fue avalado por la Oficina de Control Interno  mediante correo del 8 de enero de 2015. De igual manera se aclara que la Subdireccion Tecnica de Presupuesto y Contabilidad no tiene suscrito Planes de mejoramiento suscritos con la Contraloria General de la Republica.</t>
  </si>
  <si>
    <t xml:space="preserve">La STPC no tiene plan de mejoramiento suscrito con la Contraloria General de la Republica. Respecto a la Contraloria de Bogota no se tiene acciones de mejora por cumplir en este corte por lo cual no aplica evaluacion según informacion suministrada por la Oficina de Control Interno.  </t>
  </si>
  <si>
    <t>OK</t>
  </si>
  <si>
    <t>Se cumplio con la meta de ejecutar el 100% de los productos y documentos requeridos para el Sistema Integrado de Gestión - SIG de acuerdo al Plan de Acción SIG y del Plan de Actualización documental. 
De los  35 trámites programados por la STPC para ejecutar desde el 1° de enero hasta el 31 de diciembre, no quedo pendiente ningun trámite. El detalle de los documentos se puede observar en el plan documental consolidado por la OAP o el plan específico en cada área.</t>
  </si>
  <si>
    <t>No. de Solicitudes de acompañamiento, asesoría y elaboración de tramites contractuales cargados en el SIAC / Total de solicitudes de acompañamiento, asesoría y elaboración de tramites contractuales. X100</t>
  </si>
  <si>
    <t>Se cumplio con la meta de registrar el 100% de la información actualizada en el aplicativo SIAC reflejando una oportuna y permanente actualización del sistema de información contractual SIAC.</t>
  </si>
  <si>
    <t>Firma del Jefe de Area</t>
  </si>
  <si>
    <t>Nombre: Vladimiro Alberto Estrada Moncayo</t>
  </si>
  <si>
    <t>Cargo: Subdirector Tecnico de Presupuesto y Contabilidad</t>
  </si>
  <si>
    <t>Subdirección Técnica de Recursos Físicos</t>
  </si>
  <si>
    <t>5.18. Implementar el sistema de estímulos que contribuya al mejoramiento de la calidad de vida laboral</t>
  </si>
  <si>
    <t xml:space="preserve">A partir de enero de 2014, y dentro de los dos (2) días siguientes al recibo de la solicitud, se prestará atención oportuna del 100%  a  los requerimientos de mantenimiento preventivo y/o correctivo de las instalaciones de la Entidad. </t>
  </si>
  <si>
    <t>Mantenimiento correctivo y preventivo atendido</t>
  </si>
  <si>
    <t xml:space="preserve">Prestar atención oportuna a  los requerimientos de adecuaciones locativas y mantenimiento preventivo y/o correctivo de las instalaciones de la Entidad. </t>
  </si>
  <si>
    <t>(Número de requerimientos de mantenimiento preventivo y/o correctivo de las instalaciones de la entidad atendidos durante el mes dentro del plazo establecido/ Total de requerimientos de mantenimiento preventivo y/o correctivo de las instalaciones de la entidad recibidos en el mes) * 100</t>
  </si>
  <si>
    <t>Informe de Actividades ejecutadas mensualmente</t>
  </si>
  <si>
    <t>STRF</t>
  </si>
  <si>
    <t>Para este mes no se reporta este indicador.</t>
  </si>
  <si>
    <t>En este periodo no se obtuvo el indicador del 100% toda vez que desde el mes de noviembre de 2013 no hay contrato de mantenimiento locativo en la entidad el cual permite atender los requerimientos de manera mas eficiente. Se han atendido emergencias y prioridades.</t>
  </si>
  <si>
    <t>En este mes no se obtuvo el indicador del 100% toda vez que desde el mes de noviembre de 2013 no hay contrato de mantenimiento locativo en la entidad el cual permite atender los requerimientos de manera mas eficiente. Se han atendido emergencias y prioridades.</t>
  </si>
  <si>
    <t>En este periodo no se obtuvo el indicador del 100% toda vez que  no hubo contrato de suministro de materiales para mantenimiento en la entidad el solo hasta el 18 de noviembre. Además gace falta  que  falta por incluir en el contrato de suministro de insumos varios materiales (bombillos, herramientas, tubos fluorescentes).</t>
  </si>
  <si>
    <t>Durante la vigencia 2014 no se obtuvo el indicador del 100% toda vez que  no hubo contrato de suministro de materiales para mantenimiento en la entidad el solo hasta el 18 de noviembre. Además hizo falta  que  falta por incluir en el contrato de suministro de insumos varios materiales (bombillos, herramientas, tubos fluorescentes).</t>
  </si>
  <si>
    <t>5,2 Ejecutar el 100% de los proyectos institucionales de acuerdo con los cronogramas establecidos.</t>
  </si>
  <si>
    <t>A partir de enero de 2014 se garantizará la oportuna  inclusión del 100% de bienes a cargo de la entidad en las pólizas de aseguramiento.</t>
  </si>
  <si>
    <t>Bienes a cargo de la Entidad oportunamente asegurados</t>
  </si>
  <si>
    <t>Garantizar el oportuno   aseguradoramiento de los bienes a cargo de la entidad.</t>
  </si>
  <si>
    <t>(Número de Solicitudes Recibidas / (Número de Solicitudes Tramitadas) *100</t>
  </si>
  <si>
    <t>Pólizas</t>
  </si>
  <si>
    <t>Durante este mes no se solicitarón inclusiones de bienes a cargo de la entidad en las pólizas de aseguramiento.</t>
  </si>
  <si>
    <t>Durante este mes se solicitarón inclusiones de bienes a cargo de la entidad en las pólizas de aseguramiento. Mediante memorando N°201452601379117/20145260047982y correo de feb/04/2014.</t>
  </si>
  <si>
    <t>Durante este mes no se solicitaron inclusiones de bienes a cargo de la entidad en las pólizas de aseguramiento.</t>
  </si>
  <si>
    <t>Durante este mes se solicitarón inclusiones de bienes a cargo de la entidad en las pólizas de aseguramiento. Mediante memorando N°20145260327971 y20145260328681</t>
  </si>
  <si>
    <t>Durante este mes se solicitarón inclusiones de bienes a cargo de la entidad en las pólizas de aseguramiento. Mediante memorando N°20145260369823 y20145260486141.Unicamente (1) Una Inclusión.</t>
  </si>
  <si>
    <t>Durante este mes se solicito una inclusion de bienes a cargo de la entidad en las pólizas de aseguramiento. Mediante memorando N°20145260542601 y20145260377443.Unicamente (1) Una Inclusión</t>
  </si>
  <si>
    <t>Para este mes no hubo solicitudes de inclusion de bienes a cargo de la entidad en las pólizas de aseguramiento.</t>
  </si>
  <si>
    <t>Durante este mes se solicito una inclusion de bienes a cargo de la entidad en las pólizas de aseguramiento. Mediante memorando N°20145261127901. y una exclusión de bienes a cargo de la entidad en las pólizas de aseguramiento. Mediante memorando N°20145261127971.Unicamente (1) Una Inclusión y  (1) Una Exclusión.</t>
  </si>
  <si>
    <t xml:space="preserve">Durante este mes se solicito una inclusión de bienes a cargo de la entidad en las pólizas de aseguramiento. Mediante memorando N°20145261378431. </t>
  </si>
  <si>
    <t xml:space="preserve">Durante este mes se solicito una inclusion de bienes a cargo de la entidad en las pólizas de aseguramiento. Mediante memorando N°20145261688671. </t>
  </si>
  <si>
    <t>Durante este mes se solicito una inclusion de bienes a cargo de la entidad en las pólizas de aseguramiento. Mediante memorando N°20143460680473/20145261857751</t>
  </si>
  <si>
    <t>Durante la vigencia 2014 se atendieron todas las solicitudes de inñusion  de bienes a cargo de la entidad, logrando un indicador del 100%</t>
  </si>
  <si>
    <t>A partir de enero de 2014 se realizara revisión y  control mensual de las existencias disponibles en el almacén del IDU.</t>
  </si>
  <si>
    <t>Bienes devolutivos en depósitos clasificados</t>
  </si>
  <si>
    <t>Garantizará la revisión y el control mensual de las existencias disponibles en el almacén del IDU con el fin de mantener el stock mínimo.</t>
  </si>
  <si>
    <t>∑(Bienes nuevos+Bienes no explotados+Bienes en mantenimiento)/ Total biene devolutivos en depósito * 100</t>
  </si>
  <si>
    <t>Reportes de elementos en depósito - avalúo - acta de baja - Resolución - actas de entrega</t>
  </si>
  <si>
    <t>A 31 de Enero de 2014 hay una existemcia de 241 bienes devolutivos nuevos en deposito, 396 bienes devolutivos servibles en deposito y 913 bienes devolutivos inservibles en deposito. No existen bienes devolutivos en mantenimiento.</t>
  </si>
  <si>
    <t>A 28 de febrero de 2014 hay una existemcia de 227 bienes devolutivos nuevos en deposito, 524 bienes devolutivos servibles en deposito y 922 bienes devolutivos inservibles en deposito. No existen bienes devolutivos en mantenimiento.</t>
  </si>
  <si>
    <t>A 31 de marzo de 2014 hay una existencia de 218 bienes devolutivos nuevos en deposito, 721 bienes devolutivos servibles en deposito y 933 bienes devolutivos inservibles en deposito. No existen bienes devolutivos en mantenimiento.</t>
  </si>
  <si>
    <t>A 31 de abril de 2014 hay una existencia de 207 bienes devolutivos nuevos en deposito, 431 bienes devolutivos servibles en deposito y 954 bienes devolutivos inservibles en deposito. No existen bienes devolutivos en mantenimiento.</t>
  </si>
  <si>
    <t>A 31 de Mayo de 2014 hay una existemcia de 197 bienes devolutivos nuevos en deposito, 401 bienes devolutivos servibles en deposito y 970 bienes devolutivos inservibles en deposito. No existen bienes devolutivos en mantenimiento.</t>
  </si>
  <si>
    <t>A 30 de Junio de 2014 hay una existemcia de 200 bienes devolutivos nuevos en deposito, 408 bienes devolutivos servibles en deposito y 974 bienes devolutivos inservibles en deposito. No existen bienes devolutivos en mantenimiento.</t>
  </si>
  <si>
    <t>A 31 de Julio de 2014 hay una existemcia de 199 bienes devolutivos nuevos en deposito, 389 bienes devolutivos servibles en deposito y 352 bienes devolutivos inservibles en deposito. No existen bienes devolutivos en mantenimiento.</t>
  </si>
  <si>
    <t>A 31 de Agosto de 2014 hay una existemcia de 323 bienes devolutivos nuevos en deposito, 362 bienes devolutivos servibles en deposito y 359 bienes devolutivos inservibles en deposito. No existen bienes devolutivos en mantenimiento.</t>
  </si>
  <si>
    <t>A 30 de Septiembre de 2014 hay una existemcia de 390 bienes devolutivos nuevos en deposito, 356 bienes devolutivos servibles en deposito y 452 bienes devolutivos inservibles en deposito. No existen bienes devolutivos en mantenimiento.</t>
  </si>
  <si>
    <t>A 30 de Octubre de 2014 hay una existencia de 401 bienes devolutivos nuevos en deposito, 282 bienes devolutivos servibles en deposito y 852 bienes devolutivos inservibles en deposito. No existen bienes devolutivos en mantenimiento.</t>
  </si>
  <si>
    <t>A 30 de Noviembre de 2014 hay una existencia de 377 bienes devolutivos nuevos en deposito, 266 bienes devolutivos servibles en deposito y 927 bienes devolutivos inservibles en deposito. No existen bienes devolutivos en mantenimiento.</t>
  </si>
  <si>
    <t>A 31 de Diciembre de 2014 hay una existencia de 339 bienes devolutivos nuevos en deposito, 374 bienes devolutivos servibles en deposito y 1008 bienes devolutivos inservibles en deposito. No existen bienes devolutivos en mantenimiento.</t>
  </si>
  <si>
    <t>Al finalizar la vigencia 2014 hay una existencia de 339 bienes devolutivos nuevos en deposito, 374 bienes devolutivos servibles en deposito y 1008 bienes devolutivos inservibles en deposito. No existen bienes devolutivos en mantenimiento.</t>
  </si>
  <si>
    <t>A 31 de diciembre de 2014 se desarrollará el procesamiento técnico según las técnicas de archivo establecidas y las tablas de retención documental del 40% de los documentos recibidos en el Archivo Central a noviembre 30 de 2014</t>
  </si>
  <si>
    <t>Archivos recibidos procesados según técnicas de archivo establecidas.</t>
  </si>
  <si>
    <t>Garantizar la organización, conservación, recuperación y consulta de la memoria institucional de la entidad.</t>
  </si>
  <si>
    <t>(Total de documentos procesados/ Total de documentos recibidos para el archivo central)*100</t>
  </si>
  <si>
    <t>Reportes se ejecución y procesamiento técnico</t>
  </si>
  <si>
    <t>Se procesaron documentos correpondientes  a las devoluciones de Valorización según Acuerdo 523-2013</t>
  </si>
  <si>
    <t>Se procesaron documentos correpondientes  a las devoluciones de Valorización según Acuerdo 523-2013 y Contratos PSP de 2013 entregados por la DTGC</t>
  </si>
  <si>
    <t>Se procesaron documentos correspondientes  a las devoluciones de Valorización según Acuerdo 523-2013, Contratos PSP de 2013 entregados por la DTGC y Ordenes de Pago entregadas por STTR</t>
  </si>
  <si>
    <t>Se procesaron documentos correpondientes  a las devoluciones de Valorización según Acuerdo 523-2013, Contratos PSP de 2014 entregados por la DTGC y Nominas entregadas por STRH</t>
  </si>
  <si>
    <t>Se procesaron documentos correpondientes  a las devoluciones de Valorización según Acuerdo 523-2013, Contratos PSP de 2014 entregados por la DTGC</t>
  </si>
  <si>
    <t>Se procesaron documentos correpondientes  a las devoluciones de Valorización según Acuerdo 523-2013, Contratos PSP de 2014 y Contratos de Mayor Cuantia entregados por la DTGC</t>
  </si>
  <si>
    <t>Se procesaron documentos correpondientes  a las devoluciones de Valorización según Acuerdo 523-2013, Contratos PSP de 2014, Contratos de Mayor Cuantia entregados por la DTGC</t>
  </si>
  <si>
    <t>Se procesaron documentos correpondientes  a las devoluciones de Valorización según Acuerdo 523-2013, Contratos PSP de 2014, Contratos de Mayor Cuantia entregados por la DTGC, ordenes de pago, resoluciones.</t>
  </si>
  <si>
    <t>Se procesaron documentos correspondientes  a las devoluciones de Valorización según Acuerdo 523-2013, Contratos de Mayor Cuantía entregados por la DTGC, ordenes de pago, resoluciones.</t>
  </si>
  <si>
    <t>Se procesaron documentos correpondientes  a las devoluciones de Valorización según Acuerdo 523-2013, Contratos de Mayor Cuantia entregados por la DTGC, ordenes de pago, resoluciones, contratos PSP.</t>
  </si>
  <si>
    <t>Durante la vigencia 2014 se procesaron documentos correpondientes  a las devoluciones de Valorización según Acuerdo 523-2013, Contratos de Mayor Cuantia entregados por la DTGC, ordenes de pago, resoluciones, contratos PSP, logrando un indicador concolidado del 116%</t>
  </si>
  <si>
    <t>A 31 de diciembre de 2014 se digitalizarán y cargarán en el Repositorio Instituciona DSpace un promedio de  500.000 imágenes de documentos misionales</t>
  </si>
  <si>
    <t>Imágenes de documentos misionales digitalizadas y cargadas en DSpace</t>
  </si>
  <si>
    <t>Garantizar la conservación, recuperación, difusión y consulta de la memoria técnica misional de la entidad.</t>
  </si>
  <si>
    <t>(Total de documentos cargados en DSpace / Total de documentos digitalizados por Contratista)*100</t>
  </si>
  <si>
    <t>Reportes de documentos cargados en el sistema y reporte de documentos digitalizados por el contratista</t>
  </si>
  <si>
    <t>Durante este periodo se obtuvo un indicador del 98%, cumpiendo en la gran mayoria con la meta establecida</t>
  </si>
  <si>
    <t>Para este periodo se incremeto significativamente el indicador debido a que ingresó un nuevo contratista al grupo de Prodygytek</t>
  </si>
  <si>
    <t>Durante este periodo se supero la meta establecida logrando un indicador del 103%</t>
  </si>
  <si>
    <t>Durante este periodo no se cumplió con el 100% de la meta debido a que el escaner para planos presentó fallas técnicas, ocasionando asi retrasos en el proceso</t>
  </si>
  <si>
    <t>No se cumplio con el 100% debido a que el contrato IDU 31 de 2011 se encuentra en finalización. Se reporta la producción del contrato IDU 44 de 2012.</t>
  </si>
  <si>
    <t>No se cumplió con el 100% de lo proyectado ya que el contrato IDU 31 finalizó y aun no se ha adjudicado el nuevo contrato.  El contrato IDU 44 de 2012, se encontraba suspendido.</t>
  </si>
  <si>
    <t>No se cumplió con el 100% de lo proyectado, ya que el vuevo contrato de digitalización aún no ha sido legalizado por la DTGC</t>
  </si>
  <si>
    <t>No se cumplió con la meta ya que no hay contrato de digitalización por tanto no se ha realizado el trabajo</t>
  </si>
  <si>
    <t>El contrato se encuentra en etapa de iniciación y se alcanzó el 90% de ejecución.</t>
  </si>
  <si>
    <t>Durante este mes se digitalizaron 44133 documentos, logrando el 106% en cumplimiento respecto a la meta planeada para este mes</t>
  </si>
  <si>
    <t>No se alcanzó el 100%  de ejecución del contrato porque parte de las imágenes procesadas se alcazó a pagar en noviembre.</t>
  </si>
  <si>
    <t>No se cumplió con la meta ya que el contrato de digitalización inició el 19 de septiembre, por tanto se reportará producción a partir del mes de octubre</t>
  </si>
  <si>
    <t xml:space="preserve">Para la vigencia 2014 se realizará control del consumo  de insumos.  </t>
  </si>
  <si>
    <t xml:space="preserve">Control del consumo de  insumos del  IDU por  dependencias </t>
  </si>
  <si>
    <t>Realizar el control del consumo  de insumos  correspondiente a cada dependencias de la entidad mensualmente.</t>
  </si>
  <si>
    <t>(Valor mensual ejecutado de consumos de insumos de papelería en el IDU /Valor anual proyectado de consumo de insumos en el IDU)*100</t>
  </si>
  <si>
    <t>Reporte de consumo por dependencia de insumos</t>
  </si>
  <si>
    <t>Se requirió extraordinamente necesidades para la Subdirección Tecnica de Operaciones que atiende todo lo relacionado con el Acuerdo 523</t>
  </si>
  <si>
    <t>Se ajustó acercandose al desarrollo normal de la atención en pedidos para las diferente dependencias</t>
  </si>
  <si>
    <t>En razón a que los pedidos realizados en Abril por el descanso de semana santa se entregaron entre la última semana de abril y primera del mes de marzo. Debido a lo anterior no se tramitó pedido en éste mes.</t>
  </si>
  <si>
    <t>Algunas dependencias aún tenían existencias de algunos elementos de mayores costos y solo efectuaron pedidos por los elementos que requerían los cuales tenían un costo menor. Adicionalmente algunas dependencias no solicitaron pedidos.</t>
  </si>
  <si>
    <t>Algunas dependencias que no pidieron insumos de papelería el mes anterior, solicitaron este mes.</t>
  </si>
  <si>
    <t>Por ser el último pedido al proveedor, se solicitó a las dependencias hacer pedido para mes y medio de consumo. Adicionalmente se hizo uno para contingencias a través de Almacén para atender necesidades prioritarias mientras se pone en ejecución el nuevo contrato de suministro de papelería, elementos de oficina e insumos de equipos de cómputo, el cual se estima iniciará en la segunda mitad del mes de agosto 2014.</t>
  </si>
  <si>
    <t>En el mes de JULIO no se hicieron pedidos, por la terminación del suministro en el mes de JUNIO por eso en ese mes se registró un pedido con valor extraordinario que cubría las necesidades hasta el mes de julio.</t>
  </si>
  <si>
    <t>En el mes de AGOSTO no se hicieron pedidos, el contrato de suministro de papelería se inició el día 22 de agosto de 2014, se tramitaran pedidos  a partir del 2 de septiembre,  se espera se empiecen a entregar a las dependencias a partir del viernes 12.</t>
  </si>
  <si>
    <t>Se atendieron necesidades extras de la Dirección Técnica de Predios, especialmente en el suministro del doble de la cantidad de Tapas Legajadoras y Ganchos para legajar para un tema especial de archivo. Por otro lado se debe evaluar la base de $32.000.000,oo en razón a que estamos ejecutando un nuevo contrato, lo que indica aumento de precios para algunos productos especialmente los tóner y tintas de mayor consumo en las dependencias de la Entidad.</t>
  </si>
  <si>
    <t>Los pedidos de noviembre se realizaron para cubrir las necesidades de los meses de noviembre y diciembre</t>
  </si>
  <si>
    <t>Este mes no se reporta este indicador dado que durante el periodo de Noviembre se realizaron los pedidos necesarios para cubrir las necesidades de los meses de noviembre y diciembre</t>
  </si>
  <si>
    <t>Cumplir con el 100% de los servicios solicitados de transporte</t>
  </si>
  <si>
    <t>Cumplimiento a solicitudes de servicio de transporte</t>
  </si>
  <si>
    <t>Garantizar la prestacion del servicio de transporte a los funcionarios de la entidad</t>
  </si>
  <si>
    <t>(Numero de solciitudes atendidas / Total solicitudes recibidas) *100</t>
  </si>
  <si>
    <t>Cuandro de control Coordinador de flota de vehiculos</t>
  </si>
  <si>
    <t>Durante este periodo no se logro cumplir con el 100% debido a la falta de conductores, quienes se encontraban en vacaciones.</t>
  </si>
  <si>
    <t>Durante este periodo se obtuvo un indicador del 71% debido al incremento de solicitudes de servicios, lo anterior se debe al incremento de la planta de fucinionarios y a la cantidad reducida de conductores.</t>
  </si>
  <si>
    <t>Durante este periodo se obtuvo un indicador del 74% debido al aumento de solicitudes de servicios e incremento de la planta de personal. Así mismo se generaron solicitudes adicionales para la sede alcázares y por parte de la DTP, adicional varios vehículos se encontraban en mantenimiento preventivos y correctivos.</t>
  </si>
  <si>
    <t>Incremento notable de solicitudes de servicio de transporte, salida de seis conductores ha descanso compensatorio, autorizacion por parte de directivos de servicios extras para diferentes dependencias, recorridos nocturnos hasta altas horas de la madrugada con esto afectando la disponibilidad de servicios durante el dia.</t>
  </si>
  <si>
    <t>Incremento de servicios debido al numero de nuevos funcionarios que tiene la institucion, nuevas obras como son troncal boyaca, cable aereo, linea metro entre otras, servicio de transporte permanente para la sede de alcazares, envio de conductores a descansos compensatorios y vacaciones, jefes que hacen uso del vehiculo durante el dia sin programacion en la coordinacion de transporte y mantenimientos preventivos y correctivos permanentes de los vehiculos</t>
  </si>
  <si>
    <t>Se prestaron 239 servicios mas con relacion al mes anterior ,se incremento el recurso humano de conductores pero el recurso fisico no se a incrementado (vehiculos), con esto disminuyendo el numero de compemsatorios acumulados y evacuando vacaciones pendientes.</t>
  </si>
  <si>
    <t>Se redujo el numero de servicios debido a los dias festivos y la semana de descanso comprendida entre el 5 y 11 de Agosto de 2014, a los mantenimientos correctivos y preventivos de vehiculos. Se programaron vacaciones para 4 conductores y compensatorios a 27 conductores</t>
  </si>
  <si>
    <t>Se mejora el nivel de servicio debido a la disponibilidad nuevos conductores contratados que ápoyan la gestion de transporte para los nuevos proyectos de la entidad</t>
  </si>
  <si>
    <t>Se mejora el nivel de servicio debido a la disponibilidad nuevos conductores contratados que apoyan la gestión de transporte para los nuevos proyectos de la entidad. De 725 Solicitudes realizadas se atendieron 688 servicios de transporte</t>
  </si>
  <si>
    <t>Durante el mes de noviembre se realizarón requerimientos de 505 servicios de transporte, de los cuales se atendieron 490, logranso asi un indicador del 97%. Mayor parte de los requerimientos corrresponden a servicios en horas no laborales</t>
  </si>
  <si>
    <t>Durante el mes de diciembre se realizarón requerimientos de 386 servicios de transporte, de los cuales se atendieron 372, logranso asi un indicador del 96%. De estos requerimientos 32 corrresponden a servicios en horas no laborales</t>
  </si>
  <si>
    <t>Durante la vigencia 2014 se solicitaron un total de 8617 servicios de transporte, de los cuales se atendieron 6900, generando asi un indicador del 80%. Se observa que a partir del mes de agosto el promedio del indicador es del 94% lo cual se debe a la disponibilidad nuevos conductores contratados que ápoyan la gestion de transporte para los nuevos proyectos de la entidad</t>
  </si>
  <si>
    <t xml:space="preserve">Para la vigencia 2014 se realizará control de la ejecución al plan de compras de la entidad.  </t>
  </si>
  <si>
    <t xml:space="preserve">Control de ejecución al plan de compras </t>
  </si>
  <si>
    <t>Realizar el control de ejecución al plan de compras aprobado por la entidad, verificando el cumplimiento de las necesidades establecidas en dicho plan</t>
  </si>
  <si>
    <t>(Numero de procesos formulados  / numero total de procesos aprobados en el plan de compras del IDU)*100</t>
  </si>
  <si>
    <t>Sitema Stone</t>
  </si>
  <si>
    <t>Durante este periodo se logro radicar 26 de los 33 procesos de contratación. Se proyecta que para el próximo periodo de evaluación del indicador se logre cumplir con el 100% de la meta</t>
  </si>
  <si>
    <t>Durante este periodo se logro radicar 32 de los 33 procesos de contratación. Se proyecta que para el próximo periodo de evaluación del indicador se logre cumplir con el 100% de la meta</t>
  </si>
  <si>
    <t xml:space="preserve">Durante este periodo se logro radicar 32 de los 33 procesos de contratación. Lo anterior dado que el proceso de ascensores IDU-SAMC-SGGC-017-2014 no  se adjudico dado que el unico proponente no subsano un requerimiento realizado por la DTPS </t>
  </si>
  <si>
    <t xml:space="preserve">Durante la vigencia 2014 se logro radicar 32 de los 33 procesos de contratación. El unico porceso que presento inconvenientes corresponde a la compra de ascensores IDU-SAMC-SGGC-017-2014, el cual no  se adjudico dado que el unico proponente no subsano un requerimiento realizado por la DTPS </t>
  </si>
  <si>
    <t>A partir de enero de 2014 se garantizara el 100% de entrega oportuna de pedidos de almacén.</t>
  </si>
  <si>
    <t>Entrega oportuna de pedidos de almacén</t>
  </si>
  <si>
    <t>Garantizar la entrega oportuna de pedidos realizados al almacén del IDU.</t>
  </si>
  <si>
    <t>( Número de Pedidos de almacén atendidos dentro del plazo establecido/ Total de pedidos recibidos en el mes)*100</t>
  </si>
  <si>
    <t>Reporte de pedidos de almacén</t>
  </si>
  <si>
    <t>Durante este mes se atendio el 100% de los formatos de pedidos realizado por las áreas del instituto .</t>
  </si>
  <si>
    <t>Durante este mes se atendió el 100% de los formatos de pedidos realizado por las áreas del instituto .</t>
  </si>
  <si>
    <t>Durante el 2014 se realizaron 1278 solicitudes al almacen las cuales fueron atendidas en su totallidad, logrando así un indicador del 100%</t>
  </si>
  <si>
    <t>Para este periodo se logro una ejecución del 44% sobre la meta proyectada, lo anterior debido a que los contratistas no radican de manera oportuna la facturación para pago</t>
  </si>
  <si>
    <t>Para este periodo se logro una ejecución del 280% sobre la meta proyectada, lo anterior debido al pago imprevisto de facturacion que no estaba proyectada para este periodo. Es decir que este indicador se debe al tramite agil de la facturacion de contratos</t>
  </si>
  <si>
    <t>Para este periodo se logro una ejecución del 126% sobre la meta proyectada, lo anterior debido al pago imprevisto de facturacion que no estaba proyectada para este periodo. Es decir que este indicador se debe al tramite agil de la facturacion de contratos</t>
  </si>
  <si>
    <t>Para este periodo se logro una ejecución del 1% sobre la meta proyectada, lo anterior debido problemas legales relacionados con un contrato a liquidar. Es decir que este indicador es inferior a la meta proyectada</t>
  </si>
  <si>
    <t>Para este periodo se logro una ejecución del 21% sobre la meta proyectada, lo anterior debido problemas legales relacionados con un contrato a liquidar. Es decir que este indicador es inferior a la meta proyectada</t>
  </si>
  <si>
    <t>Para este periodo se logro una ejecución del 30% sobre la meta proyectada, lo anterior gracias a que se tranitaron las liquidaciones y los pagos de varios contratos . Es decir que esta por encima de la meta proyectada</t>
  </si>
  <si>
    <t xml:space="preserve">Para este periodo no se realizaron pagos, debido a inconvenientes derivados de dos contratos que presentan problemas en su liquidación por problemas legales; se espera solucionar los problemas antes de culminar esta vigencia . </t>
  </si>
  <si>
    <t xml:space="preserve">Para este periodo no se realizaron pagos, debido a inconvenientes derivados de dos contratos que presentan problemas en su liquidación debido a problemas legales; se espera solucionar los problemas antes de culminar esta vigencia . </t>
  </si>
  <si>
    <t xml:space="preserve">Para este periodo no se realizaron pagos. </t>
  </si>
  <si>
    <t>Para este mes no proyecto reportar este indicador.</t>
  </si>
  <si>
    <t>A 31 de Diciembre se logro cumplir con la ejecución del 90% del presupuesto asignado de pasivos exigibles en la Gestión del Área
EJECUCIÓN REAL ACUMULADA DEL 90%. EJECUCIÓN ESPERADA DEL 100%</t>
  </si>
  <si>
    <t>Para este periodo se logro una ejecución del 213% sobre la meta proyectada acumulada, lo anterior debido a pagos imprevistos de facturacion que no  estaban proyectados para este periodo. Es decir que este indicador se debe al tramite agil de la facturacion de contratos</t>
  </si>
  <si>
    <t>Para este periodo se logro una ejecución del 17% sobre la meta proyectada acumulada, lo anterior debido a que los contratistas no facturaron como estaba previsto para este periodo</t>
  </si>
  <si>
    <t>Para este periodo se logro una ejecución del 34% sobre la meta proyectada acumulada, lo anterior debido a que los contratistas no facturaron como estaba previsto y a problemas legales de un contrato en proceso de liquidación</t>
  </si>
  <si>
    <t>Para este periodo se logro una ejecución del 55% sobre la meta proyectada acumulada, lo anterior debido a que los contratistas no facturaron como estaba previsto y a problemas legales de un contrato en proceso de liquidación</t>
  </si>
  <si>
    <t>Para este periodo se logro una ejecución del 86% sobre la meta proyectada acumulada, lo anterior debido a que existen dos contratos que presentan problemas en su liquidación debido a problemas legales.</t>
  </si>
  <si>
    <t>Para este periodo se mantuvo la ejecución del 86% sobre la meta proyectada acumulada, lo anterior debido a que existen dos contratos que presentan problemas en su liquidación debido a problemas legales.</t>
  </si>
  <si>
    <t>EJECUCIÓN REAL ACUMULADA DEL 90%. EJECUCIÓN ESPERADA DEL 100%</t>
  </si>
  <si>
    <t>Para este periodo se cumplió con la meta del indicador debido a que el valor de los giros de reservas presupuestales del mes junto con las liberaciones fueron superiores al valor de las reservas presupuestales asignadas</t>
  </si>
  <si>
    <t>Para este periodo se cumplio con la meta del indicador debido a que el valor de los giros de reservas presupuestales del mes junto con las liberaciones fueron superiores al valor de las reservas presupuestales asignadas</t>
  </si>
  <si>
    <t>Para este periodo la meta del indicador estuvo por debjao de lo planeado, debido a que los contratistas no facturaron oportunamente</t>
  </si>
  <si>
    <t>Para este periodo se cumplio con la meta del indicador debido a que el valor de los giros de reservas presupuestales del mes junto con las liberaciones fueron iguales al valor de los  pagos de reservas proyectados.</t>
  </si>
  <si>
    <t>Para este periodo se ejecutó un 11% , acercándonos así a una ejecución del 89% en lo corrido del año</t>
  </si>
  <si>
    <t>Para este periodo se ejecutó un 2% , acercándonos así a una ejecución del 91% en lo corrido del año</t>
  </si>
  <si>
    <t>A 31 de Diciembre se logro una ejecucion del 94% del presupuesto asignado de reservas presupuestales en la Gestión del Área
EJECUCIÓN REAL ACUMULADA DEL 94%. EJECUCIÓN ESPERADA DEL 100%</t>
  </si>
  <si>
    <t>Para este periodo se logro una ejecución del 146% sobre la meta proyectada acumulada, lo anterior debido a que el valor de los giros de reservas presupuestales del mes junto con las liberaciones fueron superiores al valor de las reservas presupuestales asignadas</t>
  </si>
  <si>
    <t>Para este periodo se logro una ejecución del 79% sobre la meta proyectada acumulada, lo anterior debido a que el valor de los giros de reservas presupuestales del mes junto con las liberaciones fueron inferiores al valor de las reservas presupuestales asignadas</t>
  </si>
  <si>
    <t>Para este periodo se logro una ejecución del 29% sobre la meta proyectada acumulada, lo anterior debido a que el valor de los giros de reservas presupuestales del mes junto con las liberaciones fueron inferiores al valor de las reservas presupuestales asignadas</t>
  </si>
  <si>
    <t>Para este periodo se logro una ejecución del 42% sobre la meta proyectada acumulada, lo anterior debido a que el valor de los giros de reservas presupuestales del mes junto con las liberaciones fueron inferiores al valor de las reservas presupuestales asignadas</t>
  </si>
  <si>
    <t>Para este periodo se logro una ejecución del 69% sobre la meta proyectada acumulada, lo anterior debido a que el valor de los giros de reservas presupuestales del mes junto con las liberaciones fueron inferiores al valor de las reservas presupuestales asignadas</t>
  </si>
  <si>
    <t>Para este periodo se logro una ejecución del 77% sobre la meta proyectada acumulada, lo anterior debido a que el valor de los giros de reservas presupuestales del mes junto con las liberaciones fueron inferiores al valor de las reservas presupuestales asignadas</t>
  </si>
  <si>
    <t>Para este periodo se logro una ejecución del 89% sobre la meta proyectada acumulada, lo anterior debido a que el valor de los giros de reservas presupuestales del mes junto con las liberaciones fueron inferiores al valor de las reservas presupuestales asignadas</t>
  </si>
  <si>
    <t>Para este periodo se logro una ejecución del 91% sobre la meta proyectada acumulada, lo anterior debido a que el valor de los giros de reservas presupuestales del mes junto con las liberaciones fueron inferiores al valor de las reservas presupuestales asignadas</t>
  </si>
  <si>
    <t>EJECUCIÓN REAL ACUMULADA DEL 94%. EJECUCIÓN ESPERADA DEL 100%</t>
  </si>
  <si>
    <t>Cumplir oportunamente el 100% de las acciones de mejora establecidas en los Planes de Mejoramiento Interno por Procesos</t>
  </si>
  <si>
    <t>El resultado del indicador es 0%, debido a que no se logro cumplir con todos los planes de mejoramiento a cargo de la STRF.</t>
  </si>
  <si>
    <t>El resultado del indicador es 0%, debido a que no se logro cumplir con todos los planes de mejoramiento a cargo de la STRF. De 41 acciones en las que la STRF se encuentra como responsable, 16 se encuentran cumplidas, 7 se encuentran no cumplidas y 18 se encuentran en tiempo de ejecuciòn</t>
  </si>
  <si>
    <t>Mediante memorando 20145260418793  se reporto cumplimiento al plan de mejoramiento suscrito ante la Contraloría de Bogotá, en el hallazgo: “2.2.4. Hallazgo administrativo con presunta incidencia disciplinaria y fiscal por haber efectuado pagos de horas extras excediendo el 50% ordenado por las normas legales, en los años 2009, y 2010 y 2011, por la suma de $224.513.042.” sobre el cual se presento la acción correctiva: “1.Diseñar una programación para regular el disfrute de los compensatorios acumulados, considerando las necesidades de la entidad y el bienestar de los funcionarios y realizar el respectivo seguimiento.”</t>
  </si>
  <si>
    <t xml:space="preserve"> -Para este mes se envio el respectivo avance y seguimiento al plan de mejoramiento suscrito ante la Contraloría de Bogotá, en el hallazgo: “2.2.4. Hallazgo administrativo con presunta incidencia disciplinaria y fiscal por haber efectuado pagos de horas extras excediendo el 50% ordenado por las normas legales, en los años 2009, y 2010 y 2011, por la suma de $224.513.042.” sobre el cual se presento la acción correctiva: “1.Diseñar una programación para regular el disfrute de los compensatorios acumulados, considerando las necesidades de la entidad y el bienestar de los funcionarios y realizar el respectivo seguimiento.” En este seguimiemto se presentaron 4 indicadores para realizar la respectiva medicion y seguimiento
- INCUMPLIDA LA ACCIÓN DEL HALLAZGO 2,9,15,1</t>
  </si>
  <si>
    <t>Se planificó el trámite de 5 documentos del proceso de planeación y 11 del proceso de mejoramiento del cual quedó pendiente la actualización del procedimiento de control de registros. Frente a los productos SIG se logró documentar el procedimiento de planificación operativa y esta pendiente el procedimiento de control de registros el cual sufrió un retraso por la emisión de los lineamientos de la alcaldía frente al tema que se realizó hasta el mes de abril. Estos dos productos ya se contemplan en el plan documental.</t>
  </si>
  <si>
    <t>De los 15 documentos programaddos para el corte del mes de junio 5 se publicaron, 8 se encuentran sin avance, 1 esta en proceso y 1 en revisión</t>
  </si>
  <si>
    <t>De los trámites programados inicialmente para ejecutar desde el 1° de enero hasta el 30 de septiembre, quedaron pendientes un total de 34 trámites. El detalle de los documentos se puede observar en el plan documental consolidado por la OAP o el plan específico en cada área.</t>
  </si>
  <si>
    <t>Para este periodo se reporto mediante memorando 20145260418793 el cumplimiento del plan de mejoramiento contraloria 2.2.4; Programacion disfrute de compensatorios. Con esta información se da cumplimiento formal a la acción de mejora comprometida</t>
  </si>
  <si>
    <t>Sin ejecución para el mes. Sin programación en el mes.</t>
  </si>
  <si>
    <t>Ejecución del mes correspondiente a giros presupuestales por $9.473.084. Meta esperada del mes del 100%.</t>
  </si>
  <si>
    <t>Ejecución del mes correspondiente a giros presupuestales por $685.770.756. Sin programación en el mes.</t>
  </si>
  <si>
    <t>Ejecución del mes correspondiente a giros presupuestales por $318.791.042 y liberaciones por $96.270.172. Meta esperada del mes del 100%.</t>
  </si>
  <si>
    <t>Se verifica la información registrada por el área en el Sistema de Información y Acompañamiento Contractual - SIAC encontrando desactualizaciones en tres (3) contratos en los estados i) En legalización, ii) En ejecución y iii) Terminación PSP.</t>
  </si>
  <si>
    <t xml:space="preserve">Verificada la información se encuentran desactualizados once (11) contratos a cargo de la Subdirección Técnica de Recursos Físicos en cuanto a estados en legalización los cuales se evidencia acta de inicio y desactualización de la fecha de terminación de los contratos luego de la adición.  </t>
  </si>
  <si>
    <t>Verificado el Sistema de Información y Acompañamiento Contractual - SIAC se evidencia la desactualización de nueve (9) contratos a cargo de la Subdirección Técnica de Recursos Físicos.</t>
  </si>
  <si>
    <t>Verificado el Sistema de Información y Acompañamiento Contractual - SIAC se evidencia la desactualización de dos (2) contratos a cargo de la Subdirección Técnica de Recursos Físicos.</t>
  </si>
  <si>
    <t>DAVID ENRIQUE MAYORGA PELAEZ</t>
  </si>
  <si>
    <t>Subdirector Técnico Recursos Fisicos</t>
  </si>
  <si>
    <t>SUBDIRECCIÓN TÉCNICA DE RECURSOS HUMANOS</t>
  </si>
  <si>
    <t>ENERO-DICIEMBRE DE 2014</t>
  </si>
  <si>
    <t>4.3 Implementar un plan de intervención para mejorar el clima organizacional  y que promueva una cultura institucional en el marco del fortalecimiento de la entidad</t>
  </si>
  <si>
    <t>STRH - 01</t>
  </si>
  <si>
    <t>Ejecutar las 11 actividades programadas para el 2014 en el plan de acción correspondientes a la intervención del clima organizacional</t>
  </si>
  <si>
    <t>Implementación de actividades de intervención de clima organizacional</t>
  </si>
  <si>
    <t>Lograr el desarrollo de las actividades programadas para la intervención de clima organizacional</t>
  </si>
  <si>
    <t>(No. de actividades Ejecutadas / No. de actividades Programadas) * 100</t>
  </si>
  <si>
    <t>STRH - Actividades ejecutadas del Plan de Acción propuesto</t>
  </si>
  <si>
    <t>Fulvia Vásquez - Carolina Gutiérrez</t>
  </si>
  <si>
    <t>El proceso de contratación del proyecto de fortalecimiento de clima y cultura organizacional se adelantaron las actividades correspondientes al Diagnostico, Estudio de Mercado y formulación de los Estudios Previos, sin embargo estos se encuentran en revisión para la definición del presupuesto para este fin.</t>
  </si>
  <si>
    <t>El proceso de contratación del proyecto de fortalecimiento de clima y cultura organizacional se adelantaron las actividades correspondientes a lograr la obtención del CDP del proceso para el cual se le asignó el número 2325 del 25/06/14 y se adelantó la formulación de los Estudios Previos, sin embargo estos se encuentran en revisión .</t>
  </si>
  <si>
    <t>Se terminaron los estudio previos del proceso de contratación de Clima Organizacional, los cuales fueron enviados a la DTPS a través de memorando 20145160438273 del 9 de julio de 2014.
Adicionalmente, se ha trabajado conjuntamente con la DTPS para la revisión del proceso y solución de observaciones al mismo.</t>
  </si>
  <si>
    <t>Para el mes de agosto se tenía programado dar respuesta a las observaciones generadas en el proceso de contratación de clima organizacional, el día 27 de agosto a través de correo electrónico se entrega respuesta a las observaciones, pero el día 29 de agosto la DTPS entrega otras observaciones para ser resultas por el área, las cuales quedaron para entregar en el mes de septiembre</t>
  </si>
  <si>
    <t>Para el mes de septiembre se tenían programadas 3 actividades, las cuales no se han ejecutado.
Se ejecutó la actividad del mes de agosto, correspondiente a la respuesta de las observaciones y adendas para la adjudicación del contrato.  Se programó la adjudicación del contrato para el día 8 de octubre.</t>
  </si>
  <si>
    <t xml:space="preserve">De acuerdo con el cronograma definido en los pliegos de condiciones, la fecha de cierre del proceso y adjudicación que se tiene prevista es el 4 de noviembre de 2014.  </t>
  </si>
  <si>
    <t>El día 25 de noviembre se dio respuesta por segunda vez a  las observaciones del proceso de contratación IDU-SAMC-SGGC-010-2014  a través del memorando 20145160653023.</t>
  </si>
  <si>
    <t>El contrato se adjudicó y suscribió en el mes de diciembre. La fecha de la suscripción se extendió hasta diciembre, debido a que se había declarado desierto y fue necesario iniciar de nuevo el proceso. La firma a la cual se le adjudicó el contrato es “B&amp;B Consultores para el Desarrollo del Potencial Humano EU”. Contrato No. 1894 de 2014.</t>
  </si>
  <si>
    <t>El contrato se adjudicó y suscribió en el mes de diciembre, logrando de esta manera contar desde enero de 2015 iniciar varias actividades del plan de intervención para mejorar el cima organizacional y promoción de la cultura institucional en el marco del fortalecimiento de la entidad. Se aclara que la fecha de la suscripción se extendió hasta diciembre, debido a que se había declarado desierto y fue necesario iniciar de nuevo el proceso. La firma a la cual se le adjudicó el contrato es “B&amp;B Consultores para el Desarrollo del Potencial Humano EU”. Contrato No. 1894 de 2014.</t>
  </si>
  <si>
    <t>Fulvia y Carolina</t>
  </si>
  <si>
    <t>STRH - 02</t>
  </si>
  <si>
    <t xml:space="preserve">Ejecutar el 100% de las investigaciones de  incidentes  y accidentes laborales </t>
  </si>
  <si>
    <t xml:space="preserve">Accidentes e incidentes  investigados </t>
  </si>
  <si>
    <t>Realizar las investigaciones a los accidentes e  incidentes laborales reportados</t>
  </si>
  <si>
    <t>(No. de seguimientos realizados acumulados/ No. de accidentes e incidentes acumulados reportados ) * 100</t>
  </si>
  <si>
    <t>STRH - Accidentes e incidentes reportados</t>
  </si>
  <si>
    <t xml:space="preserve"> Claudia Mojica</t>
  </si>
  <si>
    <t>En enero de 2014 se presentó un accidente, el cual se va a investigar en el otro mes por reportarse extemporáneamente. El accidente laboral presentado,  fue reportado por el funcionario de manera extemporánea, ya que el mismo ocurrió el 6 de noviembre de 2013, pero el señor Uladislao Moreno lo reportó hasta el 28 de enero de 2014 al grupo SST y el mismo reportó inmediatamente a la ARL.</t>
  </si>
  <si>
    <t>En febrero de 2014 ocurrieron 2 accidentes, uno fue investigado y otro no. Los accidentes fueron de Letty Karime Diaz y el de Clara Bibiana Torres que fue extemporáneo ya que lo reportó el 26 de febrero pero ocurrió realmente el 14 de febrero de 2014. Esta pendiente la investigación de Clara Bibiana porque la funcionaria debe allegar los soportes y concepto médico de la EPS. Por otra parte se realizó la investigación del señor Uladislao Moreno la que sumada a la de Letty Karime suma dos investigaciones realizadas en el mes.  Así mismo, se recibió la calificación de Uladislao indicando que fue de origen profesional</t>
  </si>
  <si>
    <t>En Marzo de 2014 ocurrieron dos accidentes laborales: LUZ MERY VARGAS y MIGUEL ANGEL PABON, de los cuales se investigó el de Luz Mery y el de Miguel no, porque ocurrió el 26 de marzo finalizando mes. Respecto al caso de Clara Bibiana Torres extemporáneo del mes de febrero ya se realizó la investigación, no obstante respecto al proceso de calificación de origen con la ARL, la funcionaria no ha allegado los soportes solicitados. Así las cosas se investigaron en marzo de 2014, dos accidentes: Clara Bibiana y Luz Mery.
A la fecha van 5 accidentes presentados en el año.</t>
  </si>
  <si>
    <t>En el mes de abril se presentaron 5 accidentes laborales: JOSE RAMON HERRERA, RUTH LISETH REY, JUAN CAMILO OTALORA, JORGE ENRIQUE SEPULVEDA, JOSE RICARDO BERMUDEZ . Respecto a  dos de los mismos se conocieron extemporáneamente:
MIGUEL ANGEL PABON ROZO ocurrido  el 26/03/2014 y reportado por él mismo a la ARL Positiva y fue conocido por el equipo SST el 1 de abril.
JOSE RAMON HERRERA CAÑÓN ocurrido el 30/03/2014 y fue conocido por el equipo SST el 02/04/2014.
Las investigaciones realizadas este mes fueron: Miguel Pabón, Jose Ramón, Ruth Liseth. Están pendientes 3:  las de Juan Camilo, Jorge E Sepulveda y Jose Bermudez (estas dos últimas ocurrieron el 28 y  29 de abril).
A la fecha van 10 accidentes laborales en el año.</t>
  </si>
  <si>
    <t>En el mes de mayo se presentaron 3 accidentes laborales: WILLIAM FERNANDO CAMARGO TRIANA, ALVARO ENRIQUE REINOSO y DIANA CACERES ROMERO desarrollados así:
WILLIAM FERNANDO CAMARGO TRIANA ocurrido  el 08/05/2014 y reportado a la ARL Positiva, fue conocido por el equipo SST el 9 de mayo.
ALVARO ENRIQUE REINOSO ocurrido el 07/05/2014, y reportado por a la ARL Positiva, fue conocido por el equipo SST el 14 de mayo.
DIANA CACERES ROMERO ocurrido  el 28/05/2014 y reportado a la ARL Positiva el mismo día.
Las investigaciones realizadas este mes fueron de:  DIANA CACERES ROMERO y de YULI ANDREA GARCIA MORA (accidente externo de la empresa GyE aseo, el cual lo reporta la empresa, pero en conjunto se hace la investigación), teniendo en cuenta la magnitud de los hechos.
A la fecha van 13 accidentes laborales en el año.</t>
  </si>
  <si>
    <t>En el mes de junio se presentaron 2 accidentes laborales: ORLANDO GONZALEZ MONTES y CARLOS WILSON SICACHA RAMIREZ desarrollados así:
ORLANDO GONZALEZ MONTES ocurrido  el 07/06/2014 y reportado a la ARL Positiva, fue conocido por el equipo SST el 10 de junio.
CARLOS WILSON SICACHA RAMIREZ ocurrido el 24/06/2014, y reportado por a la ARL Positiva, fue conocido por el equipo SST el mismo día, sin embargo por estar fuera de la entidad se reporto al día siguiente luego de recibir la atención medica primaria.
Se inicia la investigación del primer caso y se brinda acompaña la investigación de JOSE TADEO ALARCON MOYA (accidente externo de la empresa INTERPOSTALES correo, el cual lo reporta la empresa, pero en conjunto se hace la investigación), teniendo en cuenta la magnitud de los hechos.
A la fecha van 15 accidentes laborales en el año.</t>
  </si>
  <si>
    <r>
      <t xml:space="preserve">En el mes de julio se presentaron 7 accidentes laborales :Olga Lucia López Sánchez, Zuly Alejandra Díaz Rincón, Carmen Elisa Palacios Gómez, Jhon Freddy Jimenez Cortés, Vera Karlaski González, Jaime Augusto Bermudez, Judith Montealegre Murcia desarrollados así:
</t>
    </r>
    <r>
      <rPr>
        <sz val="8"/>
        <rFont val="Symbol"/>
        <family val="1"/>
        <charset val="2"/>
      </rPr>
      <t>·</t>
    </r>
    <r>
      <rPr>
        <sz val="6.4"/>
        <rFont val="Arial"/>
        <family val="2"/>
      </rPr>
      <t xml:space="preserve"> </t>
    </r>
    <r>
      <rPr>
        <sz val="8"/>
        <rFont val="Arial"/>
        <family val="2"/>
      </rPr>
      <t xml:space="preserve">Olga Lucia Lopez Sanchez ocurrido  el 15/07/2014 y reportado a la ARL Positiva.
</t>
    </r>
    <r>
      <rPr>
        <sz val="8"/>
        <rFont val="Symbol"/>
        <family val="1"/>
        <charset val="2"/>
      </rPr>
      <t>·</t>
    </r>
    <r>
      <rPr>
        <sz val="6.4"/>
        <rFont val="Arial"/>
        <family val="2"/>
      </rPr>
      <t xml:space="preserve"> </t>
    </r>
    <r>
      <rPr>
        <sz val="8"/>
        <rFont val="Arial"/>
        <family val="2"/>
      </rPr>
      <t xml:space="preserve">Zuly Alejandra Diaz Rincon, ocurrido el 17/07/2014, y reportado por a la ARL Positiva el 18/07/2014, fue conocido por el equipo SST el mismo día, este accidente se presenta durante una actividad deportiva.
</t>
    </r>
    <r>
      <rPr>
        <sz val="8"/>
        <rFont val="Symbol"/>
        <family val="1"/>
        <charset val="2"/>
      </rPr>
      <t>·</t>
    </r>
    <r>
      <rPr>
        <sz val="6.4"/>
        <rFont val="Arial"/>
        <family val="2"/>
      </rPr>
      <t xml:space="preserve"> </t>
    </r>
    <r>
      <rPr>
        <sz val="8"/>
        <rFont val="Arial"/>
        <family val="2"/>
      </rPr>
      <t xml:space="preserve">Carmen Elisa Palacios Gomez, Ocurrido y reportado el 21/07/2014 mientras se dirigía a participar en la inauguración de la semana de la  salud.
</t>
    </r>
    <r>
      <rPr>
        <sz val="8"/>
        <rFont val="Symbol"/>
        <family val="1"/>
        <charset val="2"/>
      </rPr>
      <t>·</t>
    </r>
    <r>
      <rPr>
        <sz val="6.4"/>
        <rFont val="Arial"/>
        <family val="2"/>
      </rPr>
      <t xml:space="preserve"> </t>
    </r>
    <r>
      <rPr>
        <sz val="8"/>
        <rFont val="Arial"/>
        <family val="2"/>
      </rPr>
      <t xml:space="preserve">Jhon Freddy Jimenez Cortes, ocurrido y reportado 23/07/2014 durante actividad de competencia de la semana de la salud.
</t>
    </r>
    <r>
      <rPr>
        <sz val="8"/>
        <rFont val="Symbol"/>
        <family val="1"/>
        <charset val="2"/>
      </rPr>
      <t>·</t>
    </r>
    <r>
      <rPr>
        <sz val="6.4"/>
        <rFont val="Arial"/>
        <family val="2"/>
      </rPr>
      <t xml:space="preserve"> </t>
    </r>
    <r>
      <rPr>
        <sz val="8"/>
        <rFont val="Arial"/>
        <family val="2"/>
      </rPr>
      <t xml:space="preserve">Vera Karlaski Gonzalez, ocurrido y reportado el 24/07/2014, accidente propio del trabajo.
</t>
    </r>
    <r>
      <rPr>
        <sz val="8"/>
        <rFont val="Symbol"/>
        <family val="1"/>
        <charset val="2"/>
      </rPr>
      <t>·</t>
    </r>
    <r>
      <rPr>
        <sz val="6.4"/>
        <rFont val="Arial"/>
        <family val="2"/>
      </rPr>
      <t xml:space="preserve"> </t>
    </r>
    <r>
      <rPr>
        <sz val="8"/>
        <rFont val="Arial"/>
        <family val="2"/>
      </rPr>
      <t xml:space="preserve">Jaime Augusto Bermudez, ocurrido el 24/07/2014 y reportado a la ARL el 25/07/2014, ocurrió durante el desarrollo de actividad deportiva en la instalaciones  de compensar en la 68.
</t>
    </r>
    <r>
      <rPr>
        <sz val="8"/>
        <rFont val="Symbol"/>
        <family val="1"/>
        <charset val="2"/>
      </rPr>
      <t>·</t>
    </r>
    <r>
      <rPr>
        <sz val="6.4"/>
        <rFont val="Arial"/>
        <family val="2"/>
      </rPr>
      <t xml:space="preserve"> </t>
    </r>
    <r>
      <rPr>
        <sz val="8"/>
        <rFont val="Arial"/>
        <family val="2"/>
      </rPr>
      <t xml:space="preserve">Judith Montealegre Murcia, ocurrió el 25/07/2014 se reporto y se conoció por el grupo de SST el día 28/07/2014, esto ocurre mientras la contratista desarrollaba una actividad con la comunidad. 
De los anteriores eventos se realizó investigación al caso de:
 Zuly Alejandra Diaz Rincon, Jaime Augusto Bermudez, Jhon Freddy Jimenez Cortes, estableciendo como acción correctiva socialización del procedimiento de reporte de accidentes de trabajo y recomendaciones para tener encuentra en el desarrollo de la actividad deportiva. El caso de 
Vera Karlaski Gonzalez y  Carmen Elisa Palacios Gomez se realizó la investigación con establecimiento de acciones preventivas referidas a programa SOL y autocuidado para cada caso.
</t>
    </r>
  </si>
  <si>
    <r>
      <t xml:space="preserve">En el mes de agosto se presentaron 2 accidentes laborales: Maria Emilce Puentes Gonzalez y Nicolas Ernesto Garzon Mora desarrollados así:
</t>
    </r>
    <r>
      <rPr>
        <sz val="8"/>
        <rFont val="Symbol"/>
        <family val="1"/>
        <charset val="2"/>
      </rPr>
      <t>·</t>
    </r>
    <r>
      <rPr>
        <sz val="8"/>
        <rFont val="Arial"/>
        <family val="2"/>
      </rPr>
      <t xml:space="preserve"> Maria Emilce Puentes Gonzalez ocurrido  el 13/08/2014 y reportado a la ARL Positiva el mismo día.
</t>
    </r>
    <r>
      <rPr>
        <sz val="8"/>
        <rFont val="Symbol"/>
        <family val="1"/>
        <charset val="2"/>
      </rPr>
      <t>·</t>
    </r>
    <r>
      <rPr>
        <sz val="8"/>
        <rFont val="Arial"/>
        <family val="2"/>
      </rPr>
      <t xml:space="preserve">Nicolas Ernesto Garzon Mora, ocurrido el 25/08/2014, y reportado a la ARL Positiva el 25/08/2014, cuando se pudo realizar el contacto con la persona accidentada ante los intentos constantes vía telefónica y con sus compañeros de dependencia. Sin embargo se aclara que el tiempo no corresponde a extemporaneidad toda vez que la norma dispone 2 días hábiles posteriores a la ocurrencia del evento para dicho reporte.
Adicionalmente se culminó proceso de investigación de los casos reportados para el mes de julio como son:
·  Jose Ricardo Bermudez.
·  William Fernando Camargo.
·  Alvaro Enrique Reinoso.
·  Olga Lucia Lopez Sanchez.
</t>
    </r>
  </si>
  <si>
    <t xml:space="preserve">En el mes de septiembre se presentaron 3 accidentes laborales: Sandra Liliana Saavedra Quevedo, Denix Clariveht Martinez Rojas, Luz Helena Martinez Mora  desarrollados así:
• Sandra Liliana Saavedra Quevedo, ocurrido  el 04/09/2014 y reportado a la ARL Positiva el mismo día.
•Denix Clariveht Martinez Rojas, ocurrido  el 11/09/2014 y reportado a la ARL Positiva el mismo día.
• Luz Helena Martinez Mora, ocurrido  el 26/09/2014 y reportado a la ARL Positiva el mismo día por ella misma. Es de resaltar que esta colaboradora llevaba un día de ingreso al Instituto.
Las investigaciones que se realizaron en este mes corresponden a los casos de : Judith Montealegre Murcia; Maria Emilse Puentes Gonzalez; Nicolas Ernesto Garzon Mora; Rojas; Juan Camilo Otalora Acosta; Carlos Wilson Sicacha Ramirez.
Actualmente se está realizando la investigación de Sandra Liliana Saavedra Quevedo y Denix Clariveht Martinez Rojas y se inicia la investigación de Luz Helena Martinez Mora para un total de 25 casos investigados, están pendientes 2 casos de los 27 en total reportados.
</t>
  </si>
  <si>
    <r>
      <t xml:space="preserve">En el mes de octubre se presentaron 4 accidentes laborales: Jorge Eliecer Garcia, Jhon Fredy Ramirez, Angie Viviana Garzon y Maria dolores Fajardo   desarrollados así:
•  Jorge Eliecer Garcia, ocurrido  el sabado 04/10/2014 y reportado a la ARL Positiva el 06/10/2014 como día siguiente habil.
•Jhon Fredy Ramirez, fue reportado por el funcionario de manera </t>
    </r>
    <r>
      <rPr>
        <u/>
        <sz val="8"/>
        <rFont val="Arial"/>
        <family val="2"/>
      </rPr>
      <t>extemporánea,</t>
    </r>
    <r>
      <rPr>
        <sz val="8"/>
        <rFont val="Arial"/>
        <family val="2"/>
      </rPr>
      <t xml:space="preserve"> ya que el mismo ocurrió el 17/07/2014 , pero el señor Jhon Fredy lo reportó hasta el 10/10/2014 al grupo SST y el mismo día se reporto ante la ARL Positiva luego de haberse recibido una asesoria al respecto por medio de la Linea Oro.
• Angie Viviana Garzon, ocurrido  el 15/10/2014 y reportado a la ARL Positiva el mismo día.
•Maria dolores Fajardo, ocurrido  el 15/10/2014 y reportado a la ARL Positiva el mismo día.
Las investigaciones que se realizaron en este mes corresponden a los casos de : Sandra Liliana Saavedra Quevedo, Denix Clariveht Martinez Rojas y Luz Helena Martinez Mora
Actualmente se está realizando la investigación de Jorge Eliecer Garcia y Jhon Fredy Ramirez s, está pendiente 1 caso de los 31 en total reportados.</t>
    </r>
  </si>
  <si>
    <t>En el mes de noviembre se presentaron 3 accidentes laborales: Luz Amparo Rincon, Myriam Gladys Diaz y Carolina Vasquez Moreno desarrollados así:
•  Luz Amparo Rincon, fue conocido de manera extemporanea por el grupo de SST cuando la ARL Positiva solicito soportes para calificacion del evento, se conoció que fue reportado por la misma contratista, el evento fue ocurrido el 06 de noviembre de 2014.
•Myriam Gladys Diaz de Calderon, reportado el 25 de noviembre de 2014.
• Carolina Vasquez Moreno, reportado el 27 de noviembre de 2014.
Las investigaciones que se realizaron en este mes corresponden a los casos de : Jorge Eliecer Garcia Rojas, Jhon Freddy Ramirez Monero, Angie Viviana Garzon Leguizamon, Maria Dolores Fajardo Henao y Luz Amparo Rincon.
Actualmente se está realizando calificacion de origen de los casos Myriam Gladys Diaz y Carolina Vasquez Moreno.</t>
  </si>
  <si>
    <t>En el mes de diciembre se presentaron 2 accidentes laborales: Maira Milena Pérez Polo y Juan Carlos Montenegro Arjona desarrollados así:
•  Maira Milena Pérez Polo, reportado el 19 de diciembre de 2014.
•  Juan Carlos Montenegro Arjona, fue conocido de manera extemporánea (24/dic/2014) por el grupo de SST, cuando desde el grupo de nómina nos informan que el funcionario esta solicitando informacion por futura incapacidad ante una cirugía por lesión obtenida en juego deportivo el día 27/sep/2014.
Las investigaciones que se realizaron en este mes corresponden a los casos de: Myriam Gladys Diaz, Carolina Vásquez Moreno, Maira Milena Pérez Polo y Juan Carlos Montenegro.</t>
  </si>
  <si>
    <t>Para la vigencia 2014, entre los meses de enero a diciembre, fueron reportados al equipo de SST 36 Accidentes ocurridos en diferentes dependencias del Instituto. Los 36 Accidentes fueron reportados a la ARL Positiva según la fecha de ocurrencia o según la fecha de reporte cuando se realizaba de manera extemporánea.
La distribución de la accidentalidad por mes se dio de la siguiente manera, según lo reportado al equipo SST:
• Enero - con una frecuencia de 1 que representa el 3%
• Febrero, Marzo, Junio, Agosto y Diciembre  - con una frecuencia de 2 eventos por mes que representa el 6%
• Abril - con una frecuencia de 5 que representa el 14%
• Mayo, Septiembre y Noviembre - con una frecuencia de 3 eventos por mes que representa el 8%
• Julio - con una frecuencia de 7 que representa el 19%
• Octubre - con una frecuencia de 4 que representa el 11%
Respecto a las investigaciones se realizó dentro de los parámetros normativos con algunas dificultades ocasionales, las cuales fueron subsanadas terminando la vigencia con un balance positivo.</t>
  </si>
  <si>
    <t>Milena León</t>
  </si>
  <si>
    <t>STRH - 03</t>
  </si>
  <si>
    <t>Ejecutar el 100% de los seguimientos a enfermedades laborales reportados por la ARL</t>
  </si>
  <si>
    <t>Seguimiento de Enfermedades Laborales</t>
  </si>
  <si>
    <t>Realizar el seguimiento a las enfermedades laborales reportadas por la ARL</t>
  </si>
  <si>
    <t>(No. de seguimientos realizados / No. de seguimientos solicitados por la ARL de enfermedades laborales )* 100</t>
  </si>
  <si>
    <t>STRH - Enfermedades laborales reportadas por la ARL</t>
  </si>
  <si>
    <t>Claudia Mojica</t>
  </si>
  <si>
    <t>A la fecha en el IDU hay 5 casos calificados como enfermedad laboral por la ARL:
MARTHA LUCIA CORREDOR QUINTERO, JEASSY MATILDE FAJARDO, NAYDU ALEXANDRA DIAZ, CLARIBELLE VELOZA Y MARIA DEL PILAR ORTIZ ESPINEL. Al respecto es de anotar que el seguimiento que se les realiza dependiendo la condición y avances del proceso reportados por la ARL a cada uno de ellos.
En enero de 2014 se brindó el acompañamiento para dar continuidad al proceso de calificación de la condición de enfermedad que paso de ARL  a la junta regional: Leila Garcia y Pedro Neftalí.</t>
  </si>
  <si>
    <t>A la fecha en el IDU hay 5 casos calificados como enfermedad laboral por la ARL:
MARTHA LUCIA CORREDOR QUINTERO, JEASSY MATILDE FAJARDO, NAYDU ALEXANDRA DIAZ, CLARIBELLE VELOZA Y MARIA DEL PILAR ORTIZ ESPINEL. 
En febrero de 2014 se realiza seguimiento a los casos de enfermedad laboral calificada de Naydu Diaz, Jeassy Fajardo y Maria del Pilar Ortiz, se remitieron recomendaciones laborales a los respectivos jefes que se conocieron, de otra parte se realizó seguimiento del proceso médico con su respectiva IPS. Hubo mesa de trabajo con ARL POSITIVA donde se revisaron estos temas.</t>
  </si>
  <si>
    <t>A la fecha en el IDU hay 5 casos calificados como enfermedad laboral por la ARL:
MARTHA LUCIA CORREDOR QUINTERO, JEASSY MATILDE FAJARDO, NAYDU ALEXANDRA DIAZ, CLARIBELLE VELOZA Y MARIA DEL PILAR ORTIZ ESPINEL.
Se realiza seguimiento a los 5 casos de enfermedad laboral, se programo visita con asesora de ARL Positiva, observación en sus puestos de trabajo, socialización de recomendaciones generales que dio a conocer de manera verbal a cada uno.</t>
  </si>
  <si>
    <t>A la fecha en el IDU hay 5 casos calificados como enfermedad laboral por la ARL:
MARTHA LUCIA CORREDOR QUINTERO, JEASSY MATILDE FAJARDO, NAYDU ALEXANDRA DIAZ, CLARIBELLE VELOZA Y MARIA DEL PILAR ORTIZ ESPINEL.
Se adelanta seguimiento a 2 casos de enfermedad laboral, Maria del pilar y Naydu Alexandra se programo visita con asesora de ARL Positiva, observación en sus puestos de trabajo, socialización de recomendaciones generales que dio a conocer de manera verbal a cada uno, de acuerdo al desarrollo del caso, los otros 3 se continúan controlando.</t>
  </si>
  <si>
    <t>A la fecha en el IDU hay 5 casos calificados como enfermedad laboral por la ARL:
MARTHA LUCIA CORREDOR QUINTERO, JEASSY MATILDE FAJARDO, NAYDU ALEXANDRA DIAZ, CLARIBELLE VELOZA Y MARIA DEL PILAR ORTIZ ESPINEL.
Dentro del avance se hace seguimiento a 2 casos de enfermedad laboral, JEASSY MATILDE FAJARDO y CLARIBELLE VELOZA se programó visita mensual con  la asesora de la ARL Positiva para todos los casos, observación en sus puestos de trabajo, socialización de recomendaciones generales que dio a conocer de manera verbal a cada uno, gestión con ARL Positiva de acuerdo al desarrollo del caso. Los otros 3 casos se encuentran al día, con respecto a los seguimientos a realizar.</t>
  </si>
  <si>
    <t>A la fecha en el IDU hay 5 casos calificados como enfermedad laboral por la ARL:
MARTHA LUCIA CORREDOR QUINTERO, JEASSY MATILDE FAJARDO, NAYDU ALEXANDRA DIAZ, CLARIBELLE VELOZA Y MARIA DEL PILAR ORTIZ ESPINEL.
Dentro del avance se hace seguimiento a 3 casos de enfermedad laboral, MARTHA LUCIA CORREDOR QUINTERO, JEASSY MATILDE FAJARDO y CLARIBELLE VELOZA se programó visita mensual con asesora de ARL Positiva para todos los casos, observación en sus puestos de trabajo, socialización de recomendaciones generales que dio a conocer de manera verbal a cada uno, gestión con ARL Positiva de acuerdo al desarrollo del caso.  Los otros 2 casos se encuentran al día, con respecto a los seguimientos a realizar.</t>
  </si>
  <si>
    <t>A la fecha en el IDU hay 5 casos calificados como enfermedad laboral por la ARL:
MARTHA LUCIA CORREDOR QUINTERO, JEASSY MATILDE FAJARDO, NAYDU ALEXANDRA DIAZ, CLARIBELLE VELOZA Y MARIA DEL PILAR ORTIZ ESPINEL.
Dentro del avance se hace seguimiento a 3 casos de enfermedad laboral,  MARIA DEL PILAR ORTIZ ESPINEL, CLARIBELLE VELOZA y JEASSY MATILDE FAJARDO,   se programó visita mensual con asesora de ARL Positiva para todos los casos, observación en sus puestos de trabajo, socialización de recomendaciones generales,  se refuerzan recomendaciones mediante correos electrónicos con copia a cada uno de los jefes inmediatos de las funcionarias mencionadas.
Los otros 2 casos se encuentran al día, con respecto a los seguimientos a realizar.</t>
  </si>
  <si>
    <t>A la fecha en el IDU hay 5 casos calificados como enfermedad laboral por la ARL:
MARTHA LUCIA CORREDOR QUINTERO, JEASSY MATILDE FAJARDO, NAYDU ALEXANDRA DIAZ, CLARIBELLE VELOZA Y MARIA DEL PILAR ORTIZ ESPINEL.
Dentro del avance se hace seguimiento a 2 casos de enfermedad laboral,  CLARIBELLE VELOZA y MARIA DEL PILAR ORTIZ ESPINEL,  se programó visita mensual con asesora de ARL Positiva para todos los casos, observación en sus puestos de trabajo, socialización de recomendaciones generales.</t>
  </si>
  <si>
    <t>A la fecha en el IDU hay 5 casos calificados como enfermedad laboral por la ARL:
MARTHA LUCIA CORREDOR QUINTERO, JEASSY MATILDE FAJARDO, NAYDU ALEXANDRA DIAZ, CLARIBELLE VELOZA Y MARIA DEL PILAR ORTIZ ESPINEL.
Dentro del avance se hace seguimiento a los 5 casos de enfermedad laboral con asesora de ARL Positiva para todos los casos, observación en sus puestos de trabajo, socialización de recomendaciones generales.</t>
  </si>
  <si>
    <t>A la fecha en el IDU hay 6 casos calificados como enfermedad laboral por la ARL Positiva, dicha cifra aumento con el reporte  por parte de la aseguradora de la calificacion de contratista perteneciente a la STRF - Archivo y correspondencia.
Dentro del avance se hace seguimiento a los 6 casos de enfermedad laboral con asesora de ARL Positiva para todos los casos.</t>
  </si>
  <si>
    <t>Para la vigencia 2014, se incluyó el seguimiento mensual de los casos calificados como enfermedad laboral, información que sirvió para establecer acciones de seguimiento e intervención. Asi mismo se logró establecer un contacto directo con los funcionarios e integrarlos en las diferentes actividades de promoción y prevención.
Actualmente se tiene un numero de 6 enfermedades, de las cuales 5 son funcionarios y una es contratista, todos los casos están activos bien sea por indemnización o tratamiento médico.</t>
  </si>
  <si>
    <t>5.18 Implementar el sistema de estímulos que contribuya al mejoramiento de la calidad de vida laboral</t>
  </si>
  <si>
    <t>STRH - 04</t>
  </si>
  <si>
    <t>Ejecutar las 12 actividades programadas en el plan de acción correspondientes al Plan Institucional de Capacitación</t>
  </si>
  <si>
    <t>Cumplimiento del Plan de Institucional de Capacitación</t>
  </si>
  <si>
    <t>Lograr el desarrollo de las actividades programadas para la elaboración y ejecución del Plan Institucional de Capacitación</t>
  </si>
  <si>
    <t>(No. de actividades del plan Ejecutadas / No. de actividades del plan Programadas) * 100</t>
  </si>
  <si>
    <t>Carolina Gutiérrez</t>
  </si>
  <si>
    <t>Se remite memorando para la solicitud de las necesidades de capacitación por dependencia, adicionalmente, se solicita las necesidades detectadas en la evaluación del desempeño y se realiza consolidación</t>
  </si>
  <si>
    <t>Se dio cumplimiento al porcentaje pactado, por cuanto se realizaron las actividades programadas en el plan de acción tales como Investigación, elaboración y diagnostico PIC 2014 , solicitud de cotizaciones para contrato de capacitación 2014 y construcción de los estudios previos para la contratación</t>
  </si>
  <si>
    <t>Se dio cumplimiento al porcentaje pactado, por cuanto se realizaron las actividades programadas en el plan de acción tales como solicitud de CDP y Construcción de estudios previos para contrato PIC 2014 recolección de documentación necesaria para elaboración del contrato de capacitación
Se radicaron en la DTPS la contratación correspondiente a los temas financieros, auditores internos y temas transversales</t>
  </si>
  <si>
    <t>En cumplimiento de la actividad: Desarrollo actividades de capacitación primer semestre del 2014, se dio cumplimiento a través de la realización de 46 actividades de capacitaciones dentro de los cuales se incluyen inducción, reinducción, capacitaciones cero costo  y capacitaciones canceladas con recursos PIC.
En las capacitaciones cero costo se contó con la asistencia de 2035 participantes y con un total de 749 horas de capacitaciones.
Adicionalmente, durante este mes se realizó ajustes a los procesos de contratación correspondientes temas financieros, auditores internos y temas transversales</t>
  </si>
  <si>
    <t xml:space="preserve">Durante este mes se realizaron 28 capacitaciones dentro de los cuales se incluyen inducción, reinducción, capacitaciones cero costo  y capacitaciones canceladas con recursos PIC como avance de las actividades de: Desarrollo actividades capacitación para el segundo semestre y capacitaciones cero costo.
Así mismo  se avanzó en el proceso de contratación para capacitación, donde se firmaron los contratos IDU-308-2014 Contrato Cursos de Auditoria y IDU-309-2014 Contrato PIC 2014 Temas Financieros a los cuales se les firmó el Acta de Inicio los días 29 de julio y 30 de julio respectivamente. </t>
  </si>
  <si>
    <t>Durante este mes se realizaron 12 capacitaciones dentro de los cuales se incluyen inducción, reinducción, capacitaciones cero costo  y capacitaciones canceladas con recursos PIC como avance de las actividades de: Desarrollo actividades capacitación para el segundo semestre y capacitaciones cero costo.   
Se da inicio a dos contratos de capacitación los cuales se encuentran en ejecución con la participación de 30 funcionarios de carrera administrativa. Así mismo se encuentra en proceso de adjudicación dos procesos de capacitación del eje temático técnico y transversal.</t>
  </si>
  <si>
    <r>
      <t xml:space="preserve">Durante el mes se realizaron las siguientes actividades como avance a la contratación de capacitación:
1. </t>
    </r>
    <r>
      <rPr>
        <b/>
        <sz val="8"/>
        <rFont val="Arial"/>
        <family val="2"/>
      </rPr>
      <t>Contrato temas financieros</t>
    </r>
    <r>
      <rPr>
        <sz val="8"/>
        <rFont val="Arial"/>
        <family val="2"/>
      </rPr>
      <t>:
Curso de Reforma Tributaria terminó el 17 de septiembre. Está en proceso de pago de factura.
Curso de Normas internacionales:  En curso, termina el 30 de octubre.
Curso de Actualización en Legislación laboral: Dará inicio el 9 de octubre
2.</t>
    </r>
    <r>
      <rPr>
        <b/>
        <sz val="8"/>
        <rFont val="Arial"/>
        <family val="2"/>
      </rPr>
      <t xml:space="preserve"> Contrato Auditores Internos:</t>
    </r>
    <r>
      <rPr>
        <sz val="8"/>
        <rFont val="Arial"/>
        <family val="2"/>
      </rPr>
      <t xml:space="preserve">
Curso de Sistema de Seguridad de la Información: Iniciará el 8 de octubre
Curso de Auditores: Iniciará el 28 de octubre
3. </t>
    </r>
    <r>
      <rPr>
        <b/>
        <sz val="8"/>
        <rFont val="Arial"/>
        <family val="2"/>
      </rPr>
      <t>Contrato temas transversales</t>
    </r>
    <r>
      <rPr>
        <sz val="8"/>
        <rFont val="Arial"/>
        <family val="2"/>
      </rPr>
      <t xml:space="preserve">: En adjudicación.
4. </t>
    </r>
    <r>
      <rPr>
        <b/>
        <sz val="8"/>
        <rFont val="Arial"/>
        <family val="2"/>
      </rPr>
      <t>Contrato de Proyectos PMI, DOTS PUIS</t>
    </r>
    <r>
      <rPr>
        <sz val="8"/>
        <rFont val="Arial"/>
        <family val="2"/>
      </rPr>
      <t xml:space="preserve">: En adjudicación.
5. </t>
    </r>
    <r>
      <rPr>
        <b/>
        <sz val="8"/>
        <rFont val="Arial"/>
        <family val="2"/>
      </rPr>
      <t>Capacitaciones Cero Costo:</t>
    </r>
    <r>
      <rPr>
        <sz val="8"/>
        <rFont val="Arial"/>
        <family val="2"/>
      </rPr>
      <t xml:space="preserve">
5.1 Se realizaron las inscripciones para los cursos virtuales de la alcaldía:
- RESOLUCIÓN DE CONFLICTOS: 24 participantes
- FORTALECIMIENTO DE LA GESTIÓN: 23 participantes
5.2 Inscripción Seminario Internacional de Gerencia Jurídica Pública: 10 participantes
5.3 Charla de Pavimentos: 12 sep=45 participantes - 19 sept=41 participantes total: 86 participantes
5.4 Charla Google Apps para Dummies (Día Internacional del Teletrabajo): 14 participantes
5.5 Socialización Devoluciones-Sistema Valoricemos interface Orfeo: 107 participantes</t>
    </r>
  </si>
  <si>
    <r>
      <t xml:space="preserve">Durante el mes se realizaron las siguientes actividades como avance a la contratación de capacitación:
</t>
    </r>
    <r>
      <rPr>
        <b/>
        <sz val="8"/>
        <rFont val="Arial"/>
        <family val="2"/>
      </rPr>
      <t>1. Contrato temas financieros:</t>
    </r>
    <r>
      <rPr>
        <sz val="8"/>
        <rFont val="Arial"/>
        <family val="2"/>
      </rPr>
      <t xml:space="preserve">
Curso de Reforma tributaria: En proceso de pago de factura.
Curso de Normas internacionales: En desarrollo, termina el 11 de noviembre.
Curso de Actualización en Legislación laboral: En desarrollo, termina el 18 de diciembre.
</t>
    </r>
    <r>
      <rPr>
        <b/>
        <sz val="8"/>
        <rFont val="Arial"/>
        <family val="2"/>
      </rPr>
      <t xml:space="preserve">
2. Contrato Icontec:</t>
    </r>
    <r>
      <rPr>
        <sz val="8"/>
        <rFont val="Arial"/>
        <family val="2"/>
      </rPr>
      <t xml:space="preserve">
Curso de Sistema de Seguridad de la Información: Terminó el 29 de octubre, en proceso de facturación para realizar el pago en Diciembre.
Curso de Auditores: Inició el 28 de octubre y termina el 28 de  noviembre
</t>
    </r>
    <r>
      <rPr>
        <b/>
        <sz val="8"/>
        <rFont val="Arial"/>
        <family val="2"/>
      </rPr>
      <t>3. Contrato temas transversales</t>
    </r>
    <r>
      <rPr>
        <sz val="8"/>
        <rFont val="Arial"/>
        <family val="2"/>
      </rPr>
      <t xml:space="preserve">: Se adjudicó el 29 de Octubre de 2014, en proceso de tramite contractual
</t>
    </r>
    <r>
      <rPr>
        <b/>
        <sz val="8"/>
        <rFont val="Arial"/>
        <family val="2"/>
      </rPr>
      <t>4. Contrato de Proyetos PMI, DOTS PUIS</t>
    </r>
    <r>
      <rPr>
        <sz val="8"/>
        <rFont val="Arial"/>
        <family val="2"/>
      </rPr>
      <t xml:space="preserve">: Se adjudicó el 30 de Octubre de 2014, en proceso de tramite contractual
</t>
    </r>
  </si>
  <si>
    <r>
      <t xml:space="preserve">Durante el mes se realizaron las siguientes actividades como avance a la contratación de capacitación:
</t>
    </r>
    <r>
      <rPr>
        <b/>
        <sz val="8"/>
        <rFont val="Arial"/>
        <family val="2"/>
      </rPr>
      <t>1. Contrato temas financieros:</t>
    </r>
    <r>
      <rPr>
        <sz val="8"/>
        <rFont val="Arial"/>
        <family val="2"/>
      </rPr>
      <t xml:space="preserve">
Se realizó el pago del Curso de Reforma tributaria.
Curso de Normas internacionales: Finalizó el 11 de noviembre y se radica factura para el 04 de diciembre de 2014.
Curso de Actualización en Legislación laboral: En desarrollo, termina el 18 de diciembre. El pago se programa para enero 2015.
</t>
    </r>
    <r>
      <rPr>
        <b/>
        <sz val="8"/>
        <rFont val="Arial"/>
        <family val="2"/>
      </rPr>
      <t xml:space="preserve">
2. Contrato Icontec:</t>
    </r>
    <r>
      <rPr>
        <sz val="8"/>
        <rFont val="Arial"/>
        <family val="2"/>
      </rPr>
      <t xml:space="preserve">
En proceso de pago. Radicación de factura para el 11 de diciembre de 2014.
</t>
    </r>
    <r>
      <rPr>
        <b/>
        <sz val="8"/>
        <rFont val="Arial"/>
        <family val="2"/>
      </rPr>
      <t>3. Contrato temas transversales</t>
    </r>
    <r>
      <rPr>
        <sz val="8"/>
        <rFont val="Arial"/>
        <family val="2"/>
      </rPr>
      <t xml:space="preserve">: En proceso de aprobación de polizas para firma de acta de inicio.
</t>
    </r>
    <r>
      <rPr>
        <b/>
        <sz val="8"/>
        <rFont val="Arial"/>
        <family val="2"/>
      </rPr>
      <t>4. Contrato de Proyetos PMI, DOTS PUIS</t>
    </r>
    <r>
      <rPr>
        <sz val="8"/>
        <rFont val="Arial"/>
        <family val="2"/>
      </rPr>
      <t xml:space="preserve">: En proceso de aprobación de polizas para firma de acta de inicio.
</t>
    </r>
  </si>
  <si>
    <r>
      <t xml:space="preserve">Durante el mes se realizaron las siguientes actividades como avance a la contratación de capacitación:
</t>
    </r>
    <r>
      <rPr>
        <b/>
        <sz val="8"/>
        <rFont val="Arial"/>
        <family val="2"/>
      </rPr>
      <t>*  Contrato temas financieros:</t>
    </r>
    <r>
      <rPr>
        <sz val="8"/>
        <rFont val="Arial"/>
        <family val="2"/>
      </rPr>
      <t xml:space="preserve">
Se finaliza el curso de Actualización en Legislación laboral el 18 de diciembre y se radicó la tercera y ultima factura el 08 de enero de 2015. El contrato esta en estado de liquidación.
</t>
    </r>
    <r>
      <rPr>
        <b/>
        <sz val="8"/>
        <rFont val="Arial"/>
        <family val="2"/>
      </rPr>
      <t xml:space="preserve">
*  Contrato Icontec:
</t>
    </r>
    <r>
      <rPr>
        <sz val="8"/>
        <rFont val="Arial"/>
        <family val="2"/>
      </rPr>
      <t xml:space="preserve">Contrato liquidado
*  </t>
    </r>
    <r>
      <rPr>
        <b/>
        <sz val="8"/>
        <rFont val="Arial"/>
        <family val="2"/>
      </rPr>
      <t>Contrato temas transversales</t>
    </r>
    <r>
      <rPr>
        <sz val="8"/>
        <rFont val="Arial"/>
        <family val="2"/>
      </rPr>
      <t xml:space="preserve">: Suscrito en el mes de diciembre.
*  </t>
    </r>
    <r>
      <rPr>
        <b/>
        <sz val="8"/>
        <rFont val="Arial"/>
        <family val="2"/>
      </rPr>
      <t>Contrato de Proyetos PMI, DOTS PUIS</t>
    </r>
    <r>
      <rPr>
        <sz val="8"/>
        <rFont val="Arial"/>
        <family val="2"/>
      </rPr>
      <t>: Se firmó el acta de inicio. Estado el Ejecución</t>
    </r>
  </si>
  <si>
    <t>Se realizaron 11 de las 12 actividades definidas en el Plan de Acción. Queda pendiente una actividad correspondiente a la ejecución de los contratos: 
- IDU-1756-2014  Contratar los cursos de gerencia de proyectos con estándares del Project Management Institute PMI, gestión de proyectos  arquitectura TOGAF 
- IDU-1757-2014  Contratar el servicio de capacitación para los servidores públicos del IDU en los temas que se relacionan en el anexo técnico.</t>
  </si>
  <si>
    <t>STRH - 05</t>
  </si>
  <si>
    <t>Ejecutar las 13 actividades programadas en el plan de acción correspondientes a seguridad y salud en el trabajo</t>
  </si>
  <si>
    <t>Cumplimiento del plan de Seguridad y Salud en el Trabajo</t>
  </si>
  <si>
    <t>Lograr el desarrollo de las actividades programadas para la elaboración y ejecución del Plan de Seguridad y Salud en el Trabajo</t>
  </si>
  <si>
    <t>De las 13 actividades planeadas solo una estaba para entregar en febrero de 2014: Plan Anual de Seguridad Y Salud en el Trabajo 2014, quedó realizada y publicada en la intranet del IDU.</t>
  </si>
  <si>
    <t>De las 13 actividades planeadas en el año, había solo una para realizar en abril : Normograma actualizado del área de seguridad y salud en el trabajo y se realizó y quedó a su vez publicado a través de la SGJ.</t>
  </si>
  <si>
    <t>De las 13 actividades planeadas, se tenían que realizar 4 en el mes de junio  y consistían en la radicación en la DTPS de los documentos para adelantar proceso de selección de adquisición de elementos de confort, elementos de protección personal,  elementos de dotación para botiquines  y primeros auxilios y  realización de exámenes médicos   para funcionarios. Actividades que fueron realizadas en junio de 2014.</t>
  </si>
  <si>
    <t>De las 13 actividades planeadas solo una estaba para entregar en julio de 2014: Semana de la Salud IDU 2014, la cual se realizó satisfactoriamente de la semana del 21 al 25 de julio de 2014 con amplia participación de funcionarios y contratistas de la entidad. Las actividades fueron Inauguración con obra de teatro: Consiéntete Conciencia, Aeróbicos dirigidos, parodia sobre hábitos y antitabaco y antialcohol, desafío ascenso escaleras, caminata ecológica, tamizaje de seno, taller de enfermedades de transmisión sexual y cáncer de próstata, conferencia antiestrés, ciclopaseo, masaje puesto a puesto, concurso de baile y clausura y premiación.</t>
  </si>
  <si>
    <t xml:space="preserve">De las 13 actividades planeadas solo una estaba para entregar en Agosto de 2014: Realizar la entrega de los elementos de protección personal a los funcionarios, lo cual se dificultó por cuanto en el mes el grupo se enfocó en tres grandes jornadas de orden y aseo realizadas en el Instituto que demandaron gran parte de tiempo y recursos. Esta actividad se traslada para el mes de septiembre de 2014.
Se da inicio a la actividad  de dotar los botiquines y se entrega a las secretarias guantes, tapabocas, gel antibacterial y acetato de aluminio.
Por otro lado se consolidó el proceso de  elección del nuevo Comité de Convivencia 2014 - 2016. </t>
  </si>
  <si>
    <t xml:space="preserve">De las 13 actividades programadas  había tres  (3) para el mes de septiembre de 2014:
1).Realizar la entrega de los elementos de confort a los funcionarios
2). Actualizar el panorama de riesgos del IDU
3).Actualizar el plan de emergencias del IDU
Estas tres actividades se realizaron en el mes de septiembre de 2014, incluso se socializó el plan de emergencias entres sedes del IDU: Calle 22, Calle 20 y Alcázares. Es de anotar que en cuanto a los elementos de confort aún quedan pendientes funcionarios que no los han reclamado, por lo que se reenviará correo  a los mismos el día 7 de octubre de 2014.  Por su parte la entrega de los elementos de protección queda para el mes de octubre por cuanto en el mes de septiembre se tuvo que depurar la planta y los riesgos V por movimientos de planta y se organizaron en almacén dichos elementos. </t>
  </si>
  <si>
    <t>De las 13 actividades programadas en el año, para el mes de octubre de 2014, no se tenían programadas. No obstante tenemos una actividad rezagada que es la entrega de elementos de protección personal para lo cual se envió el día 31 de octubre correo a los funcionarios a los que se les  entregará para que empiecen a reclamarlos. Actividad iniciada. Según informe presentado al COPASO en el mes de octubre dicha actividad se terminará en el mes de noviembre de 2014.</t>
  </si>
  <si>
    <t>Se tenía una actividad programada para noviembre de 2014 que era la siguiente: Programar la agenda de citas a exámenes médicos periódicos. No obstante en reunión con la Dra. Cecilia Malté se acató la sugerencia dada de que esta actividad se realizará el otro año, por cuanto en diciembre el personal estaba  con mucha actividad  laboral y  además coincidía con las vacaciones de fin de año,  por lo cual no sería muy exitosa la agenda de programación de citas dando de esta manera por cumplida esta actividad.</t>
  </si>
  <si>
    <t>Para el mes de diciembre de 2014 se tenía programado el dotar los botiquines y elementos de primeros auxilios, a partir de la ejecucion del contrato de elementos para el botiquín, lo cual se realizó.
Adicionalmente, se realizó la entrega de elementos de protección personal  a los funcionarios del IDU.</t>
  </si>
  <si>
    <t>En el transcurso del año 2014 se desarrollaron las actividades programadas para el área de Seguridad y Salud en el Trabajo de manera satisfactoria y aunque en el mes de Agosto de 2014 no se pudo concretar la entrega de los elementos de protección personal a los funcionarios, por diversas actividades, esta se realizó finalizando año 2014 con un positivo balance.
En todas las actividades tuvimos amplia participación tanto del cuerpo directivo del Instituto como de los trabajadores y personal de la entidad, procurando mantener la salud y seguridad de los trabajadores durante su jornada y actividades laborales.</t>
  </si>
  <si>
    <t>STRH - 06</t>
  </si>
  <si>
    <t>Ejecutar las 35 actividades programadas en el plan de acción correspondientes al Plan de Bienestar</t>
  </si>
  <si>
    <t>Cumplimiento del Plan de Bienestar Social  e incentivos</t>
  </si>
  <si>
    <t>Lograr el desarrollo de las actividades programadas para la elaboración y ejecución del Plan de Bienestar Social e incentivos</t>
  </si>
  <si>
    <t>Fulvia Vásquez - Jorge Sepúlveda</t>
  </si>
  <si>
    <t>Se llevó a cabo el Evento "Compromisos IDU 2014-2016" en el Salón Rojo del Hotel Tequendama, en el cual el Director del IDU, Ingeniero William Camargo presentó los compromisos 2014-2016 ante todos los colaboradores.  Aparte de la presentación del Director, este evento incluyó almuerzo, presentación artística y jornada de integración.</t>
  </si>
  <si>
    <t>En marzo se llevaron a cabo diferentes eventos y se dio comienzo a varias de las actividades de bienestar.  Entre los eventos realizados están:  se diseñó y aplicó la Encuesta de Bienestar y Clima Organizacional. Entrenamientos de futbol masculino y femenino, participación en el Torneo Interempresas de Compensar (Fútbol Masculino) y en la Copa BBVA (Fútbol femenino). 
Entre las actividades que se iniciaron están: Sesiones de Rumba aeróbica, de Pilates, Ensayos de Danzas,.
Por parte de incentivos se elaboró y formalizó el Plan Institucional de Incentivos mediante la Resolución No. 9807 del 31 de marzo de 2014 previa revisiones y ajustes a la misma; por otra parte se realizó el correspondiente Comité de Incentivos en el cual se desarrollo temas relacionados con los componentes del Plan Institucional 2014 y el proceso inicial para la presente vigencia, así mismo se procedió a revisar, ajustar y formalizar los formatos para solicitud de patrocinio educativo, así como la metodología para la postulación de equipos de mejoramiento para la presente vigencia.</t>
  </si>
  <si>
    <t>En el mes de abril se realizó un evento (show de comedia) para celebrar el Día de la Mujer y del Hombre IDU, dirigido a todos los servidores.  También se envió al DASCD la información relativa al cuerpo de secretarias y secretarios del IDU que solicitaban para incluirlas en la celebración que organizan a nivel distrital.  Se entregaron las tarjetas de invitación y se hizo el respectivo acompañamiento durante el evento.
En incentivos se avanzó en:  Preparar la información relacionada con la convocatoria para postularse al Patrocinio Educativo correspondiente al primer semestre, se  gestiona ante la Oficina Asesora de Comunicaciones la elaboración de las piezas de divulgación,  las cuales se publican en dos fechas diferentes, igualmente se prepara la información relacionada con la información  para postularse a los equipos de mejoramiento,  la elaboración de la pieza de divulgación para ser publicada en dos oportunidades.  Se da inicio a la recolección de evidencias e información y a la  evaluación de las solicitudes de Patrocinio Educativo.</t>
  </si>
  <si>
    <t>En el mes de mayo se culminó con la premiación de los concursos llevados a cabo, dando como reconocimiento almuerzo, desayuno, campeonato de bolos, salida a Lagosol, de acuerdo al premio obtenido.
En incentivos se avanza en: recepcionar las solicitudes de patrocinio Educativo, para lo cual se da inicio a consolidar y revisar soportes y evidencias, en aspectos como asignación básica, tiempo que lleva el funcionario en carrera administrativa,  sanciones disciplinarias, evaluación de desempeño, impacto del estudio que cursa sobre las funciones del cargo que desempeña el funcionario.</t>
  </si>
  <si>
    <t>En el mes de junio se terminan las siguientes actividades:
Realización del mundial IDU, con la participación de 32 equipos en el cual se realizaron la siguientes actividades 
 Sorteo de equipos  =  32 participantes 
*- Decoración de Piso de acuerdo con el equipo    
*-Fase de grupos : En esta fase se realizó una partida de rana
*- Octavo de final : En esta etapa se realizó  un  juego de bolos
*- Cuartos de final : En esta etapa se programó una carrera de observación
*-  Semifinales : En esta etapa se programó competencia de Wii
*- Final : Se realizó un partido de futbol 5  en el parque nacional
Igualmente para mejorar la integración de las dependencias en el IDU se premió la mejor decoración  por sede y el ganador del mundial.
Por otro lado se terminan las clases de rumba aeróbica, danzas y Pilates y yoga para el primer semestre.
En incentivos se presenta avance en:  preparar la información correspondiente a la divulgación de la Convocatoria para los Equipos de Trabajo para el mejoramiento de la entidad en 4 ocasiones. Por otra parte, se procedió a inscribir 3 equipos de trabajo y suministrar información requerida a los participantes.</t>
  </si>
  <si>
    <r>
      <t xml:space="preserve">Para el mes de julio se tenía programado dar inicio a las siguientes actividades: 
</t>
    </r>
    <r>
      <rPr>
        <sz val="8"/>
        <rFont val="Symbol"/>
        <family val="1"/>
        <charset val="2"/>
      </rPr>
      <t>·</t>
    </r>
    <r>
      <rPr>
        <sz val="8"/>
        <rFont val="Arial"/>
        <family val="2"/>
      </rPr>
      <t xml:space="preserve"> Clases libres: Rumba aeróbica participación de 9 personas
</t>
    </r>
    <r>
      <rPr>
        <sz val="8"/>
        <rFont val="Symbol"/>
        <family val="1"/>
        <charset val="2"/>
      </rPr>
      <t>·</t>
    </r>
    <r>
      <rPr>
        <sz val="8"/>
        <rFont val="Arial"/>
        <family val="2"/>
      </rPr>
      <t xml:space="preserve"> Envío de tarjetas electrónicas de felicitación por cumpleaños a la Gente IDU.
Adicionalmente, se realizaron las siguientes actividades, en las cuales se invitó al IDU a participar
</t>
    </r>
    <r>
      <rPr>
        <sz val="8"/>
        <rFont val="Symbol"/>
        <family val="1"/>
        <charset val="2"/>
      </rPr>
      <t>·</t>
    </r>
    <r>
      <rPr>
        <sz val="8"/>
        <rFont val="Arial"/>
        <family val="2"/>
      </rPr>
      <t xml:space="preserve"> Inscripción de equipos para los juegos deportivos Bogotá Humana , los cuales quedaron así : 
Baloncesto: 1 equipo, Bolos: 7 equipos, Futbol: 1 equipo, Futbol 5: 1 equipo, Minitejo: 2 equipos y Voleibol: 1 equipo.
</t>
    </r>
    <r>
      <rPr>
        <sz val="8"/>
        <rFont val="Symbol"/>
        <family val="1"/>
        <charset val="2"/>
      </rPr>
      <t>·</t>
    </r>
    <r>
      <rPr>
        <sz val="6.8"/>
        <rFont val="Arial"/>
        <family val="2"/>
      </rPr>
      <t xml:space="preserve"> </t>
    </r>
    <r>
      <rPr>
        <sz val="8"/>
        <rFont val="Arial"/>
        <family val="2"/>
      </rPr>
      <t xml:space="preserve">Media Maratón de Bogota, participaron de 12 personas.
Teniendo en cuenta las expectativas de la Gente IDU se realizó las siguientes actividades las cuales no estaban programadas en el plan de acción:
</t>
    </r>
    <r>
      <rPr>
        <sz val="8"/>
        <rFont val="Symbol"/>
        <family val="1"/>
        <charset val="2"/>
      </rPr>
      <t>·</t>
    </r>
    <r>
      <rPr>
        <sz val="6.8"/>
        <rFont val="Arial"/>
        <family val="2"/>
      </rPr>
      <t xml:space="preserve"> </t>
    </r>
    <r>
      <rPr>
        <sz val="8"/>
        <rFont val="Arial"/>
        <family val="2"/>
      </rPr>
      <t xml:space="preserve">Celebración del día de la Virgen del Carmen el 18 de julio, en la cual para motivar a los conductores de la entidad, se realizaron las siguientes actividades:
1) Procesión con los vehículos 
2) Misa de la Virgen del Carmen acompañada con la Banda Sinfónica de Idipron
En esta actividad participaron 32 conductores y 50 personas en promedio de Gente IDU.
</t>
    </r>
    <r>
      <rPr>
        <sz val="8"/>
        <rFont val="Symbol"/>
        <family val="1"/>
        <charset val="2"/>
      </rPr>
      <t>·</t>
    </r>
    <r>
      <rPr>
        <sz val="6.8"/>
        <rFont val="Arial"/>
        <family val="2"/>
      </rPr>
      <t xml:space="preserve"> </t>
    </r>
    <r>
      <rPr>
        <sz val="8"/>
        <rFont val="Arial"/>
        <family val="2"/>
      </rPr>
      <t>Practica de futbol 11 y futbol 8 (damas) con la participación promedio de 60 personas (realizada en lo días jueves 3, 10, 17, 24, 31 de julio), 
En la parte de incentivos se avanzó en el proyecto de distribución del incentivo al patrocinio educativo.</t>
    </r>
  </si>
  <si>
    <t>• Elaboración y  tramite del nuevo contrato del rubro de bienestar por la suma de $615.000.00
• Tramite de las cuentas y acta de terminación y liquidación del contrato No. 892 de 2013, este quedó terminado y liquidado con el acta de fecha agosto 29 de 2014
• Durante el mes de agosto se enviaron por correo electrónico 66 tarjetas de cumpleaños 
• El 5 de agosto del año en curso, se invitó a la Gente IDU en la participación de una porción de ponqué por el cumplimiento de 476 años, dentro de esta actividad participaron 800 personas
• Durante el mes de agosto se realizaron 7 sesiones de bailes los días  5, 12, 13, 19, 20, 26 y 27 de agosto del año en curso, con la participación  de 60  personas.
Se organizaron dos reuniones con el Comité de Incentivos una para el día 20 de agosto, a la cual no llegaron los miembros completos y se reprogramó para el día 25 de agosto, donde el Comité de Incentivos define que el patrocinio se distribuya con base en los parámetros de la Resolución 9807 de 2014  y no a la propuesta entregada por la STRH, también se trata el tema de equipos de trabajo,  se descalifican 2 equipos, quedando pendiente un grupo. Se programa reunión para el 1 de septiembre para concretar los temas faltantes.</t>
  </si>
  <si>
    <t>1. Preparación de vacaciones recreativas 
Durante este mes se realizó la planeación del evento:
• Selección de lugares donde se realizarán la vacaciones 
• Inscripciones de los hijos de los funcionarios de 4 a 12 años
• Diligenciamiento de la ficha antecedentes de salud y descuento de nómina
• Reunión de Padres de Familia sobre las normas
• Sensibilización para los funcionarios de planta
2. Aniversario del IDU
Se realizaron las siguientes actividades
• Proceso de sensibilización a todas las personas del IDU
• Reuniones de planeación y coordinación del evento con Compensar 
3. Día  de los niños 
Esta actividad se llevará a cabo el 30 de octubre del año en curso, y se está realizando la planeación y organización del evento
4. Tarjetas de cumpleaños 
Durante el mes se enviaron 158 tarjetas personalizadas a los funcionarios que cumplieron en el mes de septiembre.
INCENTIVOS
Se realiza la reunión del Comité de Incentivos el día 11 de septiembre, se decide entregar los patrocinios educativos de acuerdo a la propuesta realizada por la STRH, se realiza la Resolución de reconocimiento y pago de los mismos con fecha de septiembre 12 de 2014 y a 30 de septiembre no ha sido firmada por el Director General, por demoras en los vistos buenos.
En esta misma reunión se decide que los proyectos de los equipos de trabajo no cumplen con los requisitos de la Resolución 9807 de 2014, por lo cual este incentivo no será otorgado, lo que da por terminada anticipadamente la actividad, puesto que no existen proyectos a evaluar.</t>
  </si>
  <si>
    <r>
      <t xml:space="preserve">En el mes de Octubre se dio cumplimiento a las siguientes actividades:
</t>
    </r>
    <r>
      <rPr>
        <b/>
        <sz val="8"/>
        <rFont val="Arial"/>
        <family val="2"/>
      </rPr>
      <t>Vacaciones recreativas: S</t>
    </r>
    <r>
      <rPr>
        <sz val="8"/>
        <rFont val="Arial"/>
        <family val="2"/>
      </rPr>
      <t xml:space="preserve">e realizó del 6 al 10 de octubre del año en curso, con la participación de 44 niños.
</t>
    </r>
    <r>
      <rPr>
        <b/>
        <sz val="8"/>
        <rFont val="Arial"/>
        <family val="2"/>
      </rPr>
      <t xml:space="preserve">Aniversario del IDU: </t>
    </r>
    <r>
      <rPr>
        <sz val="8"/>
        <rFont val="Arial"/>
        <family val="2"/>
      </rPr>
      <t xml:space="preserve">Esta actividad se realizó con la participación de 450 funcionarios, la cual se efectuó el día 24 de octubre del año en curso, en Aguapanelas Internacional
</t>
    </r>
    <r>
      <rPr>
        <b/>
        <sz val="8"/>
        <rFont val="Arial"/>
        <family val="2"/>
      </rPr>
      <t>Día  de los niños:</t>
    </r>
    <r>
      <rPr>
        <sz val="8"/>
        <rFont val="Arial"/>
        <family val="2"/>
      </rPr>
      <t xml:space="preserve"> Actividad que se llevó a cabo el 30 de octubre del 2014, en la que cada uno de los pisos de las diferentes dependencias decoró  acorde a un sistema de movilidad y contó con la participación de 470 niños.
</t>
    </r>
    <r>
      <rPr>
        <b/>
        <sz val="8"/>
        <rFont val="Arial"/>
        <family val="2"/>
      </rPr>
      <t>Programa de Vivienda</t>
    </r>
    <r>
      <rPr>
        <sz val="8"/>
        <rFont val="Arial"/>
        <family val="2"/>
      </rPr>
      <t xml:space="preserve">: Esta actividad la realizó COMPENSAR, los días 14 , 15 y 16 de octubre del año en curso, en la sede de la calle 22, calle 20 y alcázares respectivamente.
Dia de la Familia: Actividad aplazada de acuerdo a decisión de Alta Dirección.
Adiconalmente se realizó la gestión de las siguientes actividades:
</t>
    </r>
    <r>
      <rPr>
        <b/>
        <sz val="8"/>
        <rFont val="Arial"/>
        <family val="2"/>
      </rPr>
      <t>Tarjetas de cumpleaños: S</t>
    </r>
    <r>
      <rPr>
        <sz val="8"/>
        <rFont val="Arial"/>
        <family val="2"/>
      </rPr>
      <t xml:space="preserve">e enviaron  142 tarjetas de felicitación a los servidores que cumplieron durante este mes
</t>
    </r>
    <r>
      <rPr>
        <b/>
        <sz val="8"/>
        <rFont val="Arial"/>
        <family val="2"/>
      </rPr>
      <t>Clases de Rumba</t>
    </r>
    <r>
      <rPr>
        <sz val="8"/>
        <rFont val="Arial"/>
        <family val="2"/>
      </rPr>
      <t xml:space="preserve">:  Se realizó durante el mes sesiones de rumba aeróbica.
</t>
    </r>
    <r>
      <rPr>
        <b/>
        <sz val="8"/>
        <rFont val="Arial"/>
        <family val="2"/>
      </rPr>
      <t>Semana Cultural:</t>
    </r>
    <r>
      <rPr>
        <sz val="8"/>
        <rFont val="Arial"/>
        <family val="2"/>
      </rPr>
      <t xml:space="preserve"> Esta actividad se programará en el 2015
</t>
    </r>
    <r>
      <rPr>
        <b/>
        <sz val="8"/>
        <rFont val="Arial"/>
        <family val="2"/>
      </rPr>
      <t>Convocatoria Grupo Musical y de Danzas</t>
    </r>
    <r>
      <rPr>
        <sz val="8"/>
        <rFont val="Arial"/>
        <family val="2"/>
      </rPr>
      <t xml:space="preserve">: Se convocó el 23 de octubre, pero se encuentra aplazada.
Como valor agregado se realizó una actividad  que no estaba contemplada en el programa de bienestar:
</t>
    </r>
    <r>
      <rPr>
        <b/>
        <sz val="8"/>
        <rFont val="Arial"/>
        <family val="2"/>
      </rPr>
      <t>Día del Servidor Público:</t>
    </r>
    <r>
      <rPr>
        <sz val="8"/>
        <rFont val="Arial"/>
        <family val="2"/>
      </rPr>
      <t xml:space="preserve"> De conformidad con el Decreto 86 del 28 de febrero de 2014 el Instituto hizo  un reconocimiento público a todos los servidores del IDU,  a través de una conferencia  en donde se sensibilizo a la GENTE IDU, sobre el sentido pertenencia con el fin de generar empoderamiento en los proyectos que se realizan diariamente, esta actividad se  realizó el 1 de octubre, en las instalaciones del Auditorio México de la Universidad Central , con la participación de 450 funcionarios .
</t>
    </r>
    <r>
      <rPr>
        <b/>
        <sz val="8"/>
        <rFont val="Arial"/>
        <family val="2"/>
      </rPr>
      <t>INCENTIVOS</t>
    </r>
    <r>
      <rPr>
        <sz val="8"/>
        <rFont val="Arial"/>
        <family val="2"/>
      </rPr>
      <t xml:space="preserve">
Se entregó el patrocinio educativo para el primer semestre del 2014, el día 24 de octubre el cual  se legalizó a traves de Resolución 80210 de 2014.
Se da inicio a la entrega del patrocinio educativo para el segundo semestre de 2014, con la publicación de la convocatoria, se analiza el cumplimiento de requisitos habilitantes y califica los factores de puntuación a cada uno de los solicitantes.
Se programa la reunión del Comité de Incentivos para el día 5 de noviembre.
Para  mejor empleado, se realizó la identificación por nivel de cada uno de los funcionarios que  obtuvieron mejor calificación y se revisó los requisitos de sanciones disciplinarias y de tener más de un año en la entidad.</t>
    </r>
  </si>
  <si>
    <r>
      <t xml:space="preserve">En el mes de noviembre se realizó las siguientes actividades:
</t>
    </r>
    <r>
      <rPr>
        <b/>
        <sz val="8"/>
        <rFont val="Arial"/>
        <family val="2"/>
      </rPr>
      <t>Entrega de Bonos</t>
    </r>
    <r>
      <rPr>
        <sz val="8"/>
        <rFont val="Arial"/>
        <family val="2"/>
      </rPr>
      <t xml:space="preserve">:  Se realizó la planeación con Compensar para la entrega de los bonos a los hijos de los funcionarios, los cuales se entregaran en el mes de diciembre.
</t>
    </r>
    <r>
      <rPr>
        <b/>
        <sz val="8"/>
        <rFont val="Arial"/>
        <family val="2"/>
      </rPr>
      <t>Tarjeta de cumpleaños:</t>
    </r>
    <r>
      <rPr>
        <sz val="8"/>
        <rFont val="Arial"/>
        <family val="2"/>
      </rPr>
      <t xml:space="preserve">  Se enviaron las tarjetas personalizadas a las personas que cumplieron durante el mes de noviembre.
</t>
    </r>
    <r>
      <rPr>
        <b/>
        <sz val="8"/>
        <rFont val="Arial"/>
        <family val="2"/>
      </rPr>
      <t>Generación proyecto de desvinculación laboral:</t>
    </r>
    <r>
      <rPr>
        <sz val="8"/>
        <rFont val="Arial"/>
        <family val="2"/>
      </rPr>
      <t xml:space="preserve">  se programó hacer un reconocimiento a las personas que llevan más años en la entidad, así como a los pensionados durante la vigencia 2014.
Adicionalmente, se realizó la actividad de celebración del día del cumpleaños del Director General, en la cual Compensar entregó una torta para repartir con los servidores públicos de la entidad.
</t>
    </r>
    <r>
      <rPr>
        <b/>
        <sz val="8"/>
        <rFont val="Arial"/>
        <family val="2"/>
      </rPr>
      <t>INCENTIVOS</t>
    </r>
    <r>
      <rPr>
        <sz val="8"/>
        <rFont val="Arial"/>
        <family val="2"/>
      </rPr>
      <t xml:space="preserve">
Se entregó el patrocinio educativo para el segundo semestre del 2014, el día 28 de noviembre el cual  se legalizó a traves de Resolución 99587 de 2014.
En reunión del Comité de Incentivos  de los días 5 y 19  de noviembre, se definió la selección del mejor empleado de la entidad, para lo cual a través  de Resolucion 102874 de 2014 se legalizó la entrega. En dicha reunión se hace un balance de general de la gestión realizada por la STRH en el tema de incentivos el cual es aprobado por el Comité de Incentivos (a cuyo comité pertenece la Comisión de Personal), se aprueba la realización de la ceremonia de premiación, la cual se proyectó hacerla en el mes de diciembre según lo programado.
</t>
    </r>
  </si>
  <si>
    <t xml:space="preserve">INCENTIVOS
En reunión del 11 de diciembre de 2014, en el Auditorio México de la Universidad Central, se entregó el reconocimiento a los mejores empleados de la entidad, así mismo se entregó un reconocimiento personal a todos los funcionarios con nivel sobresaliente en la evaluación de desempeño 2013-2014. Con esta actividad se da por concluidos los compromisos de gestión para incentivos.
BIENESTAR
Se realizaron las siguientes actividades :
- Tarjetas de cumpleaños
- Bonos Hijos funcionarios
- Reunión rendición de cuentas
- Reconocimiento por antigüedad a funcionarios con 15, 20 y mas 25 años de permanencia en el IDU
- Desvinculación Laboral asistida y de prepensionados, dentro de este programa se hizo reconocimiento de los funcionarios que se pensionaron durante la vigencia 2014.  
- Novenas Navideñas:
       • Decoración navideña por pisos en las diferentes sedes 
       • Armar el Árbol de la sede calle 20 y calle 22
       • Programación de las novenas navideñas en cada una de las sedes
- Feria Navideña                                                                                                </t>
  </si>
  <si>
    <t>Incentivos, se cumplió el 100% de las actividades programadas, dando cumplimiento al Plan Institucional de Incentivos.
En Bienestar, se logró avanzar satisfactoriamente en el Plan, quedando pendiente por ejecutar tres actividades, a saber, Caminatas, Día de la Familia y Semana Cultural, lo cual se debió a una decisión institucional, por lo tanto estas actividades se realizarán durante el primer semestre de 2015.</t>
  </si>
  <si>
    <t>Fulvia Vásquez</t>
  </si>
  <si>
    <t>John Quiroga Carlos Campos</t>
  </si>
  <si>
    <t>De 20 documentos por tramitar se publicaron 13, en proceso hay 4 y 3 no presentan avances.</t>
  </si>
  <si>
    <t>Sin programación para el mes.</t>
  </si>
  <si>
    <t>De 21 documentos por tramitar se publicaron los 4 documentos pendientes del seguimiento anterior, 3 se encuentran en proceso y 1 no presenta avance.</t>
  </si>
  <si>
    <t>De los trámites programados inicialmente para ejecutar desde el 1° de enero hasta el 31 de diciembre, quedaron pendientes un total de 1 trámites. El detalle de los documentos se puede observar en el plan documental consolidado por la OAP o el plan específico en cada área.</t>
  </si>
  <si>
    <t>Camilo Barajas</t>
  </si>
  <si>
    <t>No se ha recibido respuesta del radicado 20145160537303 del 20 de agosto de 2014</t>
  </si>
  <si>
    <t>T-OCI-02</t>
  </si>
  <si>
    <t>Wilson Herrera</t>
  </si>
  <si>
    <t>NO APLICA EVALUACIÓN EN PLAN MEJORAMIENTO CONTRALORÍA DE BOGOTÁ PARA EL PERIODO</t>
  </si>
  <si>
    <t>Nelson  Isaza</t>
  </si>
  <si>
    <t>Ejecución del mes correspondientes a liberaciones por $375.000. Programación para el mes de $2.194.310,7.</t>
  </si>
  <si>
    <r>
      <t xml:space="preserve">Ejecución del mes correspondiente a liberaciones por $10.183.615. No había programación para el mes.
</t>
    </r>
    <r>
      <rPr>
        <b/>
        <sz val="8"/>
        <rFont val="Arial"/>
        <family val="2"/>
      </rPr>
      <t>Ejecución acumulada del 100%</t>
    </r>
  </si>
  <si>
    <t>Ejecución acumulada del 100%</t>
  </si>
  <si>
    <t>Ejecución del mes correspondientes a giros por $67.055.230. Programación para el mes de $69.536.779,2.</t>
  </si>
  <si>
    <t>Ejecución del mes correspondientes a giros por $51.912.226. Programación para el mes de $38.245.228,56.</t>
  </si>
  <si>
    <t>Ejecución del mes correspondientes a giros por $28.870.864. Programación para el mes de $31.291.550,64.</t>
  </si>
  <si>
    <t>Ejecución del mes correspondientes a giros por $61.725.245. Programación para el mes de $76.490.457,12.</t>
  </si>
  <si>
    <t>Ejecución del mes correspondientes a giros por $19.774.660. Meta esperada de 13%.</t>
  </si>
  <si>
    <t>Ejecución del mes correspondientes a giros presupuestales por $48.278.448. Meta esperada de 16%.</t>
  </si>
  <si>
    <t>Ejecución del mes correspondientes a giros presupuestales por $22'522.699. Meta esperada de 9%.</t>
  </si>
  <si>
    <t>Ejecución del mes correspondientes a giros presupuestales por $30.824.372.  Total  girado: $330.963.744. Ejecución acumulada: 95,19%</t>
  </si>
  <si>
    <t>Ejecución del mes correspondientes a giros presupuestales por $14.497.617. Sin programación inicial para el mes. Total girado: $345.461.361. Ejecución acumulada: 99,36%</t>
  </si>
  <si>
    <r>
      <t xml:space="preserve">Ejecución del mes correspondientes a liberaciones por $2.222.535. Sin programación incial para el mes.
</t>
    </r>
    <r>
      <rPr>
        <b/>
        <sz val="8"/>
        <rFont val="Arial"/>
        <family val="2"/>
      </rPr>
      <t>Ejecución acumulada del 100%</t>
    </r>
  </si>
  <si>
    <t>Johana Lamilla John Cueca</t>
  </si>
  <si>
    <t xml:space="preserve">Verificada la información se evidencia desactualización en dos (2) contratos en cuanto a la fecha de terminación ya que no se actualizó de acuerdo a la adición. </t>
  </si>
  <si>
    <t>Revisado el Sistema de Información y Acompañamiento Contractual se evidencia la desactualización de cuatro (4) contratos a cargo de la Subdirección Técnica de Recursos Humanos.</t>
  </si>
  <si>
    <t>Revisado el Sistema de Información y Acompañamiento Contractual se evidencia la desactualización de un (1) contrato a cargo de la Subdirección Técnica de Recursos Humanos.</t>
  </si>
  <si>
    <t xml:space="preserve">Es importante implementar controles y realizar la revisión permanente al estado de cada uno de los contratos a cargo del área toda vez que se refleja desactualización del Sistema de Información y Acompañamiento contractual </t>
  </si>
  <si>
    <t>Nombre: ADRIANA CAROLINA PIEDRAHITA ARÉVALO</t>
  </si>
  <si>
    <t>Cargo: SUBDIRECTORA TÉCNICA DE RECURSOS HUMANOS</t>
  </si>
  <si>
    <t>SUBDIRECCIÓN TÉCNICA DE RECURSOS TECNOLÓGICOS</t>
  </si>
  <si>
    <t>5.16 Integrar el 100% de los sistemas de información administrativos y financieros de la entidad.</t>
  </si>
  <si>
    <t>STRT-01</t>
  </si>
  <si>
    <t>Implementar mejoras a los sistemas de información financieros y administrativos de conformidad con los requerimientos de las áreas del IDU.</t>
  </si>
  <si>
    <t>Requerimientos desarrollados</t>
  </si>
  <si>
    <t>Medir el avance de las mejoras a los SI Administrativos y Financieros</t>
  </si>
  <si>
    <t>(No. De requerimientos desarrollados / No de requerimientos solicitados) X 100</t>
  </si>
  <si>
    <t>Formatos de solicitud de requerimientos</t>
  </si>
  <si>
    <t>STRT</t>
  </si>
  <si>
    <t>Sin programación.</t>
  </si>
  <si>
    <t>Sin Programación.</t>
  </si>
  <si>
    <t>Sin ejecución, sin programación</t>
  </si>
  <si>
    <t xml:space="preserve">Durante el periodo indicado se han desarrollo mejoras a los sistemas de información en especial al sistema Siac. </t>
  </si>
  <si>
    <t>No se tiene reporte programado en este corte.</t>
  </si>
  <si>
    <t xml:space="preserve">Durante el periodo indicado se han desarrollo mejoras a los sistemas de información en especial al sistema Siac, como han sido el plan de contratación, certificaciones laborales, rendición de cuentas, migración base de datos resolución oferta, convenios externos y para procesos selectivos se ha desarrollado la mitad del requerimiento. 
2. interface - encargos
</t>
  </si>
  <si>
    <t xml:space="preserve">Durante el periodo indicado se han desarrollo mejoras a los sistemas de información en especial al sistema Siac, como han sido el plan de contratación, certificaciones laborales, rendición de cuentas, migración base de datos resolución oferta, convenios externos y desarrollos para procesos selectivos. También se han desarrollado mejoras al sistemas de información Stone, como también  avances en la interfaz Kactus - Stone:
1. PROVEER INFORMACIÓN A CONTRATOS PARA FORMATO CONTRALORIA (STONE-SIAC) – Instalado pero se solicitará ajustes a la definición inicial.
Desarrollos que son mejoras Stone:
2. AJUSTES CREACION PROV-TERC-OTROS – Plan de mejoramiento – OK implementado
3. NUEVO REPORTE CAJA MENOR-CONTABILIDAD – Plan de mejoramiento – OK implementado
4. AJUSTE A REPORTE RESUMEN SALDOS DE CERTIFICADOS-INCLUIR NUEVA COLUMNA – Mejora solicitado por STPC –OK implementado.
</t>
  </si>
  <si>
    <t>Durante el año se desarrollaron los 16 requerimientos que solicitaron los usuarios.</t>
  </si>
  <si>
    <t>STRT-02</t>
  </si>
  <si>
    <t>Soportar, actualizar y mantener  los sistemas de información  administrativos y financieros integrados del IDU.</t>
  </si>
  <si>
    <t>Operatividad de los SI Financieros y Administrativos</t>
  </si>
  <si>
    <t>Medir el avance del SAM a los SI Administrativos y Financieros</t>
  </si>
  <si>
    <t>(No. De casos de SAM atendidos / No. de casos de SAM solicitados) X 100</t>
  </si>
  <si>
    <t>Solicitudes de SAM</t>
  </si>
  <si>
    <t xml:space="preserve">Este resultado es el consolidado del primer trimestre y está dado por el crecimiento de la planta de personal en el instituto, el cual ha incrementado el número de solicitudes de soporte sobre los sistemas de información, los datos reportados están promediados de la siguiente manera: 
1. Se recibieron en este periodo 1432 soportes para los aplicativos Siac, Aspectos Ambientales,  Predios, Registro Financiero del Contrato, Solicitudes de CDP y CRP. 
2. Para el sistema Stone se recibieron 352 soportes.
3. En el sistema Kactus se atendieron 60 Soportes.
4. Para el sistema de seguridad y auditoria del framework, GAP y Siges se atendieron 92 soportes.
5.  Para los aplicativos pronto Pago, Trasmilenio, Siscorres, Winisis, Firma Digital se atendieron  525 Soportes.
6. Para el sistema Orfeo se atendieron 176 soportes.
</t>
  </si>
  <si>
    <t xml:space="preserve">El valor reportado se debió al aumento de solicitudes de soportes para los sistemas de información por parte de los usuarios que se incrementaron en la planta del IDU, se encuentran 
1. Se recibieron en este periodo 603 soportes para los aplicativos Siac, Aspectos Ambientales,  Predios, Registro Financiero del Contrato, Solicitudes de CDP y CRP. 
2. Para el sistema Stone se recibieron 335 soportes.
3. En el sistema Kactus se atendieron 45 Soportes.
4. Para el sistema de seguridad y auditoria del framework, GAP y Siges se atendieron 125 soportes.
5.  Para los aplicativos pronto Pago, Trasmilenio, Siscorres, Winisis, Firma Digital se atendieron  380 Soportes.
6. Para el sistema Orfeo se atendieron 649 soportes.
7. Para el sistema valoricemos se atendieron 2798 soportes
</t>
  </si>
  <si>
    <t xml:space="preserve">El resultado de este periodo también está dado por el alto crecimiento de la planta de contratista en el instituto el cual ha aumentado en el número de solicitudes de soporte sobre los sistemas de información, los datos reportados están promediados de la siguiente manera: 
1. Se recibieron en este periodo 885 soportes para los aplicativos Siac, Aspectos Ambientales,  Predios, Registro Financiero del Contrato,  SegPoai, Solicitudes de CDP y CRP. 
2. Para el sistema Stone se recibieron 284 soportes.
3. En el sistema Kactus se atendieron 59 Soportes.
4. Para el sistema de seguridad y auditoria del framework, GAP y Siges se atendieron 193 soportes.
5.  Para los aplicativos pronto Pago, Trasmilenio, Siscorres, Winisis, Firma Digital se atendieron  104 Soportes.
6. Para el sistema Orfeo se atendieron 1344 soportes.
7. Varios 73
</t>
  </si>
  <si>
    <t xml:space="preserve">El resultado sigue su crecimiento debido al incremento de la planta de personal en el instituto, el cual ha aumentado en el número de solicitudes de soporte sobre los sistemas de información, los datos reportados están promediados de la siguiente manera: 
1. Se recibieron en este periodo 1171 soportes para los aplicativos Siac, Aspectos Ambientales,  Predios, Registro Financiero del Contrato, Solicitudes de CDP y CRP, SegPoai. 
2. Para el sistema Stone se recibieron 167 soportes.
3. En el sistema Kactus se atendieron 420 Soportes.
4. Para el sistema de seguridad y auditoria del framework, GAP y Siges se atendieron 209 soportes.
5.  Para los aplicativos pronto Pago, Trasmilenio, Siscorres, Winisis, Firma Digital se atendieron  197 Soportes.
6. Soportes de Encuestas – LimeSurvey y Pagina WEB se atendieron 9 soportes.
7. Para el sistema Orfeo se atendieron 1001 soportes.
</t>
  </si>
  <si>
    <t xml:space="preserve">Se puede evidenciar que se atendieron el total de incidentes reportados. El resultado creciente se debe al incremento de la planta de personal en el instituto, el cual ha aumentado el número de solicitudes de soporte sobre los sistemas de información.
</t>
  </si>
  <si>
    <t>5.15 Incrementar el uso de software libre para el desarrollo de las aplicaciones requeridas en la entidad y que sean viables bajo este tipo de  licenciamiento</t>
  </si>
  <si>
    <t>STRT-03</t>
  </si>
  <si>
    <t>Desarrollar cuatro (4) aplicaciones para fortalecer los procesos estratégicos, misionales,  de apoyo y de evaluación y mejora del IDU</t>
  </si>
  <si>
    <t xml:space="preserve">Aplicaciones desarrolladas </t>
  </si>
  <si>
    <t>Medir la cantidad de aplicaciones desarrolladas</t>
  </si>
  <si>
    <t>(No. Aplicaciones desarrolladas / No. De aplicaciones propuestas) X 100</t>
  </si>
  <si>
    <t>Se desarrolló y puso en funcionamiento el sistema de seguimiento al plan anual de adquisiciones.</t>
  </si>
  <si>
    <t>(1) Desarrollo del módulo de seguimiento al Plan Anual de Adquisiciones. 
(2)Desarrollo de módulo de integración GITLAB con OpenERP. 
(3) Desarrollo de módulo para generar diagramas UML a partir de la metadata de los módulos de OpenERP. 
(4) Desarrollo de Módulo de captura de datos para encuestas sociales del proceso de adquisición predial e integración con el módulo de compensaciones de SIGES Predios.</t>
  </si>
  <si>
    <t>STRT-04</t>
  </si>
  <si>
    <t>Mejorar tres (3) aplicaciones para fortalecer los procesos estratégicos, misionales,  de apoyo y de evaluación y mejora del IDU</t>
  </si>
  <si>
    <t xml:space="preserve">Mejoramiento de Aplicaciones </t>
  </si>
  <si>
    <t>Medir la cantidad de aplicaciones mejoradas</t>
  </si>
  <si>
    <t>(No. Aplicaciones mejoradas / No. De aplicaciones propuestas) X 100</t>
  </si>
  <si>
    <t xml:space="preserve">Se realizó el mantenimiento y mejora del aplicativo visor de obras, 
adicionando el ingreso del reporte de obras a través del aplicativo
OpenERP.
</t>
  </si>
  <si>
    <t>(1) Ajustes al módulo de gestión de PQRS para soportar cambios en el proceso de atención al ciudadano. 
(2) Actualización del visor de obras para cargar datos ingresados a través de OpenERP. 
(3) Ajustes en el módulo de seguimiento de proyectos para ser utilizado en la STRT</t>
  </si>
  <si>
    <t>5.13 Implementar un plan de modernización tecnológica del IDU.</t>
  </si>
  <si>
    <t>STRT-05</t>
  </si>
  <si>
    <t>Desarrollar el 100% de las actividades del plan de acción referentes a la meta estrategica 5.13</t>
  </si>
  <si>
    <t>Modernización Tecnologica</t>
  </si>
  <si>
    <t>Medir el cumplimiento del plan de acción</t>
  </si>
  <si>
    <t>(No. Actividades dearrolladas / No. De actividades de planeadas) X 100</t>
  </si>
  <si>
    <t>Plan de Acción</t>
  </si>
  <si>
    <t>Clúster de Virtualización para Orfeo y Aplicativos Críticos de la Entidad en funcionamiento.
Equipos y suministros para DataCenter recibidos a satisfacción.
Los Sistemas de detección y control para DataCenter están instalados en un 75%</t>
  </si>
  <si>
    <t>Durante el periodo a evaluar se ejecutaron en su totalidad   5 de las  8 actividades planeadas para dar cumplimiento a la modernización  Tecnológica, las se relacionan a continuación: 
1. Instalación de servidores
2. Instalación de aires
3. Instalación de  UPS
4. Definición y configuración de los sistemas de detección de humo e incendio.
5. Instalación de servidores virtualizados.</t>
  </si>
  <si>
    <t>Durante el periodo a evaluar se ejecutaron en su totalidad   6 de las  8 actividades planeadas para dar cumplimiento a la modernización  Tecnológica, las se relacionan a continuación: 
1. Instalación de Racks
2. Instalación de Aires Acondicionados.
3. Instalación de  UPS.
4. Definición y configuración de los sistemas de detección de humo e incendio.
5. Instalación de servidores virtualizados.
6. Documento de recomendaciones técnicas para actualizar la tecnología del proceso de backups.</t>
  </si>
  <si>
    <t>STRT-06</t>
  </si>
  <si>
    <t>Desarrollar el 100% de las actividades del plan de acción referentes al SGSI</t>
  </si>
  <si>
    <t>Porcentaje de avance de las actividades del SGSI</t>
  </si>
  <si>
    <t>Se ha adelantado el levantamiento de activos de información en 3 de los 22 procesos de la entidad.</t>
  </si>
  <si>
    <t>Para el periodo a evaluar, de las 38 actividades planeadas, se ejecutaron un total de 24 actividades, lo que representa un avance de 63% en la implementación del SGSI</t>
  </si>
  <si>
    <t>Se finalizaron las siguientes actividades:
a)    Definir la política para el SGSI.
b)    Definir alcance y límites del SGSI.
c)   Definir la metodología para administrar los riesgos de seguridad de la información.
d)   Metodología de identificación de activos de información.
Está en estado iniciada  la actividad:
e)   Identificar y asignar los activos de información de los seis (6) procesos misionales.</t>
  </si>
  <si>
    <t>STRT-07</t>
  </si>
  <si>
    <t>Desarrollar el 100% de las actividades del plan de acción referentes al modelo de gestión cero papel</t>
  </si>
  <si>
    <t>Porcentaje de avance proyecto "Cero Papel" en el componente tecnológico</t>
  </si>
  <si>
    <t>(No. Actividades desarrolladas / No. De actividades de planeadas) X 100</t>
  </si>
  <si>
    <r>
      <rPr>
        <b/>
        <sz val="10"/>
        <rFont val="Arial"/>
        <family val="2"/>
      </rPr>
      <t>Implementación Tablas de Retención Documental en ORFEO.</t>
    </r>
    <r>
      <rPr>
        <sz val="10"/>
        <rFont val="Arial"/>
        <family val="2"/>
      </rPr>
      <t xml:space="preserve">
 Esta actividad se encuentra aplazada .
</t>
    </r>
    <r>
      <rPr>
        <b/>
        <sz val="10"/>
        <rFont val="Arial"/>
        <family val="2"/>
      </rPr>
      <t>Implementar las resoluciones del IDU como documento electrónico.</t>
    </r>
    <r>
      <rPr>
        <sz val="10"/>
        <rFont val="Arial"/>
        <family val="2"/>
      </rPr>
      <t xml:space="preserve">
Se encuentra finalizada la implementación y en espera por parte de la subdirección general corporativa la directriz de donde se debe generar el número consecutivo.
</t>
    </r>
    <r>
      <rPr>
        <b/>
        <sz val="10"/>
        <rFont val="Arial"/>
        <family val="2"/>
      </rPr>
      <t>Implementar firma mecánica en SIAC (Certificación Laboral)</t>
    </r>
    <r>
      <rPr>
        <sz val="10"/>
        <rFont val="Arial"/>
        <family val="2"/>
      </rPr>
      <t xml:space="preserve"> 
Se implementaron nuevos desarrollos dentro de la plataforma según nuevos lineamientos de la DTGC para adiciones de contratos.
</t>
    </r>
    <r>
      <rPr>
        <b/>
        <sz val="10"/>
        <rFont val="Arial"/>
        <family val="2"/>
      </rPr>
      <t>Implementar firma mecánica en ORFEO - Uso adecuado del sistema ORFEO.</t>
    </r>
    <r>
      <rPr>
        <sz val="10"/>
        <rFont val="Arial"/>
        <family val="2"/>
      </rPr>
      <t xml:space="preserve">
Se encuentra finalizada la implementación en el aplicativo ORFEO. 
</t>
    </r>
    <r>
      <rPr>
        <b/>
        <sz val="10"/>
        <rFont val="Arial"/>
        <family val="2"/>
      </rPr>
      <t>Digitalización de las copias de los contratos PSP.</t>
    </r>
    <r>
      <rPr>
        <sz val="10"/>
        <rFont val="Arial"/>
        <family val="2"/>
      </rPr>
      <t xml:space="preserve">
En producción.
</t>
    </r>
    <r>
      <rPr>
        <b/>
        <sz val="10"/>
        <rFont val="Arial"/>
        <family val="2"/>
      </rPr>
      <t>Digitalización de Certificados de deuda fiscal CDA del sistema valoricemos con firma mecánica.</t>
    </r>
    <r>
      <rPr>
        <sz val="10"/>
        <rFont val="Arial"/>
        <family val="2"/>
      </rPr>
      <t xml:space="preserve">
Aplazado por priorización en temas de devolución valorización.
</t>
    </r>
    <r>
      <rPr>
        <b/>
        <sz val="10"/>
        <rFont val="Arial"/>
        <family val="2"/>
      </rPr>
      <t>Digitalización de documentos de las carpetas o expedientes de los contratos PSP - Mejoramiento de Procedimiento</t>
    </r>
    <r>
      <rPr>
        <sz val="10"/>
        <rFont val="Arial"/>
        <family val="2"/>
      </rPr>
      <t xml:space="preserve">
En producción.
</t>
    </r>
    <r>
      <rPr>
        <b/>
        <sz val="10"/>
        <rFont val="Arial"/>
        <family val="2"/>
      </rPr>
      <t>Desarrollo para cargue documental de PSP ORFEO.</t>
    </r>
    <r>
      <rPr>
        <sz val="10"/>
        <rFont val="Arial"/>
        <family val="2"/>
      </rPr>
      <t xml:space="preserve">
Desarrollo finalizado. En pruebas para el cargue de los documentos para el tema de contratación.</t>
    </r>
  </si>
  <si>
    <r>
      <rPr>
        <b/>
        <sz val="8"/>
        <rFont val="Arial"/>
        <family val="2"/>
      </rPr>
      <t>Digitalización de Certificados de deuda fiscal CDA del sistema valoricemos con firma mecánica.</t>
    </r>
    <r>
      <rPr>
        <sz val="8"/>
        <rFont val="Arial"/>
        <family val="2"/>
      </rPr>
      <t xml:space="preserve">
Fue realizado y puesto en producción en el mes de agosto. Para su verificación se hace posible generar la impresión de uno de estos documentos por el área DTAV.
</t>
    </r>
    <r>
      <rPr>
        <b/>
        <sz val="8"/>
        <rFont val="Arial"/>
        <family val="2"/>
      </rPr>
      <t>Implementar firma mecánica en SIAC (Certificación Laboral)</t>
    </r>
    <r>
      <rPr>
        <sz val="8"/>
        <rFont val="Arial"/>
        <family val="2"/>
      </rPr>
      <t xml:space="preserve">
 Se implementaron nuevos desarrollos dentro de la plata forma según nuevos lineamientos de la DTGC para adiciones, para la certificación laboral se encuentra ya implementada la firma mecánica y para el resto del proceso aún se encuentra en definición de aspectos jurídicos y legalización de formatos en el área de OAP.
</t>
    </r>
    <r>
      <rPr>
        <b/>
        <sz val="8"/>
        <rFont val="Arial"/>
        <family val="2"/>
      </rPr>
      <t>Implementación Tablas de Retención Documental en ORFEO.</t>
    </r>
    <r>
      <rPr>
        <sz val="8"/>
        <rFont val="Arial"/>
        <family val="2"/>
      </rPr>
      <t xml:space="preserve">
 Esta actividad se encuentra en curso su implementación para entrega en la semana del 20 al 24 de octubre en el sistema Orfeo.
</t>
    </r>
    <r>
      <rPr>
        <b/>
        <sz val="8"/>
        <rFont val="Arial"/>
        <family val="2"/>
      </rPr>
      <t>Implementación formato digital para paz y salvo interno de contratistas.</t>
    </r>
    <r>
      <rPr>
        <sz val="8"/>
        <rFont val="Arial"/>
        <family val="2"/>
      </rPr>
      <t xml:space="preserve">
Se inicia con un nuevo proyecto con fines de apoyar la iniciativa de cero papel y mejorar el tiempo de respuesta frente al tema de paz y salvos de contratistas pues demanda en cada finalización de contrato cerca de 2000 impresiones, se busca reducir este proceso en tiempo y en consumo de elementos tales como papel y tinta de impresión.
Para este proceso se está analizando las herramientas de desarrollo y los requerimientos iniciales ya que este requiere de la intervención de diferentes áreas y aplicaciones para la validación del paz y salvo.
</t>
    </r>
  </si>
  <si>
    <r>
      <t xml:space="preserve">Adicionalmente a las actividades ya cumplidas, en este periodo se culminaron las siguientes para alcanzar el 91%.
</t>
    </r>
    <r>
      <rPr>
        <b/>
        <sz val="8"/>
        <rFont val="Arial"/>
        <family val="2"/>
      </rPr>
      <t>Implementar firma mecánica en SIAC (Certificación Laboral)</t>
    </r>
    <r>
      <rPr>
        <sz val="8"/>
        <rFont val="Arial"/>
        <family val="2"/>
      </rPr>
      <t xml:space="preserve">
Se implementaron nuevos desarrollos dentro de la plataforma según nuevos lineamientos de la DTGC para adiciones, para la certificación laboral se encuentra ya implementada la firma mecánica y para el resto del proceso aún se encuentra en definición de aspectos jurídicos y legalización de formatos en el área de OAP y Jurídica.
</t>
    </r>
    <r>
      <rPr>
        <b/>
        <sz val="8"/>
        <rFont val="Arial"/>
        <family val="2"/>
      </rPr>
      <t>Implementación Tablas de Retención Documental en ORFEO.</t>
    </r>
    <r>
      <rPr>
        <sz val="8"/>
        <rFont val="Arial"/>
        <family val="2"/>
      </rPr>
      <t xml:space="preserve">
Fue implementado en su totalidad, aunque por parte de  STRF se han realizado ajustes adicionales, pero la implementación tecnológica fue terminada en su totalidad.
</t>
    </r>
  </si>
  <si>
    <r>
      <t xml:space="preserve">En la vigencia se culminaron las siguientes actividaes para alcanzar el 91%.
</t>
    </r>
    <r>
      <rPr>
        <b/>
        <sz val="8"/>
        <rFont val="Arial"/>
        <family val="2"/>
      </rPr>
      <t>Digitalización de Certificados de deuda fiscal CDA del sistema valoricemos con firma mecánica.</t>
    </r>
    <r>
      <rPr>
        <sz val="8"/>
        <rFont val="Arial"/>
        <family val="2"/>
      </rPr>
      <t xml:space="preserve">
</t>
    </r>
    <r>
      <rPr>
        <b/>
        <sz val="8"/>
        <rFont val="Arial"/>
        <family val="2"/>
      </rPr>
      <t>Implementar las resoluciones del IDU como documento electrónico.</t>
    </r>
    <r>
      <rPr>
        <sz val="8"/>
        <rFont val="Arial"/>
        <family val="2"/>
      </rPr>
      <t xml:space="preserve">
</t>
    </r>
    <r>
      <rPr>
        <b/>
        <sz val="8"/>
        <rFont val="Arial"/>
        <family val="2"/>
      </rPr>
      <t>Implementar firma mecánica en ORFEO</t>
    </r>
    <r>
      <rPr>
        <sz val="8"/>
        <rFont val="Arial"/>
        <family val="2"/>
      </rPr>
      <t xml:space="preserve"> </t>
    </r>
    <r>
      <rPr>
        <b/>
        <sz val="8"/>
        <rFont val="Arial"/>
        <family val="2"/>
      </rPr>
      <t xml:space="preserve">
Digitalización de las copias de los contratos PSP.</t>
    </r>
    <r>
      <rPr>
        <sz val="8"/>
        <rFont val="Arial"/>
        <family val="2"/>
      </rPr>
      <t xml:space="preserve">
</t>
    </r>
    <r>
      <rPr>
        <b/>
        <sz val="8"/>
        <rFont val="Arial"/>
        <family val="2"/>
      </rPr>
      <t xml:space="preserve">Digitalización de Certificados de deuda fiscal CDA del sistema Valoricemos con firma mecánica.
</t>
    </r>
    <r>
      <rPr>
        <sz val="8"/>
        <rFont val="Arial"/>
        <family val="2"/>
      </rPr>
      <t xml:space="preserve">
</t>
    </r>
    <r>
      <rPr>
        <b/>
        <sz val="8"/>
        <rFont val="Arial"/>
        <family val="2"/>
      </rPr>
      <t>Digitalización de documentos de las carpetas o expedientes de los contratos PSP - Mejoramiento de Procedimiento</t>
    </r>
    <r>
      <rPr>
        <sz val="8"/>
        <rFont val="Arial"/>
        <family val="2"/>
      </rPr>
      <t xml:space="preserve">
</t>
    </r>
    <r>
      <rPr>
        <b/>
        <sz val="8"/>
        <rFont val="Arial"/>
        <family val="2"/>
      </rPr>
      <t>Desarrollo para cargue documental de PSP ORFEO.</t>
    </r>
    <r>
      <rPr>
        <sz val="8"/>
        <rFont val="Arial"/>
        <family val="2"/>
      </rPr>
      <t xml:space="preserve">
</t>
    </r>
    <r>
      <rPr>
        <b/>
        <sz val="8"/>
        <rFont val="Arial"/>
        <family val="2"/>
      </rPr>
      <t>Implementación Tablas de Retención Documental en ORFEO.</t>
    </r>
    <r>
      <rPr>
        <sz val="8"/>
        <rFont val="Arial"/>
        <family val="2"/>
      </rPr>
      <t xml:space="preserve">
</t>
    </r>
    <r>
      <rPr>
        <b/>
        <sz val="8"/>
        <rFont val="Arial"/>
        <family val="2"/>
      </rPr>
      <t>Implementación formato digital para paz y salvo interno de contratistas.</t>
    </r>
    <r>
      <rPr>
        <sz val="8"/>
        <rFont val="Arial"/>
        <family val="2"/>
      </rPr>
      <t xml:space="preserve">
</t>
    </r>
    <r>
      <rPr>
        <b/>
        <sz val="8"/>
        <rFont val="Arial"/>
        <family val="2"/>
      </rPr>
      <t>Implementar firma mecánica en SIAC (Certificación Laboral)</t>
    </r>
    <r>
      <rPr>
        <sz val="8"/>
        <rFont val="Arial"/>
        <family val="2"/>
      </rPr>
      <t xml:space="preserve">
</t>
    </r>
    <r>
      <rPr>
        <b/>
        <sz val="8"/>
        <rFont val="Arial"/>
        <family val="2"/>
      </rPr>
      <t>Implementación Tablas de Retención Documental en ORFEO.</t>
    </r>
  </si>
  <si>
    <t>STRT-08</t>
  </si>
  <si>
    <t>Al finalizar la vigencia, el nivel de satisfacción del usuario no será inferior a 4,0  sobre 5</t>
  </si>
  <si>
    <t>Nivel de satisfacción del usuario</t>
  </si>
  <si>
    <t>Medir la eficacia en la prestación del servicio.</t>
  </si>
  <si>
    <t>Sumatoria de la calificación de las encuestas diligenciadas en el periodo / Número total de encuestas diligenciadas en el periodo</t>
  </si>
  <si>
    <t>Encuesta de satisfacción del Usuario / Aranda</t>
  </si>
  <si>
    <t>Se denota un grado de satisfacción del usuario muy bueno, el cual está por encima de 4.5 sobre 5. No obstante también se observan calificaciones bajas que invitan a mejorar el servicio</t>
  </si>
  <si>
    <t>Los funcionarios del Instituto calificaron nuestro servicio de soporte en promedio 4,6 demostrando satisfacción en la atención del servicio.</t>
  </si>
  <si>
    <t>Los funcionarios del Instituto calificaron nuestro servicio de soporte en promedio 4,7 demostrando satisfacción en la atención del servicio.</t>
  </si>
  <si>
    <t>No se programó ningún trámite documental en el primer cuatrimestre</t>
  </si>
  <si>
    <t>No se programó ningún trámite documental en el primer semestre</t>
  </si>
  <si>
    <t>De los trámites programados inicialmente para ejecutar desde el 1° de enero hasta el 30 de septiembre, quedaron pendientes un total de 5 trámites. El detalle de los documentos se puede observar en el plan documental consolidado por la OAP o el plan específico en cada área.</t>
  </si>
  <si>
    <r>
      <t xml:space="preserve">Se publicaron los siguientes documentos: 
</t>
    </r>
    <r>
      <rPr>
        <b/>
        <sz val="8"/>
        <rFont val="Arial"/>
        <family val="2"/>
      </rPr>
      <t>Procedimientos:</t>
    </r>
    <r>
      <rPr>
        <sz val="8"/>
        <rFont val="Arial"/>
        <family val="2"/>
      </rPr>
      <t xml:space="preserve">
</t>
    </r>
    <r>
      <rPr>
        <b/>
        <sz val="8"/>
        <rFont val="Arial"/>
        <family val="2"/>
      </rPr>
      <t xml:space="preserve">a) </t>
    </r>
    <r>
      <rPr>
        <sz val="8"/>
        <rFont val="Arial"/>
        <family val="2"/>
      </rPr>
      <t xml:space="preserve">DIRECCIONAMIENTO ESTRATÉGICO DE TECNOLOGÍAS DE INFORMACIÓN Y COMUNICACIÓN
</t>
    </r>
    <r>
      <rPr>
        <b/>
        <sz val="8"/>
        <rFont val="Arial"/>
        <family val="2"/>
      </rPr>
      <t>b)</t>
    </r>
    <r>
      <rPr>
        <sz val="8"/>
        <rFont val="Arial"/>
        <family val="2"/>
      </rPr>
      <t xml:space="preserve"> GESTIÓN DE INVESTIGACIÓN Y DESARROLLO DE TECNOLOGÍAS DE INFORMACIÓN Y COMUNICACIÓN
</t>
    </r>
    <r>
      <rPr>
        <b/>
        <sz val="8"/>
        <rFont val="Arial"/>
        <family val="2"/>
      </rPr>
      <t xml:space="preserve">c) </t>
    </r>
    <r>
      <rPr>
        <sz val="8"/>
        <rFont val="Arial"/>
        <family val="2"/>
      </rPr>
      <t xml:space="preserve">GESTIÓN DE RECURSOS DE TECNOLOGÍAS DE INFORMACIÓN Y COMUNICACIÓN
</t>
    </r>
    <r>
      <rPr>
        <b/>
        <sz val="8"/>
        <rFont val="Arial"/>
        <family val="2"/>
      </rPr>
      <t>d)</t>
    </r>
    <r>
      <rPr>
        <sz val="8"/>
        <rFont val="Arial"/>
        <family val="2"/>
      </rPr>
      <t xml:space="preserve"> GESTIÓN DE LA DISPONIBILIDAD DE RECURSOS DE TECNOLOGÍAS DE INFORMACIÓN Y COMUNICACIÓN
</t>
    </r>
    <r>
      <rPr>
        <b/>
        <sz val="8"/>
        <rFont val="Arial"/>
        <family val="2"/>
      </rPr>
      <t>e)</t>
    </r>
    <r>
      <rPr>
        <sz val="8"/>
        <rFont val="Arial"/>
        <family val="2"/>
      </rPr>
      <t xml:space="preserve"> GESTIÓN PARA EL DESARROLLO DE NUEVOS PROYECTOS DE TECNOLOGÍAS DE INFORMACIÓN Y COMUNICACIÓN
</t>
    </r>
    <r>
      <rPr>
        <b/>
        <sz val="8"/>
        <rFont val="Arial"/>
        <family val="2"/>
      </rPr>
      <t>f)</t>
    </r>
    <r>
      <rPr>
        <sz val="8"/>
        <rFont val="Arial"/>
        <family val="2"/>
      </rPr>
      <t xml:space="preserve"> GESTIÓN DE ALMACENAMIENTO Y RECUPERACIÓN  DE LA INFORMACIÓN
</t>
    </r>
    <r>
      <rPr>
        <b/>
        <sz val="8"/>
        <rFont val="Arial"/>
        <family val="2"/>
      </rPr>
      <t xml:space="preserve">g) </t>
    </r>
    <r>
      <rPr>
        <sz val="8"/>
        <rFont val="Arial"/>
        <family val="2"/>
      </rPr>
      <t xml:space="preserve">GESTIÓN DE MANTENIMIENTO Y SOPORTE DE LA INFRAESTRUCTURA DE TECNOLOGÍAS DE INFORMACIÓN Y COMUNICACIÓN
</t>
    </r>
    <r>
      <rPr>
        <b/>
        <sz val="8"/>
        <rFont val="Arial"/>
        <family val="2"/>
      </rPr>
      <t>h)</t>
    </r>
    <r>
      <rPr>
        <sz val="8"/>
        <rFont val="Arial"/>
        <family val="2"/>
      </rPr>
      <t xml:space="preserve"> GESTIÓN DE SEGURIDAD DE LA INFORMACIÓN
</t>
    </r>
    <r>
      <rPr>
        <b/>
        <sz val="8"/>
        <rFont val="Arial"/>
        <family val="2"/>
      </rPr>
      <t>Formatos:</t>
    </r>
    <r>
      <rPr>
        <sz val="8"/>
        <rFont val="Arial"/>
        <family val="2"/>
      </rPr>
      <t xml:space="preserve">
</t>
    </r>
    <r>
      <rPr>
        <b/>
        <sz val="8"/>
        <rFont val="Arial"/>
        <family val="2"/>
      </rPr>
      <t xml:space="preserve">i) </t>
    </r>
    <r>
      <rPr>
        <sz val="8"/>
        <rFont val="Arial"/>
        <family val="2"/>
      </rPr>
      <t xml:space="preserve">321 - SOLICITUD DE SERVICIO TÉCNICO
</t>
    </r>
    <r>
      <rPr>
        <b/>
        <sz val="8"/>
        <rFont val="Arial"/>
        <family val="2"/>
      </rPr>
      <t>j)</t>
    </r>
    <r>
      <rPr>
        <sz val="8"/>
        <rFont val="Arial"/>
        <family val="2"/>
      </rPr>
      <t xml:space="preserve"> 327 - TRANSFERENCIA DE DERECHOS PATRIMONIALES
y se dertogaron los siguientes documentos:
</t>
    </r>
    <r>
      <rPr>
        <b/>
        <sz val="8"/>
        <rFont val="Arial"/>
        <family val="2"/>
      </rPr>
      <t>Formatos:</t>
    </r>
    <r>
      <rPr>
        <sz val="8"/>
        <rFont val="Arial"/>
        <family val="2"/>
      </rPr>
      <t xml:space="preserve">
</t>
    </r>
    <r>
      <rPr>
        <b/>
        <sz val="8"/>
        <rFont val="Arial"/>
        <family val="2"/>
      </rPr>
      <t>k)</t>
    </r>
    <r>
      <rPr>
        <sz val="8"/>
        <rFont val="Arial"/>
        <family val="2"/>
      </rPr>
      <t xml:space="preserve"> MANTENER EVALUACION DE ESTUDIOS MASISO (Medio Ambiente, Seguridad Industrial y Seguridad Ocupacional) ESTUDIOS Y DISEÑOS.
</t>
    </r>
    <r>
      <rPr>
        <b/>
        <sz val="8"/>
        <rFont val="Arial"/>
        <family val="2"/>
      </rPr>
      <t>l)</t>
    </r>
    <r>
      <rPr>
        <sz val="8"/>
        <rFont val="Arial"/>
        <family val="2"/>
      </rPr>
      <t xml:space="preserve"> SOLICITUD DE REQUERIMIENTO GENERALES DE SERVICIOS DE TI.
</t>
    </r>
    <r>
      <rPr>
        <b/>
        <sz val="8"/>
        <rFont val="Arial"/>
        <family val="2"/>
      </rPr>
      <t xml:space="preserve">Procedimiento: </t>
    </r>
    <r>
      <rPr>
        <sz val="8"/>
        <rFont val="Arial"/>
        <family val="2"/>
      </rPr>
      <t xml:space="preserve">
</t>
    </r>
    <r>
      <rPr>
        <b/>
        <sz val="8"/>
        <rFont val="Arial"/>
        <family val="2"/>
      </rPr>
      <t>m)</t>
    </r>
    <r>
      <rPr>
        <sz val="8"/>
        <rFont val="Arial"/>
        <family val="2"/>
      </rPr>
      <t xml:space="preserve"> GESTION TECNOLOGIAS DE INFORMACION Y COMUNICACIONES TICS.</t>
    </r>
  </si>
  <si>
    <t>El análisis de los planes de mejoramiento se remite por memorando por parte del auditor.
No se da por cumplida la acción del numeral 108, porque la meta menciona dos campañas y no han finalizado. La acción del numeral 109, se encuentra en términos y la del numeral 107 cumplida.</t>
  </si>
  <si>
    <t>De las once (11) acciones que conforman el plan de mejoramiento interno , seis (6) fueron cumplidas, cuatro (4) están en tiempo y una no se pudo cumplir en su totalidad, puesto que la complejidad y lo dispendioso de ésta, ha llevado por factores externos ajenos a la capacidad del subdirector técnico para poder resolverlos, por tratarse de situaciones presentadas hace más de un año, en donde no se ubican físicamente algunos elementos relacionados en el listado de inventario suministrado por la STRF.</t>
  </si>
  <si>
    <t>Se cumpllieron en tiempo las actividades del primer trimestre.</t>
  </si>
  <si>
    <t>No se entregó información por parte del área encargada</t>
  </si>
  <si>
    <t>No tiene acciones pendientes en la fecha de corte.</t>
  </si>
  <si>
    <t>En la fecha de corte no se tienen acciones de mejoramiento programadas.</t>
  </si>
  <si>
    <t xml:space="preserve">CUMPLIDAS LA ACCIONES DE LOS HALLAZGOS 2,2,1 Y 2,2,2 </t>
  </si>
  <si>
    <t>Se cumplieron las actividades programadas para esta vigencia.</t>
  </si>
  <si>
    <t>Ejecución del mes por $53.208.752 correspondientes a liberaciones del mes.</t>
  </si>
  <si>
    <t>Ejecución del mes por $194.651.656 correspondientes a liberaciones del mes. Programación del mes del 73%.</t>
  </si>
  <si>
    <t>Ejecución del mes por correspondientes a giros presupuestales por $12.028.144. Programación del mes del 5%.</t>
  </si>
  <si>
    <r>
      <t xml:space="preserve">Sin programación para el mes.
</t>
    </r>
    <r>
      <rPr>
        <b/>
        <sz val="8"/>
        <rFont val="Arial"/>
        <family val="2"/>
      </rPr>
      <t>Ejecución acumulada del 100%</t>
    </r>
  </si>
  <si>
    <t>Ejecución acumulada del 100%. El pago de los pasivos a cargo del área se realizó desde el mes de abril.</t>
  </si>
  <si>
    <t>Ejecución del mes correspondiente a giros presupuestales por $887.675.994. Programación del mes del 24%.</t>
  </si>
  <si>
    <t>Ejecución del mes correspondiente a giros presupuestales por $720.389.009. Programación del mes del 19%.</t>
  </si>
  <si>
    <t>Ejecución del mes correspondiente a giros presupuestales por $821.407.956. Programación del mes del 22%.</t>
  </si>
  <si>
    <t>Ejecución del mes correspondiente a giros presupuestales por $80.372.124. Programación del mes del 2%.</t>
  </si>
  <si>
    <t>Ejecución del mes correspondiente a giros presupuestales por $80.372.124. Programación del mes del 11%.</t>
  </si>
  <si>
    <r>
      <t xml:space="preserve">Ejecución del mes correspondiente a giros presupuestales por $167'086.196. </t>
    </r>
    <r>
      <rPr>
        <b/>
        <sz val="8"/>
        <rFont val="Arial"/>
        <family val="2"/>
      </rPr>
      <t>Programación del mes del 15%.</t>
    </r>
  </si>
  <si>
    <t>Ejecución del mes correspondiente a giros presupuestales por $19.523.476. Programación del mes del 3%.</t>
  </si>
  <si>
    <t>Ejecución del mes correspondiente a giros presupuestales por $55.195.145. Programación del mes del 4%.</t>
  </si>
  <si>
    <t>Ejecución acumulada real del 99,59%. Ejecución esperada del 100%</t>
  </si>
  <si>
    <t>No le corresponde a esta subdirección reportar este indicador</t>
  </si>
  <si>
    <t xml:space="preserve">Este indicador no debe ser reportado por esta subdirección </t>
  </si>
  <si>
    <t xml:space="preserve">Una vez revisada la información registrada de los contratos a cargo de las Subdirección Técnica de Recursos Tecnológicos se evidencia la desactualización de cinco (5) contratos en lo concerniente a la fecha de terminación ya que esta no fue actualizada luego de las adiciones suscritas. </t>
  </si>
  <si>
    <t>El area encargada del indicador transversal no reporto la información oportunamente.</t>
  </si>
  <si>
    <t>Revisado el SIAC se evidencia la desactualización de cinco (5) contratos a cargo de la Subdirección Técnica de Recursos Tecnológicos</t>
  </si>
  <si>
    <t>Nombre: Gustavo Adolfo Vélez Achury</t>
  </si>
  <si>
    <t>Cargo: Subdirector Técnico de Recursos Tecnológicos</t>
  </si>
  <si>
    <t>SUBDIRECCION TECNICA DE TESORERIA Y RECAUDO</t>
  </si>
  <si>
    <t>Al termino de cada mes, se habrá solicitado el 100% de los recursos por transferencias requeridas y solicitadas a la STTR por las áreas ordenadoras de pago de la entidad</t>
  </si>
  <si>
    <t>% de recursos solicitados por transferencias requeridas por la entidad</t>
  </si>
  <si>
    <t>Garantizar la disponibildad de los recursos requeridos para el pago de las obligaciones contraidas por cada una de las áreas ordenadoras del pago</t>
  </si>
  <si>
    <t>(recursos solicitados a SDH + disponibilidad en Tesorería para cubrir el PAC) / (necesidades netas del IDU + cuentas por pagar del mes anterior) * 100</t>
  </si>
  <si>
    <t>Informe de Necesidades de recursos, Modulo PAC del sistema STONE, Sistema de correspondencia Orfeo</t>
  </si>
  <si>
    <t>STTR</t>
  </si>
  <si>
    <r>
      <t xml:space="preserve">Se realizaron todas las gestiones correspondientes y necesarias ante la Secretaria Distrital de Hacienda, para tener disponibles oportunamente en el mes de </t>
    </r>
    <r>
      <rPr>
        <b/>
        <sz val="8"/>
        <rFont val="Arial"/>
        <family val="2"/>
      </rPr>
      <t>ENERO</t>
    </r>
    <r>
      <rPr>
        <sz val="8"/>
        <rFont val="Arial"/>
        <family val="2"/>
      </rPr>
      <t>,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</si>
  <si>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FEBRERO</t>
    </r>
    <r>
      <rPr>
        <sz val="8"/>
        <rFont val="Arial"/>
        <family val="2"/>
      </rPr>
      <t>,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</si>
  <si>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MARZO</t>
    </r>
    <r>
      <rPr>
        <sz val="8"/>
        <rFont val="Arial"/>
        <family val="2"/>
      </rPr>
      <t>,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</si>
  <si>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ABRIL</t>
    </r>
    <r>
      <rPr>
        <sz val="8"/>
        <rFont val="Arial"/>
        <family val="2"/>
      </rPr>
      <t>,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</si>
  <si>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MAYO</t>
    </r>
    <r>
      <rPr>
        <sz val="8"/>
        <rFont val="Arial"/>
        <family val="2"/>
      </rPr>
      <t>, la totalidad de los recursos solicitados por las diferentes áreas ejecutoras del IDU.</t>
    </r>
  </si>
  <si>
    <r>
      <t>Se realizaron todas las gestiones correspondientes y necesarias ante la Secretaria Distrital de Hacienda, para tener disponibles oportunamente en el mes de</t>
    </r>
    <r>
      <rPr>
        <b/>
        <sz val="8"/>
        <rFont val="Arial"/>
        <family val="2"/>
      </rPr>
      <t xml:space="preserve"> JUNIO</t>
    </r>
    <r>
      <rPr>
        <sz val="8"/>
        <rFont val="Arial"/>
        <family val="2"/>
      </rPr>
      <t>,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</si>
  <si>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JULIO,</t>
    </r>
    <r>
      <rPr>
        <sz val="8"/>
        <rFont val="Arial"/>
        <family val="2"/>
      </rPr>
      <t xml:space="preserve">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</si>
  <si>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AGOSTO</t>
    </r>
    <r>
      <rPr>
        <sz val="8"/>
        <rFont val="Arial"/>
        <family val="2"/>
      </rPr>
      <t>,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</si>
  <si>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SEPTIEMBRE</t>
    </r>
    <r>
      <rPr>
        <sz val="8"/>
        <rFont val="Arial"/>
        <family val="2"/>
      </rPr>
      <t>,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</si>
  <si>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OCTUBRE</t>
    </r>
    <r>
      <rPr>
        <sz val="8"/>
        <rFont val="Arial"/>
        <family val="2"/>
      </rPr>
      <t>,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</si>
  <si>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NOVIEMBRE,</t>
    </r>
    <r>
      <rPr>
        <sz val="8"/>
        <rFont val="Arial"/>
        <family val="2"/>
      </rPr>
      <t xml:space="preserve"> la totalidad de los recursos solicitados por las diferentes áreas ejecutoras del IDU.</t>
    </r>
  </si>
  <si>
    <r>
      <t xml:space="preserve">Se realizaron todas las gestiones correspondientes y necesarias ante la Secretaria Distrital de Hacienda, para tener disponibles oportunamente en el mes de </t>
    </r>
    <r>
      <rPr>
        <b/>
        <sz val="8"/>
        <rFont val="Arial"/>
        <family val="2"/>
      </rPr>
      <t>DICIEMBRE</t>
    </r>
    <r>
      <rPr>
        <sz val="8"/>
        <rFont val="Arial"/>
        <family val="2"/>
      </rPr>
      <t>, la totalidad de los recursos solicitados por las diferentes áreas ejecutoras del IDU.</t>
    </r>
  </si>
  <si>
    <t>En la vigencia 2014, se realizaron todas las gestiones correspondientes y necesarias ante la Secretaria Distrital de Hacienda, para tener disponibles oportunamente, la totalidad de los recursos solicitados por las diferentes áreas ejecutoras del IDU.</t>
  </si>
  <si>
    <t>Garantizar mensualmente un cumplimiento del 100% de las actividades de Gestión del PAC, de conformidad con lo estipulado en el Plan de Acción de la STTR</t>
  </si>
  <si>
    <t>% de cumplimiento de las actividades relacionadas con la Gestión del PAC al interior de la STTR</t>
  </si>
  <si>
    <t>(número de actividades realizadas / numero de actividades programadas) * 100</t>
  </si>
  <si>
    <t>Modulo PAC del sistema STONE, Sistema SISPAC, Sistema de correspondencia Orfeo</t>
  </si>
  <si>
    <r>
      <t xml:space="preserve">En el mes de </t>
    </r>
    <r>
      <rPr>
        <b/>
        <sz val="8"/>
        <rFont val="Arial"/>
        <family val="2"/>
      </rPr>
      <t>ENERO</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</si>
  <si>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 xml:space="preserve">En el mes de </t>
    </r>
    <r>
      <rPr>
        <b/>
        <sz val="8"/>
        <rFont val="Arial"/>
        <family val="2"/>
      </rPr>
      <t>FEBRERO</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</si>
  <si>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 xml:space="preserve">En el mes de </t>
    </r>
    <r>
      <rPr>
        <b/>
        <sz val="8"/>
        <rFont val="Arial"/>
        <family val="2"/>
      </rPr>
      <t>MARZO,</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</si>
  <si>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 xml:space="preserve">En el mes de </t>
    </r>
    <r>
      <rPr>
        <b/>
        <sz val="8"/>
        <rFont val="Arial"/>
        <family val="2"/>
      </rPr>
      <t>ABRIL</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</si>
  <si>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 xml:space="preserve">En el mes de </t>
    </r>
    <r>
      <rPr>
        <b/>
        <sz val="8"/>
        <rFont val="Arial"/>
        <family val="2"/>
      </rPr>
      <t>MAYO</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</si>
  <si>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 xml:space="preserve">En el mes de </t>
    </r>
    <r>
      <rPr>
        <b/>
        <sz val="8"/>
        <rFont val="Arial"/>
        <family val="2"/>
      </rPr>
      <t>JUNIO,</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</si>
  <si>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 xml:space="preserve">En el mes de </t>
    </r>
    <r>
      <rPr>
        <b/>
        <sz val="8"/>
        <rFont val="Arial"/>
        <family val="2"/>
      </rPr>
      <t>JULIO</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</si>
  <si>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En el mes de</t>
    </r>
    <r>
      <rPr>
        <b/>
        <sz val="8"/>
        <rFont val="Arial"/>
        <family val="2"/>
      </rPr>
      <t xml:space="preserve"> AGOSTO</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</si>
  <si>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 xml:space="preserve">En el mes de </t>
    </r>
    <r>
      <rPr>
        <b/>
        <sz val="8"/>
        <rFont val="Arial"/>
        <family val="2"/>
      </rPr>
      <t>SEPTIEMBRE</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</si>
  <si>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 xml:space="preserve">En el mes de </t>
    </r>
    <r>
      <rPr>
        <b/>
        <sz val="8"/>
        <rFont val="Arial"/>
        <family val="2"/>
      </rPr>
      <t>OCTUBRE</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</si>
  <si>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 xml:space="preserve">En el mes de </t>
    </r>
    <r>
      <rPr>
        <b/>
        <sz val="8"/>
        <rFont val="Arial"/>
        <family val="2"/>
      </rPr>
      <t>NOVIEMBRE</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</si>
  <si>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r>
      <t>En el mes de</t>
    </r>
    <r>
      <rPr>
        <b/>
        <sz val="8"/>
        <rFont val="Arial"/>
        <family val="2"/>
      </rPr>
      <t xml:space="preserve"> DICIEMBRE</t>
    </r>
    <r>
      <rPr>
        <sz val="8"/>
        <rFont val="Arial"/>
        <family val="2"/>
      </rPr>
      <t xml:space="preserve">, se desarrolló la totalidad de las actividades relacionadas con la gestion del Programa Anual Mensualizado de Caja - PAC, garantizando asi la disponibilidad de recursos para atender las obligaciones contraidas por las diferentes areas ordenadoras del pago.  </t>
    </r>
  </si>
  <si>
    <t xml:space="preserve">En los meses comprendidos entre Enero y Diciembre de 2014, se desarrolló la totalidad de las actividades relacionadas con la gestion del Programa Anual Mensualizado de Caja - PAC, garantizando asi la disponibilidad de recursos para atender las obligaciones contraidas por las diferentes areas ordenadoras del pago.  </t>
  </si>
  <si>
    <t>Mensualmente se garantizara que el 100% de las partidas por conciliar con los bancos, no supere los 30 dias de antigüedad.</t>
  </si>
  <si>
    <t>% de partidas por conciliar con los Bancos inferiores o iguales a 30 días de antigüedad</t>
  </si>
  <si>
    <t>Asegurar la no existencia de partidas conciliatorias mayores a 30 días de antigüedad</t>
  </si>
  <si>
    <t>(total de registro por conciliar - numero de partida por conciliar mayores a 30 dias de antigüedad) / ( total de resgistro por conciliar) * 100</t>
  </si>
  <si>
    <t>Sistema STONE, extractos bancarios, Sistema de correspondencia Orfeo</t>
  </si>
  <si>
    <r>
      <t xml:space="preserve">En el mes de </t>
    </r>
    <r>
      <rPr>
        <b/>
        <sz val="8"/>
        <rFont val="Arial"/>
        <family val="2"/>
      </rPr>
      <t xml:space="preserve">ENERO </t>
    </r>
    <r>
      <rPr>
        <sz val="8"/>
        <rFont val="Arial"/>
        <family val="2"/>
      </rPr>
      <t>se presentaron 1115 registros por conciliar, y quedaron catorce (14) partidas mayores a 30 dias de antiguedad por depurar,  correspondientes a notas debito pendientes de reintegro por  bancos, demostrando una eficiente gestion de los responsables de su saneamiento.</t>
    </r>
  </si>
  <si>
    <r>
      <t xml:space="preserve">En el mes de </t>
    </r>
    <r>
      <rPr>
        <b/>
        <sz val="8"/>
        <rFont val="Arial"/>
        <family val="2"/>
      </rPr>
      <t>FEBRERO</t>
    </r>
    <r>
      <rPr>
        <sz val="8"/>
        <rFont val="Arial"/>
        <family val="2"/>
      </rPr>
      <t xml:space="preserve"> se presentaron 2130 registros por conciliar, y quedaron seis (6) partidas mayores a 30 dias de antiguedad por depurar,  correspondientes a notas debito pendientes de reintegro por  bancos, demostrando una eficiente gestion de los responsables de su saneamiento.</t>
    </r>
  </si>
  <si>
    <r>
      <t xml:space="preserve">En el mes de </t>
    </r>
    <r>
      <rPr>
        <b/>
        <sz val="8"/>
        <rFont val="Arial"/>
        <family val="2"/>
      </rPr>
      <t>MARZO</t>
    </r>
    <r>
      <rPr>
        <sz val="8"/>
        <rFont val="Arial"/>
        <family val="2"/>
      </rPr>
      <t xml:space="preserve"> se presentaron 3097 registros por conciliar, y quedaron dos (2) partidas mayores a 30 dias de antiguedad por depurar,  correspondientes a notas debito pendientes de reintegro por  bancos, demostrando una eficiente gestion de los responsables de su saneamiento.</t>
    </r>
  </si>
  <si>
    <r>
      <t xml:space="preserve">En el mes de </t>
    </r>
    <r>
      <rPr>
        <b/>
        <sz val="8"/>
        <rFont val="Arial"/>
        <family val="2"/>
      </rPr>
      <t xml:space="preserve">ABRIL </t>
    </r>
    <r>
      <rPr>
        <sz val="8"/>
        <rFont val="Arial"/>
        <family val="2"/>
      </rPr>
      <t>se presentaron 3149 registros por conciliar, y quedaron una (1) partida mayor a 30 dias de antiguedad por depurar,  correspondientes a notas debito pendientes de reintegro por  bancos, demostrando una eficiente gestion de los responsables de su saneamiento.</t>
    </r>
  </si>
  <si>
    <r>
      <t xml:space="preserve">En el mes de </t>
    </r>
    <r>
      <rPr>
        <b/>
        <sz val="8"/>
        <rFont val="Arial"/>
        <family val="2"/>
      </rPr>
      <t>MAYO</t>
    </r>
    <r>
      <rPr>
        <sz val="8"/>
        <rFont val="Arial"/>
        <family val="2"/>
      </rPr>
      <t xml:space="preserve"> se presentaron 5842 registros por conciliar, y quedaron una (1) partida mayor a 30 dias de antiguedad por depurar,  correspondiente a notas debito pendientes de reintegro por  bancos, demostrando una eficiente gestion de los responsables de su saneamiento.</t>
    </r>
  </si>
  <si>
    <r>
      <t xml:space="preserve">En el mes de </t>
    </r>
    <r>
      <rPr>
        <b/>
        <sz val="8"/>
        <rFont val="Arial"/>
        <family val="2"/>
      </rPr>
      <t>JUNIO</t>
    </r>
    <r>
      <rPr>
        <sz val="8"/>
        <rFont val="Arial"/>
        <family val="2"/>
      </rPr>
      <t xml:space="preserve"> se presentaron 3508 registros por conciliar, y quedaron dos (2) partidas mayores a 30 dias de antiguedad por depurar, correspondiente a notas debito pendientes de reintegro por  bancos, demostrando una eficiente gestion de los responsables de su saneamiento.</t>
    </r>
  </si>
  <si>
    <r>
      <t xml:space="preserve">En el mes de </t>
    </r>
    <r>
      <rPr>
        <b/>
        <sz val="8"/>
        <rFont val="Arial"/>
        <family val="2"/>
      </rPr>
      <t>JULIO</t>
    </r>
    <r>
      <rPr>
        <sz val="8"/>
        <rFont val="Arial"/>
        <family val="2"/>
      </rPr>
      <t xml:space="preserve"> se presentaron 2383 registros por conciliar, y quedaron seis (6) partidas mayores a 30 dias de antiguedad por depurar,  correspondientes a (4) notas debito pendientes de reintegro por  bancos y (2) Notas credito pendiente de registro, demostrando una eficiente gestion de los responsables de su saneamiento.</t>
    </r>
  </si>
  <si>
    <r>
      <t>En el mes de</t>
    </r>
    <r>
      <rPr>
        <b/>
        <sz val="8"/>
        <rFont val="Arial"/>
        <family val="2"/>
      </rPr>
      <t xml:space="preserve"> AGOSTO</t>
    </r>
    <r>
      <rPr>
        <sz val="8"/>
        <rFont val="Arial"/>
        <family val="2"/>
      </rPr>
      <t xml:space="preserve"> se presentaron 2115 registros por conciliar, y quedaron cuatro (4) partidas mayores a 30 dias de antiguedad por depurar,  correspondientes a (4) notas debito pendientes de reintegro por  bancos,  demostrando una eficiente gestion de los responsables de su saneamiento.</t>
    </r>
  </si>
  <si>
    <r>
      <t xml:space="preserve">En el mes de </t>
    </r>
    <r>
      <rPr>
        <b/>
        <sz val="8"/>
        <rFont val="Arial"/>
        <family val="2"/>
      </rPr>
      <t>SEPTIEMBRE</t>
    </r>
    <r>
      <rPr>
        <sz val="8"/>
        <rFont val="Arial"/>
        <family val="2"/>
      </rPr>
      <t xml:space="preserve"> se presentaron 1482 registros por conciliar, y quedaron nueve (9) partidas mayores a 30 dias de antiguedad por depurar,  correspondientes a (3) Recaudos pendientes por aplicar del ultimo dia habil del mes y (6) notas debito pendientes de reintegro por  bancos,  demostrando una eficiente gestion de los responsables de su saneamiento.</t>
    </r>
  </si>
  <si>
    <r>
      <t xml:space="preserve">En el mes de </t>
    </r>
    <r>
      <rPr>
        <b/>
        <sz val="8"/>
        <rFont val="Arial"/>
        <family val="2"/>
      </rPr>
      <t>OCTUBRE</t>
    </r>
    <r>
      <rPr>
        <sz val="8"/>
        <rFont val="Arial"/>
        <family val="2"/>
      </rPr>
      <t xml:space="preserve"> se presentaron 2343 registros por conciliar, y quedaron  cuatro (4) partidas mayores a 30 dias de antiguedad por depurar,  correspondientes a Notas debito pendientes de reintegro de bancos.</t>
    </r>
  </si>
  <si>
    <r>
      <t xml:space="preserve">En el mes de </t>
    </r>
    <r>
      <rPr>
        <b/>
        <sz val="8"/>
        <rFont val="Arial"/>
        <family val="2"/>
      </rPr>
      <t xml:space="preserve">NOVIEMBRE </t>
    </r>
    <r>
      <rPr>
        <sz val="8"/>
        <rFont val="Arial"/>
        <family val="2"/>
      </rPr>
      <t>se presentaron 2055 registros por conciliar, y quedaron  ocho (8) partidas mayores a 30 dias de antiguedad por depurar,  correspondientes a notas debito pendientes de reintegro de bancos.</t>
    </r>
  </si>
  <si>
    <r>
      <t xml:space="preserve">En el mes de </t>
    </r>
    <r>
      <rPr>
        <b/>
        <sz val="8"/>
        <rFont val="Arial"/>
        <family val="2"/>
      </rPr>
      <t xml:space="preserve">DICIEMBRE </t>
    </r>
    <r>
      <rPr>
        <sz val="8"/>
        <rFont val="Arial"/>
        <family val="2"/>
      </rPr>
      <t>se presentaron 2722 registros por conciliar, y quedaron  ocho (8) partidas mayores a 30 dias de antiguedad por depurar,  correspondientes a 4  notas debito pendientes de reintegro de bancos y 4 recaudos pendientes por aplicar en libros.</t>
    </r>
  </si>
  <si>
    <t>Durante los meses de Enero a Diciembre, se presentaron 31,941 registros por conciliar, y a 31 de diciembre 2014 quedaron  quedaron  ocho (8) partidas mayores a 30 dias de antiguedad por depurar,  correspondientes a 4  notas debito pendientes de reintegro de bancos y 4 recaudos pendientes por aplicar en libros., demostrando una eficiente gestion de los responsables de su saneamiento; teniendo en cuenta que el vencimiento del recaudo del Acuerdo 523 fue el 29 de diciembre de 2.014,</t>
  </si>
  <si>
    <t>Mensualmente se garantizara el 98% en la conciliación de partidas</t>
  </si>
  <si>
    <t>% de partidas conciliadas en el período</t>
  </si>
  <si>
    <t>Asegurar la no existencia de partidas conciliatorias</t>
  </si>
  <si>
    <t>(número de partidas conciliadas en el período / total de registros en el libro de bancos) * 100</t>
  </si>
  <si>
    <t>De 1115 registros presentados para conciliar en el mes de ENERO, fueron depurados 1111(99,64%) quedando pendientes 4 partidas inferiores a 30 dias de antigüedad, correspondientes a (2) recaudos por aplicar del ultimo dia habil del mes,(1) nota debito pendiente de reintegro de bancos y (1) Deposito Judicial pendiente por consignar.</t>
  </si>
  <si>
    <r>
      <t xml:space="preserve">De 2130 registros presentados para conciliar en el mes de </t>
    </r>
    <r>
      <rPr>
        <b/>
        <sz val="8"/>
        <rFont val="Arial"/>
        <family val="2"/>
      </rPr>
      <t>FEBRERO,</t>
    </r>
    <r>
      <rPr>
        <sz val="8"/>
        <rFont val="Arial"/>
        <family val="2"/>
      </rPr>
      <t xml:space="preserve"> fueron depurados 2119(99,48%) quedando pendientes 11 partidas inferiores a 30 dias de antigüedad, correspondientes a (4) recaudos por aplicar del ultimo dia habil del mes,(2) Traslados pendientes por realizar de Bancos, (5) nota debito pendiente de reintegro de bancos.</t>
    </r>
  </si>
  <si>
    <r>
      <t>De 3097 registros presentados para conciliar en el mes de</t>
    </r>
    <r>
      <rPr>
        <b/>
        <sz val="8"/>
        <rFont val="Arial"/>
        <family val="2"/>
      </rPr>
      <t xml:space="preserve"> MARZO</t>
    </r>
    <r>
      <rPr>
        <sz val="8"/>
        <rFont val="Arial"/>
        <family val="2"/>
      </rPr>
      <t xml:space="preserve">, fueron depurados 3093 (99,87%) quedando pendientes 4 partidas inferiores a 30 dias de antigüedad, correspondientes a (2) recaudos por aplicar del ultimo dia habil del mes y (2)Notas credito pendientes de registro. </t>
    </r>
  </si>
  <si>
    <r>
      <t>De 3149 registros presentados para conciliar en el mes de</t>
    </r>
    <r>
      <rPr>
        <b/>
        <sz val="8"/>
        <rFont val="Arial"/>
        <family val="2"/>
      </rPr>
      <t xml:space="preserve"> ABRIL</t>
    </r>
    <r>
      <rPr>
        <sz val="8"/>
        <rFont val="Arial"/>
        <family val="2"/>
      </rPr>
      <t xml:space="preserve">, fueron depurados 3139 (99,68%) quedando pendientes 10 partidas inferiores a 30 dias de antigüedad, correspondientes a (8) recaudos por aplicar del ultimo dia habil del mes y (2 ) Notas debito pendientes de reintegro de Bancos </t>
    </r>
  </si>
  <si>
    <r>
      <t>De 5842 registros presentados para conciliar en el mes de</t>
    </r>
    <r>
      <rPr>
        <b/>
        <sz val="8"/>
        <rFont val="Arial"/>
        <family val="2"/>
      </rPr>
      <t xml:space="preserve"> MAYO</t>
    </r>
    <r>
      <rPr>
        <sz val="8"/>
        <rFont val="Arial"/>
        <family val="2"/>
      </rPr>
      <t xml:space="preserve">, fueron depurados 5834(99.86%) quedando pendientes 8 partidas inferiores a 30 dias de antigüedad, correspondientes a (5) recaudos por aplicar del ultimo dia habil del mes y (3 ) Notas debito pendientes de reintegro de Bancos </t>
    </r>
  </si>
  <si>
    <r>
      <t xml:space="preserve">De 3508 registros presentados para conciliar en el mes de </t>
    </r>
    <r>
      <rPr>
        <b/>
        <sz val="8"/>
        <rFont val="Arial"/>
        <family val="2"/>
      </rPr>
      <t>JUNIO</t>
    </r>
    <r>
      <rPr>
        <sz val="8"/>
        <rFont val="Arial"/>
        <family val="2"/>
      </rPr>
      <t xml:space="preserve">, fueron depurados 3491(99.52%) quedando pendientes 17partidas inferiores a 30 dias de antigüedad, correspondientes a: (7) recaudos por aplicar del ultimo dia habil del mes y (1 ) Nota credito pendiente por abonar bancos interese facturas., (1) Rendimiento pendiente por registrar en libros,(5) Notas debito pendiente de reintegro bancos, (1) Deposito en cheque por registrar y (2) Recvaudos aplicados dos veces en libros. </t>
    </r>
  </si>
  <si>
    <r>
      <t xml:space="preserve">De 2383 registros presentados para conciliar en el mes de </t>
    </r>
    <r>
      <rPr>
        <b/>
        <sz val="8"/>
        <rFont val="Arial"/>
        <family val="2"/>
      </rPr>
      <t>JULIO</t>
    </r>
    <r>
      <rPr>
        <sz val="8"/>
        <rFont val="Arial"/>
        <family val="2"/>
      </rPr>
      <t xml:space="preserve">, fueron depurados 2364 (99.20%) quedando pendientes 19 partidas inferiores a 30 dias de antigüedad, correspondientes a: (6) recaudos por aplicar del ultimo dia habil del mes y (2 ) Notas credito pendiente por abonar bancos, (1) Recaudo pendiente  debito banco, (8) Notas debito pendientes de reintegro banco, (1) traslado pendiente por aplicar banco, (1) Recaudo pendiente por abonar banco. </t>
    </r>
  </si>
  <si>
    <r>
      <t xml:space="preserve">De 2115 registros presentados para conciliar en el mes de </t>
    </r>
    <r>
      <rPr>
        <b/>
        <sz val="8"/>
        <rFont val="Arial"/>
        <family val="2"/>
      </rPr>
      <t>AGOSTO,</t>
    </r>
    <r>
      <rPr>
        <sz val="8"/>
        <rFont val="Arial"/>
        <family val="2"/>
      </rPr>
      <t xml:space="preserve"> fueron depurados 2096 (99.10%) quedando pendientes 36 partidas inferiores a 30 dias de antigüedad, correspondientes a: (27) recaudos pendientes por aplicar del ultimo dia habil del mes, (6) Notas debito pendientes de reintegro bancos, (1) rechazo pendiente por registrar en libros,(1) Traslado pendiente por aplicar bancos y (1) Nota credito pendiente de registro . </t>
    </r>
  </si>
  <si>
    <r>
      <t xml:space="preserve">De 1482 registros presentados para conciliar en el mes de </t>
    </r>
    <r>
      <rPr>
        <b/>
        <sz val="8"/>
        <rFont val="Arial"/>
        <family val="2"/>
      </rPr>
      <t>SEPTIEMBRE</t>
    </r>
    <r>
      <rPr>
        <sz val="8"/>
        <rFont val="Arial"/>
        <family val="2"/>
      </rPr>
      <t xml:space="preserve">, fueron depurados 1442 (97.30%) quedando pendientes 40 partidas inferiores a 30 dias de antigüedad, correspondientes a: (18) recaudos pendientes por aplicar del ultimo dia habil del mes, (5) Notas debito pendientes de registro en libros-Comisiones GMF, ( 1) Recaudo abonado a otra cuenta Bancaria, (5) Notas debito pendientes de reintegro bancos, (3) Traslados pendientes por aplicar banco, (1) Pago pendiente por aplicar en Bancos y (7) Notas credito pendientes de registro. </t>
    </r>
  </si>
  <si>
    <r>
      <t>De 2343 registros presentados para conciliar en el mes de</t>
    </r>
    <r>
      <rPr>
        <b/>
        <sz val="8"/>
        <rFont val="Arial"/>
        <family val="2"/>
      </rPr>
      <t xml:space="preserve"> OCTUBRE</t>
    </r>
    <r>
      <rPr>
        <sz val="8"/>
        <rFont val="Arial"/>
        <family val="2"/>
      </rPr>
      <t>, fueron depurados 2293 (97.87%) quedando pendientes 50 partidas inferiores a 30 dias de antigüedad, correspondientes a: (19) recaudos pendientes por aplicar del ultimo dia habil del mes; (2) Traslados mal registrados en libres; (1) Rechazo pendiente por registrar en libros;(4) Traslados pendientes de registrar en libros; (11) Notas debito pendientes de registro libros comisiones GMF; (4) Notas debito pendientes de reintegro bancos; (5) Traslados pendientes de realizar en bancos ; (1) Pago pendiente por realizar en bancos y (3) Notas credito pendientes de registro.</t>
    </r>
  </si>
  <si>
    <r>
      <t xml:space="preserve">De 2055 registros presentados para conciliar en el mes de </t>
    </r>
    <r>
      <rPr>
        <b/>
        <sz val="8"/>
        <rFont val="Arial"/>
        <family val="2"/>
      </rPr>
      <t>NOVIEMBRE</t>
    </r>
    <r>
      <rPr>
        <sz val="8"/>
        <rFont val="Arial"/>
        <family val="2"/>
      </rPr>
      <t>, fueron depurados 2014 (98,00%) quedando pendientes 41 partidas inferiores a 30 dias de antigüedad, correspondientes a: (37) recaudos pendientes por aplicar del ultimo dia habil del mes y (4) Notas credito pendientes de registro.</t>
    </r>
  </si>
  <si>
    <r>
      <t xml:space="preserve">De 2722 registros presentados para conciliar en el mes de </t>
    </r>
    <r>
      <rPr>
        <b/>
        <sz val="8"/>
        <rFont val="Arial"/>
        <family val="2"/>
      </rPr>
      <t>DICIEMBRE</t>
    </r>
    <r>
      <rPr>
        <sz val="8"/>
        <rFont val="Arial"/>
        <family val="2"/>
      </rPr>
      <t>, fueron depurados 2578 (94,71%) quedando pendientes 144 partidas inferiores a 30 dias de antigüedad, correspondientes a: (109) recaudos pendientes por aplicar del mes , (2) Traslados pendientes por registrar en libros, ( 17) Notas Debito pendientes por registrar en libros, (9) Notas Debito pendientes de reintegro por parte del Banco , (5) Tralados  por aplicar en Banco del 31 de diciembre y (2) Traslados pendientes por reclasificar en libros.</t>
    </r>
  </si>
  <si>
    <t>De 31.941 registros presentados para conciliar durante los meses de Enero a Diciembre, quedaron pendientes 144 patidas  inferiores a 30 dias de antigüedad, correspondientes a: (109) recaudos pendientes por aplicar del mes , (2) Traslados pendientes por registrar en libros, ( 17) Notas Debito pendientes por registrar en libros, (9) Notas Debito pendientes de reintegro por parte del Banco , (5) Tralados  por aplicar en Banco del 31 de diciembre y (2) Traslados pendientes por reclasificar en libros; Notando una labor de depuracion de partidas conciliatorias significativa de manera eficiente y eficaz, teniendo encuenta que el 29 de diciembre fue el vencimiento de recaudo del Acuerdo 523.</t>
  </si>
  <si>
    <t>Mensualmente se garantizara para el 95% de las órdenes de pago, una oportunidad en el giro de 5 días o menos, contados a partir de su radicación en la STTR</t>
  </si>
  <si>
    <t>% cumplimiento oportuno en el  pagos a terceros</t>
  </si>
  <si>
    <t>Velar por una gestión eficaz y oportuna para el giro de las ordenes de pago radicadas en la STTR</t>
  </si>
  <si>
    <t>(número de ordenes de pago (Facturas) tramitadas y giradas oportunamente / total de ordenes de pago (Facturas) radicadas en STTR) * 100</t>
  </si>
  <si>
    <t>Sistema STONE, Sistema Pronto Pago</t>
  </si>
  <si>
    <r>
      <t xml:space="preserve">De la totalidad (121) de ordenes de pago recepcionadas en la Subdireccion Tecnica de Tesoreria y Recaudo en el mes de </t>
    </r>
    <r>
      <rPr>
        <b/>
        <sz val="8"/>
        <rFont val="Arial"/>
        <family val="2"/>
      </rPr>
      <t>ENERO</t>
    </r>
    <r>
      <rPr>
        <sz val="8"/>
        <rFont val="Arial"/>
        <family val="2"/>
      </rPr>
      <t>, 57 (47,11%) fueron tramitadas para su pago en menos de cinco (5) dias y 64 (52,89%) en mas de cinco dias. Las razones que no permitieron alcanzar la meta propuesta en el mes, correspondieron a: 1)   Daños presentados con el servicio de internet  en todo el IDU, 2) Por  El cierre de  fin de año que ocasiono que las ordenes de pago no se giraran  en diciembre y  pasaran a poder del tesorero, teniendose que girar  en enero  3) Por las fiestas y turnos de descanso de los funcionarios del area, a finales de diciembre y principios de enero. y 4) Por que el pago de  impuestos, aunque se preparo la orden de pago en diciembre, solo se girá , por politica del area, un dia antes de su vencimiento.</t>
    </r>
  </si>
  <si>
    <r>
      <t>De la totalidad (692) de ordenes de pago recepcionadas en la Subdireccion Tecnica de Tesoreria y Recaudo en el mes de</t>
    </r>
    <r>
      <rPr>
        <b/>
        <sz val="8"/>
        <rFont val="Arial"/>
        <family val="2"/>
      </rPr>
      <t xml:space="preserve"> FEBRERO,</t>
    </r>
    <r>
      <rPr>
        <sz val="8"/>
        <rFont val="Arial"/>
        <family val="2"/>
      </rPr>
      <t xml:space="preserve"> 688 (99,42%) fueron tramitadas para su pago en menos de cinco (5) dias y 4 (0,58%) en mas de cinco dias, demostrando una eficiente gestión del área, en el tramite para el pago de las mismas, superando de igual manera la meta propuesta.                                                                                                                                                                                                                                                                                                                                                                                                                                                                                                                                                                                                                                                                                                                                                                                                                                                                                                                                                                                                           </t>
    </r>
  </si>
  <si>
    <r>
      <t xml:space="preserve">De la totalidad (1737) de ordenes de pago recepcionadas en la Subdireccion Tecnica de Tesoreria y Recaudo en el mes de </t>
    </r>
    <r>
      <rPr>
        <b/>
        <sz val="8"/>
        <rFont val="Arial"/>
        <family val="2"/>
      </rPr>
      <t>MARZO</t>
    </r>
    <r>
      <rPr>
        <sz val="8"/>
        <rFont val="Arial"/>
        <family val="2"/>
      </rPr>
      <t xml:space="preserve">, 1729 (99,54%) fueron tramitadas para su pago en menos de cinco (5) dias y 8 (0,46%) en mas de cinco dias, demostrando una eficiente gestión del área, en el tramite para el pago de las mismas, superando de igual manera la meta propuesta.      </t>
    </r>
  </si>
  <si>
    <r>
      <t xml:space="preserve">De la totalidad (2060) de ordenes de pago recepcionadas en la Subdireccion Tecnica de Tesoreria y Recaudo en el mes de </t>
    </r>
    <r>
      <rPr>
        <b/>
        <sz val="8"/>
        <rFont val="Arial"/>
        <family val="2"/>
      </rPr>
      <t>ABRIL</t>
    </r>
    <r>
      <rPr>
        <sz val="8"/>
        <rFont val="Arial"/>
        <family val="2"/>
      </rPr>
      <t xml:space="preserve">, 2043 (99,17%) fueron tramitadas para su pago en menos de cinco (5) dias y 17 (0,83%) en mas de cinco dias, demostrando una eficiente gestión del área, en el tramite para el pago de las mismas, superando de igual manera la meta propuesta.      </t>
    </r>
  </si>
  <si>
    <r>
      <t>De la totalidad (4063) de ordenes de pago recepcionadas en la Subdireccion Tecnica de Tesoreria y Recaudo en el mes de</t>
    </r>
    <r>
      <rPr>
        <b/>
        <sz val="8"/>
        <rFont val="Arial"/>
        <family val="2"/>
      </rPr>
      <t xml:space="preserve"> MAYO,</t>
    </r>
    <r>
      <rPr>
        <sz val="8"/>
        <rFont val="Arial"/>
        <family val="2"/>
      </rPr>
      <t xml:space="preserve"> 3979 (97,93%) fueron tramitadas para su pago en menos de cinco (5) dias y 84(2,07%) en mas de cinco dias, demostrando, no obstante la cantidad de ordenes de pago de este mes (el doble del mes anterior), una eficiente gestión del área, en el tramite para el pago de las mismas, superando de igual manera la meta propuesta.     </t>
    </r>
  </si>
  <si>
    <r>
      <t xml:space="preserve">De la totalidad (2370) de ordenes de pago recepcionadas en la Subdireccion Tecnica de Tesoreria y Recaudo en el mes de </t>
    </r>
    <r>
      <rPr>
        <b/>
        <sz val="8"/>
        <rFont val="Arial"/>
        <family val="2"/>
      </rPr>
      <t>JUNIO,</t>
    </r>
    <r>
      <rPr>
        <sz val="8"/>
        <rFont val="Arial"/>
        <family val="2"/>
      </rPr>
      <t xml:space="preserve"> 2360 (99,58%) fueron tramitadas para su pago en menos de cinco (5) dias y 10 (0,42%) en mas de cinco dias, demostrando, una eficiente gestión del área en el tramite para el pago de las mismas, superando de igual manera la meta propuesta.     </t>
    </r>
  </si>
  <si>
    <r>
      <t xml:space="preserve">De la totalidad (622) de ordenes de pago recepcionadas en la Subdireccion Tecnica de Tesoreria y Recaudo en el mes de </t>
    </r>
    <r>
      <rPr>
        <b/>
        <sz val="8"/>
        <rFont val="Arial"/>
        <family val="2"/>
      </rPr>
      <t xml:space="preserve">JULIO, </t>
    </r>
    <r>
      <rPr>
        <sz val="8"/>
        <rFont val="Arial"/>
        <family val="2"/>
      </rPr>
      <t>583(93,73%) fueron tramitadas para su pago en menos de cinco (5) dias y 39 (6,27%) en mas de cinco dias.  Las razones que no permitieron alcanzar la meta propuesta en el mes, correspondieron basicamente a errores en la asignacion en el sistema pronto pago.</t>
    </r>
  </si>
  <si>
    <r>
      <t xml:space="preserve">De la totalidad (630) de ordenes de pago recepcionadas en la Subdireccion Tecnica de Tesoreria y Recaudo en el mes de </t>
    </r>
    <r>
      <rPr>
        <b/>
        <sz val="8"/>
        <rFont val="Arial"/>
        <family val="2"/>
      </rPr>
      <t>AGOSTO</t>
    </r>
    <r>
      <rPr>
        <sz val="8"/>
        <rFont val="Arial"/>
        <family val="2"/>
      </rPr>
      <t>, todas(100%) fueron tramitadas para su pago en menos de cinco (5) dias.</t>
    </r>
  </si>
  <si>
    <r>
      <t xml:space="preserve">De la totalidad (357) de ordenes de pago recepcionadas en la Subdireccion Tecnica de Tesoreria y Recaudo en el mes de </t>
    </r>
    <r>
      <rPr>
        <b/>
        <sz val="8"/>
        <rFont val="Arial"/>
        <family val="2"/>
      </rPr>
      <t>SEPTIEMBRE</t>
    </r>
    <r>
      <rPr>
        <sz val="8"/>
        <rFont val="Arial"/>
        <family val="2"/>
      </rPr>
      <t xml:space="preserve">, 349 (97,76%) fueron tramitadas para su pago en menos de cinco (5) dias y 8 (2,24%) en mas de cinco dias, demostrando, una eficiente gestión del área en el tramite para el pago de las mismas, superando de igual manera la meta propuesta.     </t>
    </r>
  </si>
  <si>
    <r>
      <t>De la totalidad (270) de ordenes de pago recepcionadas en la Subdireccion Tecnica de Tesoreria y Recaudo en el mes de</t>
    </r>
    <r>
      <rPr>
        <b/>
        <sz val="8"/>
        <rFont val="Arial"/>
        <family val="2"/>
      </rPr>
      <t xml:space="preserve"> OCTUBRE</t>
    </r>
    <r>
      <rPr>
        <sz val="8"/>
        <rFont val="Arial"/>
        <family val="2"/>
      </rPr>
      <t xml:space="preserve">, 237 (87.78%) fueron tramitadas para su pago en menos de cinco (5) dias y 33 (12,22%) en mas de cinco dias,  Las razones que no permitieron alcanzar la meta propuesta en el mes, correspondieron basicamente </t>
    </r>
    <r>
      <rPr>
        <sz val="8"/>
        <color indexed="10"/>
        <rFont val="Arial"/>
        <family val="2"/>
      </rPr>
      <t xml:space="preserve"> </t>
    </r>
    <r>
      <rPr>
        <sz val="8"/>
        <rFont val="Arial"/>
        <family val="2"/>
      </rPr>
      <t>a la presentacion de un bloqueo en el portal del Banco de Bogota, de uno de los autorizadores - Subdirector Tecnico de Tesoreria y Recaudo y por la presentacion de problemas en los sistemas de Informacion del IDU, impididendo la migación de las Ordenes de Pago en el portal del Banco de Bogotá.</t>
    </r>
  </si>
  <si>
    <r>
      <t xml:space="preserve">De la totalidad (292) de ordenes de pago recepcionadas en la Subdireccion Tecnica de Tesoreria y Recaudo en el mes de </t>
    </r>
    <r>
      <rPr>
        <b/>
        <sz val="8"/>
        <rFont val="Arial"/>
        <family val="2"/>
      </rPr>
      <t>NOVIEMBRE</t>
    </r>
    <r>
      <rPr>
        <sz val="8"/>
        <rFont val="Arial"/>
        <family val="2"/>
      </rPr>
      <t xml:space="preserve">, 287 (98,29%) fueron tramitadas para su pago en menos de cinco (5) dias y 5 (1,71%) en mas de cinco dias, demostrando, una eficiente gestión del área, en el tramite para el pago de las mismas, superando de igual manera la meta propuesta.     </t>
    </r>
  </si>
  <si>
    <r>
      <t xml:space="preserve">De la totalidad 433) de ordenes de pago recepcionadas en la Subdireccion Tecnica de Tesoreria y Recaudo en el mes de </t>
    </r>
    <r>
      <rPr>
        <b/>
        <sz val="8"/>
        <rFont val="Arial"/>
        <family val="2"/>
      </rPr>
      <t>DICIEMBRE</t>
    </r>
    <r>
      <rPr>
        <sz val="8"/>
        <rFont val="Arial"/>
        <family val="2"/>
      </rPr>
      <t xml:space="preserve">, 422 (97,46%) fueron tramitadas para su pago en menos de cinco (5) dias y 11 (2,54%) en mas de cinco dias, demostrando, una eficiente gestión del área, en el tramite para el pago de las mismas, superando de igual manera la meta propuesta.    </t>
    </r>
  </si>
  <si>
    <t xml:space="preserve">De la totalidad 13,647) de ordenes de pago recepcionadas en la Subdireccion Tecnica de Tesoreria y Recaudo en la vigencia 2014, 12,781 (93,65%) fueron tramitadas para su pago en menos de cinco (5) dias y 866 (6,35%) en mas de cinco dias, las razones que impidieron obtener la meta propuesta correspondieron basicamente a  inconvenientes tecnicos como: Daños en el servicio de internet en todo el Instituto, errores en la asignacion en el sistema pronto pago, presentacion de un bloqueo en el portal del Banco de Bogota, de uno de los autorizadores - Subdirector Tecnico de Tesoreria y Recaudo y por la presentacion de problemas en los sistemas de Informacion del IDU, impididendo la migración de las Ordenes de Pago en el portal del Banco de Bogotá, entre otros, presentados en los meses de enero, julio y octubre.    </t>
  </si>
  <si>
    <t>Mensualmente se garantizará la aplicación oportuna (antes de dos (2) dias en los sistemas de informacion de valorizacion,  de la totalidad de archivos Asobancaria 2001, de recaudo por concepto de la contribucion de valorizacion</t>
  </si>
  <si>
    <t>% de oportunidad en el registro del recaudo de la contribución de valorización.</t>
  </si>
  <si>
    <t>Garantizar la aplicación oportuna de los pagos de la contribucion de valorizacion en los sistemas sde información de valorización.</t>
  </si>
  <si>
    <t>Cantidad de archivos Asobancaria 2001, aplicados dentro de los dos (2) dias siguientes a su recibo /  Cantidad total de archivos Asobancaria 2001 recibidos de los bancos en el mes) * 100</t>
  </si>
  <si>
    <t>Conciliaciones diarias y Sistema de Informacion de Valorizacion "Valoricemos"</t>
  </si>
  <si>
    <r>
      <t xml:space="preserve">En el mes de </t>
    </r>
    <r>
      <rPr>
        <b/>
        <sz val="8"/>
        <rFont val="Arial"/>
        <family val="2"/>
      </rPr>
      <t>ENERO</t>
    </r>
    <r>
      <rPr>
        <sz val="8"/>
        <rFont val="Arial"/>
        <family val="2"/>
      </rPr>
      <t xml:space="preserve"> se recepcionaron y aplicaron 54 archivos Asobancaria de recaudo de la contribucion de valorizacion remitidos por los diferentes bancos, de las cuales su totalidad 54(100%) fueron aplicados durante los dos (2) dias siguientes a su recepción, cumpliendo asi con la meta propuesta.</t>
    </r>
  </si>
  <si>
    <r>
      <t xml:space="preserve">En el mes de </t>
    </r>
    <r>
      <rPr>
        <b/>
        <sz val="8"/>
        <rFont val="Arial"/>
        <family val="2"/>
      </rPr>
      <t>FEBRERO</t>
    </r>
    <r>
      <rPr>
        <sz val="8"/>
        <rFont val="Arial"/>
        <family val="2"/>
      </rPr>
      <t xml:space="preserve"> se recepcionaron y aplicaron 68 archivos Asobancaria de recaudo de la contribucion de valorizacion remitidos por los diferentes bancos, de las cuales su totalidad 68(100%) fueron aplicados durante los dos (2) dias siguientes a su recepción, cumpliendo asi con la meta propuesta.</t>
    </r>
  </si>
  <si>
    <r>
      <t>En el mes de</t>
    </r>
    <r>
      <rPr>
        <b/>
        <sz val="8"/>
        <rFont val="Arial"/>
        <family val="2"/>
      </rPr>
      <t xml:space="preserve"> MARZO </t>
    </r>
    <r>
      <rPr>
        <sz val="8"/>
        <rFont val="Arial"/>
        <family val="2"/>
      </rPr>
      <t xml:space="preserve">se recepcionaron y aplicaron 64 cintas y/o Archivos Asobancaria de recaudo de la contribucion de valorizacion remitidas por los diferentes bancos, de las cuales 56 (87,50%)fueron aplicados durante los dos (2) dias siguientes a su recepción y ocho (8)  archivos Asobancaria en mas de dos (2) dias desde su recepcion, no obstante el 100%(64) de los mismos quedaron aplicados durante el mes de </t>
    </r>
    <r>
      <rPr>
        <b/>
        <sz val="8"/>
        <rFont val="Arial"/>
        <family val="2"/>
      </rPr>
      <t>MARZO</t>
    </r>
    <r>
      <rPr>
        <sz val="8"/>
        <rFont val="Arial"/>
        <family val="2"/>
      </rPr>
      <t>.   No se alcanzó la meta propuesta del 100%, puesto que se presentaron daños en el VPN del IDU.</t>
    </r>
  </si>
  <si>
    <r>
      <t>En el mes de</t>
    </r>
    <r>
      <rPr>
        <b/>
        <sz val="8"/>
        <rFont val="Arial"/>
        <family val="2"/>
      </rPr>
      <t xml:space="preserve"> ABRIL </t>
    </r>
    <r>
      <rPr>
        <sz val="8"/>
        <rFont val="Arial"/>
        <family val="2"/>
      </rPr>
      <t xml:space="preserve">se recepcionaron y aplicaron 81 cintas y/o Archivos Asobancaria de recaudo de la contribucion de valorizacion remitidas por los diferentes bancos, de las cuales 74 (91.36%)fueron aplicados durante los dos (2) dias siguientes a su recepción y siete (7) archivos Asobancaria en mas de dos (2) dias desde su recepcion, no obstante el 100%(81) de las mismos quedaron aplicadas durante el mes de </t>
    </r>
    <r>
      <rPr>
        <b/>
        <sz val="8"/>
        <rFont val="Arial"/>
        <family val="2"/>
      </rPr>
      <t>ABRIL.</t>
    </r>
    <r>
      <rPr>
        <sz val="8"/>
        <rFont val="Arial"/>
        <family val="2"/>
      </rPr>
      <t xml:space="preserve">  No se alcanzó la meta propuesta del 100%, puesto que se presentó un bloqueo en el Portal Electronico del Banco Colpatria, no permitiendo procesar a tiempo la informacion.</t>
    </r>
  </si>
  <si>
    <r>
      <t xml:space="preserve">En el mes de </t>
    </r>
    <r>
      <rPr>
        <b/>
        <sz val="8"/>
        <rFont val="Arial"/>
        <family val="2"/>
      </rPr>
      <t>MAYO</t>
    </r>
    <r>
      <rPr>
        <sz val="8"/>
        <rFont val="Arial"/>
        <family val="2"/>
      </rPr>
      <t xml:space="preserve"> se recepcionaron y aplicaron 109 archivos Asobancaria de recaudo de la contribucion de valorizacion remitidos por los diferentes bancos, de las cuales su totalidad 109(100%) fueron aplicados durante los dos (2) dias siguientes a su recepción, cumpliendo asi con la meta propuesta.</t>
    </r>
  </si>
  <si>
    <r>
      <t xml:space="preserve">En el mes de </t>
    </r>
    <r>
      <rPr>
        <b/>
        <sz val="8"/>
        <rFont val="Arial"/>
        <family val="2"/>
      </rPr>
      <t xml:space="preserve">JUNIO </t>
    </r>
    <r>
      <rPr>
        <sz val="8"/>
        <rFont val="Arial"/>
        <family val="2"/>
      </rPr>
      <t xml:space="preserve">se recepcionaron y aplicaron 160 archivos Asobancaria de recaudo de la contribucion de valorizacion remitidos por los diferentes bancos, de las cuales su totalidad 160(100%) fueron aplicados durante los dos (2) dias siguientes a su recepción, cumpliendo asi con la meta propuesta. </t>
    </r>
  </si>
  <si>
    <r>
      <t xml:space="preserve">En el mes de </t>
    </r>
    <r>
      <rPr>
        <b/>
        <sz val="8"/>
        <rFont val="Arial"/>
        <family val="2"/>
      </rPr>
      <t>JULIO</t>
    </r>
    <r>
      <rPr>
        <sz val="8"/>
        <rFont val="Arial"/>
        <family val="2"/>
      </rPr>
      <t xml:space="preserve"> se recepcionaron y aplicaron 237 archivos Asobancaria de recaudo de la contribucion de valorizacion remitidos por los diferentes bancos, de las cuales su totalidad 237(100%) fueron aplicados durante los dos (2) dias siguientes a su recepción, cumpliendo asi con la meta propuesta. </t>
    </r>
  </si>
  <si>
    <r>
      <t xml:space="preserve">En el mes de </t>
    </r>
    <r>
      <rPr>
        <b/>
        <sz val="8"/>
        <rFont val="Arial"/>
        <family val="2"/>
      </rPr>
      <t>AGOSTO</t>
    </r>
    <r>
      <rPr>
        <sz val="8"/>
        <rFont val="Arial"/>
        <family val="2"/>
      </rPr>
      <t xml:space="preserve"> se recepcionaron y aplicaron 221 cintas y/o Archivos Asobancaria de recaudo de la contribucion de valorizacion remitidas por los diferentes bancos, de las cuales 216 (97,74%)fueron aplicados durante los dos (2) dias siguientes a su recepción y cinco(5) archivos Asobancaria en mas de dos (2) dias desde su recepcion, no obstante el 100%(221) de las mismos quedaron aplicadas durante el mes de</t>
    </r>
    <r>
      <rPr>
        <b/>
        <sz val="8"/>
        <rFont val="Arial"/>
        <family val="2"/>
      </rPr>
      <t xml:space="preserve"> </t>
    </r>
    <r>
      <rPr>
        <sz val="8"/>
        <rFont val="Arial"/>
        <family val="2"/>
      </rPr>
      <t>Agosto.  No se alcanzó la meta propuesta del 100%, ya que el funcionario titular encargado del proceso se encontraba en vacaciones  y su reemplazo no lo realizó a tiempo.</t>
    </r>
  </si>
  <si>
    <r>
      <t xml:space="preserve">En el mes de </t>
    </r>
    <r>
      <rPr>
        <b/>
        <sz val="8"/>
        <rFont val="Arial"/>
        <family val="2"/>
      </rPr>
      <t>SEPTIEMBRE</t>
    </r>
    <r>
      <rPr>
        <sz val="8"/>
        <rFont val="Arial"/>
        <family val="2"/>
      </rPr>
      <t xml:space="preserve"> se recepcionaron y aplicaron 273 cintas y/o archivos Asobancaria de recaudo de la contribucion de valorizacion remitidas por los diferentes bancos, de las cuales 258 (94,51%)fueron aplicados durante los dos (2) dias siguientes a su recepción y quince (15) archivos Asobancaria en mas de dos (2) dias desde su recepcion, no obstante el 100% (273) de las mismos quedaron aplicadas durante el mes de septiembre.  No se alcanzó la meta propuesta del 100%, por cuanto se presentaron daños en la plataforma tecnologica del IDU que impidio el normal cumplimiento de la aplicacion de los archivos, hasta tanto no fueron corregidos los daños.</t>
    </r>
  </si>
  <si>
    <r>
      <t xml:space="preserve">En el mes de </t>
    </r>
    <r>
      <rPr>
        <b/>
        <sz val="8"/>
        <rFont val="Arial"/>
        <family val="2"/>
      </rPr>
      <t xml:space="preserve">OCTUBRE </t>
    </r>
    <r>
      <rPr>
        <sz val="8"/>
        <rFont val="Arial"/>
        <family val="2"/>
      </rPr>
      <t xml:space="preserve">se recepcionaron y aplicaron 313 archivos Asobancaria de recaudo de la contribucion de valorizacion remitidos por los diferentes bancos, de las cuales su totalidad 313 (100%) fueron aplicados durante los dos (2) dias siguientes a su recepción, cumpliendo asi con la meta propuesta. </t>
    </r>
  </si>
  <si>
    <r>
      <t xml:space="preserve">En el mes de </t>
    </r>
    <r>
      <rPr>
        <b/>
        <sz val="8"/>
        <rFont val="Arial"/>
        <family val="2"/>
      </rPr>
      <t>NOVIEMBRE</t>
    </r>
    <r>
      <rPr>
        <sz val="8"/>
        <rFont val="Arial"/>
        <family val="2"/>
      </rPr>
      <t xml:space="preserve"> se recepcionaron y aplicaron 313 archivos Asobancaria de recaudo de la contribucion de valorizacion remitidos por los diferentes bancos, (66 de Acuerdo 180, 26 de Acuerdos Anteriores y 221 de Acuerdo 523) de las cuales su totalidad 313 (100%) fueron aplicados durante los dos (2) dias siguientes a su recepción, cumpliendo asi con la meta propuesta. </t>
    </r>
  </si>
  <si>
    <r>
      <t>En el mes de</t>
    </r>
    <r>
      <rPr>
        <b/>
        <sz val="8"/>
        <rFont val="Arial"/>
        <family val="2"/>
      </rPr>
      <t xml:space="preserve"> DICIEMBRE</t>
    </r>
    <r>
      <rPr>
        <sz val="8"/>
        <rFont val="Arial"/>
        <family val="2"/>
      </rPr>
      <t xml:space="preserve"> se recepcionaron y aplicaron 434 archivos Asobancaria de recaudo de la contribucion de valorizacion remitidos por los diferentes bancos, (88 de Acuerdo 180, 30 de Acuerdos Anteriores y316 de Acuerdo 523) de las cuales su totalidad 434 (100%) fueron aplicados durante los dos (2) dias siguientes a su recepción, cumpliendo asi con la meta propuesta. </t>
    </r>
  </si>
  <si>
    <t>En la vigencia 2014 se recepcionaron y aplicaron 2,327 archivos Asobancaria de recaudo de la contribucion de valorizacion remitidos por los diferentes bancos, de las cuales 2,292 (98,50%)fueron aplicados durante los dos (2) dias siguientes a su recepción, y treinta y cinco (35)  archivos Asobancaria en mas de dos (2) dias desde su recepcion, no obstante el 100% (2,327) de los mismos quedaron aplicados durante el mes que se recepcionaron.   No se alcanzó la meta propuesta del 100%, puesto que se presentaron daños en el VPN del IDU, en el mes de marzo y por un bloqueo en el Portal Electronico del Banco Colpatria en el mes de abril  y  presentacion de daños en la plataforma tecnologica del IDU que impidio el normal cumplimiento de la aplicacion de los archivos, hasta tanto no fueron corregidos los daños. que no permitieron procesar a tiempo la informacion en el mes de septiembre.</t>
  </si>
  <si>
    <t>Mensualmente se garantizara que las inversiones  realizadas con los exedentes de liquidez, superen la tasa de referencia DTF</t>
  </si>
  <si>
    <t>% de inversiones realizadas con los exedentes de liquidez  que superen la tasa de referencia DTF</t>
  </si>
  <si>
    <t>Garantizar que las inversiones que se constituyan, superen la tasa de referencia DTF</t>
  </si>
  <si>
    <t xml:space="preserve">(Sumatoria de las tasas efectivas de cierre de las inversiones en CDTs durante el mes / Número de inversiones)/ Tasa de referencia promedio DTF </t>
  </si>
  <si>
    <t>Sistema de Informacion Administrativo y Financiero STONE , Deceval.</t>
  </si>
  <si>
    <r>
      <t xml:space="preserve">Las Dos (2) inversiones realizadas con los excedentes de liquidez, durante el mes de </t>
    </r>
    <r>
      <rPr>
        <b/>
        <sz val="8"/>
        <rFont val="Arial"/>
        <family val="2"/>
      </rPr>
      <t>ENERO,</t>
    </r>
    <r>
      <rPr>
        <sz val="8"/>
        <rFont val="Arial"/>
        <family val="2"/>
      </rPr>
      <t xml:space="preserve"> superaron la tasa promedio de referencia DTF, obteniendo una eficacia en la colocacion de 112,62%.</t>
    </r>
  </si>
  <si>
    <r>
      <t xml:space="preserve">Las Siete (7) inversiones realizadas con los excedentes de liquidez, durante el mes de </t>
    </r>
    <r>
      <rPr>
        <b/>
        <sz val="8"/>
        <rFont val="Arial"/>
        <family val="2"/>
      </rPr>
      <t>FEBRERO</t>
    </r>
    <r>
      <rPr>
        <sz val="8"/>
        <rFont val="Arial"/>
        <family val="2"/>
      </rPr>
      <t>, superaron la tasa promedio de referencia DTF, obteniendo una eficacia en la colocacion de 112,90%.</t>
    </r>
  </si>
  <si>
    <r>
      <t xml:space="preserve">Las Catorce (14) inversiones realizadas con los excedentes de liquidez, durante el mes de </t>
    </r>
    <r>
      <rPr>
        <b/>
        <sz val="8"/>
        <rFont val="Arial"/>
        <family val="2"/>
      </rPr>
      <t>MARZO</t>
    </r>
    <r>
      <rPr>
        <sz val="8"/>
        <rFont val="Arial"/>
        <family val="2"/>
      </rPr>
      <t>, superaron la tasa promedio de referencia DTF, obteniendo una eficacia en la colocacion de 113,10%.</t>
    </r>
  </si>
  <si>
    <r>
      <t xml:space="preserve">Las Cinco (5) inversiones realizadas con los excedentes de liquidez, durante el mes de </t>
    </r>
    <r>
      <rPr>
        <b/>
        <sz val="8"/>
        <rFont val="Arial"/>
        <family val="2"/>
      </rPr>
      <t>ABRIL</t>
    </r>
    <r>
      <rPr>
        <sz val="8"/>
        <rFont val="Arial"/>
        <family val="2"/>
      </rPr>
      <t>, superaron la tasa promedio de referencia DTF, obteniendo una eficacia en la colocacion de 112,91%.</t>
    </r>
  </si>
  <si>
    <r>
      <t xml:space="preserve">Las Diez (10) inversiones realizadas con los excedentes de liquidez, durante el mes de </t>
    </r>
    <r>
      <rPr>
        <b/>
        <sz val="8"/>
        <rFont val="Arial"/>
        <family val="2"/>
      </rPr>
      <t>MAYO</t>
    </r>
    <r>
      <rPr>
        <sz val="8"/>
        <rFont val="Arial"/>
        <family val="2"/>
      </rPr>
      <t>, superaron la tasa promedio de referencia DTF, obteniendo una eficacia en la colocacion de 117,85%.</t>
    </r>
  </si>
  <si>
    <r>
      <t xml:space="preserve">Las tres (3) inversiones realizadas con los excedentes de liquidez, durante el mes de </t>
    </r>
    <r>
      <rPr>
        <b/>
        <sz val="8"/>
        <rFont val="Arial"/>
        <family val="2"/>
      </rPr>
      <t>JUNIO</t>
    </r>
    <r>
      <rPr>
        <sz val="8"/>
        <rFont val="Arial"/>
        <family val="2"/>
      </rPr>
      <t xml:space="preserve"> superaron la tasa promedio de referencia DTF, obteniendo una eficacia en la colocacion de 114,36%.</t>
    </r>
  </si>
  <si>
    <r>
      <t xml:space="preserve">Las tres (3) inversiones realizadas con los excedentes de liquidez,( 2 renovados y uno (1) reclasificado) durante el mes de </t>
    </r>
    <r>
      <rPr>
        <b/>
        <sz val="8"/>
        <rFont val="Arial"/>
        <family val="2"/>
      </rPr>
      <t xml:space="preserve">JULIO </t>
    </r>
    <r>
      <rPr>
        <sz val="8"/>
        <rFont val="Arial"/>
        <family val="2"/>
      </rPr>
      <t>superaron la tasa promedio de referencia DTF, obteniendo una eficacia en la colocacion de 117,24%.</t>
    </r>
  </si>
  <si>
    <r>
      <t xml:space="preserve">Las nueve (9) inversiones realizadas con los excedentes de liquidez,( siete (7) renovaciones y dos (2) constituciones x reclasificacion) durante el mes de </t>
    </r>
    <r>
      <rPr>
        <b/>
        <sz val="8"/>
        <rFont val="Arial"/>
        <family val="2"/>
      </rPr>
      <t xml:space="preserve">AGOSTO </t>
    </r>
    <r>
      <rPr>
        <sz val="8"/>
        <rFont val="Arial"/>
        <family val="2"/>
      </rPr>
      <t>superaron la tasa promedio de referencia DTF, obteniendo una eficacia en la colocacion de 119,15%.</t>
    </r>
  </si>
  <si>
    <r>
      <t xml:space="preserve">Las doce (12) inversiones realizadas con los excedentes de liquidez,(ocho (8) renovaciones, una (1) redencion y (3) constituciones) durante el mes de </t>
    </r>
    <r>
      <rPr>
        <b/>
        <sz val="8"/>
        <rFont val="Arial"/>
        <family val="2"/>
      </rPr>
      <t>SEPTIEMBRE</t>
    </r>
    <r>
      <rPr>
        <sz val="8"/>
        <rFont val="Arial"/>
        <family val="2"/>
      </rPr>
      <t>, superaron la tasa promedio de referencia DTF, obteniendo una eficacia en la colocacion de 110,29%.</t>
    </r>
  </si>
  <si>
    <r>
      <t xml:space="preserve">Las cuatro (4) inversiones realizadas con los excedentes de liquidez durante el mes de </t>
    </r>
    <r>
      <rPr>
        <b/>
        <sz val="8"/>
        <rFont val="Arial"/>
        <family val="2"/>
      </rPr>
      <t>OCTUBRE</t>
    </r>
    <r>
      <rPr>
        <sz val="8"/>
        <rFont val="Arial"/>
        <family val="2"/>
      </rPr>
      <t>, superaron la tasa promedio de referencia DTF, obteniendo una eficacia en la colocacion de 110,28%.</t>
    </r>
  </si>
  <si>
    <r>
      <t xml:space="preserve">Las nueve (9) inversiones realizadas con los excedentes de liquidez durante el mes de </t>
    </r>
    <r>
      <rPr>
        <b/>
        <sz val="8"/>
        <rFont val="Arial"/>
        <family val="2"/>
      </rPr>
      <t>NOVIEMBRE</t>
    </r>
    <r>
      <rPr>
        <sz val="8"/>
        <rFont val="Arial"/>
        <family val="2"/>
      </rPr>
      <t>, superaron la tasa promedio de referencia DTF, obteniendo una eficacia en la colocacion de 109,61%.</t>
    </r>
  </si>
  <si>
    <r>
      <t xml:space="preserve">Las  siete (7) inversiones realizadas con los excedentes de liquidez durante el mes de </t>
    </r>
    <r>
      <rPr>
        <b/>
        <sz val="8"/>
        <rFont val="Arial"/>
        <family val="2"/>
      </rPr>
      <t>DICIEMBRE</t>
    </r>
    <r>
      <rPr>
        <sz val="8"/>
        <rFont val="Arial"/>
        <family val="2"/>
      </rPr>
      <t>, superaron la tasa promedio de referencia DTF, obteniendo una eficacia en la colocacion de 110,98%.</t>
    </r>
  </si>
  <si>
    <t>Las ochenta y cinco (85) inversiones realizadas con los excedentes de liquidez, durante la vigencia 2014, superaron la tasa promedio de referencia DTF, obteniendo una eficacia  promedio en la colocacion de 113,35%.</t>
  </si>
  <si>
    <t>Ejecutar el 100% de los productos y documentos requeridos para el Sistema Integrado de Gestión - SIG de acuerdo al Plan de Acción SIG y al Plan de Actualización documental</t>
  </si>
  <si>
    <t>Durante el primer cuatrimestre no tiene compromisos para trámite de documentos.</t>
  </si>
  <si>
    <t>De acuerdo al compromiso de actualización documental firmado, durante el primer semestre no tiene programados documentos.</t>
  </si>
  <si>
    <t>De los trámites programados inicialmente para ejecutar desde el 1° de enero hasta el 30 de septiembre, quedaron pendientes un total de 13 trámites. El detalle de los documentos se puede observar en el plan documental consolidado por la OAP o el plan específico en cada área.</t>
  </si>
  <si>
    <t>No aplica evaluacion del indicador de Planes de mejoramiento en este periodo.</t>
  </si>
  <si>
    <t xml:space="preserve">Se verifica la información registrada en el SIAC por parte de la Subdirección Técnica de Tesorería y Recaudo estado esta actualizada a la fecha de corte del indicador. </t>
  </si>
  <si>
    <t xml:space="preserve">Revisado cada uno de los estados registrados en el Sistema de Información y Acompañamiento Contractual se evidencia que la totalidad se encuentran actualizados </t>
  </si>
  <si>
    <r>
      <t xml:space="preserve">Nombre: </t>
    </r>
    <r>
      <rPr>
        <b/>
        <sz val="10"/>
        <rFont val="Arial"/>
        <family val="2"/>
      </rPr>
      <t>Guiovanni Cubides Moreno</t>
    </r>
  </si>
  <si>
    <t>Cargo: Subdirector Tecnico de Tesorería y Recaudo.</t>
  </si>
  <si>
    <t>SUBDIRECCIÓN TÉCNICA DE MANTENIMIENTO DEL SUBSISTEMA DE TRANSPORTE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</si>
</sst>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 #,##0_);[Red]\(&quot;$&quot;\ #,##0\)"/>
    <numFmt numFmtId="44" formatCode="_(&quot;$&quot;\ * #,##0.00_);_(&quot;$&quot;\ * \(#,##0.00\);_(&quot;$&quot;\ * &quot;-&quot;??_);_(@_)"/>
    <numFmt numFmtId="43" formatCode="_(* #,##0.00_);_(* \(#,##0.00\);_(* &quot;-&quot;??_);_(@_)"/>
    <numFmt numFmtId="164" formatCode="_ * #,##0.00_ ;_ * \-#,##0.00_ ;_ * &quot;-&quot;??_ ;_ @_ "/>
    <numFmt numFmtId="165" formatCode="_ [$€-2]\ * #,##0.00_ ;_ [$€-2]\ * \-#,##0.00_ ;_ [$€-2]\ * &quot;-&quot;??_ "/>
    <numFmt numFmtId="166" formatCode="0.0%"/>
    <numFmt numFmtId="167" formatCode="0.0"/>
    <numFmt numFmtId="168" formatCode="_(* #,##0_);_(* \(#,##0\);_(* &quot;-&quot;??_);_(@_)"/>
    <numFmt numFmtId="169" formatCode="_(* #,##0.000_);_(* \(#,##0.000\);_(* &quot;-&quot;??_);_(@_)"/>
    <numFmt numFmtId="170" formatCode="_(* #,##0.0_);_(* \(#,##0.0\);_(* &quot;-&quot;??_);_(@_)"/>
    <numFmt numFmtId="175" formatCode="&quot;$&quot;\ #,##0"/>
    <numFmt numFmtId="176" formatCode="#,##0.0"/>
    <numFmt numFmtId="177" formatCode="#,##0.00\ ;&quot; (&quot;#,##0.00\);&quot; -&quot;#\ ;@\ "/>
    <numFmt numFmtId="178" formatCode="0.000%"/>
    <numFmt numFmtId="179" formatCode="0.000"/>
    <numFmt numFmtId="180" formatCode="0.0000"/>
    <numFmt numFmtId="181" formatCode="_(* #,##0.0000_);_(* \(#,##0.0000\);_(* &quot;-&quot;??_);_(@_)"/>
    <numFmt numFmtId="182" formatCode="0.00000"/>
    <numFmt numFmtId="183" formatCode="0.0000%"/>
    <numFmt numFmtId="184" formatCode="_(&quot;$&quot;\ * #,##0_);_(&quot;$&quot;\ * \(#,##0\);_(&quot;$&quot;\ * &quot;-&quot;??_);_(@_)"/>
    <numFmt numFmtId="185" formatCode="0_);\(0\)"/>
    <numFmt numFmtId="186" formatCode="0;[Red]0"/>
    <numFmt numFmtId="187" formatCode="0.000000000"/>
    <numFmt numFmtId="188" formatCode="0.00000000000000%"/>
    <numFmt numFmtId="189" formatCode="&quot;$&quot;\ #,##0;[Red]&quot;$&quot;\ #,##0"/>
    <numFmt numFmtId="190" formatCode="_(&quot;$&quot;\ * #,##0.0_);_(&quot;$&quot;\ * \(#,##0.0\);_(&quot;$&quot;\ * &quot;-&quot;??_);_(@_)"/>
  </numFmts>
  <fonts count="135">
    <font>
      <sz val="10"/>
      <name val="Arial"/>
    </font>
    <font>
      <sz val="11"/>
      <color indexed="8"/>
      <name val="Calibri"/>
      <family val="2"/>
    </font>
    <font>
      <sz val="10"/>
      <name val="Arial"/>
      <family val="2"/>
    </font>
    <font>
      <b/>
      <sz val="8"/>
      <name val="Arial"/>
      <family val="2"/>
    </font>
    <font>
      <b/>
      <sz val="10"/>
      <name val="Arial"/>
      <family val="2"/>
    </font>
    <font>
      <sz val="10"/>
      <name val="Arial"/>
      <family val="2"/>
    </font>
    <font>
      <sz val="8"/>
      <name val="Arial"/>
      <family val="2"/>
    </font>
    <font>
      <sz val="8"/>
      <name val="Calibri"/>
      <family val="2"/>
    </font>
    <font>
      <sz val="7"/>
      <name val="Arial"/>
      <family val="2"/>
    </font>
    <font>
      <sz val="11"/>
      <name val="ＭＳ ゴシック"/>
      <family val="3"/>
      <charset val="128"/>
    </font>
    <font>
      <sz val="10"/>
      <name val="Helv"/>
      <charset val="204"/>
    </font>
    <font>
      <sz val="10"/>
      <name val="Arial"/>
      <family val="2"/>
    </font>
    <font>
      <b/>
      <sz val="9"/>
      <color indexed="8"/>
      <name val="Arial"/>
      <family val="2"/>
    </font>
    <font>
      <b/>
      <sz val="9"/>
      <name val="Arial"/>
      <family val="2"/>
    </font>
    <font>
      <sz val="9"/>
      <name val="Arial"/>
      <family val="2"/>
    </font>
    <font>
      <b/>
      <sz val="9"/>
      <color indexed="81"/>
      <name val="Tahoma"/>
      <family val="2"/>
    </font>
    <font>
      <b/>
      <sz val="7"/>
      <name val="Arial"/>
      <family val="2"/>
    </font>
    <font>
      <b/>
      <sz val="12"/>
      <name val="Arial"/>
      <family val="2"/>
    </font>
    <font>
      <b/>
      <sz val="11"/>
      <name val="Arial"/>
      <family val="2"/>
    </font>
    <font>
      <sz val="11"/>
      <name val="Arial"/>
      <family val="2"/>
    </font>
    <font>
      <i/>
      <sz val="10"/>
      <name val="Arial"/>
      <family val="2"/>
    </font>
    <font>
      <sz val="10"/>
      <name val="Verdana"/>
      <family val="2"/>
    </font>
    <font>
      <sz val="10"/>
      <name val="Arial"/>
      <family val="2"/>
    </font>
    <font>
      <b/>
      <sz val="6"/>
      <name val="Arial"/>
      <family val="2"/>
    </font>
    <font>
      <sz val="9"/>
      <color indexed="81"/>
      <name val="Tahoma"/>
      <family val="2"/>
    </font>
    <font>
      <sz val="9"/>
      <color indexed="81"/>
      <name val="Tahoma"/>
      <charset val="1"/>
    </font>
    <font>
      <sz val="8"/>
      <color indexed="8"/>
      <name val="Arial"/>
      <family val="2"/>
    </font>
    <font>
      <sz val="10"/>
      <name val="Arial"/>
    </font>
    <font>
      <sz val="8"/>
      <color indexed="81"/>
      <name val="Tahoma"/>
      <family val="2"/>
    </font>
    <font>
      <sz val="8"/>
      <color indexed="10"/>
      <name val="Arial"/>
      <family val="2"/>
    </font>
    <font>
      <b/>
      <sz val="8"/>
      <color indexed="8"/>
      <name val="Arial"/>
      <family val="2"/>
    </font>
    <font>
      <sz val="9"/>
      <name val="Calibri"/>
      <family val="2"/>
    </font>
    <font>
      <sz val="12"/>
      <name val="Arial"/>
      <family val="2"/>
    </font>
    <font>
      <sz val="9"/>
      <name val="Arial Narrow"/>
      <family val="2"/>
    </font>
    <font>
      <sz val="7"/>
      <color indexed="81"/>
      <name val="Arial"/>
      <family val="2"/>
    </font>
    <font>
      <sz val="10"/>
      <name val="Mangal"/>
      <family val="2"/>
    </font>
    <font>
      <sz val="10"/>
      <color indexed="8"/>
      <name val="MS Sans Serif"/>
      <family val="2"/>
    </font>
    <font>
      <b/>
      <sz val="10"/>
      <color indexed="8"/>
      <name val="Arial"/>
      <family val="2"/>
    </font>
    <font>
      <sz val="10"/>
      <name val="Arial Narrow"/>
      <family val="2"/>
    </font>
    <font>
      <sz val="7"/>
      <name val="Arial Narrow"/>
      <family val="2"/>
    </font>
    <font>
      <sz val="7"/>
      <color indexed="10"/>
      <name val="Arial Narrow"/>
      <family val="2"/>
    </font>
    <font>
      <sz val="7"/>
      <color indexed="10"/>
      <name val="Arial"/>
      <family val="2"/>
    </font>
    <font>
      <sz val="6"/>
      <name val="Arial"/>
      <family val="2"/>
    </font>
    <font>
      <sz val="28"/>
      <color indexed="10"/>
      <name val="Arial"/>
      <family val="2"/>
    </font>
    <font>
      <sz val="7"/>
      <color indexed="8"/>
      <name val="Arial Narrow"/>
      <family val="2"/>
    </font>
    <font>
      <b/>
      <sz val="11"/>
      <color indexed="8"/>
      <name val="Arial"/>
      <family val="2"/>
    </font>
    <font>
      <sz val="11"/>
      <color indexed="8"/>
      <name val="Arial"/>
      <family val="2"/>
    </font>
    <font>
      <sz val="14"/>
      <name val="Arial"/>
      <family val="2"/>
    </font>
    <font>
      <sz val="13"/>
      <name val="Arial"/>
      <family val="2"/>
    </font>
    <font>
      <b/>
      <sz val="13"/>
      <color indexed="8"/>
      <name val="Arial"/>
      <family val="2"/>
    </font>
    <font>
      <sz val="13"/>
      <color indexed="8"/>
      <name val="Arial"/>
      <family val="2"/>
    </font>
    <font>
      <b/>
      <sz val="13"/>
      <name val="Arial"/>
      <family val="2"/>
    </font>
    <font>
      <b/>
      <sz val="14"/>
      <color indexed="8"/>
      <name val="Arial"/>
      <family val="2"/>
    </font>
    <font>
      <sz val="14"/>
      <color indexed="8"/>
      <name val="Arial"/>
      <family val="2"/>
    </font>
    <font>
      <b/>
      <sz val="14"/>
      <name val="Arial"/>
      <family val="2"/>
    </font>
    <font>
      <sz val="16"/>
      <name val="Arial"/>
      <family val="2"/>
    </font>
    <font>
      <i/>
      <sz val="14"/>
      <name val="Arial"/>
      <family val="2"/>
    </font>
    <font>
      <sz val="18"/>
      <name val="Arial"/>
      <family val="2"/>
    </font>
    <font>
      <sz val="6.5"/>
      <name val="Arial"/>
      <family val="2"/>
    </font>
    <font>
      <b/>
      <sz val="6.5"/>
      <name val="Arial"/>
      <family val="2"/>
    </font>
    <font>
      <b/>
      <sz val="8.5"/>
      <name val="Arial"/>
      <family val="2"/>
    </font>
    <font>
      <sz val="8.5"/>
      <name val="Arial"/>
      <family val="2"/>
    </font>
    <font>
      <i/>
      <sz val="8"/>
      <name val="Arial"/>
      <family val="2"/>
    </font>
    <font>
      <b/>
      <sz val="20"/>
      <name val="Arial"/>
      <family val="2"/>
    </font>
    <font>
      <sz val="20"/>
      <name val="Arial"/>
      <family val="2"/>
    </font>
    <font>
      <b/>
      <sz val="20"/>
      <color indexed="8"/>
      <name val="Arial"/>
      <family val="2"/>
    </font>
    <font>
      <sz val="20"/>
      <name val="Arial Narrow"/>
      <family val="2"/>
    </font>
    <font>
      <sz val="20"/>
      <color indexed="8"/>
      <name val="Arial"/>
      <family val="2"/>
    </font>
    <font>
      <sz val="7"/>
      <name val="Arial "/>
    </font>
    <font>
      <b/>
      <sz val="7"/>
      <name val="Arial "/>
    </font>
    <font>
      <b/>
      <sz val="15"/>
      <name val="Arial"/>
      <family val="2"/>
    </font>
    <font>
      <b/>
      <sz val="9"/>
      <name val="Arial"/>
    </font>
    <font>
      <sz val="9"/>
      <name val="Arial"/>
    </font>
    <font>
      <sz val="11"/>
      <name val="Wingdings"/>
      <charset val="2"/>
    </font>
    <font>
      <sz val="7"/>
      <name val="Times New Roman"/>
      <family val="1"/>
    </font>
    <font>
      <sz val="11"/>
      <name val="Calibri"/>
      <family val="2"/>
    </font>
    <font>
      <b/>
      <sz val="16"/>
      <name val="Arial"/>
      <family val="2"/>
    </font>
    <font>
      <sz val="7"/>
      <color indexed="8"/>
      <name val="Arial"/>
      <family val="2"/>
    </font>
    <font>
      <b/>
      <sz val="8"/>
      <color indexed="8"/>
      <name val="Calibri"/>
      <family val="2"/>
    </font>
    <font>
      <sz val="8"/>
      <color indexed="8"/>
      <name val="Calibri"/>
      <family val="2"/>
    </font>
    <font>
      <sz val="24"/>
      <name val="Arial"/>
      <family val="2"/>
    </font>
    <font>
      <sz val="26"/>
      <name val="Arial"/>
      <family val="2"/>
    </font>
    <font>
      <b/>
      <sz val="30"/>
      <name val="Arial"/>
      <family val="2"/>
    </font>
    <font>
      <b/>
      <sz val="24"/>
      <name val="Arial"/>
      <family val="2"/>
    </font>
    <font>
      <sz val="30"/>
      <name val="Arial"/>
      <family val="2"/>
    </font>
    <font>
      <b/>
      <sz val="26"/>
      <name val="Arial"/>
      <family val="2"/>
    </font>
    <font>
      <sz val="30"/>
      <name val="Arial Narrow"/>
      <family val="2"/>
    </font>
    <font>
      <sz val="28"/>
      <name val="Arial"/>
      <family val="2"/>
    </font>
    <font>
      <b/>
      <sz val="22"/>
      <name val="Arial"/>
      <family val="2"/>
    </font>
    <font>
      <sz val="22"/>
      <name val="Arial"/>
      <family val="2"/>
    </font>
    <font>
      <i/>
      <sz val="11"/>
      <name val="Arial"/>
      <family val="2"/>
    </font>
    <font>
      <sz val="12"/>
      <color indexed="8"/>
      <name val="Arial"/>
      <family val="2"/>
    </font>
    <font>
      <sz val="8"/>
      <name val="Symbol"/>
      <family val="1"/>
      <charset val="2"/>
    </font>
    <font>
      <sz val="6.4"/>
      <name val="Arial"/>
      <family val="2"/>
    </font>
    <font>
      <u/>
      <sz val="8"/>
      <name val="Arial"/>
      <family val="2"/>
    </font>
    <font>
      <sz val="6.8"/>
      <name val="Arial"/>
      <family val="2"/>
    </font>
    <font>
      <sz val="8"/>
      <name val="Arial Narrow"/>
      <family val="2"/>
    </font>
    <font>
      <sz val="11"/>
      <color indexed="81"/>
      <name val="Tahoma"/>
      <family val="2"/>
    </font>
    <font>
      <sz val="11"/>
      <color theme="1"/>
      <name val="Calibri"/>
      <family val="2"/>
      <scheme val="minor"/>
    </font>
    <font>
      <sz val="8"/>
      <color rgb="FFFF0000"/>
      <name val="Arial"/>
      <family val="2"/>
    </font>
    <font>
      <b/>
      <sz val="8"/>
      <color theme="1"/>
      <name val="Arial"/>
      <family val="2"/>
    </font>
    <font>
      <i/>
      <sz val="11"/>
      <color rgb="FFFF0000"/>
      <name val="Arial"/>
      <family val="2"/>
    </font>
    <font>
      <i/>
      <sz val="8"/>
      <color rgb="FFFF0000"/>
      <name val="Arial"/>
      <family val="2"/>
    </font>
    <font>
      <sz val="10"/>
      <color rgb="FFFF0000"/>
      <name val="Arial"/>
      <family val="2"/>
    </font>
    <font>
      <sz val="10"/>
      <color theme="1"/>
      <name val="Arial"/>
      <family val="2"/>
    </font>
    <font>
      <sz val="12"/>
      <color theme="1"/>
      <name val="Calibri"/>
      <family val="2"/>
      <scheme val="minor"/>
    </font>
    <font>
      <sz val="7"/>
      <color theme="0"/>
      <name val="Arial"/>
      <family val="2"/>
    </font>
    <font>
      <sz val="7"/>
      <color theme="1"/>
      <name val="Arial"/>
      <family val="2"/>
    </font>
    <font>
      <sz val="11"/>
      <color theme="1"/>
      <name val="Arial"/>
      <family val="2"/>
    </font>
    <font>
      <sz val="13"/>
      <color theme="1"/>
      <name val="Arial"/>
      <family val="2"/>
    </font>
    <font>
      <sz val="14"/>
      <color theme="1"/>
      <name val="Arial"/>
      <family val="2"/>
    </font>
    <font>
      <sz val="8"/>
      <color theme="1"/>
      <name val="Calibri"/>
      <family val="2"/>
      <scheme val="minor"/>
    </font>
    <font>
      <sz val="8"/>
      <color theme="1"/>
      <name val="Arial"/>
      <family val="2"/>
    </font>
    <font>
      <sz val="10"/>
      <color indexed="8"/>
      <name val="Calibri"/>
      <family val="2"/>
      <scheme val="minor"/>
    </font>
    <font>
      <sz val="20"/>
      <color theme="1"/>
      <name val="Arial"/>
      <family val="2"/>
    </font>
    <font>
      <sz val="20"/>
      <color theme="1"/>
      <name val="Calibri"/>
      <family val="2"/>
      <scheme val="minor"/>
    </font>
    <font>
      <sz val="9"/>
      <color rgb="FF000000"/>
      <name val="Arial"/>
    </font>
    <font>
      <sz val="12"/>
      <color rgb="FFFF0000"/>
      <name val="Arial"/>
      <family val="2"/>
    </font>
    <font>
      <b/>
      <sz val="11"/>
      <color rgb="FF000000"/>
      <name val="Calibri"/>
      <family val="2"/>
    </font>
    <font>
      <sz val="24"/>
      <color rgb="FFFF0000"/>
      <name val="Arial"/>
      <family val="2"/>
    </font>
    <font>
      <sz val="24"/>
      <color theme="0"/>
      <name val="Arial"/>
      <family val="2"/>
    </font>
    <font>
      <sz val="24"/>
      <color theme="1"/>
      <name val="Arial"/>
      <family val="2"/>
    </font>
    <font>
      <b/>
      <sz val="24"/>
      <color rgb="FFFF0000"/>
      <name val="Arial"/>
      <family val="2"/>
    </font>
    <font>
      <sz val="28"/>
      <color rgb="FFFF0000"/>
      <name val="Arial"/>
      <family val="2"/>
    </font>
    <font>
      <sz val="11"/>
      <color rgb="FF000000"/>
      <name val="Arial"/>
      <family val="2"/>
    </font>
    <font>
      <sz val="6.5"/>
      <name val="Calibri"/>
      <family val="2"/>
      <scheme val="minor"/>
    </font>
    <font>
      <b/>
      <sz val="9"/>
      <color rgb="FF000000"/>
      <name val="Arial"/>
    </font>
    <font>
      <sz val="10"/>
      <color rgb="FF000000"/>
      <name val="Trebuchet MS"/>
      <family val="2"/>
    </font>
    <font>
      <sz val="28"/>
      <color theme="1"/>
      <name val="Arial"/>
      <family val="2"/>
    </font>
    <font>
      <sz val="9"/>
      <color theme="1"/>
      <name val="Arial"/>
      <family val="2"/>
    </font>
    <font>
      <b/>
      <sz val="10"/>
      <color theme="1"/>
      <name val="Arial"/>
      <family val="2"/>
    </font>
    <font>
      <b/>
      <sz val="12"/>
      <color theme="1"/>
      <name val="Arial"/>
      <family val="2"/>
    </font>
    <font>
      <sz val="12"/>
      <color theme="1"/>
      <name val="Arial"/>
      <family val="2"/>
    </font>
    <font>
      <b/>
      <sz val="14"/>
      <color theme="1"/>
      <name val="Arial"/>
      <family val="2"/>
    </font>
    <font>
      <sz val="9"/>
      <color theme="1"/>
      <name val="Arial Narrow"/>
      <family val="2"/>
    </font>
  </fonts>
  <fills count="44">
    <fill>
      <patternFill patternType="none"/>
    </fill>
    <fill>
      <patternFill patternType="gray125"/>
    </fill>
    <fill>
      <patternFill patternType="solid">
        <fgColor indexed="31"/>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rgb="FF339966"/>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00B050"/>
        <bgColor indexed="64"/>
      </patternFill>
    </fill>
    <fill>
      <patternFill patternType="solid">
        <fgColor rgb="FF39AD73"/>
        <bgColor indexed="64"/>
      </patternFill>
    </fill>
    <fill>
      <patternFill patternType="solid">
        <fgColor rgb="FFFFFFFF"/>
        <bgColor rgb="FFFFFFFF"/>
      </patternFill>
    </fill>
    <fill>
      <patternFill patternType="solid">
        <fgColor rgb="FFD8D8D8"/>
        <bgColor rgb="FFD8D8D8"/>
      </patternFill>
    </fill>
    <fill>
      <patternFill patternType="solid">
        <fgColor rgb="FFC6D9F0"/>
        <bgColor rgb="FFC6D9F0"/>
      </patternFill>
    </fill>
    <fill>
      <patternFill patternType="solid">
        <fgColor theme="8" tint="0.7999816888943144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DE9D9"/>
        <bgColor rgb="FFFDE9D9"/>
      </patternFill>
    </fill>
    <fill>
      <patternFill patternType="solid">
        <fgColor rgb="FFDAEEF3"/>
        <bgColor rgb="FFDAEEF3"/>
      </patternFill>
    </fill>
    <fill>
      <patternFill patternType="solid">
        <fgColor rgb="FFE5DFEC"/>
        <bgColor rgb="FFE5DFEC"/>
      </patternFill>
    </fill>
    <fill>
      <patternFill patternType="solid">
        <fgColor rgb="FFFFFFCC"/>
        <bgColor rgb="FFFFFFCC"/>
      </patternFill>
    </fill>
    <fill>
      <patternFill patternType="solid">
        <fgColor rgb="FFEAF1DD"/>
        <bgColor rgb="FFEAF1DD"/>
      </patternFill>
    </fill>
    <fill>
      <patternFill patternType="solid">
        <fgColor rgb="FFF2DBDB"/>
        <bgColor rgb="FFF2DBDB"/>
      </patternFill>
    </fill>
    <fill>
      <patternFill patternType="solid">
        <fgColor rgb="FFDBE5F1"/>
        <bgColor rgb="FFDBE5F1"/>
      </patternFill>
    </fill>
    <fill>
      <patternFill patternType="solid">
        <fgColor rgb="FFDDD9C3"/>
        <bgColor rgb="FFDDD9C3"/>
      </patternFill>
    </fill>
    <fill>
      <patternFill patternType="solid">
        <fgColor theme="0"/>
        <bgColor theme="0" tint="-0.14999847407452621"/>
      </patternFill>
    </fill>
    <fill>
      <patternFill patternType="solid">
        <fgColor rgb="FFC5D9F1"/>
        <bgColor indexed="64"/>
      </patternFill>
    </fill>
  </fills>
  <borders count="54">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8"/>
      </right>
      <top/>
      <bottom/>
      <diagonal/>
    </border>
    <border>
      <left style="thin">
        <color indexed="64"/>
      </left>
      <right style="thin">
        <color indexed="8"/>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right style="double">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bottom style="thin">
        <color rgb="FF000000"/>
      </bottom>
      <diagonal/>
    </border>
    <border>
      <left style="medium">
        <color rgb="FF000000"/>
      </left>
      <right style="medium">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theme="0"/>
      </top>
      <bottom style="thin">
        <color indexed="64"/>
      </bottom>
      <diagonal/>
    </border>
  </borders>
  <cellStyleXfs count="51">
    <xf numFmtId="0" fontId="0" fillId="0" borderId="0"/>
    <xf numFmtId="0" fontId="10" fillId="0" borderId="0"/>
    <xf numFmtId="0" fontId="35" fillId="0" borderId="0" applyNumberFormat="0" applyFill="0" applyBorder="0" applyProtection="0">
      <alignment horizontal="left"/>
    </xf>
    <xf numFmtId="43" fontId="1" fillId="0" borderId="0" applyFont="0" applyFill="0" applyBorder="0" applyAlignment="0" applyProtection="0"/>
    <xf numFmtId="0" fontId="9" fillId="0" borderId="0"/>
    <xf numFmtId="165" fontId="2" fillId="0" borderId="0" applyFont="0" applyFill="0" applyBorder="0" applyAlignment="0" applyProtection="0"/>
    <xf numFmtId="3" fontId="6" fillId="0" borderId="1"/>
    <xf numFmtId="43" fontId="22"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14" fillId="0" borderId="0" applyFont="0" applyFill="0" applyBorder="0" applyAlignment="0" applyProtection="0"/>
    <xf numFmtId="164" fontId="1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7" fontId="6" fillId="0" borderId="1"/>
    <xf numFmtId="44" fontId="22" fillId="0" borderId="0" applyFont="0" applyFill="0" applyBorder="0" applyAlignment="0" applyProtection="0"/>
    <xf numFmtId="44" fontId="2" fillId="0" borderId="0" applyFont="0" applyFill="0" applyBorder="0" applyAlignment="0" applyProtection="0"/>
    <xf numFmtId="0" fontId="5" fillId="0" borderId="0"/>
    <xf numFmtId="0" fontId="2" fillId="0" borderId="0"/>
    <xf numFmtId="0" fontId="14" fillId="0" borderId="0"/>
    <xf numFmtId="0" fontId="14" fillId="0" borderId="0"/>
    <xf numFmtId="0" fontId="27" fillId="0" borderId="0"/>
    <xf numFmtId="0" fontId="21" fillId="0" borderId="0"/>
    <xf numFmtId="0" fontId="98" fillId="0" borderId="0"/>
    <xf numFmtId="0" fontId="14" fillId="0" borderId="0"/>
    <xf numFmtId="0" fontId="2" fillId="0" borderId="0"/>
    <xf numFmtId="0" fontId="36" fillId="0" borderId="0"/>
    <xf numFmtId="0" fontId="98" fillId="0" borderId="0"/>
    <xf numFmtId="0" fontId="2" fillId="0" borderId="0"/>
    <xf numFmtId="0" fontId="36" fillId="0" borderId="0"/>
    <xf numFmtId="9" fontId="1"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Protection="0">
      <alignment horizontal="left"/>
    </xf>
    <xf numFmtId="0" fontId="35"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8"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2742">
    <xf numFmtId="0" fontId="0" fillId="0" borderId="0" xfId="0"/>
    <xf numFmtId="0" fontId="5" fillId="0" borderId="0" xfId="0" applyFont="1" applyAlignment="1" applyProtection="1">
      <alignment vertical="center" wrapText="1"/>
      <protection locked="0"/>
    </xf>
    <xf numFmtId="0" fontId="6" fillId="0" borderId="0" xfId="0" applyFont="1" applyAlignment="1" applyProtection="1">
      <alignment vertical="center" wrapText="1"/>
      <protection locked="0"/>
    </xf>
    <xf numFmtId="0" fontId="14" fillId="0" borderId="0" xfId="0" applyFont="1" applyAlignment="1" applyProtection="1">
      <alignment vertical="center" wrapText="1"/>
      <protection locked="0"/>
    </xf>
    <xf numFmtId="0" fontId="14" fillId="0" borderId="0" xfId="0" applyFont="1" applyAlignment="1" applyProtection="1">
      <alignment vertical="top" wrapText="1"/>
      <protection locked="0"/>
    </xf>
    <xf numFmtId="0" fontId="8" fillId="0" borderId="0" xfId="0" applyFont="1" applyFill="1" applyBorder="1" applyAlignment="1" applyProtection="1">
      <alignment vertical="center" wrapText="1"/>
      <protection locked="0"/>
    </xf>
    <xf numFmtId="9" fontId="8" fillId="0" borderId="0" xfId="38" applyFont="1" applyFill="1" applyBorder="1" applyAlignment="1" applyProtection="1">
      <alignment vertical="center" wrapText="1"/>
      <protection locked="0"/>
    </xf>
    <xf numFmtId="0" fontId="8" fillId="0" borderId="2" xfId="38"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0" fontId="13" fillId="0" borderId="3" xfId="0" applyFont="1" applyBorder="1" applyAlignment="1" applyProtection="1">
      <alignment vertical="top" wrapText="1"/>
      <protection locked="0"/>
    </xf>
    <xf numFmtId="0" fontId="14" fillId="0" borderId="4" xfId="0" applyFont="1" applyBorder="1" applyAlignment="1" applyProtection="1">
      <alignment vertical="center" wrapText="1"/>
      <protection locked="0"/>
    </xf>
    <xf numFmtId="9" fontId="8" fillId="0" borderId="2" xfId="38"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9" fontId="8" fillId="0" borderId="2" xfId="38" applyFont="1" applyFill="1" applyBorder="1" applyAlignment="1" applyProtection="1">
      <alignment vertical="center" wrapText="1"/>
      <protection locked="0"/>
    </xf>
    <xf numFmtId="0" fontId="2" fillId="0" borderId="0" xfId="0" applyFont="1" applyAlignment="1" applyProtection="1">
      <alignment vertical="center" wrapText="1"/>
      <protection locked="0"/>
    </xf>
    <xf numFmtId="0" fontId="16" fillId="0" borderId="5" xfId="0" applyFont="1" applyBorder="1" applyAlignment="1">
      <alignment horizontal="center" vertical="center" wrapText="1"/>
    </xf>
    <xf numFmtId="0" fontId="3" fillId="0" borderId="5" xfId="0" applyFont="1" applyBorder="1" applyAlignment="1">
      <alignment horizontal="center" vertical="center" wrapText="1"/>
    </xf>
    <xf numFmtId="0" fontId="16" fillId="0" borderId="0" xfId="0" applyFont="1" applyBorder="1" applyAlignment="1">
      <alignment horizontal="center" vertical="center" wrapText="1"/>
    </xf>
    <xf numFmtId="0" fontId="23" fillId="0" borderId="2" xfId="0" applyFont="1" applyBorder="1" applyAlignment="1">
      <alignment horizontal="center" vertical="center" wrapText="1"/>
    </xf>
    <xf numFmtId="0" fontId="3" fillId="0" borderId="6" xfId="0" applyFont="1" applyBorder="1" applyAlignment="1">
      <alignment horizontal="center" vertical="center" wrapText="1"/>
    </xf>
    <xf numFmtId="167" fontId="6" fillId="0" borderId="2" xfId="0" applyNumberFormat="1" applyFont="1" applyBorder="1" applyAlignment="1">
      <alignment horizontal="center" vertical="center" wrapText="1"/>
    </xf>
    <xf numFmtId="9" fontId="4" fillId="4" borderId="2" xfId="38" applyFont="1" applyFill="1" applyBorder="1" applyAlignment="1">
      <alignment horizontal="center" vertical="center" wrapText="1"/>
    </xf>
    <xf numFmtId="9" fontId="6" fillId="0" borderId="3" xfId="38" applyFont="1" applyFill="1" applyBorder="1" applyAlignment="1">
      <alignment horizontal="center" vertical="center" wrapText="1"/>
    </xf>
    <xf numFmtId="9" fontId="6" fillId="4" borderId="2" xfId="38" applyFont="1" applyFill="1" applyBorder="1" applyAlignment="1">
      <alignment horizontal="center" vertical="center" wrapText="1"/>
    </xf>
    <xf numFmtId="0" fontId="6" fillId="0" borderId="2" xfId="0" applyFont="1" applyBorder="1" applyAlignment="1">
      <alignment vertical="center" wrapText="1"/>
    </xf>
    <xf numFmtId="167" fontId="6" fillId="0" borderId="7" xfId="0" applyNumberFormat="1" applyFont="1" applyBorder="1" applyAlignment="1">
      <alignment horizontal="center" vertical="center" wrapText="1"/>
    </xf>
    <xf numFmtId="167" fontId="6" fillId="0" borderId="8" xfId="0" applyNumberFormat="1" applyFont="1" applyBorder="1" applyAlignment="1">
      <alignment horizontal="center" vertical="center" wrapText="1"/>
    </xf>
    <xf numFmtId="167" fontId="6" fillId="0" borderId="9" xfId="0" applyNumberFormat="1" applyFont="1" applyBorder="1" applyAlignment="1">
      <alignment horizontal="center" vertical="center" wrapText="1"/>
    </xf>
    <xf numFmtId="9" fontId="4" fillId="4" borderId="9" xfId="38" applyFont="1" applyFill="1" applyBorder="1" applyAlignment="1">
      <alignment horizontal="center" vertical="center" wrapText="1"/>
    </xf>
    <xf numFmtId="9" fontId="6" fillId="0" borderId="10" xfId="38" applyFont="1" applyFill="1" applyBorder="1" applyAlignment="1">
      <alignment horizontal="center" vertical="center" wrapText="1"/>
    </xf>
    <xf numFmtId="9" fontId="6" fillId="4" borderId="9" xfId="38" applyFont="1" applyFill="1" applyBorder="1" applyAlignment="1">
      <alignment horizontal="center" vertical="center" wrapText="1"/>
    </xf>
    <xf numFmtId="0" fontId="6" fillId="0" borderId="9" xfId="0" applyFont="1" applyBorder="1" applyAlignment="1">
      <alignment vertical="center" wrapText="1"/>
    </xf>
    <xf numFmtId="0" fontId="8" fillId="4" borderId="3" xfId="0" applyNumberFormat="1" applyFont="1" applyFill="1" applyBorder="1" applyAlignment="1" applyProtection="1">
      <alignment horizontal="center" vertical="center" wrapText="1"/>
      <protection locked="0"/>
    </xf>
    <xf numFmtId="0" fontId="6" fillId="4" borderId="4" xfId="0" applyNumberFormat="1" applyFont="1" applyFill="1" applyBorder="1" applyAlignment="1" applyProtection="1">
      <alignment horizontal="center" vertical="center" wrapText="1"/>
      <protection locked="0"/>
    </xf>
    <xf numFmtId="0" fontId="8" fillId="4" borderId="4" xfId="0" applyFont="1" applyFill="1" applyBorder="1" applyAlignment="1" applyProtection="1">
      <alignment horizontal="center" vertical="center" wrapText="1"/>
      <protection locked="0"/>
    </xf>
    <xf numFmtId="0" fontId="8" fillId="4" borderId="4" xfId="0" applyNumberFormat="1" applyFont="1" applyFill="1" applyBorder="1" applyAlignment="1" applyProtection="1">
      <alignment horizontal="center" vertical="center" wrapText="1"/>
      <protection locked="0"/>
    </xf>
    <xf numFmtId="0" fontId="8" fillId="4" borderId="4" xfId="38" applyNumberFormat="1" applyFont="1" applyFill="1" applyBorder="1" applyAlignment="1" applyProtection="1">
      <alignment horizontal="center" vertical="center" wrapText="1"/>
      <protection locked="0"/>
    </xf>
    <xf numFmtId="9" fontId="8" fillId="4" borderId="4" xfId="38" applyNumberFormat="1" applyFont="1" applyFill="1" applyBorder="1" applyAlignment="1" applyProtection="1">
      <alignment horizontal="center" vertical="center" wrapText="1"/>
      <protection locked="0"/>
    </xf>
    <xf numFmtId="9" fontId="8" fillId="4" borderId="4" xfId="38" applyFont="1" applyFill="1" applyBorder="1" applyAlignment="1" applyProtection="1">
      <alignment vertical="center" wrapText="1"/>
      <protection locked="0"/>
    </xf>
    <xf numFmtId="167" fontId="6" fillId="4" borderId="4" xfId="0" applyNumberFormat="1" applyFont="1" applyFill="1" applyBorder="1" applyAlignment="1">
      <alignment horizontal="center" vertical="center" wrapText="1"/>
    </xf>
    <xf numFmtId="9" fontId="4" fillId="4" borderId="4" xfId="38" applyFont="1" applyFill="1" applyBorder="1" applyAlignment="1">
      <alignment horizontal="center" vertical="center" wrapText="1"/>
    </xf>
    <xf numFmtId="9" fontId="6" fillId="4" borderId="4" xfId="38" applyFont="1" applyFill="1" applyBorder="1" applyAlignment="1">
      <alignment horizontal="center" vertical="center" wrapText="1"/>
    </xf>
    <xf numFmtId="9" fontId="6" fillId="4" borderId="7" xfId="38" applyFont="1" applyFill="1" applyBorder="1" applyAlignment="1">
      <alignment horizontal="center" vertical="center" wrapText="1"/>
    </xf>
    <xf numFmtId="0" fontId="3" fillId="0" borderId="0" xfId="0" applyFont="1" applyBorder="1" applyAlignment="1" applyProtection="1">
      <alignment vertical="center" wrapText="1"/>
      <protection locked="0"/>
    </xf>
    <xf numFmtId="0" fontId="5" fillId="0" borderId="0" xfId="0" applyFont="1" applyBorder="1" applyAlignment="1" applyProtection="1">
      <alignment vertical="center" wrapText="1"/>
      <protection locked="0"/>
    </xf>
    <xf numFmtId="0" fontId="4" fillId="0" borderId="3" xfId="0" applyFont="1" applyBorder="1" applyAlignment="1" applyProtection="1">
      <alignment horizontal="center" vertical="center" wrapText="1"/>
      <protection locked="0"/>
    </xf>
    <xf numFmtId="0" fontId="16" fillId="5" borderId="2" xfId="0" applyFont="1" applyFill="1" applyBorder="1" applyAlignment="1" applyProtection="1">
      <alignment horizontal="center" vertical="center" textRotation="255" wrapText="1"/>
      <protection locked="0"/>
    </xf>
    <xf numFmtId="0" fontId="8" fillId="4" borderId="7" xfId="0" applyNumberFormat="1" applyFont="1" applyFill="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6" xfId="0" applyFont="1" applyBorder="1" applyAlignment="1" applyProtection="1">
      <alignment vertical="center" wrapText="1"/>
      <protection locked="0"/>
    </xf>
    <xf numFmtId="0" fontId="6" fillId="6" borderId="0" xfId="0" applyFont="1" applyFill="1" applyBorder="1" applyAlignment="1">
      <alignment vertical="center" wrapText="1"/>
    </xf>
    <xf numFmtId="0" fontId="8"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vertical="center" wrapText="1"/>
      <protection locked="0"/>
    </xf>
    <xf numFmtId="0" fontId="16" fillId="5" borderId="3" xfId="0" applyFont="1" applyFill="1" applyBorder="1" applyAlignment="1" applyProtection="1">
      <alignment horizontal="center" vertical="center" wrapText="1"/>
      <protection locked="0"/>
    </xf>
    <xf numFmtId="0" fontId="16" fillId="0" borderId="2" xfId="0" applyFont="1" applyBorder="1" applyAlignment="1">
      <alignment horizontal="center" vertical="center" wrapText="1"/>
    </xf>
    <xf numFmtId="0" fontId="3" fillId="0" borderId="2" xfId="0" applyFont="1" applyBorder="1" applyAlignment="1">
      <alignment horizontal="center" vertical="center" wrapText="1"/>
    </xf>
    <xf numFmtId="9" fontId="6" fillId="0" borderId="2" xfId="38" applyFont="1" applyFill="1" applyBorder="1" applyAlignment="1">
      <alignment horizontal="center" vertical="center" wrapText="1"/>
    </xf>
    <xf numFmtId="0" fontId="6" fillId="0" borderId="2" xfId="0" applyNumberFormat="1" applyFont="1" applyFill="1" applyBorder="1" applyAlignment="1" applyProtection="1">
      <alignment horizontal="left" vertical="center" wrapText="1"/>
      <protection locked="0"/>
    </xf>
    <xf numFmtId="9" fontId="6" fillId="0" borderId="2" xfId="38"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1" fontId="0" fillId="0" borderId="11" xfId="0" applyNumberFormat="1" applyFill="1" applyBorder="1" applyAlignment="1">
      <alignment horizontal="center" vertic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6" fillId="0" borderId="2" xfId="0" applyFont="1" applyFill="1" applyBorder="1" applyAlignment="1">
      <alignment vertical="center" wrapText="1"/>
    </xf>
    <xf numFmtId="1"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67" fontId="6" fillId="0" borderId="2" xfId="0" applyNumberFormat="1" applyFont="1" applyFill="1" applyBorder="1" applyAlignment="1">
      <alignment horizontal="center" vertical="center" wrapText="1"/>
    </xf>
    <xf numFmtId="9" fontId="4" fillId="0" borderId="2" xfId="38" applyFont="1" applyFill="1" applyBorder="1" applyAlignment="1">
      <alignment horizontal="center" vertical="center" wrapText="1"/>
    </xf>
    <xf numFmtId="0" fontId="5" fillId="0" borderId="0" xfId="0" applyFont="1" applyFill="1" applyAlignment="1" applyProtection="1">
      <alignment vertical="center" wrapText="1"/>
      <protection locked="0"/>
    </xf>
    <xf numFmtId="0" fontId="26" fillId="0" borderId="2" xfId="0" applyFont="1" applyFill="1" applyBorder="1" applyAlignment="1">
      <alignment horizontal="left" vertical="center" wrapText="1"/>
    </xf>
    <xf numFmtId="0" fontId="26" fillId="0" borderId="2" xfId="0" applyFont="1" applyFill="1" applyBorder="1" applyAlignment="1">
      <alignment horizontal="center" vertical="center" wrapText="1"/>
    </xf>
    <xf numFmtId="0" fontId="6" fillId="0" borderId="9" xfId="0" applyNumberFormat="1" applyFont="1" applyFill="1" applyBorder="1" applyAlignment="1" applyProtection="1">
      <alignment horizontal="center" vertical="center" wrapText="1"/>
      <protection locked="0"/>
    </xf>
    <xf numFmtId="9" fontId="8" fillId="0" borderId="2" xfId="38"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center" vertical="center" wrapText="1"/>
      <protection locked="0"/>
    </xf>
    <xf numFmtId="0" fontId="26" fillId="0" borderId="2" xfId="0" applyFont="1" applyFill="1" applyBorder="1" applyAlignment="1">
      <alignment vertical="center" wrapText="1"/>
    </xf>
    <xf numFmtId="0" fontId="26" fillId="0" borderId="9" xfId="0" applyFont="1" applyFill="1" applyBorder="1" applyAlignment="1">
      <alignment horizontal="center" vertical="center" wrapText="1"/>
    </xf>
    <xf numFmtId="0" fontId="6" fillId="0" borderId="4" xfId="0" applyNumberFormat="1"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center" vertical="center" wrapText="1"/>
      <protection locked="0"/>
    </xf>
    <xf numFmtId="0" fontId="8" fillId="0" borderId="4" xfId="38" applyNumberFormat="1" applyFont="1" applyFill="1" applyBorder="1" applyAlignment="1" applyProtection="1">
      <alignment horizontal="center" vertical="center" wrapText="1"/>
      <protection locked="0"/>
    </xf>
    <xf numFmtId="9" fontId="8" fillId="0" borderId="4" xfId="38" applyNumberFormat="1" applyFont="1" applyFill="1" applyBorder="1" applyAlignment="1" applyProtection="1">
      <alignment horizontal="center" vertical="center" wrapText="1"/>
      <protection locked="0"/>
    </xf>
    <xf numFmtId="9" fontId="8" fillId="0" borderId="4" xfId="38" applyFont="1" applyFill="1" applyBorder="1" applyAlignment="1" applyProtection="1">
      <alignment vertical="center" wrapText="1"/>
      <protection locked="0"/>
    </xf>
    <xf numFmtId="0" fontId="6" fillId="0" borderId="2" xfId="0" applyNumberFormat="1" applyFont="1" applyFill="1" applyBorder="1" applyAlignment="1" applyProtection="1">
      <alignment horizontal="center" vertical="top" wrapText="1"/>
      <protection locked="0"/>
    </xf>
    <xf numFmtId="0" fontId="6" fillId="0" borderId="2" xfId="38" applyNumberFormat="1" applyFont="1" applyFill="1" applyBorder="1" applyAlignment="1" applyProtection="1">
      <alignment horizontal="center" vertical="center" wrapText="1"/>
      <protection locked="0"/>
    </xf>
    <xf numFmtId="0" fontId="99" fillId="0" borderId="0" xfId="0" applyNumberFormat="1" applyFont="1" applyFill="1" applyBorder="1" applyAlignment="1" applyProtection="1">
      <alignment horizontal="center" vertical="center" wrapText="1"/>
      <protection locked="0"/>
    </xf>
    <xf numFmtId="0" fontId="6" fillId="0" borderId="2" xfId="45" applyNumberFormat="1" applyFont="1" applyFill="1" applyBorder="1" applyAlignment="1" applyProtection="1">
      <alignment horizontal="center" vertical="center" wrapText="1"/>
      <protection locked="0"/>
    </xf>
    <xf numFmtId="9" fontId="6" fillId="0" borderId="2" xfId="45" applyNumberFormat="1" applyFont="1" applyFill="1" applyBorder="1" applyAlignment="1" applyProtection="1">
      <alignment horizontal="center" vertical="center" wrapText="1"/>
      <protection locked="0"/>
    </xf>
    <xf numFmtId="9" fontId="3" fillId="0" borderId="2" xfId="45" applyNumberFormat="1" applyFont="1" applyFill="1" applyBorder="1" applyAlignment="1" applyProtection="1">
      <alignment horizontal="center" vertical="center" wrapText="1"/>
      <protection locked="0"/>
    </xf>
    <xf numFmtId="0" fontId="3" fillId="0" borderId="2" xfId="45" applyNumberFormat="1" applyFont="1" applyFill="1" applyBorder="1" applyAlignment="1" applyProtection="1">
      <alignment horizontal="center" vertical="center" wrapText="1"/>
      <protection locked="0"/>
    </xf>
    <xf numFmtId="0" fontId="6" fillId="0" borderId="0" xfId="0" applyNumberFormat="1" applyFont="1" applyFill="1" applyBorder="1" applyAlignment="1" applyProtection="1">
      <alignment horizontal="center" vertical="center" wrapText="1"/>
      <protection locked="0"/>
    </xf>
    <xf numFmtId="0" fontId="6" fillId="0" borderId="13" xfId="0" applyFont="1" applyFill="1" applyBorder="1" applyAlignment="1">
      <alignment horizontal="center" vertical="center" wrapText="1"/>
    </xf>
    <xf numFmtId="168" fontId="6" fillId="0" borderId="2" xfId="7" applyNumberFormat="1" applyFont="1" applyFill="1" applyBorder="1" applyAlignment="1" applyProtection="1">
      <alignment horizontal="center" vertical="center" wrapText="1"/>
      <protection locked="0"/>
    </xf>
    <xf numFmtId="43" fontId="6" fillId="0" borderId="2" xfId="7" applyFont="1" applyFill="1" applyBorder="1" applyAlignment="1" applyProtection="1">
      <alignment horizontal="center" vertical="center" wrapText="1"/>
      <protection locked="0"/>
    </xf>
    <xf numFmtId="9" fontId="6" fillId="0" borderId="2" xfId="7" applyNumberFormat="1"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16" fillId="0" borderId="2" xfId="0" applyFont="1" applyFill="1" applyBorder="1" applyAlignment="1">
      <alignment horizontal="center" vertical="center" wrapText="1"/>
    </xf>
    <xf numFmtId="9" fontId="3" fillId="0" borderId="2" xfId="38" applyFont="1" applyFill="1" applyBorder="1" applyAlignment="1">
      <alignment horizontal="center" vertical="center" wrapText="1"/>
    </xf>
    <xf numFmtId="9" fontId="16" fillId="0" borderId="2" xfId="38" applyFont="1" applyFill="1" applyBorder="1" applyAlignment="1">
      <alignment horizontal="center" vertical="center" wrapText="1"/>
    </xf>
    <xf numFmtId="0" fontId="6" fillId="0" borderId="2" xfId="0" applyFont="1" applyFill="1" applyBorder="1" applyAlignment="1">
      <alignment horizontal="justify" vertical="center" wrapText="1"/>
    </xf>
    <xf numFmtId="0" fontId="6" fillId="0" borderId="0" xfId="0" applyFont="1" applyAlignment="1">
      <alignment vertical="center" wrapText="1"/>
    </xf>
    <xf numFmtId="1" fontId="0" fillId="0" borderId="2" xfId="0" applyNumberFormat="1" applyBorder="1" applyAlignment="1">
      <alignment horizontal="center" vertical="center" wrapText="1"/>
    </xf>
    <xf numFmtId="0" fontId="0" fillId="0" borderId="2" xfId="0" applyBorder="1" applyAlignment="1">
      <alignment horizontal="center" vertical="center" wrapText="1"/>
    </xf>
    <xf numFmtId="9" fontId="6" fillId="7" borderId="2" xfId="38" applyFont="1" applyFill="1" applyBorder="1" applyAlignment="1">
      <alignment horizontal="center" vertical="center" wrapText="1"/>
    </xf>
    <xf numFmtId="0" fontId="100" fillId="0" borderId="2" xfId="0" applyFont="1" applyBorder="1" applyAlignment="1">
      <alignment horizontal="left" vertical="center" wrapText="1"/>
    </xf>
    <xf numFmtId="0" fontId="3" fillId="0" borderId="2" xfId="0" applyFont="1" applyFill="1" applyBorder="1" applyAlignment="1">
      <alignment vertical="center" wrapText="1"/>
    </xf>
    <xf numFmtId="0" fontId="3" fillId="0" borderId="0" xfId="0" applyFont="1" applyAlignment="1">
      <alignment vertical="center" wrapText="1"/>
    </xf>
    <xf numFmtId="0" fontId="3" fillId="0" borderId="13" xfId="0" applyFont="1" applyFill="1" applyBorder="1" applyAlignment="1">
      <alignment horizontal="center" vertical="center" wrapText="1"/>
    </xf>
    <xf numFmtId="0" fontId="3" fillId="0" borderId="2" xfId="0" applyFont="1" applyBorder="1" applyAlignment="1">
      <alignment horizontal="justify" vertical="center" wrapText="1"/>
    </xf>
    <xf numFmtId="167" fontId="2" fillId="0" borderId="2" xfId="0" applyNumberFormat="1" applyFont="1" applyFill="1" applyBorder="1" applyAlignment="1">
      <alignment horizontal="center" vertical="center" wrapText="1"/>
    </xf>
    <xf numFmtId="9" fontId="2" fillId="0" borderId="2" xfId="38"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2" fillId="0" borderId="2" xfId="0" applyFont="1" applyFill="1" applyBorder="1" applyAlignment="1">
      <alignment vertical="center" wrapText="1"/>
    </xf>
    <xf numFmtId="0" fontId="6" fillId="0" borderId="2" xfId="0" applyFont="1" applyBorder="1" applyAlignment="1">
      <alignment horizontal="left" vertical="center" wrapText="1"/>
    </xf>
    <xf numFmtId="1" fontId="6" fillId="6" borderId="2" xfId="0" applyNumberFormat="1" applyFont="1" applyFill="1" applyBorder="1" applyAlignment="1">
      <alignment horizontal="center" vertical="center" wrapText="1"/>
    </xf>
    <xf numFmtId="9" fontId="6" fillId="0" borderId="2" xfId="38" applyFont="1" applyFill="1" applyBorder="1" applyAlignment="1" applyProtection="1">
      <alignment horizontal="center" vertical="center" wrapText="1"/>
      <protection locked="0"/>
    </xf>
    <xf numFmtId="1" fontId="6" fillId="0" borderId="2" xfId="0" applyNumberFormat="1"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0" xfId="0" applyFont="1" applyFill="1" applyAlignment="1" applyProtection="1">
      <alignment vertical="center" wrapText="1"/>
      <protection locked="0"/>
    </xf>
    <xf numFmtId="9" fontId="3" fillId="0" borderId="2" xfId="38" applyFont="1" applyBorder="1" applyAlignment="1">
      <alignment horizontal="center" vertical="center" wrapText="1"/>
    </xf>
    <xf numFmtId="0" fontId="6" fillId="0" borderId="2" xfId="23" applyFont="1" applyBorder="1" applyAlignment="1">
      <alignment horizontal="justify" vertical="center" wrapText="1"/>
    </xf>
    <xf numFmtId="0" fontId="3" fillId="5" borderId="2" xfId="0" applyFont="1" applyFill="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0" fontId="2" fillId="0" borderId="0" xfId="0" applyFont="1" applyFill="1" applyAlignment="1" applyProtection="1">
      <alignment vertical="center" wrapText="1"/>
      <protection locked="0"/>
    </xf>
    <xf numFmtId="0" fontId="2" fillId="4" borderId="2" xfId="0" applyFont="1" applyFill="1" applyBorder="1" applyAlignment="1" applyProtection="1">
      <alignment horizontal="center" vertical="center" wrapText="1"/>
      <protection locked="0"/>
    </xf>
    <xf numFmtId="0" fontId="2" fillId="0" borderId="0" xfId="0" applyFont="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16" fillId="8" borderId="2" xfId="0" applyFont="1" applyFill="1" applyBorder="1" applyAlignment="1" applyProtection="1">
      <alignment horizontal="center" vertical="center" textRotation="255" wrapText="1"/>
      <protection locked="0"/>
    </xf>
    <xf numFmtId="0" fontId="16" fillId="9" borderId="2"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23" fillId="9" borderId="2" xfId="0" applyFont="1" applyFill="1" applyBorder="1" applyAlignment="1">
      <alignment horizontal="center" vertical="center" wrapText="1"/>
    </xf>
    <xf numFmtId="0" fontId="2" fillId="0" borderId="2" xfId="0" applyNumberFormat="1" applyFont="1" applyFill="1" applyBorder="1" applyAlignment="1" applyProtection="1">
      <alignment horizontal="left"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left" vertical="center" wrapText="1"/>
      <protection locked="0"/>
    </xf>
    <xf numFmtId="0" fontId="14" fillId="0" borderId="2" xfId="38" applyNumberFormat="1" applyFont="1" applyFill="1" applyBorder="1" applyAlignment="1" applyProtection="1">
      <alignment horizontal="center" vertical="center" wrapText="1"/>
      <protection locked="0"/>
    </xf>
    <xf numFmtId="9" fontId="14" fillId="0" borderId="2" xfId="38" applyNumberFormat="1" applyFont="1" applyFill="1" applyBorder="1" applyAlignment="1" applyProtection="1">
      <alignment horizontal="center" vertical="center" wrapText="1"/>
      <protection locked="0"/>
    </xf>
    <xf numFmtId="9" fontId="14" fillId="0" borderId="2" xfId="38" applyFont="1" applyFill="1" applyBorder="1" applyAlignment="1" applyProtection="1">
      <alignment vertical="center" wrapText="1"/>
      <protection locked="0"/>
    </xf>
    <xf numFmtId="9" fontId="14" fillId="6" borderId="2" xfId="38" applyFont="1" applyFill="1" applyBorder="1" applyAlignment="1" applyProtection="1">
      <alignment vertical="center" wrapText="1"/>
      <protection locked="0"/>
    </xf>
    <xf numFmtId="9" fontId="14" fillId="10" borderId="2" xfId="38" applyNumberFormat="1" applyFont="1" applyFill="1" applyBorder="1" applyAlignment="1" applyProtection="1">
      <alignment horizontal="center" vertical="center" wrapText="1"/>
      <protection locked="0"/>
    </xf>
    <xf numFmtId="0" fontId="14" fillId="0" borderId="2" xfId="0" applyNumberFormat="1" applyFont="1" applyFill="1" applyBorder="1" applyAlignment="1" applyProtection="1">
      <alignment horizontal="left" vertical="center" wrapText="1"/>
      <protection locked="0"/>
    </xf>
    <xf numFmtId="167" fontId="2" fillId="0" borderId="2" xfId="0" applyNumberFormat="1" applyFont="1" applyBorder="1" applyAlignment="1">
      <alignment horizontal="center" vertical="center" wrapText="1"/>
    </xf>
    <xf numFmtId="9" fontId="2" fillId="4" borderId="2" xfId="38" applyFont="1" applyFill="1" applyBorder="1" applyAlignment="1">
      <alignment horizontal="center" vertical="center" wrapText="1"/>
    </xf>
    <xf numFmtId="0" fontId="101" fillId="0" borderId="2" xfId="0" applyFont="1" applyBorder="1" applyAlignment="1">
      <alignment vertical="center" wrapText="1"/>
    </xf>
    <xf numFmtId="1" fontId="2" fillId="0" borderId="2" xfId="0" applyNumberFormat="1" applyFont="1" applyBorder="1" applyAlignment="1">
      <alignment horizontal="center" vertical="center" wrapText="1"/>
    </xf>
    <xf numFmtId="0" fontId="2" fillId="0" borderId="2" xfId="0" applyFont="1" applyBorder="1" applyAlignment="1">
      <alignment vertical="center" wrapText="1"/>
    </xf>
    <xf numFmtId="0" fontId="2" fillId="0" borderId="0" xfId="0" applyFont="1" applyAlignment="1">
      <alignment vertical="center" wrapText="1"/>
    </xf>
    <xf numFmtId="0" fontId="2" fillId="0" borderId="14" xfId="0" applyFont="1" applyBorder="1" applyAlignment="1">
      <alignment vertical="center" wrapText="1"/>
    </xf>
    <xf numFmtId="0" fontId="2" fillId="0" borderId="2" xfId="0" applyFont="1" applyBorder="1" applyAlignment="1">
      <alignment horizontal="left" vertical="center" wrapText="1"/>
    </xf>
    <xf numFmtId="9" fontId="14" fillId="10" borderId="2" xfId="38" applyFont="1" applyFill="1" applyBorder="1" applyAlignment="1" applyProtection="1">
      <alignment vertical="center" wrapText="1"/>
      <protection locked="0"/>
    </xf>
    <xf numFmtId="0" fontId="14" fillId="0" borderId="2" xfId="0" applyFont="1" applyBorder="1" applyAlignment="1">
      <alignment vertical="center" wrapText="1"/>
    </xf>
    <xf numFmtId="3" fontId="2" fillId="0" borderId="2" xfId="0" applyNumberFormat="1" applyFont="1" applyBorder="1" applyAlignment="1">
      <alignment horizontal="center" vertical="center" wrapText="1"/>
    </xf>
    <xf numFmtId="0" fontId="2" fillId="6" borderId="2" xfId="0" applyFont="1" applyFill="1" applyBorder="1" applyAlignment="1">
      <alignment vertical="center" wrapText="1"/>
    </xf>
    <xf numFmtId="167" fontId="2" fillId="6" borderId="2" xfId="0" applyNumberFormat="1" applyFont="1" applyFill="1" applyBorder="1" applyAlignment="1">
      <alignment horizontal="center" vertical="center" wrapText="1"/>
    </xf>
    <xf numFmtId="9" fontId="4" fillId="6" borderId="2" xfId="38" applyFont="1" applyFill="1" applyBorder="1" applyAlignment="1">
      <alignment horizontal="center" vertical="center" wrapText="1"/>
    </xf>
    <xf numFmtId="9" fontId="2" fillId="6" borderId="2" xfId="38" applyFont="1" applyFill="1" applyBorder="1" applyAlignment="1">
      <alignment horizontal="center" vertical="center" wrapText="1"/>
    </xf>
    <xf numFmtId="9" fontId="2" fillId="10" borderId="2" xfId="38" applyFont="1" applyFill="1" applyBorder="1" applyAlignment="1">
      <alignment horizontal="center" vertical="center" wrapText="1"/>
    </xf>
    <xf numFmtId="168" fontId="2" fillId="0" borderId="2" xfId="14" applyNumberFormat="1" applyFont="1" applyBorder="1" applyAlignment="1">
      <alignment horizontal="center" vertical="center" wrapText="1"/>
    </xf>
    <xf numFmtId="3" fontId="2" fillId="0" borderId="2" xfId="20" applyNumberFormat="1" applyFont="1" applyBorder="1" applyAlignment="1">
      <alignment horizontal="center" vertical="center" wrapText="1"/>
    </xf>
    <xf numFmtId="0" fontId="6" fillId="0" borderId="2" xfId="20" applyFont="1" applyBorder="1" applyAlignment="1">
      <alignment vertical="center" wrapText="1"/>
    </xf>
    <xf numFmtId="0" fontId="2" fillId="0" borderId="2" xfId="20" applyFont="1" applyBorder="1" applyAlignment="1">
      <alignment vertical="center" wrapText="1"/>
    </xf>
    <xf numFmtId="0" fontId="102" fillId="0" borderId="2" xfId="0" applyFont="1" applyBorder="1" applyAlignment="1">
      <alignment vertical="center" wrapText="1"/>
    </xf>
    <xf numFmtId="0" fontId="2" fillId="4" borderId="3" xfId="0" applyNumberFormat="1" applyFont="1" applyFill="1" applyBorder="1" applyAlignment="1" applyProtection="1">
      <alignment horizontal="left" vertical="center" wrapText="1"/>
      <protection locked="0"/>
    </xf>
    <xf numFmtId="0" fontId="2" fillId="4" borderId="4" xfId="0" applyNumberFormat="1" applyFont="1" applyFill="1" applyBorder="1" applyAlignment="1" applyProtection="1">
      <alignment horizontal="center" vertical="center" wrapText="1"/>
      <protection locked="0"/>
    </xf>
    <xf numFmtId="0" fontId="2" fillId="4" borderId="4" xfId="0" applyFont="1" applyFill="1" applyBorder="1" applyAlignment="1" applyProtection="1">
      <alignment horizontal="center" vertical="center" wrapText="1"/>
      <protection locked="0"/>
    </xf>
    <xf numFmtId="0" fontId="2" fillId="4" borderId="4" xfId="0" applyNumberFormat="1" applyFont="1" applyFill="1" applyBorder="1" applyAlignment="1" applyProtection="1">
      <alignment horizontal="left" vertical="center" wrapText="1"/>
      <protection locked="0"/>
    </xf>
    <xf numFmtId="0" fontId="14" fillId="4" borderId="4" xfId="0" applyFont="1" applyFill="1" applyBorder="1" applyAlignment="1" applyProtection="1">
      <alignment horizontal="left" vertical="center" wrapText="1"/>
      <protection locked="0"/>
    </xf>
    <xf numFmtId="0" fontId="14" fillId="4" borderId="4" xfId="38" applyNumberFormat="1" applyFont="1" applyFill="1" applyBorder="1" applyAlignment="1" applyProtection="1">
      <alignment horizontal="center" vertical="center" wrapText="1"/>
      <protection locked="0"/>
    </xf>
    <xf numFmtId="9" fontId="14" fillId="4" borderId="4" xfId="38" applyNumberFormat="1" applyFont="1" applyFill="1" applyBorder="1" applyAlignment="1" applyProtection="1">
      <alignment horizontal="center" vertical="center" wrapText="1"/>
      <protection locked="0"/>
    </xf>
    <xf numFmtId="9" fontId="14" fillId="4" borderId="4" xfId="38" applyFont="1" applyFill="1" applyBorder="1" applyAlignment="1" applyProtection="1">
      <alignment vertical="center" wrapText="1"/>
      <protection locked="0"/>
    </xf>
    <xf numFmtId="0" fontId="14" fillId="4" borderId="7" xfId="0" applyNumberFormat="1" applyFont="1" applyFill="1" applyBorder="1" applyAlignment="1" applyProtection="1">
      <alignment horizontal="left" vertical="center" wrapText="1"/>
      <protection locked="0"/>
    </xf>
    <xf numFmtId="167" fontId="2" fillId="4" borderId="2" xfId="0" applyNumberFormat="1" applyFont="1" applyFill="1" applyBorder="1" applyAlignment="1">
      <alignment horizontal="center" vertical="center" wrapText="1"/>
    </xf>
    <xf numFmtId="0" fontId="2" fillId="4" borderId="2" xfId="0" applyNumberFormat="1" applyFont="1" applyFill="1" applyBorder="1" applyAlignment="1" applyProtection="1">
      <alignment horizontal="center" vertical="center" wrapText="1"/>
      <protection locked="0"/>
    </xf>
    <xf numFmtId="0" fontId="2" fillId="4" borderId="2" xfId="0" applyFont="1" applyFill="1" applyBorder="1" applyAlignment="1">
      <alignment vertical="center" wrapText="1"/>
    </xf>
    <xf numFmtId="0" fontId="14" fillId="0" borderId="2" xfId="0" applyFont="1" applyFill="1" applyBorder="1" applyAlignment="1" applyProtection="1">
      <alignment horizontal="center" vertical="center" wrapText="1"/>
      <protection locked="0"/>
    </xf>
    <xf numFmtId="9" fontId="14" fillId="0" borderId="2" xfId="38" applyFont="1" applyFill="1" applyBorder="1" applyAlignment="1" applyProtection="1">
      <alignment horizontal="center" vertical="center" wrapText="1"/>
      <protection locked="0"/>
    </xf>
    <xf numFmtId="9" fontId="14" fillId="6" borderId="2" xfId="38"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left" vertical="top" wrapText="1"/>
      <protection locked="0"/>
    </xf>
    <xf numFmtId="0" fontId="14" fillId="0" borderId="2" xfId="0" applyNumberFormat="1" applyFont="1" applyFill="1" applyBorder="1" applyAlignment="1" applyProtection="1">
      <alignment horizontal="left" vertical="top" wrapText="1"/>
      <protection locked="0"/>
    </xf>
    <xf numFmtId="0" fontId="14" fillId="6" borderId="2" xfId="38" applyNumberFormat="1" applyFont="1" applyFill="1" applyBorder="1" applyAlignment="1" applyProtection="1">
      <alignment horizontal="center" vertical="center" wrapText="1"/>
      <protection locked="0"/>
    </xf>
    <xf numFmtId="0" fontId="14" fillId="0" borderId="15" xfId="0" applyNumberFormat="1" applyFont="1" applyFill="1" applyBorder="1" applyAlignment="1" applyProtection="1">
      <alignment horizontal="left" vertical="center" wrapText="1"/>
      <protection locked="0"/>
    </xf>
    <xf numFmtId="0" fontId="14" fillId="0" borderId="2" xfId="46" applyNumberFormat="1" applyFont="1" applyFill="1" applyBorder="1" applyAlignment="1" applyProtection="1">
      <alignment horizontal="center" vertical="center" wrapText="1"/>
      <protection locked="0"/>
    </xf>
    <xf numFmtId="9" fontId="14" fillId="0" borderId="2" xfId="46" applyNumberFormat="1" applyFont="1" applyFill="1" applyBorder="1" applyAlignment="1" applyProtection="1">
      <alignment horizontal="center" vertical="center" wrapText="1"/>
      <protection locked="0"/>
    </xf>
    <xf numFmtId="9" fontId="13" fillId="0" borderId="2" xfId="46" applyNumberFormat="1" applyFont="1" applyFill="1" applyBorder="1" applyAlignment="1" applyProtection="1">
      <alignment horizontal="center" vertical="center" wrapText="1"/>
      <protection locked="0"/>
    </xf>
    <xf numFmtId="0" fontId="13" fillId="6" borderId="2" xfId="46" applyNumberFormat="1" applyFont="1" applyFill="1" applyBorder="1" applyAlignment="1" applyProtection="1">
      <alignment horizontal="center" vertical="center" wrapText="1"/>
      <protection locked="0"/>
    </xf>
    <xf numFmtId="166" fontId="14" fillId="0" borderId="2" xfId="0" applyNumberFormat="1" applyFont="1" applyBorder="1" applyAlignment="1">
      <alignment vertical="center"/>
    </xf>
    <xf numFmtId="166" fontId="14" fillId="0" borderId="2" xfId="0" applyNumberFormat="1" applyFont="1" applyFill="1" applyBorder="1" applyAlignment="1">
      <alignment vertical="center"/>
    </xf>
    <xf numFmtId="0" fontId="14" fillId="10" borderId="2" xfId="38" applyNumberFormat="1" applyFont="1" applyFill="1" applyBorder="1" applyAlignment="1" applyProtection="1">
      <alignment horizontal="center" vertical="center" wrapText="1"/>
      <protection locked="0"/>
    </xf>
    <xf numFmtId="175" fontId="2" fillId="0" borderId="2" xfId="0" applyNumberFormat="1" applyFont="1" applyBorder="1" applyAlignment="1">
      <alignment horizontal="center" vertical="center" wrapText="1"/>
    </xf>
    <xf numFmtId="176" fontId="2" fillId="0" borderId="2" xfId="20" applyNumberFormat="1" applyFont="1" applyFill="1" applyBorder="1" applyAlignment="1">
      <alignment horizontal="center" vertical="center" wrapText="1"/>
    </xf>
    <xf numFmtId="0" fontId="2" fillId="0" borderId="2" xfId="20" applyFont="1" applyFill="1" applyBorder="1" applyAlignment="1">
      <alignment vertical="center" wrapText="1"/>
    </xf>
    <xf numFmtId="176" fontId="14" fillId="6" borderId="2" xfId="0" applyNumberFormat="1" applyFont="1" applyFill="1" applyBorder="1" applyAlignment="1">
      <alignment horizontal="center" vertical="center" wrapText="1"/>
    </xf>
    <xf numFmtId="1" fontId="2" fillId="6" borderId="2" xfId="18" applyNumberFormat="1" applyFont="1" applyFill="1" applyBorder="1" applyAlignment="1">
      <alignment horizontal="center" vertical="center" wrapText="1"/>
    </xf>
    <xf numFmtId="1" fontId="2" fillId="0" borderId="2" xfId="18" applyNumberFormat="1" applyFont="1" applyBorder="1" applyAlignment="1">
      <alignment horizontal="center" vertical="center" wrapText="1"/>
    </xf>
    <xf numFmtId="0" fontId="4" fillId="6" borderId="2" xfId="0" applyFont="1" applyFill="1" applyBorder="1" applyAlignment="1">
      <alignment vertical="center" wrapText="1"/>
    </xf>
    <xf numFmtId="0" fontId="103" fillId="0" borderId="2" xfId="0" applyNumberFormat="1" applyFont="1" applyFill="1" applyBorder="1" applyAlignment="1" applyProtection="1">
      <alignment vertical="center" wrapText="1"/>
      <protection locked="0"/>
    </xf>
    <xf numFmtId="166" fontId="14" fillId="6" borderId="2" xfId="0" applyNumberFormat="1" applyFont="1" applyFill="1" applyBorder="1" applyAlignment="1">
      <alignment vertical="center"/>
    </xf>
    <xf numFmtId="166" fontId="14" fillId="10" borderId="2" xfId="0" applyNumberFormat="1" applyFont="1" applyFill="1" applyBorder="1" applyAlignment="1">
      <alignment vertical="center"/>
    </xf>
    <xf numFmtId="0" fontId="6" fillId="0" borderId="2" xfId="20" applyFont="1" applyFill="1" applyBorder="1" applyAlignment="1">
      <alignment vertical="center" wrapText="1"/>
    </xf>
    <xf numFmtId="176" fontId="2" fillId="11" borderId="2" xfId="0" applyNumberFormat="1" applyFont="1" applyFill="1" applyBorder="1" applyAlignment="1">
      <alignment horizontal="center" vertical="center" wrapText="1"/>
    </xf>
    <xf numFmtId="0" fontId="2" fillId="11" borderId="2" xfId="0" applyFont="1" applyFill="1" applyBorder="1" applyAlignment="1">
      <alignment vertical="center" wrapText="1"/>
    </xf>
    <xf numFmtId="176" fontId="2" fillId="6" borderId="2" xfId="0" applyNumberFormat="1" applyFont="1" applyFill="1" applyBorder="1" applyAlignment="1">
      <alignment horizontal="center" vertical="center" wrapText="1"/>
    </xf>
    <xf numFmtId="0" fontId="2" fillId="6" borderId="2" xfId="0" applyNumberFormat="1" applyFont="1" applyFill="1" applyBorder="1" applyAlignment="1" applyProtection="1">
      <alignment horizontal="left" vertical="center" wrapText="1"/>
      <protection locked="0"/>
    </xf>
    <xf numFmtId="0" fontId="2" fillId="6" borderId="2" xfId="0" applyNumberFormat="1" applyFont="1" applyFill="1" applyBorder="1" applyAlignment="1" applyProtection="1">
      <alignment horizontal="center" vertical="center" wrapText="1"/>
      <protection locked="0"/>
    </xf>
    <xf numFmtId="0" fontId="14" fillId="6" borderId="2" xfId="0" applyNumberFormat="1" applyFont="1" applyFill="1" applyBorder="1" applyAlignment="1" applyProtection="1">
      <alignment horizontal="left" vertical="center" wrapText="1"/>
      <protection locked="0"/>
    </xf>
    <xf numFmtId="168" fontId="14" fillId="6" borderId="2" xfId="14" applyNumberFormat="1" applyFont="1" applyFill="1" applyBorder="1" applyAlignment="1" applyProtection="1">
      <alignment horizontal="center" vertical="center" wrapText="1"/>
      <protection locked="0"/>
    </xf>
    <xf numFmtId="43" fontId="14" fillId="6" borderId="2" xfId="14" applyFont="1" applyFill="1" applyBorder="1" applyAlignment="1" applyProtection="1">
      <alignment horizontal="center" vertical="center" wrapText="1"/>
      <protection locked="0"/>
    </xf>
    <xf numFmtId="0" fontId="2" fillId="6" borderId="0" xfId="0" applyFont="1" applyFill="1" applyAlignment="1" applyProtection="1">
      <alignment vertical="center" wrapText="1"/>
      <protection locked="0"/>
    </xf>
    <xf numFmtId="166" fontId="14" fillId="10" borderId="2" xfId="0" applyNumberFormat="1" applyFont="1" applyFill="1" applyBorder="1" applyAlignment="1">
      <alignment vertical="center" wrapText="1"/>
    </xf>
    <xf numFmtId="0" fontId="101" fillId="6" borderId="2" xfId="0" applyFont="1" applyFill="1" applyBorder="1" applyAlignment="1">
      <alignment vertical="center" wrapText="1"/>
    </xf>
    <xf numFmtId="175" fontId="2" fillId="6" borderId="2" xfId="0" applyNumberFormat="1" applyFont="1" applyFill="1" applyBorder="1" applyAlignment="1">
      <alignment horizontal="center" vertical="center" wrapText="1"/>
    </xf>
    <xf numFmtId="0" fontId="104" fillId="6" borderId="2" xfId="0" applyFont="1" applyFill="1" applyBorder="1" applyAlignment="1">
      <alignment vertical="center" wrapText="1"/>
    </xf>
    <xf numFmtId="0" fontId="6" fillId="6" borderId="2" xfId="0" applyFont="1" applyFill="1" applyBorder="1" applyAlignment="1">
      <alignment vertical="center" wrapText="1"/>
    </xf>
    <xf numFmtId="0" fontId="14" fillId="6" borderId="0" xfId="0" applyFont="1" applyFill="1" applyAlignment="1">
      <alignment vertical="center" wrapText="1"/>
    </xf>
    <xf numFmtId="0" fontId="14" fillId="6" borderId="0" xfId="0" applyFont="1" applyFill="1" applyAlignment="1">
      <alignment wrapText="1"/>
    </xf>
    <xf numFmtId="9" fontId="14" fillId="6" borderId="2" xfId="38" applyNumberFormat="1" applyFont="1" applyFill="1" applyBorder="1" applyAlignment="1" applyProtection="1">
      <alignment horizontal="center" vertical="center" wrapText="1"/>
      <protection locked="0"/>
    </xf>
    <xf numFmtId="1" fontId="2" fillId="0" borderId="2" xfId="0" applyNumberFormat="1" applyFont="1" applyBorder="1" applyAlignment="1">
      <alignment horizontal="left" vertical="center" wrapText="1" indent="2"/>
    </xf>
    <xf numFmtId="0" fontId="6" fillId="0" borderId="2" xfId="27" applyFont="1" applyBorder="1" applyAlignment="1">
      <alignment horizontal="justify" vertical="center" wrapText="1"/>
    </xf>
    <xf numFmtId="0" fontId="105" fillId="0" borderId="2" xfId="25" applyFont="1" applyBorder="1" applyAlignment="1">
      <alignment horizontal="left" vertical="center" wrapText="1"/>
    </xf>
    <xf numFmtId="0" fontId="104" fillId="0" borderId="2" xfId="0" applyFont="1" applyBorder="1" applyAlignment="1">
      <alignment horizontal="left" vertical="center" wrapText="1"/>
    </xf>
    <xf numFmtId="0" fontId="2" fillId="0" borderId="2" xfId="0" applyFont="1" applyBorder="1" applyAlignment="1" applyProtection="1">
      <alignment horizontal="center" vertical="center" wrapText="1"/>
      <protection locked="0"/>
    </xf>
    <xf numFmtId="0" fontId="2" fillId="0" borderId="2" xfId="27" applyFont="1" applyBorder="1" applyAlignment="1">
      <alignment horizontal="justify" vertical="center" wrapText="1"/>
    </xf>
    <xf numFmtId="0" fontId="2" fillId="0" borderId="2" xfId="0" applyFont="1" applyFill="1" applyBorder="1" applyAlignment="1">
      <alignment horizontal="justify" vertical="center" wrapText="1"/>
    </xf>
    <xf numFmtId="9" fontId="8" fillId="6" borderId="2" xfId="50" applyNumberFormat="1" applyFont="1" applyFill="1" applyBorder="1" applyAlignment="1" applyProtection="1">
      <alignment horizontal="center" vertical="center" wrapText="1"/>
      <protection locked="0"/>
    </xf>
    <xf numFmtId="9" fontId="4" fillId="6" borderId="2" xfId="46" applyNumberFormat="1" applyFont="1" applyFill="1" applyBorder="1" applyAlignment="1" applyProtection="1">
      <alignment horizontal="center" vertical="center" wrapText="1"/>
      <protection locked="0"/>
    </xf>
    <xf numFmtId="9" fontId="8" fillId="0" borderId="2" xfId="50" applyNumberFormat="1" applyFont="1" applyFill="1" applyBorder="1" applyAlignment="1" applyProtection="1">
      <alignment horizontal="center" vertical="center" wrapText="1"/>
      <protection locked="0"/>
    </xf>
    <xf numFmtId="9" fontId="4" fillId="0" borderId="2" xfId="46" applyNumberFormat="1" applyFont="1" applyFill="1" applyBorder="1" applyAlignment="1" applyProtection="1">
      <alignment horizontal="center" vertical="center" wrapText="1"/>
      <protection locked="0"/>
    </xf>
    <xf numFmtId="9" fontId="8" fillId="10" borderId="2" xfId="50" applyNumberFormat="1" applyFont="1" applyFill="1" applyBorder="1" applyAlignment="1" applyProtection="1">
      <alignment horizontal="center" vertical="center" wrapText="1"/>
      <protection locked="0"/>
    </xf>
    <xf numFmtId="0" fontId="2" fillId="0" borderId="2" xfId="0" applyFont="1" applyBorder="1" applyAlignment="1">
      <alignment horizontal="center" vertical="center" wrapText="1"/>
    </xf>
    <xf numFmtId="0" fontId="14" fillId="6" borderId="2" xfId="0" applyFont="1" applyFill="1" applyBorder="1" applyAlignment="1">
      <alignment vertical="center" wrapText="1"/>
    </xf>
    <xf numFmtId="9" fontId="8" fillId="6" borderId="0" xfId="38" applyFont="1" applyFill="1" applyBorder="1" applyAlignment="1" applyProtection="1">
      <alignment vertical="center" wrapText="1"/>
      <protection locked="0"/>
    </xf>
    <xf numFmtId="9" fontId="8" fillId="10" borderId="0" xfId="38" applyFont="1" applyFill="1" applyBorder="1" applyAlignment="1" applyProtection="1">
      <alignment vertical="center" wrapText="1"/>
      <protection locked="0"/>
    </xf>
    <xf numFmtId="0" fontId="2" fillId="10" borderId="0" xfId="0" applyFont="1" applyFill="1" applyAlignment="1" applyProtection="1">
      <alignment vertical="center" wrapText="1"/>
      <protection locked="0"/>
    </xf>
    <xf numFmtId="0" fontId="2" fillId="0" borderId="0" xfId="0" applyFont="1" applyBorder="1" applyAlignment="1" applyProtection="1">
      <alignment horizontal="center" vertical="top" wrapText="1"/>
      <protection locked="0"/>
    </xf>
    <xf numFmtId="0" fontId="32" fillId="0" borderId="2" xfId="0" applyNumberFormat="1" applyFont="1" applyFill="1" applyBorder="1" applyAlignment="1" applyProtection="1">
      <alignment horizontal="center" vertical="center" wrapText="1"/>
    </xf>
    <xf numFmtId="0" fontId="2" fillId="6" borderId="2" xfId="46" applyNumberFormat="1" applyFont="1" applyFill="1" applyBorder="1" applyAlignment="1" applyProtection="1">
      <alignment horizontal="center" vertical="center" wrapText="1"/>
      <protection locked="0"/>
    </xf>
    <xf numFmtId="9" fontId="2" fillId="6" borderId="2" xfId="46" applyNumberFormat="1" applyFont="1" applyFill="1" applyBorder="1" applyAlignment="1" applyProtection="1">
      <alignment horizontal="center" vertical="center" wrapText="1"/>
      <protection locked="0"/>
    </xf>
    <xf numFmtId="0" fontId="4" fillId="6" borderId="2" xfId="46" applyNumberFormat="1" applyFont="1" applyFill="1" applyBorder="1" applyAlignment="1" applyProtection="1">
      <alignment horizontal="center" vertical="center" wrapText="1"/>
      <protection locked="0"/>
    </xf>
    <xf numFmtId="0" fontId="33" fillId="0" borderId="2" xfId="0" applyFont="1" applyBorder="1" applyAlignment="1">
      <alignment horizontal="justify" vertical="center" wrapText="1"/>
    </xf>
    <xf numFmtId="0" fontId="2" fillId="0" borderId="0" xfId="0" applyFont="1" applyAlignment="1" applyProtection="1">
      <alignment vertical="top" wrapText="1"/>
      <protection locked="0"/>
    </xf>
    <xf numFmtId="0" fontId="2" fillId="0" borderId="7" xfId="0" applyFont="1" applyBorder="1" applyAlignment="1" applyProtection="1">
      <alignment horizontal="center" vertical="center" wrapText="1"/>
      <protection locked="0"/>
    </xf>
    <xf numFmtId="0" fontId="2" fillId="0" borderId="4" xfId="0" applyFont="1" applyBorder="1" applyAlignment="1" applyProtection="1">
      <alignment vertical="center" wrapText="1"/>
      <protection locked="0"/>
    </xf>
    <xf numFmtId="0" fontId="4" fillId="0" borderId="0"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4" fillId="5" borderId="2" xfId="0" applyFont="1" applyFill="1" applyBorder="1" applyAlignment="1" applyProtection="1">
      <alignment horizontal="center" vertical="center" textRotation="255" wrapText="1"/>
      <protection locked="0"/>
    </xf>
    <xf numFmtId="0" fontId="4" fillId="5" borderId="3" xfId="0" applyFont="1" applyFill="1" applyBorder="1" applyAlignment="1" applyProtection="1">
      <alignment horizontal="center" vertical="center" textRotation="255" wrapText="1"/>
      <protection locked="0"/>
    </xf>
    <xf numFmtId="0" fontId="4" fillId="5" borderId="2" xfId="0" applyFont="1" applyFill="1" applyBorder="1" applyAlignment="1" applyProtection="1">
      <alignment horizontal="center" vertical="center" wrapText="1"/>
      <protection locked="0"/>
    </xf>
    <xf numFmtId="0" fontId="2" fillId="0" borderId="2" xfId="38" applyNumberFormat="1" applyFont="1" applyFill="1" applyBorder="1" applyAlignment="1" applyProtection="1">
      <alignment horizontal="center" vertical="center" wrapText="1"/>
      <protection locked="0"/>
    </xf>
    <xf numFmtId="9" fontId="2" fillId="0" borderId="2" xfId="38" applyNumberFormat="1" applyFont="1" applyFill="1" applyBorder="1" applyAlignment="1" applyProtection="1">
      <alignment horizontal="center" vertical="center" wrapText="1"/>
      <protection locked="0"/>
    </xf>
    <xf numFmtId="9" fontId="2" fillId="0" borderId="2" xfId="38" applyFont="1" applyFill="1" applyBorder="1" applyAlignment="1" applyProtection="1">
      <alignment vertical="center" wrapText="1"/>
      <protection locked="0"/>
    </xf>
    <xf numFmtId="9" fontId="2" fillId="0" borderId="3" xfId="38" applyFont="1" applyFill="1" applyBorder="1" applyAlignment="1" applyProtection="1">
      <alignment vertical="center" wrapText="1"/>
      <protection locked="0"/>
    </xf>
    <xf numFmtId="0" fontId="2" fillId="0" borderId="2" xfId="0" applyNumberFormat="1" applyFont="1" applyFill="1" applyBorder="1" applyAlignment="1" applyProtection="1">
      <alignment horizontal="justify" vertical="center" wrapText="1"/>
      <protection locked="0"/>
    </xf>
    <xf numFmtId="0" fontId="2" fillId="0" borderId="2" xfId="0" applyFont="1" applyBorder="1" applyAlignment="1">
      <alignment horizontal="justify" vertical="center" wrapText="1"/>
    </xf>
    <xf numFmtId="1" fontId="2" fillId="6" borderId="2" xfId="0" applyNumberFormat="1" applyFont="1" applyFill="1" applyBorder="1" applyAlignment="1">
      <alignment horizontal="center" vertical="center" wrapText="1"/>
    </xf>
    <xf numFmtId="9" fontId="4" fillId="4" borderId="9" xfId="38" applyFont="1" applyFill="1" applyBorder="1" applyAlignment="1">
      <alignment horizontal="center" vertical="center" wrapText="1"/>
    </xf>
    <xf numFmtId="9" fontId="2" fillId="0" borderId="2" xfId="0" applyNumberFormat="1" applyFont="1" applyBorder="1" applyAlignment="1">
      <alignment horizontal="center" vertical="center" wrapText="1"/>
    </xf>
    <xf numFmtId="0" fontId="2" fillId="4" borderId="2" xfId="0" applyFont="1" applyFill="1" applyBorder="1" applyAlignment="1">
      <alignment horizontal="center" vertical="center" wrapText="1"/>
    </xf>
    <xf numFmtId="9" fontId="2" fillId="0" borderId="2" xfId="38" applyFont="1" applyFill="1" applyBorder="1" applyAlignment="1" applyProtection="1">
      <alignment horizontal="center" vertical="center" wrapText="1"/>
      <protection locked="0"/>
    </xf>
    <xf numFmtId="9" fontId="2" fillId="0" borderId="3" xfId="38" applyNumberFormat="1" applyFont="1" applyFill="1" applyBorder="1" applyAlignment="1" applyProtection="1">
      <alignment horizontal="center" vertical="center" wrapText="1"/>
      <protection locked="0"/>
    </xf>
    <xf numFmtId="9" fontId="2" fillId="6" borderId="2" xfId="0" applyNumberFormat="1" applyFont="1" applyFill="1" applyBorder="1" applyAlignment="1">
      <alignment horizontal="center" vertical="center" wrapText="1"/>
    </xf>
    <xf numFmtId="0" fontId="2" fillId="0" borderId="2" xfId="0" applyNumberFormat="1" applyFont="1" applyFill="1" applyBorder="1" applyAlignment="1" applyProtection="1">
      <alignment horizontal="center" vertical="top" wrapText="1"/>
      <protection locked="0"/>
    </xf>
    <xf numFmtId="9" fontId="2" fillId="0" borderId="2" xfId="46" applyNumberFormat="1" applyFont="1" applyFill="1" applyBorder="1" applyAlignment="1" applyProtection="1">
      <alignment horizontal="center" vertical="center" wrapText="1"/>
      <protection locked="0"/>
    </xf>
    <xf numFmtId="0" fontId="38" fillId="0" borderId="2" xfId="0" applyFont="1" applyBorder="1" applyAlignment="1">
      <alignment horizontal="justify" vertical="center" wrapText="1"/>
    </xf>
    <xf numFmtId="0" fontId="2" fillId="0" borderId="2" xfId="46" applyNumberFormat="1" applyFont="1" applyFill="1" applyBorder="1" applyAlignment="1" applyProtection="1">
      <alignment horizontal="center" vertical="center" wrapText="1"/>
      <protection locked="0"/>
    </xf>
    <xf numFmtId="0" fontId="4" fillId="0" borderId="2" xfId="46" applyNumberFormat="1" applyFont="1" applyFill="1" applyBorder="1" applyAlignment="1" applyProtection="1">
      <alignment horizontal="center" vertical="center" wrapText="1"/>
      <protection locked="0"/>
    </xf>
    <xf numFmtId="0" fontId="2" fillId="0" borderId="16" xfId="0" applyNumberFormat="1" applyFont="1" applyFill="1" applyBorder="1" applyAlignment="1" applyProtection="1">
      <alignment horizontal="center" vertical="center" wrapText="1"/>
      <protection locked="0"/>
    </xf>
    <xf numFmtId="0" fontId="4" fillId="12" borderId="2" xfId="0" applyFont="1" applyFill="1" applyBorder="1" applyAlignment="1">
      <alignment horizontal="center" vertical="center"/>
    </xf>
    <xf numFmtId="9" fontId="2" fillId="12" borderId="2" xfId="0" applyNumberFormat="1" applyFont="1" applyFill="1" applyBorder="1" applyAlignment="1">
      <alignment horizontal="center" vertical="center"/>
    </xf>
    <xf numFmtId="0" fontId="2" fillId="0" borderId="2" xfId="0" applyNumberFormat="1" applyFont="1" applyFill="1" applyBorder="1" applyAlignment="1" applyProtection="1">
      <alignment vertical="center" wrapText="1"/>
      <protection locked="0"/>
    </xf>
    <xf numFmtId="168" fontId="2" fillId="0" borderId="2" xfId="14" applyNumberFormat="1" applyFont="1" applyFill="1" applyBorder="1" applyAlignment="1" applyProtection="1">
      <alignment horizontal="center" vertical="center" wrapText="1"/>
      <protection locked="0"/>
    </xf>
    <xf numFmtId="43" fontId="2" fillId="0" borderId="2" xfId="14" applyFont="1" applyFill="1" applyBorder="1" applyAlignment="1" applyProtection="1">
      <alignment horizontal="center" vertical="center" wrapText="1"/>
      <protection locked="0"/>
    </xf>
    <xf numFmtId="9" fontId="2" fillId="0" borderId="2" xfId="14" applyNumberFormat="1" applyFont="1" applyFill="1" applyBorder="1" applyAlignment="1" applyProtection="1">
      <alignment horizontal="center" vertical="center" wrapText="1"/>
      <protection locked="0"/>
    </xf>
    <xf numFmtId="9" fontId="2" fillId="0" borderId="3" xfId="14" applyNumberFormat="1" applyFont="1" applyFill="1" applyBorder="1" applyAlignment="1" applyProtection="1">
      <alignment horizontal="center" vertical="center" wrapText="1"/>
      <protection locked="0"/>
    </xf>
    <xf numFmtId="0" fontId="2" fillId="6" borderId="2" xfId="0" applyFont="1" applyFill="1" applyBorder="1" applyAlignment="1">
      <alignment horizontal="justify" vertical="center" wrapText="1"/>
    </xf>
    <xf numFmtId="0" fontId="2" fillId="6" borderId="9" xfId="0" applyNumberFormat="1" applyFont="1" applyFill="1" applyBorder="1" applyAlignment="1" applyProtection="1">
      <alignment horizontal="center" vertical="center" wrapText="1"/>
      <protection locked="0"/>
    </xf>
    <xf numFmtId="9" fontId="2" fillId="10" borderId="2" xfId="0" applyNumberFormat="1" applyFont="1" applyFill="1" applyBorder="1" applyAlignment="1">
      <alignment horizontal="center" vertical="center" wrapText="1"/>
    </xf>
    <xf numFmtId="0" fontId="38" fillId="6" borderId="2" xfId="0" applyFont="1" applyFill="1" applyBorder="1" applyAlignment="1">
      <alignment horizontal="justify" vertical="center" wrapText="1"/>
    </xf>
    <xf numFmtId="167" fontId="2" fillId="0" borderId="7" xfId="0" applyNumberFormat="1" applyFont="1" applyBorder="1" applyAlignment="1">
      <alignment horizontal="center" vertical="center" wrapText="1"/>
    </xf>
    <xf numFmtId="9" fontId="17" fillId="4" borderId="2" xfId="38" applyFont="1" applyFill="1" applyBorder="1" applyAlignment="1">
      <alignment horizontal="center" vertical="center" wrapText="1"/>
    </xf>
    <xf numFmtId="9" fontId="32" fillId="0" borderId="2" xfId="38" applyFont="1" applyFill="1" applyBorder="1" applyAlignment="1">
      <alignment horizontal="center" vertical="center" wrapText="1"/>
    </xf>
    <xf numFmtId="9" fontId="2" fillId="0" borderId="0" xfId="38" applyFont="1" applyFill="1" applyBorder="1" applyAlignment="1" applyProtection="1">
      <alignment vertical="center" wrapText="1"/>
      <protection locked="0"/>
    </xf>
    <xf numFmtId="0" fontId="13" fillId="0" borderId="0" xfId="0" applyFont="1" applyFill="1" applyBorder="1" applyAlignment="1" applyProtection="1">
      <alignment vertical="top" wrapText="1"/>
      <protection locked="0"/>
    </xf>
    <xf numFmtId="0" fontId="13" fillId="0" borderId="2" xfId="0" applyFont="1" applyFill="1" applyBorder="1" applyAlignment="1" applyProtection="1">
      <alignment wrapText="1"/>
      <protection locked="0"/>
    </xf>
    <xf numFmtId="0" fontId="14" fillId="0" borderId="0" xfId="0" applyFont="1" applyFill="1" applyAlignment="1" applyProtection="1">
      <alignment vertical="top" wrapText="1"/>
      <protection locked="0"/>
    </xf>
    <xf numFmtId="0" fontId="14" fillId="0" borderId="0" xfId="0" applyFont="1" applyFill="1" applyAlignment="1" applyProtection="1">
      <alignment horizontal="center" vertical="top" wrapText="1"/>
      <protection locked="0"/>
    </xf>
    <xf numFmtId="0" fontId="14" fillId="0" borderId="0" xfId="0" applyFont="1" applyFill="1" applyAlignment="1" applyProtection="1">
      <alignment horizontal="center" vertical="center" wrapText="1"/>
      <protection locked="0"/>
    </xf>
    <xf numFmtId="0" fontId="14" fillId="0" borderId="0" xfId="0" applyFont="1" applyFill="1" applyAlignment="1" applyProtection="1">
      <alignment vertical="center" wrapText="1"/>
      <protection locked="0"/>
    </xf>
    <xf numFmtId="0" fontId="14" fillId="0" borderId="4" xfId="0" applyFont="1" applyFill="1" applyBorder="1" applyAlignment="1" applyProtection="1">
      <alignment vertical="center" wrapText="1"/>
      <protection locked="0"/>
    </xf>
    <xf numFmtId="0" fontId="14" fillId="0" borderId="7" xfId="0" applyFont="1" applyFill="1" applyBorder="1" applyAlignment="1" applyProtection="1">
      <alignment vertical="center" wrapText="1"/>
      <protection locked="0"/>
    </xf>
    <xf numFmtId="0" fontId="2" fillId="0" borderId="0" xfId="0" applyFont="1" applyFill="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protection locked="0"/>
    </xf>
    <xf numFmtId="0" fontId="3" fillId="0" borderId="0" xfId="0" applyFont="1"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3" fillId="0" borderId="2" xfId="0" applyFont="1" applyFill="1" applyBorder="1" applyAlignment="1" applyProtection="1">
      <alignment horizontal="center" vertical="center" wrapText="1"/>
      <protection locked="0"/>
    </xf>
    <xf numFmtId="0" fontId="6" fillId="0" borderId="2" xfId="0" applyFont="1" applyFill="1" applyBorder="1" applyAlignment="1" applyProtection="1">
      <alignment vertical="center" wrapText="1"/>
      <protection locked="0"/>
    </xf>
    <xf numFmtId="0" fontId="3" fillId="0" borderId="2" xfId="0" applyFont="1" applyFill="1" applyBorder="1" applyAlignment="1">
      <alignment horizontal="center" vertical="center" wrapText="1"/>
    </xf>
    <xf numFmtId="0" fontId="16" fillId="0" borderId="2" xfId="0" applyFont="1" applyFill="1" applyBorder="1" applyAlignment="1" applyProtection="1">
      <alignment horizontal="center" vertical="center" textRotation="255" wrapText="1"/>
      <protection locked="0"/>
    </xf>
    <xf numFmtId="0" fontId="16" fillId="0" borderId="2" xfId="0" applyFont="1" applyFill="1" applyBorder="1" applyAlignment="1" applyProtection="1">
      <alignment horizontal="center" vertical="center" wrapText="1"/>
      <protection locked="0"/>
    </xf>
    <xf numFmtId="0" fontId="23" fillId="0" borderId="2"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39" fillId="0" borderId="2" xfId="20"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vertical="center" wrapText="1"/>
      <protection locked="0"/>
    </xf>
    <xf numFmtId="0" fontId="39" fillId="0" borderId="2" xfId="20" applyFont="1" applyFill="1" applyBorder="1" applyAlignment="1" applyProtection="1">
      <alignment vertical="center" wrapText="1"/>
      <protection locked="0"/>
    </xf>
    <xf numFmtId="166" fontId="8" fillId="0" borderId="2" xfId="46" applyNumberFormat="1" applyFont="1" applyFill="1" applyBorder="1" applyAlignment="1" applyProtection="1">
      <alignment horizontal="center" vertical="center" wrapText="1"/>
      <protection locked="0"/>
    </xf>
    <xf numFmtId="166" fontId="106" fillId="0" borderId="2" xfId="46" applyNumberFormat="1" applyFont="1" applyFill="1" applyBorder="1" applyAlignment="1" applyProtection="1">
      <alignment horizontal="center" vertical="center" wrapText="1"/>
      <protection locked="0"/>
    </xf>
    <xf numFmtId="9" fontId="8" fillId="0" borderId="2" xfId="38" applyFont="1" applyFill="1" applyBorder="1" applyAlignment="1">
      <alignment horizontal="center" vertical="center" wrapText="1"/>
    </xf>
    <xf numFmtId="0" fontId="8" fillId="0" borderId="2" xfId="0" applyFont="1" applyFill="1" applyBorder="1" applyAlignment="1">
      <alignment horizontal="center" vertical="center" wrapText="1"/>
    </xf>
    <xf numFmtId="166" fontId="16" fillId="0" borderId="2" xfId="0" applyNumberFormat="1" applyFont="1" applyFill="1" applyBorder="1" applyAlignment="1">
      <alignment vertical="center" wrapText="1"/>
    </xf>
    <xf numFmtId="166" fontId="16" fillId="0" borderId="2" xfId="0" applyNumberFormat="1" applyFont="1" applyFill="1" applyBorder="1" applyAlignment="1">
      <alignment horizontal="center" vertical="center" wrapText="1"/>
    </xf>
    <xf numFmtId="43" fontId="8" fillId="0" borderId="2" xfId="14" applyFont="1" applyFill="1" applyBorder="1" applyAlignment="1">
      <alignment horizontal="center" vertical="center" wrapText="1"/>
    </xf>
    <xf numFmtId="166" fontId="8" fillId="0" borderId="2" xfId="46" applyNumberFormat="1" applyFont="1" applyFill="1" applyBorder="1" applyAlignment="1" applyProtection="1">
      <alignment horizontal="center" vertical="center"/>
      <protection locked="0"/>
    </xf>
    <xf numFmtId="0" fontId="6" fillId="0" borderId="2" xfId="0" applyFont="1" applyFill="1" applyBorder="1" applyAlignment="1">
      <alignment horizontal="center" vertical="center" wrapText="1"/>
    </xf>
    <xf numFmtId="9" fontId="8" fillId="0" borderId="2"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6" fillId="0" borderId="2" xfId="0" applyNumberFormat="1" applyFont="1" applyFill="1" applyBorder="1" applyAlignment="1">
      <alignment horizontal="center" vertical="center" wrapText="1"/>
    </xf>
    <xf numFmtId="43" fontId="6" fillId="0" borderId="2" xfId="0" applyNumberFormat="1" applyFont="1" applyFill="1" applyBorder="1" applyAlignment="1">
      <alignment horizontal="center" vertical="center" wrapText="1"/>
    </xf>
    <xf numFmtId="0" fontId="42" fillId="0" borderId="2" xfId="0" applyFont="1" applyFill="1" applyBorder="1" applyAlignment="1">
      <alignment horizontal="center" vertical="center" wrapText="1"/>
    </xf>
    <xf numFmtId="2" fontId="8" fillId="0" borderId="2" xfId="46" applyNumberFormat="1" applyFont="1" applyFill="1" applyBorder="1" applyAlignment="1" applyProtection="1">
      <alignment horizontal="center" vertical="center" wrapText="1"/>
      <protection locked="0"/>
    </xf>
    <xf numFmtId="2" fontId="106" fillId="0" borderId="2" xfId="46" applyNumberFormat="1" applyFont="1" applyFill="1" applyBorder="1" applyAlignment="1" applyProtection="1">
      <alignment horizontal="center" vertical="center" wrapText="1"/>
      <protection locked="0"/>
    </xf>
    <xf numFmtId="2" fontId="8" fillId="0" borderId="2" xfId="0" applyNumberFormat="1" applyFont="1" applyFill="1" applyBorder="1" applyAlignment="1" applyProtection="1">
      <alignment horizontal="center" vertical="center" wrapText="1"/>
      <protection locked="0"/>
    </xf>
    <xf numFmtId="168" fontId="8" fillId="0" borderId="2" xfId="14" applyNumberFormat="1" applyFont="1" applyFill="1" applyBorder="1" applyAlignment="1">
      <alignment horizontal="center" vertical="center" wrapText="1"/>
    </xf>
    <xf numFmtId="10" fontId="106" fillId="0" borderId="2" xfId="46" applyNumberFormat="1" applyFont="1" applyFill="1" applyBorder="1" applyAlignment="1" applyProtection="1">
      <alignment horizontal="center" vertical="center" wrapText="1"/>
      <protection locked="0"/>
    </xf>
    <xf numFmtId="10" fontId="107" fillId="0" borderId="2" xfId="46" applyNumberFormat="1" applyFont="1" applyFill="1" applyBorder="1" applyAlignment="1" applyProtection="1">
      <alignment horizontal="center" vertical="center" wrapText="1"/>
      <protection locked="0"/>
    </xf>
    <xf numFmtId="9" fontId="8" fillId="0" borderId="2" xfId="14" applyNumberFormat="1" applyFont="1" applyFill="1" applyBorder="1" applyAlignment="1">
      <alignment horizontal="center" vertical="center" wrapText="1"/>
    </xf>
    <xf numFmtId="9" fontId="8" fillId="0" borderId="2" xfId="0" applyNumberFormat="1" applyFont="1" applyFill="1" applyBorder="1" applyAlignment="1">
      <alignment vertical="center" wrapText="1"/>
    </xf>
    <xf numFmtId="10" fontId="8" fillId="0" borderId="2" xfId="0" applyNumberFormat="1" applyFont="1" applyFill="1" applyBorder="1" applyAlignment="1">
      <alignment vertical="center" wrapText="1"/>
    </xf>
    <xf numFmtId="10" fontId="8" fillId="0" borderId="2" xfId="0" applyNumberFormat="1" applyFont="1" applyFill="1" applyBorder="1" applyAlignment="1">
      <alignment horizontal="center" vertical="center" wrapText="1"/>
    </xf>
    <xf numFmtId="0" fontId="8" fillId="0" borderId="2" xfId="0" applyFont="1" applyFill="1" applyBorder="1" applyAlignment="1">
      <alignment vertical="center" wrapText="1"/>
    </xf>
    <xf numFmtId="0" fontId="8" fillId="0" borderId="6" xfId="0" applyFont="1" applyFill="1" applyBorder="1" applyAlignment="1">
      <alignment horizontal="center" vertical="center" wrapText="1"/>
    </xf>
    <xf numFmtId="166" fontId="8" fillId="0" borderId="2" xfId="38" applyNumberFormat="1" applyFont="1" applyFill="1" applyBorder="1" applyAlignment="1">
      <alignment horizontal="center" vertical="center" wrapText="1"/>
    </xf>
    <xf numFmtId="9" fontId="8" fillId="0" borderId="2" xfId="38" applyFont="1" applyFill="1" applyBorder="1" applyAlignment="1">
      <alignment vertical="center" wrapText="1"/>
    </xf>
    <xf numFmtId="9" fontId="16" fillId="0" borderId="2" xfId="38" applyFont="1" applyFill="1" applyBorder="1" applyAlignment="1">
      <alignment vertical="center" wrapText="1"/>
    </xf>
    <xf numFmtId="10" fontId="8" fillId="0" borderId="2" xfId="14" applyNumberFormat="1" applyFont="1" applyFill="1" applyBorder="1" applyAlignment="1">
      <alignment horizontal="center" vertical="center" wrapText="1"/>
    </xf>
    <xf numFmtId="0" fontId="16" fillId="0" borderId="2" xfId="0" applyFont="1" applyFill="1" applyBorder="1" applyAlignment="1">
      <alignment vertical="center" wrapText="1"/>
    </xf>
    <xf numFmtId="168" fontId="8" fillId="0" borderId="2" xfId="38" applyNumberFormat="1" applyFont="1" applyFill="1" applyBorder="1" applyAlignment="1">
      <alignment horizontal="center" vertical="center" wrapText="1"/>
    </xf>
    <xf numFmtId="43" fontId="16" fillId="0" borderId="2" xfId="14" applyFont="1" applyFill="1" applyBorder="1" applyAlignment="1">
      <alignment vertical="center" wrapText="1"/>
    </xf>
    <xf numFmtId="3" fontId="8" fillId="0" borderId="2" xfId="0" applyNumberFormat="1" applyFont="1" applyFill="1" applyBorder="1" applyAlignment="1">
      <alignment horizontal="center" vertical="center" wrapText="1"/>
    </xf>
    <xf numFmtId="3" fontId="8" fillId="0" borderId="2" xfId="38" applyNumberFormat="1" applyFont="1" applyFill="1" applyBorder="1" applyAlignment="1">
      <alignment horizontal="center" vertical="center" wrapText="1"/>
    </xf>
    <xf numFmtId="166" fontId="16" fillId="0" borderId="2" xfId="38" applyNumberFormat="1" applyFont="1" applyFill="1" applyBorder="1" applyAlignment="1">
      <alignment vertical="center" wrapText="1"/>
    </xf>
    <xf numFmtId="178" fontId="8" fillId="0" borderId="2" xfId="38" applyNumberFormat="1" applyFont="1" applyFill="1" applyBorder="1" applyAlignment="1" applyProtection="1">
      <alignment horizontal="center" vertical="center" wrapText="1"/>
      <protection locked="0"/>
    </xf>
    <xf numFmtId="10" fontId="8" fillId="0" borderId="2" xfId="38" applyNumberFormat="1" applyFont="1" applyFill="1" applyBorder="1" applyAlignment="1" applyProtection="1">
      <alignment horizontal="center" vertical="center" wrapText="1"/>
      <protection locked="0"/>
    </xf>
    <xf numFmtId="2" fontId="8" fillId="0" borderId="2" xfId="38"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horizontal="justify" vertical="center" wrapText="1"/>
      <protection locked="0"/>
    </xf>
    <xf numFmtId="0" fontId="8" fillId="0" borderId="2" xfId="20" applyNumberFormat="1" applyFont="1" applyFill="1" applyBorder="1" applyAlignment="1" applyProtection="1">
      <alignment horizontal="center" vertical="center" wrapText="1"/>
      <protection locked="0"/>
    </xf>
    <xf numFmtId="0" fontId="8" fillId="0" borderId="2" xfId="20" applyFont="1" applyFill="1" applyBorder="1" applyAlignment="1" applyProtection="1">
      <alignment horizontal="center" vertical="center" wrapText="1"/>
      <protection locked="0"/>
    </xf>
    <xf numFmtId="167" fontId="8" fillId="0" borderId="2" xfId="0" applyNumberFormat="1" applyFont="1" applyFill="1" applyBorder="1" applyAlignment="1">
      <alignment horizontal="center" vertical="center" wrapText="1"/>
    </xf>
    <xf numFmtId="43" fontId="8" fillId="0" borderId="2" xfId="14"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vertical="center" wrapText="1"/>
      <protection locked="0"/>
    </xf>
    <xf numFmtId="10" fontId="8" fillId="0" borderId="2" xfId="38" applyNumberFormat="1" applyFont="1" applyFill="1" applyBorder="1" applyAlignment="1">
      <alignment horizontal="center" vertical="center" wrapText="1"/>
    </xf>
    <xf numFmtId="2" fontId="8" fillId="0" borderId="2" xfId="20" applyNumberFormat="1" applyFont="1" applyFill="1" applyBorder="1" applyAlignment="1" applyProtection="1">
      <alignment horizontal="center" vertical="center" wrapText="1"/>
      <protection locked="0"/>
    </xf>
    <xf numFmtId="0" fontId="39" fillId="0" borderId="2" xfId="20" applyFont="1" applyFill="1" applyBorder="1" applyAlignment="1" applyProtection="1">
      <alignment horizontal="center" vertical="center" wrapText="1"/>
      <protection locked="0"/>
    </xf>
    <xf numFmtId="10" fontId="16" fillId="0" borderId="2" xfId="0" applyNumberFormat="1" applyFont="1" applyFill="1" applyBorder="1" applyAlignment="1">
      <alignment vertical="center" wrapText="1"/>
    </xf>
    <xf numFmtId="49" fontId="8" fillId="0" borderId="2" xfId="46" applyNumberFormat="1" applyFont="1" applyFill="1" applyBorder="1" applyAlignment="1" applyProtection="1">
      <alignment horizontal="center" vertical="center" wrapText="1"/>
      <protection locked="0"/>
    </xf>
    <xf numFmtId="0" fontId="106" fillId="0" borderId="2" xfId="0" applyFont="1" applyFill="1" applyBorder="1" applyAlignment="1" applyProtection="1">
      <alignment horizontal="center" vertical="center" wrapText="1"/>
      <protection locked="0"/>
    </xf>
    <xf numFmtId="43" fontId="16" fillId="0" borderId="2" xfId="14" applyFont="1" applyFill="1" applyBorder="1" applyAlignment="1">
      <alignment horizontal="center" vertical="center" wrapText="1"/>
    </xf>
    <xf numFmtId="9" fontId="8" fillId="0" borderId="3" xfId="38" applyFont="1" applyFill="1" applyBorder="1" applyAlignment="1">
      <alignment horizontal="center" vertical="center" wrapText="1"/>
    </xf>
    <xf numFmtId="167"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179" fontId="8" fillId="0" borderId="2" xfId="0" applyNumberFormat="1" applyFont="1" applyFill="1" applyBorder="1" applyAlignment="1">
      <alignment horizontal="center" vertical="center" wrapText="1"/>
    </xf>
    <xf numFmtId="0" fontId="8" fillId="0" borderId="2" xfId="0" applyFont="1" applyFill="1" applyBorder="1" applyAlignment="1">
      <alignment horizontal="justify" vertical="center" wrapText="1"/>
    </xf>
    <xf numFmtId="180" fontId="8" fillId="0" borderId="2" xfId="14" applyNumberFormat="1" applyFont="1" applyFill="1" applyBorder="1" applyAlignment="1">
      <alignment horizontal="center" vertical="center" wrapText="1"/>
    </xf>
    <xf numFmtId="169" fontId="8" fillId="0" borderId="2" xfId="14" applyNumberFormat="1" applyFont="1" applyFill="1" applyBorder="1" applyAlignment="1">
      <alignment horizontal="center" vertical="center" wrapText="1"/>
    </xf>
    <xf numFmtId="181" fontId="8" fillId="0" borderId="2" xfId="14" applyNumberFormat="1" applyFont="1" applyFill="1" applyBorder="1" applyAlignment="1">
      <alignment horizontal="center" vertical="center" wrapText="1"/>
    </xf>
    <xf numFmtId="0" fontId="6" fillId="10" borderId="0" xfId="0" applyFont="1" applyFill="1" applyAlignment="1" applyProtection="1">
      <alignment vertical="center" wrapText="1"/>
      <protection locked="0"/>
    </xf>
    <xf numFmtId="179" fontId="8" fillId="0" borderId="2" xfId="38" applyNumberFormat="1" applyFont="1" applyFill="1" applyBorder="1" applyAlignment="1" applyProtection="1">
      <alignment horizontal="center" vertical="center" wrapText="1"/>
      <protection locked="0"/>
    </xf>
    <xf numFmtId="43" fontId="3"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right" vertical="center" wrapText="1"/>
    </xf>
    <xf numFmtId="43" fontId="6" fillId="0" borderId="0" xfId="0" applyNumberFormat="1" applyFont="1" applyFill="1" applyAlignment="1" applyProtection="1">
      <alignment vertical="center" wrapText="1"/>
      <protection locked="0"/>
    </xf>
    <xf numFmtId="0" fontId="106" fillId="0" borderId="2" xfId="38" applyNumberFormat="1" applyFont="1" applyFill="1" applyBorder="1" applyAlignment="1" applyProtection="1">
      <alignment horizontal="center" vertical="center" wrapText="1"/>
      <protection locked="0"/>
    </xf>
    <xf numFmtId="169" fontId="8" fillId="0" borderId="2" xfId="10" applyNumberFormat="1" applyFont="1" applyFill="1" applyBorder="1" applyAlignment="1">
      <alignment horizontal="center" vertical="center" wrapText="1"/>
    </xf>
    <xf numFmtId="43" fontId="8" fillId="0" borderId="2" xfId="10" applyFont="1" applyFill="1" applyBorder="1" applyAlignment="1">
      <alignment horizontal="center" vertical="center" wrapText="1"/>
    </xf>
    <xf numFmtId="169" fontId="16" fillId="0" borderId="2" xfId="10" applyNumberFormat="1" applyFont="1" applyFill="1" applyBorder="1" applyAlignment="1">
      <alignment horizontal="center" vertical="center" wrapText="1"/>
    </xf>
    <xf numFmtId="179" fontId="8" fillId="0" borderId="2" xfId="46" applyNumberFormat="1" applyFont="1" applyFill="1" applyBorder="1" applyAlignment="1">
      <alignment horizontal="center" vertical="center" wrapText="1"/>
    </xf>
    <xf numFmtId="179" fontId="8" fillId="0" borderId="2" xfId="0" applyNumberFormat="1" applyFont="1" applyFill="1" applyBorder="1" applyAlignment="1">
      <alignment vertical="center"/>
    </xf>
    <xf numFmtId="182" fontId="8" fillId="0" borderId="2" xfId="0" applyNumberFormat="1" applyFont="1" applyFill="1" applyBorder="1" applyAlignment="1">
      <alignment vertical="center"/>
    </xf>
    <xf numFmtId="170" fontId="8" fillId="0" borderId="2" xfId="14" applyNumberFormat="1" applyFont="1" applyFill="1" applyBorder="1" applyAlignment="1">
      <alignment horizontal="center" vertical="center" wrapText="1"/>
    </xf>
    <xf numFmtId="2" fontId="8" fillId="0" borderId="2" xfId="0" applyNumberFormat="1" applyFont="1" applyFill="1" applyBorder="1" applyAlignment="1">
      <alignment horizontal="center" vertical="center" wrapText="1"/>
    </xf>
    <xf numFmtId="0" fontId="8" fillId="0" borderId="2" xfId="20" applyFont="1" applyFill="1" applyBorder="1" applyAlignment="1" applyProtection="1">
      <alignment vertical="center" wrapText="1"/>
      <protection locked="0"/>
    </xf>
    <xf numFmtId="43" fontId="8" fillId="0" borderId="2" xfId="14" applyNumberFormat="1" applyFont="1" applyFill="1" applyBorder="1" applyAlignment="1">
      <alignment horizontal="center" vertical="center" wrapText="1"/>
    </xf>
    <xf numFmtId="43" fontId="8" fillId="0" borderId="2" xfId="38" applyNumberFormat="1" applyFont="1" applyFill="1" applyBorder="1" applyAlignment="1" applyProtection="1">
      <alignment horizontal="center" vertical="center" wrapText="1"/>
      <protection locked="0"/>
    </xf>
    <xf numFmtId="168" fontId="8" fillId="0" borderId="2" xfId="14" applyNumberFormat="1" applyFont="1" applyFill="1" applyBorder="1" applyAlignment="1" applyProtection="1">
      <alignment horizontal="center" vertical="center" wrapText="1"/>
      <protection locked="0"/>
    </xf>
    <xf numFmtId="0" fontId="2" fillId="0" borderId="2" xfId="0" applyFont="1" applyFill="1" applyBorder="1" applyAlignment="1" applyProtection="1">
      <alignment vertical="center" wrapText="1"/>
      <protection locked="0"/>
    </xf>
    <xf numFmtId="0" fontId="8" fillId="0" borderId="2" xfId="46" applyNumberFormat="1" applyFont="1" applyFill="1" applyBorder="1" applyAlignment="1" applyProtection="1">
      <alignment horizontal="center" vertical="center" wrapText="1"/>
      <protection locked="0"/>
    </xf>
    <xf numFmtId="9" fontId="8" fillId="0" borderId="2" xfId="46" applyNumberFormat="1" applyFont="1" applyFill="1" applyBorder="1" applyAlignment="1" applyProtection="1">
      <alignment horizontal="center" vertical="center" wrapText="1"/>
      <protection locked="0"/>
    </xf>
    <xf numFmtId="9" fontId="16" fillId="0" borderId="2" xfId="46" applyNumberFormat="1" applyFont="1" applyFill="1" applyBorder="1" applyAlignment="1" applyProtection="1">
      <alignment horizontal="center" vertical="center" wrapText="1"/>
      <protection locked="0"/>
    </xf>
    <xf numFmtId="0" fontId="16" fillId="0" borderId="2" xfId="46"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horizontal="left" vertical="center" wrapText="1"/>
      <protection locked="0"/>
    </xf>
    <xf numFmtId="166" fontId="8" fillId="0" borderId="2" xfId="38" applyNumberFormat="1" applyFont="1" applyFill="1" applyBorder="1" applyAlignment="1" applyProtection="1">
      <alignment horizontal="center" vertical="center" wrapText="1"/>
      <protection locked="0"/>
    </xf>
    <xf numFmtId="3" fontId="6" fillId="0" borderId="2" xfId="0" applyNumberFormat="1" applyFont="1" applyFill="1" applyBorder="1" applyAlignment="1">
      <alignment horizontal="center" vertical="center" wrapText="1"/>
    </xf>
    <xf numFmtId="168" fontId="42" fillId="0" borderId="2" xfId="14" applyNumberFormat="1" applyFont="1" applyFill="1" applyBorder="1" applyAlignment="1">
      <alignment horizontal="center" vertical="center" wrapText="1"/>
    </xf>
    <xf numFmtId="9" fontId="6" fillId="0" borderId="2"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183" fontId="8" fillId="0" borderId="2" xfId="38" applyNumberFormat="1" applyFont="1" applyFill="1" applyBorder="1" applyAlignment="1">
      <alignment horizontal="center" vertical="center" wrapText="1"/>
    </xf>
    <xf numFmtId="10" fontId="107" fillId="0" borderId="2" xfId="43" applyNumberFormat="1" applyFont="1" applyFill="1" applyBorder="1" applyAlignment="1">
      <alignment horizontal="center" vertical="center"/>
    </xf>
    <xf numFmtId="3" fontId="6" fillId="0" borderId="2" xfId="38" applyNumberFormat="1" applyFont="1" applyFill="1" applyBorder="1" applyAlignment="1">
      <alignment horizontal="center" vertical="center" wrapText="1"/>
    </xf>
    <xf numFmtId="3" fontId="42" fillId="0" borderId="2" xfId="38" applyNumberFormat="1" applyFont="1" applyFill="1" applyBorder="1" applyAlignment="1">
      <alignment horizontal="center" vertical="center" wrapText="1"/>
    </xf>
    <xf numFmtId="10" fontId="16" fillId="0" borderId="2" xfId="38" applyNumberFormat="1" applyFont="1" applyFill="1" applyBorder="1" applyAlignment="1">
      <alignment horizontal="center" vertical="center" wrapText="1"/>
    </xf>
    <xf numFmtId="10" fontId="104" fillId="0" borderId="2" xfId="43" applyNumberFormat="1" applyFont="1" applyFill="1" applyBorder="1" applyAlignment="1">
      <alignment horizontal="center" vertical="center"/>
    </xf>
    <xf numFmtId="0" fontId="8" fillId="0" borderId="2" xfId="0" applyNumberFormat="1" applyFont="1" applyFill="1" applyBorder="1" applyAlignment="1" applyProtection="1">
      <alignment horizontal="center" vertical="top" wrapText="1"/>
      <protection locked="0"/>
    </xf>
    <xf numFmtId="0" fontId="8" fillId="0" borderId="2"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43" fontId="3"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0" fontId="42" fillId="0" borderId="39" xfId="0" applyFont="1" applyBorder="1" applyAlignment="1">
      <alignment horizontal="center" vertical="center" wrapText="1"/>
    </xf>
    <xf numFmtId="0" fontId="42" fillId="14" borderId="39" xfId="0" applyFont="1" applyFill="1" applyBorder="1" applyAlignment="1">
      <alignment horizontal="center" vertical="center" wrapText="1"/>
    </xf>
    <xf numFmtId="0" fontId="42" fillId="14" borderId="40" xfId="0" applyFont="1" applyFill="1" applyBorder="1" applyAlignment="1">
      <alignment horizontal="center" vertical="center" wrapText="1"/>
    </xf>
    <xf numFmtId="43" fontId="2" fillId="0" borderId="0" xfId="14" applyFont="1" applyFill="1" applyAlignment="1" applyProtection="1">
      <alignment vertical="center" wrapText="1"/>
      <protection locked="0"/>
    </xf>
    <xf numFmtId="43" fontId="2" fillId="0" borderId="0" xfId="0" applyNumberFormat="1" applyFont="1" applyFill="1" applyAlignment="1" applyProtection="1">
      <alignment vertical="center" wrapText="1"/>
      <protection locked="0"/>
    </xf>
    <xf numFmtId="0" fontId="18" fillId="0" borderId="3" xfId="0" applyFont="1" applyBorder="1" applyAlignment="1" applyProtection="1">
      <alignment vertical="top" wrapText="1"/>
      <protection locked="0"/>
    </xf>
    <xf numFmtId="0" fontId="19" fillId="0" borderId="0" xfId="0" applyFont="1" applyAlignment="1" applyProtection="1">
      <alignment vertical="top" wrapText="1"/>
      <protection locked="0"/>
    </xf>
    <xf numFmtId="0" fontId="19" fillId="6" borderId="0" xfId="0" applyFont="1" applyFill="1" applyAlignment="1" applyProtection="1">
      <alignment vertical="top" wrapText="1"/>
      <protection locked="0"/>
    </xf>
    <xf numFmtId="0" fontId="19" fillId="0" borderId="4" xfId="0" applyFont="1" applyBorder="1" applyAlignment="1" applyProtection="1">
      <alignment vertical="center" wrapText="1"/>
      <protection locked="0"/>
    </xf>
    <xf numFmtId="0" fontId="19" fillId="0" borderId="2" xfId="0" applyFont="1" applyBorder="1" applyAlignment="1" applyProtection="1">
      <alignment horizontal="center" vertical="center" wrapText="1"/>
      <protection locked="0"/>
    </xf>
    <xf numFmtId="0" fontId="19" fillId="0" borderId="0" xfId="0" applyFont="1" applyAlignment="1" applyProtection="1">
      <alignment vertical="center" wrapText="1"/>
      <protection locked="0"/>
    </xf>
    <xf numFmtId="0" fontId="19" fillId="6" borderId="0" xfId="0" applyFont="1" applyFill="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9" fillId="0" borderId="0" xfId="0" applyFont="1" applyBorder="1" applyAlignment="1" applyProtection="1">
      <alignment vertical="center" wrapText="1"/>
      <protection locked="0"/>
    </xf>
    <xf numFmtId="0" fontId="18" fillId="0" borderId="0" xfId="0" applyFont="1" applyBorder="1" applyAlignment="1" applyProtection="1">
      <alignment vertical="center" wrapText="1"/>
      <protection locked="0"/>
    </xf>
    <xf numFmtId="0" fontId="19" fillId="6" borderId="0" xfId="0" applyFont="1" applyFill="1" applyBorder="1" applyAlignment="1" applyProtection="1">
      <alignment vertical="center" wrapText="1"/>
      <protection locked="0"/>
    </xf>
    <xf numFmtId="0" fontId="19" fillId="5" borderId="2" xfId="0" applyFont="1" applyFill="1" applyBorder="1" applyAlignment="1" applyProtection="1">
      <alignment vertical="center" wrapText="1"/>
      <protection locked="0"/>
    </xf>
    <xf numFmtId="0" fontId="18" fillId="5" borderId="2" xfId="0" applyFont="1" applyFill="1" applyBorder="1" applyAlignment="1" applyProtection="1">
      <alignment horizontal="center" vertical="center" textRotation="255" wrapText="1"/>
      <protection locked="0"/>
    </xf>
    <xf numFmtId="0" fontId="4" fillId="6" borderId="2" xfId="0" applyFont="1" applyFill="1" applyBorder="1" applyAlignment="1">
      <alignment horizontal="center" vertical="center" wrapText="1"/>
    </xf>
    <xf numFmtId="0" fontId="18" fillId="0" borderId="2" xfId="0" applyFont="1" applyBorder="1" applyAlignment="1">
      <alignment horizontal="center" vertical="center" wrapText="1"/>
    </xf>
    <xf numFmtId="0" fontId="19" fillId="0" borderId="2" xfId="0" applyNumberFormat="1"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protection locked="0"/>
    </xf>
    <xf numFmtId="9" fontId="19" fillId="0" borderId="2" xfId="46" applyFont="1" applyFill="1" applyBorder="1" applyAlignment="1" applyProtection="1">
      <alignment horizontal="center" vertical="center" wrapText="1"/>
      <protection locked="0"/>
    </xf>
    <xf numFmtId="0" fontId="19" fillId="0" borderId="2" xfId="38" applyNumberFormat="1" applyFont="1" applyFill="1" applyBorder="1" applyAlignment="1" applyProtection="1">
      <alignment horizontal="center" vertical="center" wrapText="1"/>
      <protection locked="0"/>
    </xf>
    <xf numFmtId="0" fontId="19" fillId="6" borderId="2" xfId="38" applyNumberFormat="1" applyFont="1" applyFill="1" applyBorder="1" applyAlignment="1" applyProtection="1">
      <alignment horizontal="center" vertical="center" wrapText="1"/>
      <protection locked="0"/>
    </xf>
    <xf numFmtId="168" fontId="19" fillId="0" borderId="2" xfId="10" applyNumberFormat="1" applyFont="1" applyBorder="1" applyAlignment="1">
      <alignment horizontal="center" vertical="center" wrapText="1"/>
    </xf>
    <xf numFmtId="167" fontId="19" fillId="0" borderId="2" xfId="0" applyNumberFormat="1" applyFont="1" applyBorder="1" applyAlignment="1">
      <alignment horizontal="center" vertical="center" wrapText="1"/>
    </xf>
    <xf numFmtId="9" fontId="18" fillId="4" borderId="2" xfId="38" applyFont="1" applyFill="1" applyBorder="1" applyAlignment="1">
      <alignment horizontal="center" vertical="center" wrapText="1"/>
    </xf>
    <xf numFmtId="9" fontId="19" fillId="0" borderId="2" xfId="38" applyFont="1" applyFill="1" applyBorder="1" applyAlignment="1">
      <alignment horizontal="center" vertical="center" wrapText="1"/>
    </xf>
    <xf numFmtId="9" fontId="19" fillId="4" borderId="2" xfId="38" applyFont="1" applyFill="1" applyBorder="1" applyAlignment="1">
      <alignment horizontal="center" vertical="center" wrapText="1"/>
    </xf>
    <xf numFmtId="0" fontId="19" fillId="0" borderId="2" xfId="0" applyFont="1" applyBorder="1" applyAlignment="1">
      <alignment vertical="center" wrapText="1"/>
    </xf>
    <xf numFmtId="0" fontId="19" fillId="0" borderId="2" xfId="0" applyFont="1" applyBorder="1" applyAlignment="1">
      <alignment horizontal="left" vertical="center" wrapText="1"/>
    </xf>
    <xf numFmtId="168" fontId="19" fillId="6" borderId="2" xfId="10" applyNumberFormat="1" applyFont="1" applyFill="1" applyBorder="1" applyAlignment="1">
      <alignment horizontal="center" vertical="center" wrapText="1"/>
    </xf>
    <xf numFmtId="167" fontId="19" fillId="6" borderId="2" xfId="0" applyNumberFormat="1" applyFont="1" applyFill="1" applyBorder="1" applyAlignment="1">
      <alignment horizontal="center" vertical="center" wrapText="1"/>
    </xf>
    <xf numFmtId="9" fontId="18" fillId="6" borderId="2" xfId="38" applyFont="1" applyFill="1" applyBorder="1" applyAlignment="1">
      <alignment horizontal="center" vertical="center" wrapText="1"/>
    </xf>
    <xf numFmtId="9" fontId="19" fillId="6" borderId="2" xfId="38" applyFont="1" applyFill="1" applyBorder="1" applyAlignment="1">
      <alignment horizontal="center" vertical="center" wrapText="1"/>
    </xf>
    <xf numFmtId="0" fontId="19" fillId="6" borderId="2" xfId="0" applyFont="1" applyFill="1" applyBorder="1" applyAlignment="1">
      <alignment horizontal="left" vertical="center" wrapText="1"/>
    </xf>
    <xf numFmtId="168" fontId="19" fillId="0" borderId="2" xfId="10" applyNumberFormat="1" applyFont="1" applyFill="1" applyBorder="1" applyAlignment="1">
      <alignment horizontal="center" vertical="center" wrapText="1"/>
    </xf>
    <xf numFmtId="167" fontId="19" fillId="0" borderId="2" xfId="0" applyNumberFormat="1" applyFont="1" applyFill="1" applyBorder="1" applyAlignment="1">
      <alignment horizontal="center" vertical="center" wrapText="1"/>
    </xf>
    <xf numFmtId="9" fontId="18" fillId="0" borderId="2" xfId="38" applyFont="1" applyFill="1" applyBorder="1" applyAlignment="1">
      <alignment horizontal="center" vertical="center" wrapText="1"/>
    </xf>
    <xf numFmtId="0" fontId="19" fillId="0" borderId="2" xfId="0" applyFont="1" applyFill="1" applyBorder="1" applyAlignment="1">
      <alignment horizontal="left" vertical="center" wrapText="1"/>
    </xf>
    <xf numFmtId="9" fontId="47" fillId="0" borderId="2" xfId="38" applyNumberFormat="1" applyFont="1" applyFill="1" applyBorder="1" applyAlignment="1">
      <alignment horizontal="center" vertical="center" wrapText="1"/>
    </xf>
    <xf numFmtId="0" fontId="48" fillId="0" borderId="2" xfId="0" applyFont="1" applyFill="1" applyBorder="1" applyAlignment="1">
      <alignment horizontal="left" vertical="center" wrapText="1"/>
    </xf>
    <xf numFmtId="9" fontId="47" fillId="0" borderId="2" xfId="38" applyFont="1" applyFill="1" applyBorder="1" applyAlignment="1">
      <alignment horizontal="center" vertical="center" wrapText="1"/>
    </xf>
    <xf numFmtId="0" fontId="47" fillId="0" borderId="2" xfId="0" applyFont="1" applyFill="1" applyBorder="1" applyAlignment="1">
      <alignment horizontal="left" vertical="center" wrapText="1"/>
    </xf>
    <xf numFmtId="168" fontId="19" fillId="15" borderId="2" xfId="10" applyNumberFormat="1" applyFont="1" applyFill="1" applyBorder="1" applyAlignment="1">
      <alignment horizontal="center" vertical="center" wrapText="1"/>
    </xf>
    <xf numFmtId="167" fontId="19" fillId="15" borderId="2" xfId="0" applyNumberFormat="1" applyFont="1" applyFill="1" applyBorder="1" applyAlignment="1">
      <alignment horizontal="center" vertical="center" wrapText="1"/>
    </xf>
    <xf numFmtId="9" fontId="18" fillId="15" borderId="2" xfId="38" applyFont="1" applyFill="1" applyBorder="1" applyAlignment="1">
      <alignment horizontal="center" vertical="center" wrapText="1"/>
    </xf>
    <xf numFmtId="9" fontId="19" fillId="15" borderId="2" xfId="38" applyFont="1" applyFill="1" applyBorder="1" applyAlignment="1">
      <alignment horizontal="center" vertical="center" wrapText="1"/>
    </xf>
    <xf numFmtId="0" fontId="19" fillId="15" borderId="2" xfId="0" applyFont="1" applyFill="1" applyBorder="1" applyAlignment="1">
      <alignment horizontal="left" vertical="center" wrapText="1"/>
    </xf>
    <xf numFmtId="0" fontId="32" fillId="0" borderId="2" xfId="0" applyFont="1" applyFill="1" applyBorder="1" applyAlignment="1">
      <alignment horizontal="left" vertical="center" wrapText="1"/>
    </xf>
    <xf numFmtId="43" fontId="19" fillId="0" borderId="2" xfId="10" applyFont="1" applyBorder="1" applyAlignment="1">
      <alignment horizontal="center" vertical="center" wrapText="1"/>
    </xf>
    <xf numFmtId="43" fontId="19" fillId="6" borderId="2" xfId="10" applyFont="1" applyFill="1" applyBorder="1" applyAlignment="1">
      <alignment horizontal="center" vertical="center" wrapText="1"/>
    </xf>
    <xf numFmtId="0" fontId="108" fillId="6" borderId="2" xfId="0" applyFont="1" applyFill="1" applyBorder="1" applyAlignment="1">
      <alignment horizontal="left" vertical="center" wrapText="1"/>
    </xf>
    <xf numFmtId="43" fontId="19" fillId="0" borderId="2" xfId="10" applyFont="1" applyFill="1" applyBorder="1" applyAlignment="1">
      <alignment horizontal="center" vertical="center" wrapText="1"/>
    </xf>
    <xf numFmtId="0" fontId="108" fillId="0" borderId="2" xfId="0" applyFont="1" applyFill="1" applyBorder="1" applyAlignment="1">
      <alignment horizontal="left" vertical="center" wrapText="1"/>
    </xf>
    <xf numFmtId="0" fontId="109" fillId="0" borderId="2" xfId="0" applyFont="1" applyFill="1" applyBorder="1" applyAlignment="1">
      <alignment horizontal="left" vertical="center" wrapText="1"/>
    </xf>
    <xf numFmtId="0" fontId="110" fillId="0" borderId="2" xfId="0" applyFont="1" applyFill="1" applyBorder="1" applyAlignment="1">
      <alignment horizontal="left" vertical="center" wrapText="1"/>
    </xf>
    <xf numFmtId="37" fontId="19" fillId="0" borderId="2" xfId="10" applyNumberFormat="1" applyFont="1" applyFill="1" applyBorder="1" applyAlignment="1" applyProtection="1">
      <alignment horizontal="center" vertical="center" wrapText="1"/>
      <protection locked="0"/>
    </xf>
    <xf numFmtId="37" fontId="19" fillId="6" borderId="2" xfId="10" applyNumberFormat="1" applyFont="1" applyFill="1" applyBorder="1" applyAlignment="1" applyProtection="1">
      <alignment horizontal="center" vertical="center" wrapText="1"/>
      <protection locked="0"/>
    </xf>
    <xf numFmtId="37" fontId="19" fillId="0" borderId="2" xfId="0" applyNumberFormat="1" applyFont="1" applyFill="1" applyBorder="1" applyAlignment="1" applyProtection="1">
      <alignment horizontal="center" vertical="center" wrapText="1"/>
      <protection locked="0"/>
    </xf>
    <xf numFmtId="0" fontId="32" fillId="0" borderId="2" xfId="0" applyFont="1" applyFill="1" applyBorder="1" applyAlignment="1">
      <alignment vertical="center" wrapText="1"/>
    </xf>
    <xf numFmtId="37" fontId="19" fillId="6" borderId="2" xfId="10" applyNumberFormat="1" applyFont="1" applyFill="1" applyBorder="1" applyAlignment="1" applyProtection="1">
      <alignment vertical="center" wrapText="1"/>
      <protection locked="0"/>
    </xf>
    <xf numFmtId="37" fontId="19" fillId="0" borderId="2" xfId="10" applyNumberFormat="1" applyFont="1" applyFill="1" applyBorder="1" applyAlignment="1" applyProtection="1">
      <alignment vertical="center" wrapText="1"/>
      <protection locked="0"/>
    </xf>
    <xf numFmtId="9" fontId="19" fillId="0" borderId="2" xfId="38" applyNumberFormat="1" applyFont="1" applyFill="1" applyBorder="1" applyAlignment="1" applyProtection="1">
      <alignment horizontal="center" vertical="center" wrapText="1"/>
      <protection locked="0"/>
    </xf>
    <xf numFmtId="0" fontId="19" fillId="6" borderId="2" xfId="0" applyNumberFormat="1" applyFont="1" applyFill="1" applyBorder="1" applyAlignment="1" applyProtection="1">
      <alignment horizontal="center" vertical="center" wrapText="1"/>
      <protection locked="0"/>
    </xf>
    <xf numFmtId="10" fontId="19" fillId="0" borderId="2" xfId="0" applyNumberFormat="1" applyFont="1" applyBorder="1" applyAlignment="1">
      <alignment horizontal="center" vertical="center" wrapText="1"/>
    </xf>
    <xf numFmtId="9" fontId="19" fillId="0" borderId="2" xfId="38" applyFont="1" applyBorder="1" applyAlignment="1">
      <alignment horizontal="center" vertical="center" wrapText="1"/>
    </xf>
    <xf numFmtId="10" fontId="19" fillId="6" borderId="2" xfId="0" applyNumberFormat="1" applyFont="1" applyFill="1" applyBorder="1" applyAlignment="1">
      <alignment horizontal="center" vertical="center" wrapText="1"/>
    </xf>
    <xf numFmtId="10" fontId="19" fillId="0" borderId="2" xfId="0" applyNumberFormat="1" applyFont="1" applyFill="1" applyBorder="1" applyAlignment="1">
      <alignment horizontal="center" vertical="center" wrapText="1"/>
    </xf>
    <xf numFmtId="0" fontId="48" fillId="0" borderId="2" xfId="0" applyFont="1" applyFill="1" applyBorder="1" applyAlignment="1">
      <alignment vertical="center" wrapText="1"/>
    </xf>
    <xf numFmtId="9" fontId="19" fillId="0" borderId="2" xfId="0" applyNumberFormat="1" applyFont="1" applyFill="1" applyBorder="1" applyAlignment="1">
      <alignment horizontal="center" vertical="center" wrapText="1"/>
    </xf>
    <xf numFmtId="0" fontId="19" fillId="4" borderId="6" xfId="0" applyNumberFormat="1" applyFont="1" applyFill="1" applyBorder="1" applyAlignment="1" applyProtection="1">
      <alignment horizontal="center" vertical="center" wrapText="1"/>
      <protection locked="0"/>
    </xf>
    <xf numFmtId="0" fontId="19" fillId="4" borderId="2" xfId="0" applyNumberFormat="1" applyFont="1" applyFill="1" applyBorder="1" applyAlignment="1" applyProtection="1">
      <alignment horizontal="center" vertical="center" wrapText="1"/>
      <protection locked="0"/>
    </xf>
    <xf numFmtId="0" fontId="19" fillId="4" borderId="2" xfId="0" applyFont="1" applyFill="1" applyBorder="1" applyAlignment="1" applyProtection="1">
      <alignment horizontal="center" vertical="center" wrapText="1"/>
      <protection locked="0"/>
    </xf>
    <xf numFmtId="0" fontId="19" fillId="4" borderId="2" xfId="38" applyNumberFormat="1" applyFont="1" applyFill="1" applyBorder="1" applyAlignment="1" applyProtection="1">
      <alignment horizontal="center" vertical="center" wrapText="1"/>
      <protection locked="0"/>
    </xf>
    <xf numFmtId="9" fontId="19" fillId="4" borderId="2" xfId="38" applyNumberFormat="1" applyFont="1" applyFill="1" applyBorder="1" applyAlignment="1" applyProtection="1">
      <alignment horizontal="center" vertical="center" wrapText="1"/>
      <protection locked="0"/>
    </xf>
    <xf numFmtId="9" fontId="19" fillId="4" borderId="2" xfId="38" applyFont="1" applyFill="1" applyBorder="1" applyAlignment="1" applyProtection="1">
      <alignment vertical="center" wrapText="1"/>
      <protection locked="0"/>
    </xf>
    <xf numFmtId="0" fontId="19" fillId="4" borderId="2" xfId="0" applyNumberFormat="1" applyFont="1" applyFill="1" applyBorder="1" applyAlignment="1" applyProtection="1">
      <alignment horizontal="left" vertical="center" wrapText="1"/>
      <protection locked="0"/>
    </xf>
    <xf numFmtId="0" fontId="19" fillId="6" borderId="2" xfId="0"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center" vertical="center" wrapText="1"/>
      <protection locked="0"/>
    </xf>
    <xf numFmtId="9" fontId="19" fillId="6" borderId="2" xfId="38" applyNumberFormat="1" applyFont="1" applyFill="1" applyBorder="1" applyAlignment="1" applyProtection="1">
      <alignment horizontal="center" vertical="center" wrapText="1"/>
      <protection locked="0"/>
    </xf>
    <xf numFmtId="9" fontId="19" fillId="0" borderId="2" xfId="38" applyFont="1" applyFill="1" applyBorder="1" applyAlignment="1" applyProtection="1">
      <alignment horizontal="center" vertical="center" wrapText="1"/>
      <protection locked="0"/>
    </xf>
    <xf numFmtId="9" fontId="18" fillId="12" borderId="2" xfId="0" applyNumberFormat="1" applyFont="1" applyFill="1" applyBorder="1" applyAlignment="1">
      <alignment horizontal="center" vertical="center"/>
    </xf>
    <xf numFmtId="9" fontId="19" fillId="12" borderId="2" xfId="0" applyNumberFormat="1" applyFont="1" applyFill="1" applyBorder="1" applyAlignment="1">
      <alignment horizontal="center" vertical="center"/>
    </xf>
    <xf numFmtId="9" fontId="19" fillId="16" borderId="2" xfId="38" applyFont="1" applyFill="1" applyBorder="1" applyAlignment="1">
      <alignment horizontal="center" vertical="center" wrapText="1"/>
    </xf>
    <xf numFmtId="0" fontId="19" fillId="6" borderId="2" xfId="0" applyFont="1" applyFill="1" applyBorder="1" applyAlignment="1">
      <alignment horizontal="justify" vertical="center" wrapText="1"/>
    </xf>
    <xf numFmtId="0" fontId="19" fillId="0" borderId="2" xfId="0" applyNumberFormat="1" applyFont="1" applyFill="1" applyBorder="1" applyAlignment="1" applyProtection="1">
      <alignment horizontal="center" vertical="top" wrapText="1"/>
      <protection locked="0"/>
    </xf>
    <xf numFmtId="9" fontId="19" fillId="0" borderId="3" xfId="38" applyFont="1" applyFill="1" applyBorder="1" applyAlignment="1">
      <alignment horizontal="center" vertical="center" wrapText="1"/>
    </xf>
    <xf numFmtId="0" fontId="19" fillId="0" borderId="2" xfId="46" applyNumberFormat="1" applyFont="1" applyFill="1" applyBorder="1" applyAlignment="1" applyProtection="1">
      <alignment horizontal="center" vertical="center" wrapText="1"/>
      <protection locked="0"/>
    </xf>
    <xf numFmtId="9" fontId="19" fillId="0" borderId="2" xfId="46" applyNumberFormat="1" applyFont="1" applyFill="1" applyBorder="1" applyAlignment="1" applyProtection="1">
      <alignment horizontal="center" vertical="center" wrapText="1"/>
      <protection locked="0"/>
    </xf>
    <xf numFmtId="9" fontId="18" fillId="0" borderId="2" xfId="46" applyNumberFormat="1" applyFont="1" applyFill="1" applyBorder="1" applyAlignment="1" applyProtection="1">
      <alignment horizontal="center" vertical="center" wrapText="1"/>
      <protection locked="0"/>
    </xf>
    <xf numFmtId="0" fontId="18" fillId="0" borderId="2" xfId="46" applyNumberFormat="1" applyFont="1" applyFill="1" applyBorder="1" applyAlignment="1" applyProtection="1">
      <alignment horizontal="center" vertical="center" wrapText="1"/>
      <protection locked="0"/>
    </xf>
    <xf numFmtId="0" fontId="19" fillId="0" borderId="2" xfId="0" applyFont="1" applyFill="1" applyBorder="1" applyAlignment="1">
      <alignment vertical="center" wrapText="1"/>
    </xf>
    <xf numFmtId="0" fontId="19" fillId="0" borderId="2" xfId="0" applyNumberFormat="1" applyFont="1" applyFill="1" applyBorder="1" applyAlignment="1" applyProtection="1">
      <alignment horizontal="left" vertical="center" wrapText="1"/>
      <protection locked="0"/>
    </xf>
    <xf numFmtId="166" fontId="19" fillId="0" borderId="2" xfId="38" applyNumberFormat="1" applyFont="1" applyFill="1" applyBorder="1" applyAlignment="1" applyProtection="1">
      <alignment horizontal="center" vertical="center" wrapText="1"/>
      <protection locked="0"/>
    </xf>
    <xf numFmtId="166" fontId="19" fillId="6" borderId="2" xfId="38" applyNumberFormat="1" applyFont="1" applyFill="1" applyBorder="1" applyAlignment="1" applyProtection="1">
      <alignment horizontal="center" vertical="center" wrapText="1"/>
      <protection locked="0"/>
    </xf>
    <xf numFmtId="0" fontId="19" fillId="0" borderId="2" xfId="0" applyFont="1" applyBorder="1" applyAlignment="1">
      <alignment horizontal="center" vertical="center" wrapText="1"/>
    </xf>
    <xf numFmtId="0" fontId="47" fillId="0" borderId="0" xfId="0" applyFont="1" applyFill="1" applyBorder="1" applyAlignment="1" applyProtection="1">
      <alignment vertical="center" wrapText="1"/>
      <protection locked="0"/>
    </xf>
    <xf numFmtId="0" fontId="19" fillId="0" borderId="0" xfId="0" applyFont="1" applyFill="1" applyBorder="1" applyAlignment="1" applyProtection="1">
      <alignment vertical="center" wrapText="1"/>
      <protection locked="0"/>
    </xf>
    <xf numFmtId="9" fontId="19" fillId="0" borderId="0" xfId="38" applyFont="1" applyFill="1" applyBorder="1" applyAlignment="1" applyProtection="1">
      <alignment vertical="center" wrapText="1"/>
      <protection locked="0"/>
    </xf>
    <xf numFmtId="9" fontId="19" fillId="6" borderId="0" xfId="38" applyFont="1" applyFill="1" applyBorder="1" applyAlignment="1" applyProtection="1">
      <alignment vertical="center" wrapText="1"/>
      <protection locked="0"/>
    </xf>
    <xf numFmtId="0" fontId="47" fillId="0" borderId="0" xfId="0" applyFont="1" applyAlignment="1" applyProtection="1">
      <alignment vertical="center" wrapText="1"/>
      <protection locked="0"/>
    </xf>
    <xf numFmtId="0" fontId="13" fillId="0" borderId="3" xfId="20" applyFont="1" applyBorder="1" applyAlignment="1" applyProtection="1">
      <alignment vertical="top" wrapText="1"/>
      <protection locked="0"/>
    </xf>
    <xf numFmtId="0" fontId="14" fillId="0" borderId="0" xfId="20" applyFont="1" applyAlignment="1" applyProtection="1">
      <alignment vertical="top" wrapText="1"/>
      <protection locked="0"/>
    </xf>
    <xf numFmtId="0" fontId="14" fillId="0" borderId="4" xfId="20" applyFont="1" applyBorder="1" applyAlignment="1" applyProtection="1">
      <alignment vertical="center" wrapText="1"/>
      <protection locked="0"/>
    </xf>
    <xf numFmtId="0" fontId="14" fillId="0" borderId="0" xfId="20" applyFont="1" applyAlignment="1" applyProtection="1">
      <alignment vertical="center" wrapText="1"/>
      <protection locked="0"/>
    </xf>
    <xf numFmtId="0" fontId="2" fillId="0" borderId="0" xfId="20" applyFont="1" applyAlignment="1" applyProtection="1">
      <alignment vertical="center" wrapText="1"/>
      <protection locked="0"/>
    </xf>
    <xf numFmtId="0" fontId="6" fillId="0" borderId="0" xfId="20" applyFont="1" applyAlignment="1" applyProtection="1">
      <alignment vertical="center" wrapText="1"/>
      <protection locked="0"/>
    </xf>
    <xf numFmtId="0" fontId="4" fillId="0" borderId="2" xfId="20" applyFont="1" applyBorder="1" applyAlignment="1" applyProtection="1">
      <alignment horizontal="center" vertical="center" wrapText="1"/>
      <protection locked="0"/>
    </xf>
    <xf numFmtId="0" fontId="2" fillId="0" borderId="0" xfId="20" applyFont="1" applyBorder="1" applyAlignment="1" applyProtection="1">
      <alignment vertical="center" wrapText="1"/>
      <protection locked="0"/>
    </xf>
    <xf numFmtId="0" fontId="3" fillId="0" borderId="0" xfId="20" applyFont="1" applyBorder="1" applyAlignment="1" applyProtection="1">
      <alignment vertical="center" wrapText="1"/>
      <protection locked="0"/>
    </xf>
    <xf numFmtId="0" fontId="6" fillId="0" borderId="6" xfId="20" applyFont="1" applyBorder="1" applyAlignment="1" applyProtection="1">
      <alignment vertical="center" wrapText="1"/>
      <protection locked="0"/>
    </xf>
    <xf numFmtId="0" fontId="16" fillId="5" borderId="2" xfId="20" applyFont="1" applyFill="1" applyBorder="1" applyAlignment="1" applyProtection="1">
      <alignment horizontal="center" vertical="center" textRotation="255" wrapText="1"/>
      <protection locked="0"/>
    </xf>
    <xf numFmtId="0" fontId="16" fillId="5" borderId="3" xfId="20" applyFont="1" applyFill="1" applyBorder="1" applyAlignment="1" applyProtection="1">
      <alignment horizontal="center" vertical="center" textRotation="255" wrapText="1"/>
      <protection locked="0"/>
    </xf>
    <xf numFmtId="0" fontId="16" fillId="5" borderId="2" xfId="20" applyFont="1" applyFill="1" applyBorder="1" applyAlignment="1" applyProtection="1">
      <alignment horizontal="center" vertical="center" wrapText="1"/>
      <protection locked="0"/>
    </xf>
    <xf numFmtId="0" fontId="16" fillId="0" borderId="2" xfId="20" applyFont="1" applyBorder="1" applyAlignment="1">
      <alignment horizontal="center" vertical="center" wrapText="1"/>
    </xf>
    <xf numFmtId="0" fontId="3" fillId="0" borderId="2" xfId="20" applyFont="1" applyBorder="1" applyAlignment="1">
      <alignment horizontal="center" vertical="center" wrapText="1"/>
    </xf>
    <xf numFmtId="0" fontId="23" fillId="0" borderId="2" xfId="20" applyFont="1" applyBorder="1" applyAlignment="1">
      <alignment horizontal="center" vertical="center" wrapText="1"/>
    </xf>
    <xf numFmtId="9" fontId="8" fillId="0" borderId="9" xfId="38" applyNumberFormat="1" applyFont="1" applyFill="1" applyBorder="1" applyAlignment="1" applyProtection="1">
      <alignment horizontal="center" vertical="center" wrapText="1"/>
      <protection locked="0"/>
    </xf>
    <xf numFmtId="9" fontId="6" fillId="4" borderId="9" xfId="38" applyFont="1" applyFill="1" applyBorder="1" applyAlignment="1">
      <alignment horizontal="center" vertical="center" wrapText="1"/>
    </xf>
    <xf numFmtId="9" fontId="6" fillId="0" borderId="6" xfId="38" applyFont="1" applyFill="1" applyBorder="1" applyAlignment="1">
      <alignment horizontal="center" vertical="center" wrapText="1"/>
    </xf>
    <xf numFmtId="0" fontId="6" fillId="0" borderId="2" xfId="20" applyNumberFormat="1" applyFont="1" applyFill="1" applyBorder="1" applyAlignment="1" applyProtection="1">
      <alignment horizontal="center" vertical="center" wrapText="1"/>
      <protection locked="0"/>
    </xf>
    <xf numFmtId="43" fontId="8" fillId="0" borderId="3" xfId="10" applyFont="1" applyFill="1" applyBorder="1" applyAlignment="1" applyProtection="1">
      <alignment vertical="center" wrapText="1"/>
      <protection locked="0"/>
    </xf>
    <xf numFmtId="167" fontId="6" fillId="0" borderId="2" xfId="20" applyNumberFormat="1" applyFont="1" applyBorder="1" applyAlignment="1">
      <alignment horizontal="center" vertical="center" wrapText="1"/>
    </xf>
    <xf numFmtId="0" fontId="6" fillId="6" borderId="2" xfId="20" applyFont="1" applyFill="1" applyBorder="1" applyAlignment="1">
      <alignment vertical="center" wrapText="1"/>
    </xf>
    <xf numFmtId="43" fontId="6" fillId="0" borderId="2" xfId="38" applyNumberFormat="1" applyFont="1" applyFill="1" applyBorder="1" applyAlignment="1">
      <alignment horizontal="center" vertical="center" wrapText="1"/>
    </xf>
    <xf numFmtId="9" fontId="8" fillId="0" borderId="3" xfId="38" applyFont="1" applyFill="1" applyBorder="1" applyAlignment="1" applyProtection="1">
      <alignment vertical="center" wrapText="1"/>
      <protection locked="0"/>
    </xf>
    <xf numFmtId="0" fontId="6" fillId="0" borderId="2" xfId="20" applyFont="1" applyBorder="1" applyAlignment="1">
      <alignment vertical="top" wrapText="1"/>
    </xf>
    <xf numFmtId="0" fontId="3" fillId="0" borderId="2" xfId="20" applyFont="1" applyBorder="1" applyAlignment="1">
      <alignment vertical="center" wrapText="1"/>
    </xf>
    <xf numFmtId="0" fontId="8" fillId="4" borderId="3" xfId="20" applyNumberFormat="1" applyFont="1" applyFill="1" applyBorder="1" applyAlignment="1" applyProtection="1">
      <alignment horizontal="center" vertical="center" wrapText="1"/>
      <protection locked="0"/>
    </xf>
    <xf numFmtId="0" fontId="6" fillId="4" borderId="4" xfId="20" applyNumberFormat="1" applyFont="1" applyFill="1" applyBorder="1" applyAlignment="1" applyProtection="1">
      <alignment horizontal="center" vertical="center" wrapText="1"/>
      <protection locked="0"/>
    </xf>
    <xf numFmtId="0" fontId="8" fillId="4" borderId="4" xfId="20" applyFont="1" applyFill="1" applyBorder="1" applyAlignment="1" applyProtection="1">
      <alignment horizontal="center" vertical="center" wrapText="1"/>
      <protection locked="0"/>
    </xf>
    <xf numFmtId="0" fontId="8" fillId="4" borderId="4" xfId="20" applyNumberFormat="1" applyFont="1" applyFill="1" applyBorder="1" applyAlignment="1" applyProtection="1">
      <alignment horizontal="center" vertical="center" wrapText="1"/>
      <protection locked="0"/>
    </xf>
    <xf numFmtId="0" fontId="8" fillId="4" borderId="2" xfId="20" applyNumberFormat="1" applyFont="1" applyFill="1" applyBorder="1" applyAlignment="1" applyProtection="1">
      <alignment horizontal="center" vertical="center" wrapText="1"/>
      <protection locked="0"/>
    </xf>
    <xf numFmtId="167" fontId="6" fillId="4" borderId="2" xfId="20" applyNumberFormat="1" applyFont="1" applyFill="1" applyBorder="1" applyAlignment="1">
      <alignment horizontal="center" vertical="center" wrapText="1"/>
    </xf>
    <xf numFmtId="0" fontId="6" fillId="4" borderId="2" xfId="20" applyFont="1" applyFill="1" applyBorder="1" applyAlignment="1">
      <alignment vertical="center" wrapText="1"/>
    </xf>
    <xf numFmtId="9" fontId="8" fillId="0" borderId="3" xfId="38" applyNumberFormat="1" applyFont="1" applyFill="1" applyBorder="1" applyAlignment="1" applyProtection="1">
      <alignment horizontal="center" vertical="center" wrapText="1"/>
      <protection locked="0"/>
    </xf>
    <xf numFmtId="0" fontId="2" fillId="0" borderId="2" xfId="20" applyNumberFormat="1" applyFont="1" applyFill="1" applyBorder="1" applyAlignment="1" applyProtection="1">
      <alignment horizontal="center" vertical="center" wrapText="1"/>
      <protection locked="0"/>
    </xf>
    <xf numFmtId="0" fontId="6" fillId="0" borderId="2" xfId="20" applyNumberFormat="1" applyFont="1" applyBorder="1" applyAlignment="1">
      <alignment horizontal="center" vertical="center" wrapText="1"/>
    </xf>
    <xf numFmtId="2" fontId="6" fillId="0" borderId="2" xfId="20" applyNumberFormat="1" applyFont="1" applyBorder="1" applyAlignment="1">
      <alignment horizontal="center" vertical="center" wrapText="1"/>
    </xf>
    <xf numFmtId="0" fontId="8" fillId="0" borderId="2" xfId="20" applyNumberFormat="1" applyFont="1" applyFill="1" applyBorder="1" applyAlignment="1" applyProtection="1">
      <alignment horizontal="left" vertical="center" wrapText="1"/>
      <protection locked="0"/>
    </xf>
    <xf numFmtId="10" fontId="42" fillId="0" borderId="2" xfId="38" applyNumberFormat="1" applyFont="1" applyFill="1" applyBorder="1" applyAlignment="1" applyProtection="1">
      <alignment horizontal="center" vertical="center" wrapText="1"/>
      <protection locked="0"/>
    </xf>
    <xf numFmtId="10" fontId="42" fillId="0" borderId="3" xfId="38" applyNumberFormat="1" applyFont="1" applyFill="1" applyBorder="1" applyAlignment="1" applyProtection="1">
      <alignment horizontal="center" vertical="center" wrapText="1"/>
      <protection locked="0"/>
    </xf>
    <xf numFmtId="43" fontId="6" fillId="0" borderId="2" xfId="10" applyFont="1" applyBorder="1" applyAlignment="1">
      <alignment horizontal="center" vertical="center" wrapText="1"/>
    </xf>
    <xf numFmtId="43" fontId="6" fillId="10" borderId="2" xfId="10" applyFont="1" applyFill="1" applyBorder="1" applyAlignment="1">
      <alignment horizontal="center" vertical="center" wrapText="1"/>
    </xf>
    <xf numFmtId="43" fontId="6" fillId="10" borderId="2" xfId="10" applyNumberFormat="1" applyFont="1" applyFill="1" applyBorder="1" applyAlignment="1">
      <alignment horizontal="center" vertical="center" wrapText="1"/>
    </xf>
    <xf numFmtId="43" fontId="6" fillId="0" borderId="2" xfId="10" applyNumberFormat="1" applyFont="1" applyBorder="1" applyAlignment="1">
      <alignment horizontal="center" vertical="center" wrapText="1"/>
    </xf>
    <xf numFmtId="43" fontId="6" fillId="6" borderId="2" xfId="10" applyFont="1" applyFill="1" applyBorder="1" applyAlignment="1">
      <alignment horizontal="center" vertical="center" wrapText="1"/>
    </xf>
    <xf numFmtId="0" fontId="8" fillId="0" borderId="2" xfId="20" applyNumberFormat="1" applyFont="1" applyFill="1" applyBorder="1" applyAlignment="1" applyProtection="1">
      <alignment vertical="center" wrapText="1"/>
      <protection locked="0"/>
    </xf>
    <xf numFmtId="0" fontId="8" fillId="6" borderId="2" xfId="20" applyNumberFormat="1" applyFont="1" applyFill="1" applyBorder="1" applyAlignment="1" applyProtection="1">
      <alignment horizontal="center" vertical="center" wrapText="1"/>
      <protection locked="0"/>
    </xf>
    <xf numFmtId="10" fontId="4" fillId="4" borderId="2" xfId="38" applyNumberFormat="1" applyFont="1" applyFill="1" applyBorder="1" applyAlignment="1">
      <alignment horizontal="center" vertical="center" wrapText="1"/>
    </xf>
    <xf numFmtId="178" fontId="4" fillId="4" borderId="2" xfId="38" applyNumberFormat="1" applyFont="1" applyFill="1" applyBorder="1" applyAlignment="1">
      <alignment horizontal="center" vertical="center" wrapText="1"/>
    </xf>
    <xf numFmtId="166" fontId="6" fillId="0" borderId="2" xfId="38" applyNumberFormat="1" applyFont="1" applyFill="1" applyBorder="1" applyAlignment="1">
      <alignment horizontal="center" vertical="center" wrapText="1"/>
    </xf>
    <xf numFmtId="10" fontId="6" fillId="0" borderId="2" xfId="38" applyNumberFormat="1" applyFont="1" applyFill="1" applyBorder="1" applyAlignment="1">
      <alignment horizontal="center" vertical="center" wrapText="1"/>
    </xf>
    <xf numFmtId="168" fontId="6" fillId="0" borderId="2" xfId="10" applyNumberFormat="1" applyFont="1" applyBorder="1" applyAlignment="1">
      <alignment horizontal="center" vertical="center" wrapText="1"/>
    </xf>
    <xf numFmtId="0" fontId="8" fillId="0" borderId="2" xfId="20" applyFont="1" applyBorder="1" applyAlignment="1" applyProtection="1">
      <alignment horizontal="center" vertical="center" wrapText="1"/>
      <protection locked="0"/>
    </xf>
    <xf numFmtId="0" fontId="8" fillId="0" borderId="2" xfId="20" applyNumberFormat="1" applyFont="1" applyFill="1" applyBorder="1" applyAlignment="1" applyProtection="1">
      <alignment horizontal="center" vertical="top" wrapText="1"/>
      <protection locked="0"/>
    </xf>
    <xf numFmtId="0" fontId="8" fillId="6" borderId="2" xfId="20" applyNumberFormat="1" applyFont="1" applyFill="1" applyBorder="1" applyAlignment="1" applyProtection="1">
      <alignment vertical="center" wrapText="1"/>
      <protection locked="0"/>
    </xf>
    <xf numFmtId="9" fontId="6" fillId="0" borderId="2" xfId="38" applyFont="1" applyBorder="1" applyAlignment="1">
      <alignment horizontal="center" vertical="center" wrapText="1"/>
    </xf>
    <xf numFmtId="0" fontId="8" fillId="0" borderId="0" xfId="20" applyFont="1" applyFill="1" applyBorder="1" applyAlignment="1" applyProtection="1">
      <alignment vertical="center" wrapText="1"/>
      <protection locked="0"/>
    </xf>
    <xf numFmtId="0" fontId="13" fillId="0" borderId="4" xfId="0" applyFont="1" applyBorder="1" applyAlignment="1" applyProtection="1">
      <alignment vertical="top" wrapText="1"/>
      <protection locked="0"/>
    </xf>
    <xf numFmtId="0" fontId="13" fillId="0" borderId="15" xfId="0" applyFont="1" applyBorder="1" applyAlignment="1" applyProtection="1">
      <alignment wrapText="1"/>
      <protection locked="0"/>
    </xf>
    <xf numFmtId="0" fontId="14" fillId="0" borderId="17" xfId="0" applyFont="1" applyBorder="1" applyAlignment="1" applyProtection="1">
      <alignment vertical="top" wrapText="1"/>
      <protection locked="0"/>
    </xf>
    <xf numFmtId="0" fontId="14" fillId="0" borderId="8" xfId="0" applyFont="1" applyBorder="1" applyAlignment="1" applyProtection="1">
      <alignment vertical="top" wrapText="1"/>
      <protection locked="0"/>
    </xf>
    <xf numFmtId="0" fontId="6" fillId="0" borderId="0" xfId="0" applyFont="1" applyAlignment="1" applyProtection="1">
      <alignment vertical="top" wrapText="1"/>
      <protection locked="0"/>
    </xf>
    <xf numFmtId="0" fontId="14" fillId="0" borderId="15" xfId="0" applyFont="1" applyBorder="1" applyAlignment="1" applyProtection="1">
      <alignment vertical="center" wrapText="1"/>
      <protection locked="0"/>
    </xf>
    <xf numFmtId="0" fontId="14" fillId="0" borderId="18" xfId="0" applyFont="1" applyBorder="1" applyAlignment="1" applyProtection="1">
      <alignment vertical="top" wrapText="1"/>
      <protection locked="0"/>
    </xf>
    <xf numFmtId="0" fontId="14" fillId="0" borderId="19" xfId="0" applyFont="1" applyBorder="1" applyAlignment="1" applyProtection="1">
      <alignment vertical="top" wrapText="1"/>
      <protection locked="0"/>
    </xf>
    <xf numFmtId="0" fontId="6" fillId="0" borderId="15" xfId="0" applyFont="1" applyBorder="1" applyAlignment="1" applyProtection="1">
      <alignment vertical="center" wrapText="1"/>
      <protection locked="0"/>
    </xf>
    <xf numFmtId="0" fontId="4" fillId="0" borderId="0" xfId="0" applyFont="1" applyAlignment="1" applyProtection="1">
      <alignment horizontal="center" vertical="center" textRotation="90" wrapText="1"/>
      <protection locked="0"/>
    </xf>
    <xf numFmtId="0" fontId="5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 fillId="0" borderId="2" xfId="0" applyFont="1" applyBorder="1" applyAlignment="1" applyProtection="1">
      <alignment vertical="center" wrapText="1"/>
      <protection locked="0"/>
    </xf>
    <xf numFmtId="0" fontId="6" fillId="0" borderId="4" xfId="0" applyFont="1" applyBorder="1" applyAlignment="1" applyProtection="1">
      <alignment vertical="center" wrapText="1"/>
      <protection locked="0"/>
    </xf>
    <xf numFmtId="0" fontId="6" fillId="0" borderId="7" xfId="0" applyFont="1" applyBorder="1" applyAlignment="1" applyProtection="1">
      <alignment vertical="center" wrapText="1"/>
      <protection locked="0"/>
    </xf>
    <xf numFmtId="0" fontId="2" fillId="0" borderId="7" xfId="0" applyFont="1" applyBorder="1" applyAlignment="1" applyProtection="1">
      <alignment vertical="center" wrapText="1"/>
      <protection locked="0"/>
    </xf>
    <xf numFmtId="0" fontId="13" fillId="0" borderId="2" xfId="0" applyFont="1" applyFill="1" applyBorder="1" applyAlignment="1" applyProtection="1">
      <alignment horizontal="center" vertical="center" wrapText="1"/>
      <protection locked="0"/>
    </xf>
    <xf numFmtId="0" fontId="6" fillId="17" borderId="2" xfId="0" applyFont="1" applyFill="1" applyBorder="1" applyAlignment="1" applyProtection="1">
      <alignment vertical="center" wrapText="1"/>
      <protection locked="0"/>
    </xf>
    <xf numFmtId="0" fontId="16" fillId="17" borderId="2" xfId="0" applyFont="1" applyFill="1" applyBorder="1" applyAlignment="1" applyProtection="1">
      <alignment horizontal="center" vertical="center" wrapText="1"/>
      <protection locked="0"/>
    </xf>
    <xf numFmtId="0" fontId="16" fillId="17" borderId="7" xfId="0" applyFont="1" applyFill="1" applyBorder="1" applyAlignment="1">
      <alignment horizontal="center" vertical="center" wrapText="1"/>
    </xf>
    <xf numFmtId="0" fontId="16" fillId="17" borderId="2" xfId="0" applyFont="1" applyFill="1" applyBorder="1" applyAlignment="1">
      <alignment horizontal="center" vertical="center" wrapText="1"/>
    </xf>
    <xf numFmtId="0" fontId="3" fillId="17" borderId="2" xfId="0" applyFont="1" applyFill="1" applyBorder="1" applyAlignment="1">
      <alignment horizontal="center" vertical="center" wrapText="1"/>
    </xf>
    <xf numFmtId="0" fontId="23" fillId="17" borderId="2" xfId="0" applyFont="1" applyFill="1" applyBorder="1" applyAlignment="1">
      <alignment horizontal="center" vertical="center" wrapText="1"/>
    </xf>
    <xf numFmtId="0" fontId="60" fillId="17" borderId="2" xfId="0" applyFont="1" applyFill="1" applyBorder="1" applyAlignment="1">
      <alignment horizontal="center" vertical="center" wrapText="1"/>
    </xf>
    <xf numFmtId="0" fontId="17" fillId="17" borderId="2" xfId="0" applyFont="1" applyFill="1" applyBorder="1" applyAlignment="1">
      <alignment horizontal="center" vertical="center" wrapText="1"/>
    </xf>
    <xf numFmtId="0" fontId="13" fillId="17" borderId="2" xfId="0" applyFont="1" applyFill="1" applyBorder="1" applyAlignment="1">
      <alignment horizontal="center" vertical="center" wrapText="1"/>
    </xf>
    <xf numFmtId="0" fontId="8" fillId="0" borderId="3" xfId="0" applyNumberFormat="1" applyFont="1" applyFill="1" applyBorder="1" applyAlignment="1" applyProtection="1">
      <alignment horizontal="justify" vertical="center" wrapText="1"/>
      <protection locked="0"/>
    </xf>
    <xf numFmtId="0" fontId="6" fillId="0" borderId="15" xfId="0" applyNumberFormat="1" applyFont="1" applyFill="1" applyBorder="1" applyAlignment="1" applyProtection="1">
      <alignment horizontal="justify" vertical="center" wrapText="1"/>
      <protection locked="0"/>
    </xf>
    <xf numFmtId="0" fontId="8" fillId="0" borderId="7" xfId="0" applyFont="1" applyFill="1" applyBorder="1" applyAlignment="1" applyProtection="1">
      <alignment horizontal="justify" vertical="center" wrapText="1"/>
      <protection locked="0"/>
    </xf>
    <xf numFmtId="0" fontId="8" fillId="0" borderId="2" xfId="0" applyNumberFormat="1" applyFont="1" applyFill="1" applyBorder="1" applyAlignment="1" applyProtection="1">
      <alignment horizontal="justify" vertical="center" wrapText="1"/>
      <protection locked="0"/>
    </xf>
    <xf numFmtId="0" fontId="4" fillId="0" borderId="2" xfId="0" applyNumberFormat="1" applyFont="1" applyFill="1" applyBorder="1" applyAlignment="1" applyProtection="1">
      <alignment horizontal="center" vertical="center" textRotation="90" wrapText="1"/>
      <protection locked="0"/>
    </xf>
    <xf numFmtId="0" fontId="58" fillId="0" borderId="2" xfId="0" applyFont="1" applyFill="1" applyBorder="1" applyAlignment="1" applyProtection="1">
      <alignment horizontal="justify" vertical="center" wrapText="1"/>
      <protection locked="0"/>
    </xf>
    <xf numFmtId="0" fontId="42" fillId="0" borderId="2" xfId="0" applyNumberFormat="1" applyFont="1" applyFill="1" applyBorder="1" applyAlignment="1" applyProtection="1">
      <alignment horizontal="justify" vertical="center" wrapText="1"/>
      <protection locked="0"/>
    </xf>
    <xf numFmtId="9" fontId="8" fillId="0" borderId="2" xfId="43" applyNumberFormat="1" applyFont="1" applyFill="1" applyBorder="1" applyAlignment="1" applyProtection="1">
      <alignment horizontal="center" vertical="center" wrapText="1"/>
      <protection locked="0"/>
    </xf>
    <xf numFmtId="9" fontId="8" fillId="0" borderId="2" xfId="43" applyNumberFormat="1" applyFont="1" applyFill="1" applyBorder="1" applyAlignment="1" applyProtection="1">
      <alignment vertical="center" wrapText="1"/>
      <protection locked="0"/>
    </xf>
    <xf numFmtId="167" fontId="6" fillId="0" borderId="7" xfId="0" applyNumberFormat="1" applyFont="1" applyFill="1" applyBorder="1" applyAlignment="1">
      <alignment horizontal="center" vertical="center" wrapText="1"/>
    </xf>
    <xf numFmtId="9" fontId="4" fillId="0" borderId="2" xfId="43" applyFont="1" applyFill="1" applyBorder="1" applyAlignment="1">
      <alignment horizontal="center" vertical="center" wrapText="1"/>
    </xf>
    <xf numFmtId="9" fontId="6" fillId="0" borderId="2" xfId="43" applyFont="1" applyFill="1" applyBorder="1" applyAlignment="1">
      <alignment horizontal="center" vertical="center" wrapText="1"/>
    </xf>
    <xf numFmtId="167" fontId="61" fillId="0" borderId="2" xfId="0" applyNumberFormat="1" applyFont="1" applyFill="1" applyBorder="1" applyAlignment="1">
      <alignment horizontal="center" vertical="center" wrapText="1"/>
    </xf>
    <xf numFmtId="9" fontId="61" fillId="0" borderId="2" xfId="43" applyFont="1" applyFill="1" applyBorder="1" applyAlignment="1">
      <alignment horizontal="center" vertical="center" wrapText="1"/>
    </xf>
    <xf numFmtId="0" fontId="61" fillId="0" borderId="2" xfId="0" applyFont="1" applyFill="1" applyBorder="1" applyAlignment="1">
      <alignment vertical="center" wrapText="1"/>
    </xf>
    <xf numFmtId="0" fontId="2" fillId="0" borderId="2" xfId="0" applyNumberFormat="1" applyFont="1" applyFill="1" applyBorder="1" applyAlignment="1" applyProtection="1">
      <alignment horizontal="center" vertical="center" textRotation="90" wrapText="1"/>
      <protection locked="0"/>
    </xf>
    <xf numFmtId="166" fontId="8" fillId="0" borderId="2" xfId="43" applyNumberFormat="1" applyFont="1" applyFill="1" applyBorder="1" applyAlignment="1" applyProtection="1">
      <alignment horizontal="center" vertical="center" wrapText="1"/>
      <protection locked="0"/>
    </xf>
    <xf numFmtId="166" fontId="8" fillId="0" borderId="2" xfId="43" applyNumberFormat="1" applyFont="1" applyFill="1" applyBorder="1" applyAlignment="1" applyProtection="1">
      <alignment vertical="center" wrapText="1"/>
      <protection locked="0"/>
    </xf>
    <xf numFmtId="2" fontId="6" fillId="0" borderId="2" xfId="0" applyNumberFormat="1" applyFont="1" applyFill="1" applyBorder="1" applyAlignment="1">
      <alignment horizontal="justify" vertical="center" wrapText="1"/>
    </xf>
    <xf numFmtId="9" fontId="2" fillId="0" borderId="2" xfId="43" applyFont="1" applyFill="1" applyBorder="1" applyAlignment="1">
      <alignment horizontal="center" vertical="center" wrapText="1"/>
    </xf>
    <xf numFmtId="10" fontId="6" fillId="0" borderId="2" xfId="43" applyNumberFormat="1" applyFont="1" applyFill="1" applyBorder="1" applyAlignment="1">
      <alignment horizontal="center" vertical="center" wrapText="1"/>
    </xf>
    <xf numFmtId="0" fontId="61" fillId="0" borderId="2" xfId="0" applyFont="1" applyFill="1" applyBorder="1" applyAlignment="1">
      <alignment horizontal="justify" vertical="center" wrapText="1"/>
    </xf>
    <xf numFmtId="1" fontId="8" fillId="0" borderId="2" xfId="43" applyNumberFormat="1" applyFont="1" applyFill="1" applyBorder="1" applyAlignment="1" applyProtection="1">
      <alignment horizontal="center" vertical="center" wrapText="1"/>
      <protection locked="0"/>
    </xf>
    <xf numFmtId="180" fontId="6" fillId="0" borderId="2" xfId="0" applyNumberFormat="1" applyFont="1" applyFill="1" applyBorder="1" applyAlignment="1">
      <alignment horizontal="center" vertical="center" wrapText="1"/>
    </xf>
    <xf numFmtId="3" fontId="6" fillId="0" borderId="7" xfId="0" applyNumberFormat="1" applyFont="1" applyFill="1" applyBorder="1" applyAlignment="1">
      <alignment horizontal="center" vertical="center" wrapText="1"/>
    </xf>
    <xf numFmtId="10" fontId="2" fillId="0" borderId="2" xfId="43" applyNumberFormat="1" applyFont="1" applyFill="1" applyBorder="1" applyAlignment="1">
      <alignment horizontal="center" vertical="center" wrapText="1"/>
    </xf>
    <xf numFmtId="3" fontId="61" fillId="0" borderId="2" xfId="0" applyNumberFormat="1" applyFont="1" applyFill="1" applyBorder="1" applyAlignment="1">
      <alignment horizontal="center" vertical="center" wrapText="1"/>
    </xf>
    <xf numFmtId="167" fontId="6" fillId="6" borderId="2" xfId="0" applyNumberFormat="1" applyFont="1" applyFill="1" applyBorder="1" applyAlignment="1">
      <alignment horizontal="center" vertical="center" wrapText="1"/>
    </xf>
    <xf numFmtId="3" fontId="6" fillId="6" borderId="2" xfId="0" applyNumberFormat="1" applyFont="1" applyFill="1" applyBorder="1" applyAlignment="1">
      <alignment horizontal="center" vertical="center" wrapText="1"/>
    </xf>
    <xf numFmtId="9" fontId="2" fillId="6" borderId="2" xfId="43" applyFont="1" applyFill="1" applyBorder="1" applyAlignment="1">
      <alignment horizontal="center" vertical="center" wrapText="1"/>
    </xf>
    <xf numFmtId="9" fontId="6" fillId="6" borderId="2" xfId="43" applyFont="1" applyFill="1" applyBorder="1" applyAlignment="1">
      <alignment horizontal="center" vertical="center" wrapText="1"/>
    </xf>
    <xf numFmtId="0" fontId="2" fillId="18" borderId="0" xfId="0" applyFont="1" applyFill="1" applyAlignment="1" applyProtection="1">
      <alignment vertical="center" wrapText="1"/>
      <protection locked="0"/>
    </xf>
    <xf numFmtId="0" fontId="17" fillId="0" borderId="2" xfId="0" applyFont="1" applyFill="1" applyBorder="1" applyAlignment="1" applyProtection="1">
      <alignment horizontal="center" vertical="center" wrapText="1"/>
      <protection locked="0"/>
    </xf>
    <xf numFmtId="9" fontId="8" fillId="0" borderId="2" xfId="0" applyNumberFormat="1" applyFont="1" applyFill="1" applyBorder="1" applyAlignment="1" applyProtection="1">
      <alignment horizontal="center" vertical="center" wrapText="1"/>
      <protection locked="0"/>
    </xf>
    <xf numFmtId="167" fontId="2" fillId="18" borderId="0" xfId="0" applyNumberFormat="1" applyFont="1" applyFill="1" applyAlignment="1" applyProtection="1">
      <alignment vertical="center" wrapText="1"/>
      <protection locked="0"/>
    </xf>
    <xf numFmtId="0" fontId="17" fillId="0" borderId="3" xfId="0" applyFont="1" applyFill="1" applyBorder="1" applyAlignment="1" applyProtection="1">
      <alignment horizontal="center" vertical="center" wrapText="1"/>
      <protection locked="0"/>
    </xf>
    <xf numFmtId="0" fontId="17" fillId="0" borderId="15" xfId="0" applyFont="1" applyFill="1" applyBorder="1" applyAlignment="1" applyProtection="1">
      <alignment horizontal="center" vertical="center" wrapText="1"/>
      <protection locked="0"/>
    </xf>
    <xf numFmtId="17" fontId="3" fillId="17" borderId="3" xfId="0" applyNumberFormat="1" applyFont="1" applyFill="1" applyBorder="1" applyAlignment="1">
      <alignment vertical="center" wrapText="1"/>
    </xf>
    <xf numFmtId="0" fontId="3" fillId="17" borderId="4" xfId="0" applyFont="1" applyFill="1" applyBorder="1" applyAlignment="1">
      <alignment vertical="center" wrapText="1"/>
    </xf>
    <xf numFmtId="0" fontId="17" fillId="0" borderId="7" xfId="0" applyFont="1" applyFill="1" applyBorder="1" applyAlignment="1" applyProtection="1">
      <alignment horizontal="center" vertical="center" wrapText="1"/>
      <protection locked="0"/>
    </xf>
    <xf numFmtId="0" fontId="8" fillId="0" borderId="7" xfId="0" applyNumberFormat="1" applyFont="1" applyFill="1" applyBorder="1" applyAlignment="1" applyProtection="1">
      <alignment horizontal="center" vertical="center" wrapText="1"/>
      <protection locked="0"/>
    </xf>
    <xf numFmtId="0" fontId="8" fillId="0" borderId="0" xfId="0" applyFont="1" applyFill="1" applyAlignment="1" applyProtection="1">
      <alignment vertical="center" wrapText="1"/>
      <protection locked="0"/>
    </xf>
    <xf numFmtId="0" fontId="8" fillId="0" borderId="15" xfId="0" applyNumberFormat="1" applyFont="1" applyFill="1" applyBorder="1" applyAlignment="1" applyProtection="1">
      <alignment horizontal="justify" vertical="center" wrapText="1"/>
      <protection locked="0"/>
    </xf>
    <xf numFmtId="0" fontId="8" fillId="0" borderId="2" xfId="0" applyNumberFormat="1" applyFont="1" applyFill="1" applyBorder="1" applyAlignment="1" applyProtection="1">
      <alignment horizontal="center" vertical="center" textRotation="90" wrapText="1"/>
      <protection locked="0"/>
    </xf>
    <xf numFmtId="9" fontId="8" fillId="0" borderId="2" xfId="43" applyFont="1" applyFill="1" applyBorder="1" applyAlignment="1">
      <alignment horizontal="center" vertical="center" wrapText="1"/>
    </xf>
    <xf numFmtId="9" fontId="61" fillId="0" borderId="2" xfId="39" applyFont="1" applyFill="1" applyBorder="1" applyAlignment="1">
      <alignment horizontal="center" vertical="center" wrapText="1"/>
    </xf>
    <xf numFmtId="9" fontId="4" fillId="0" borderId="2" xfId="39" applyFont="1" applyFill="1" applyBorder="1" applyAlignment="1">
      <alignment horizontal="center" vertical="center" wrapText="1"/>
    </xf>
    <xf numFmtId="9" fontId="6" fillId="0" borderId="2" xfId="39" applyFont="1" applyFill="1" applyBorder="1" applyAlignment="1">
      <alignment horizontal="center" vertical="center" wrapText="1"/>
    </xf>
    <xf numFmtId="167" fontId="8" fillId="0" borderId="0" xfId="0" applyNumberFormat="1" applyFont="1" applyFill="1" applyAlignment="1" applyProtection="1">
      <alignment vertical="center" wrapText="1"/>
      <protection locked="0"/>
    </xf>
    <xf numFmtId="0" fontId="8" fillId="0" borderId="7" xfId="0" applyNumberFormat="1" applyFont="1" applyFill="1" applyBorder="1" applyAlignment="1" applyProtection="1">
      <alignment horizontal="justify" vertical="center" wrapText="1"/>
      <protection locked="0"/>
    </xf>
    <xf numFmtId="0" fontId="58" fillId="0" borderId="2" xfId="0" applyNumberFormat="1" applyFont="1" applyFill="1" applyBorder="1" applyAlignment="1" applyProtection="1">
      <alignment horizontal="justify" vertical="center" wrapText="1"/>
      <protection locked="0"/>
    </xf>
    <xf numFmtId="0" fontId="8" fillId="0" borderId="2" xfId="43" applyNumberFormat="1" applyFont="1" applyFill="1" applyBorder="1" applyAlignment="1" applyProtection="1">
      <alignment horizontal="center" vertical="center" wrapText="1"/>
      <protection locked="0"/>
    </xf>
    <xf numFmtId="0" fontId="8" fillId="0" borderId="2" xfId="0" applyFont="1" applyFill="1" applyBorder="1" applyAlignment="1">
      <alignment horizontal="left" vertical="center" wrapText="1"/>
    </xf>
    <xf numFmtId="9" fontId="6" fillId="0" borderId="2" xfId="39" applyFont="1" applyBorder="1" applyAlignment="1">
      <alignment horizontal="center" vertical="center" wrapText="1"/>
    </xf>
    <xf numFmtId="9" fontId="4" fillId="4" borderId="2" xfId="39" applyFont="1" applyFill="1" applyBorder="1" applyAlignment="1">
      <alignment horizontal="center" vertical="center" wrapText="1"/>
    </xf>
    <xf numFmtId="9" fontId="6" fillId="0" borderId="3" xfId="39" applyFont="1" applyFill="1" applyBorder="1" applyAlignment="1">
      <alignment horizontal="center" vertical="center" wrapText="1"/>
    </xf>
    <xf numFmtId="9" fontId="6" fillId="4" borderId="2" xfId="39" applyFont="1" applyFill="1" applyBorder="1" applyAlignment="1">
      <alignment horizontal="center" vertical="center" wrapText="1"/>
    </xf>
    <xf numFmtId="2" fontId="6" fillId="0" borderId="2" xfId="0" applyNumberFormat="1" applyFont="1" applyBorder="1" applyAlignment="1">
      <alignment horizontal="center" vertical="center" wrapText="1"/>
    </xf>
    <xf numFmtId="9" fontId="8" fillId="0" borderId="2" xfId="39" applyFont="1" applyFill="1" applyBorder="1" applyAlignment="1">
      <alignment horizontal="center" vertical="center" wrapText="1"/>
    </xf>
    <xf numFmtId="0" fontId="39" fillId="0" borderId="2" xfId="0" applyFont="1" applyFill="1" applyBorder="1" applyAlignment="1">
      <alignment horizontal="justify" vertical="center" wrapText="1"/>
    </xf>
    <xf numFmtId="9" fontId="8" fillId="0" borderId="3" xfId="39" applyFont="1" applyFill="1" applyBorder="1" applyAlignment="1">
      <alignment horizontal="center" vertical="center" wrapText="1"/>
    </xf>
    <xf numFmtId="0" fontId="17" fillId="12" borderId="2" xfId="0" applyFont="1" applyFill="1" applyBorder="1" applyAlignment="1">
      <alignment horizontal="center" vertical="center"/>
    </xf>
    <xf numFmtId="167" fontId="32" fillId="0" borderId="2" xfId="0" applyNumberFormat="1" applyFont="1" applyBorder="1" applyAlignment="1">
      <alignment horizontal="center" vertical="center" wrapText="1"/>
    </xf>
    <xf numFmtId="9" fontId="17" fillId="4" borderId="2" xfId="39" applyFont="1" applyFill="1" applyBorder="1" applyAlignment="1">
      <alignment horizontal="center" vertical="center" wrapText="1"/>
    </xf>
    <xf numFmtId="9" fontId="32" fillId="12" borderId="2" xfId="0" applyNumberFormat="1" applyFont="1" applyFill="1" applyBorder="1" applyAlignment="1">
      <alignment horizontal="center" vertical="center"/>
    </xf>
    <xf numFmtId="9" fontId="54" fillId="4" borderId="2" xfId="39" applyFont="1" applyFill="1" applyBorder="1" applyAlignment="1">
      <alignment horizontal="center" vertical="center" wrapText="1"/>
    </xf>
    <xf numFmtId="176" fontId="8" fillId="0" borderId="7" xfId="0" applyNumberFormat="1"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176" fontId="6" fillId="0" borderId="2" xfId="0" applyNumberFormat="1" applyFont="1" applyFill="1" applyBorder="1" applyAlignment="1">
      <alignment horizontal="center" vertical="center" wrapText="1"/>
    </xf>
    <xf numFmtId="10" fontId="8" fillId="0" borderId="2" xfId="43" applyNumberFormat="1" applyFont="1" applyFill="1" applyBorder="1" applyAlignment="1">
      <alignment horizontal="center" vertical="center" wrapText="1"/>
    </xf>
    <xf numFmtId="9" fontId="4" fillId="0" borderId="2" xfId="43" applyNumberFormat="1" applyFont="1" applyFill="1" applyBorder="1" applyAlignment="1">
      <alignment horizontal="center" vertical="center" wrapText="1"/>
    </xf>
    <xf numFmtId="9" fontId="8" fillId="0" borderId="2" xfId="43" applyNumberFormat="1" applyFont="1" applyFill="1" applyBorder="1" applyAlignment="1">
      <alignment horizontal="center" vertical="center" wrapText="1"/>
    </xf>
    <xf numFmtId="168" fontId="8" fillId="0" borderId="2" xfId="7" applyNumberFormat="1" applyFont="1" applyFill="1" applyBorder="1" applyAlignment="1" applyProtection="1">
      <alignment horizontal="center" vertical="center" wrapText="1"/>
      <protection locked="0"/>
    </xf>
    <xf numFmtId="43" fontId="8" fillId="0" borderId="2" xfId="7" applyFont="1" applyFill="1" applyBorder="1" applyAlignment="1" applyProtection="1">
      <alignment horizontal="center" vertical="center" wrapText="1"/>
      <protection locked="0"/>
    </xf>
    <xf numFmtId="9" fontId="8" fillId="0" borderId="2" xfId="7" applyNumberFormat="1" applyFont="1" applyFill="1" applyBorder="1" applyAlignment="1" applyProtection="1">
      <alignment horizontal="center" vertical="center" wrapText="1"/>
      <protection locked="0"/>
    </xf>
    <xf numFmtId="168" fontId="111" fillId="0" borderId="16" xfId="0" applyNumberFormat="1" applyFont="1" applyBorder="1" applyAlignment="1">
      <alignment horizontal="justify" vertical="center" wrapText="1"/>
    </xf>
    <xf numFmtId="9" fontId="61" fillId="0" borderId="2" xfId="43" applyNumberFormat="1" applyFont="1" applyFill="1" applyBorder="1" applyAlignment="1" applyProtection="1">
      <alignment horizontal="center" vertical="center" wrapText="1"/>
      <protection locked="0"/>
    </xf>
    <xf numFmtId="0" fontId="61" fillId="0" borderId="2" xfId="0" applyNumberFormat="1" applyFont="1" applyFill="1" applyBorder="1" applyAlignment="1" applyProtection="1">
      <alignment horizontal="left" vertical="center" wrapText="1"/>
      <protection locked="0"/>
    </xf>
    <xf numFmtId="167" fontId="61" fillId="0" borderId="7" xfId="0" applyNumberFormat="1" applyFont="1" applyFill="1" applyBorder="1" applyAlignment="1">
      <alignment horizontal="center" vertical="center" wrapText="1"/>
    </xf>
    <xf numFmtId="0" fontId="4" fillId="0" borderId="0" xfId="0" applyFont="1" applyFill="1" applyBorder="1" applyAlignment="1" applyProtection="1">
      <alignment horizontal="center" vertical="center" textRotation="90" wrapText="1"/>
      <protection locked="0"/>
    </xf>
    <xf numFmtId="0" fontId="58"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9" fontId="8" fillId="0" borderId="0" xfId="43" applyFont="1" applyFill="1" applyBorder="1" applyAlignment="1" applyProtection="1">
      <alignment vertical="center" wrapText="1"/>
      <protection locked="0"/>
    </xf>
    <xf numFmtId="0" fontId="6" fillId="0" borderId="0" xfId="0" applyFont="1" applyBorder="1" applyAlignment="1" applyProtection="1">
      <alignment vertical="center" wrapText="1"/>
      <protection locked="0"/>
    </xf>
    <xf numFmtId="9" fontId="2" fillId="0" borderId="0" xfId="0" applyNumberFormat="1" applyFont="1" applyAlignment="1" applyProtection="1">
      <alignment vertical="center" wrapText="1"/>
      <protection locked="0"/>
    </xf>
    <xf numFmtId="0" fontId="4" fillId="0" borderId="0" xfId="0" applyFont="1" applyBorder="1" applyAlignment="1" applyProtection="1">
      <alignment horizontal="center" vertical="center" textRotation="90" wrapText="1"/>
      <protection locked="0"/>
    </xf>
    <xf numFmtId="0" fontId="58" fillId="0" borderId="0" xfId="0" applyFont="1" applyBorder="1" applyAlignment="1" applyProtection="1">
      <alignment vertical="center" wrapText="1"/>
      <protection locked="0"/>
    </xf>
    <xf numFmtId="0" fontId="2" fillId="0" borderId="15" xfId="0" applyFont="1" applyBorder="1" applyAlignment="1" applyProtection="1">
      <alignment vertical="center" wrapText="1"/>
      <protection locked="0"/>
    </xf>
    <xf numFmtId="0" fontId="3" fillId="0" borderId="3" xfId="0" applyFont="1" applyBorder="1" applyAlignment="1" applyProtection="1">
      <alignment vertical="top" wrapText="1"/>
      <protection locked="0"/>
    </xf>
    <xf numFmtId="0" fontId="6" fillId="0" borderId="3"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5" borderId="2" xfId="0" applyFont="1" applyFill="1" applyBorder="1" applyAlignment="1" applyProtection="1">
      <alignment horizontal="center" vertical="center" textRotation="255" wrapText="1"/>
      <protection locked="0"/>
    </xf>
    <xf numFmtId="0" fontId="3" fillId="0" borderId="7" xfId="0" applyFont="1" applyBorder="1" applyAlignment="1">
      <alignment horizontal="center" vertical="center" wrapText="1"/>
    </xf>
    <xf numFmtId="0" fontId="6" fillId="0" borderId="2" xfId="0" applyNumberFormat="1" applyFont="1" applyFill="1" applyBorder="1" applyAlignment="1" applyProtection="1">
      <alignment horizontal="justify" vertical="center" wrapText="1"/>
      <protection locked="0"/>
    </xf>
    <xf numFmtId="0" fontId="6" fillId="0" borderId="2" xfId="0" applyFont="1" applyFill="1" applyBorder="1" applyAlignment="1" applyProtection="1">
      <alignment horizontal="justify" vertical="center" wrapText="1"/>
      <protection locked="0"/>
    </xf>
    <xf numFmtId="9" fontId="6" fillId="0" borderId="2" xfId="38" applyFont="1" applyFill="1" applyBorder="1" applyAlignment="1" applyProtection="1">
      <alignment vertical="center" wrapText="1"/>
      <protection locked="0"/>
    </xf>
    <xf numFmtId="9" fontId="3" fillId="4" borderId="2" xfId="38" applyFont="1" applyFill="1" applyBorder="1" applyAlignment="1">
      <alignment horizontal="center" vertical="center" wrapText="1"/>
    </xf>
    <xf numFmtId="0" fontId="6" fillId="0" borderId="2" xfId="0" applyFont="1" applyBorder="1" applyAlignment="1">
      <alignment horizontal="justify" vertical="center" wrapText="1"/>
    </xf>
    <xf numFmtId="1" fontId="6" fillId="0" borderId="2" xfId="0" applyNumberFormat="1" applyFont="1" applyBorder="1" applyAlignment="1">
      <alignment horizontal="center" vertical="center" wrapText="1"/>
    </xf>
    <xf numFmtId="0" fontId="6" fillId="10" borderId="2" xfId="0" applyFont="1" applyFill="1" applyBorder="1" applyAlignment="1">
      <alignment horizontal="justify" vertical="center" wrapText="1"/>
    </xf>
    <xf numFmtId="0" fontId="6" fillId="19" borderId="2" xfId="0" applyFont="1" applyFill="1" applyBorder="1" applyAlignment="1">
      <alignment horizontal="justify" vertical="center" wrapText="1"/>
    </xf>
    <xf numFmtId="9" fontId="3" fillId="0" borderId="2" xfId="38" applyNumberFormat="1" applyFont="1" applyFill="1" applyBorder="1" applyAlignment="1">
      <alignment horizontal="center" vertical="center" wrapText="1"/>
    </xf>
    <xf numFmtId="9" fontId="6" fillId="0" borderId="2" xfId="38" applyNumberFormat="1" applyFont="1" applyFill="1" applyBorder="1" applyAlignment="1">
      <alignment horizontal="center" vertical="center" wrapText="1"/>
    </xf>
    <xf numFmtId="167" fontId="6" fillId="10" borderId="2" xfId="0" applyNumberFormat="1" applyFont="1" applyFill="1" applyBorder="1" applyAlignment="1">
      <alignment horizontal="center" vertical="center" wrapText="1"/>
    </xf>
    <xf numFmtId="166" fontId="6" fillId="4" borderId="2" xfId="38" applyNumberFormat="1" applyFont="1" applyFill="1" applyBorder="1" applyAlignment="1">
      <alignment horizontal="center" vertical="center" wrapText="1"/>
    </xf>
    <xf numFmtId="1" fontId="6" fillId="0" borderId="7" xfId="0" applyNumberFormat="1" applyFont="1" applyBorder="1" applyAlignment="1">
      <alignment horizontal="center" vertical="center" wrapText="1"/>
    </xf>
    <xf numFmtId="0" fontId="6" fillId="4" borderId="2" xfId="0" applyNumberFormat="1" applyFont="1" applyFill="1" applyBorder="1" applyAlignment="1" applyProtection="1">
      <alignment horizontal="center" vertical="center" wrapText="1"/>
      <protection locked="0"/>
    </xf>
    <xf numFmtId="0" fontId="6" fillId="4" borderId="2" xfId="0" applyFont="1" applyFill="1" applyBorder="1" applyAlignment="1" applyProtection="1">
      <alignment horizontal="center" vertical="center" wrapText="1"/>
      <protection locked="0"/>
    </xf>
    <xf numFmtId="0" fontId="6" fillId="4" borderId="2" xfId="38" applyNumberFormat="1" applyFont="1" applyFill="1" applyBorder="1" applyAlignment="1" applyProtection="1">
      <alignment horizontal="center" vertical="center" wrapText="1"/>
      <protection locked="0"/>
    </xf>
    <xf numFmtId="9" fontId="6" fillId="4" borderId="2" xfId="38" applyNumberFormat="1" applyFont="1" applyFill="1" applyBorder="1" applyAlignment="1" applyProtection="1">
      <alignment horizontal="center" vertical="center" wrapText="1"/>
      <protection locked="0"/>
    </xf>
    <xf numFmtId="9" fontId="6" fillId="4" borderId="2" xfId="38" applyFont="1" applyFill="1" applyBorder="1" applyAlignment="1" applyProtection="1">
      <alignment vertical="center" wrapText="1"/>
      <protection locked="0"/>
    </xf>
    <xf numFmtId="167" fontId="6" fillId="4" borderId="2" xfId="0" applyNumberFormat="1" applyFont="1" applyFill="1" applyBorder="1" applyAlignment="1">
      <alignment horizontal="center" vertical="center" wrapText="1"/>
    </xf>
    <xf numFmtId="0" fontId="6" fillId="4" borderId="2" xfId="0" applyFont="1" applyFill="1" applyBorder="1" applyAlignment="1">
      <alignment vertical="center" wrapText="1"/>
    </xf>
    <xf numFmtId="0" fontId="6" fillId="4" borderId="7" xfId="0" applyNumberFormat="1" applyFont="1" applyFill="1" applyBorder="1" applyAlignment="1" applyProtection="1">
      <alignment horizontal="center" vertical="center" wrapText="1"/>
      <protection locked="0"/>
    </xf>
    <xf numFmtId="1" fontId="6" fillId="6" borderId="20" xfId="0" applyNumberFormat="1" applyFont="1" applyFill="1" applyBorder="1" applyAlignment="1">
      <alignment horizontal="center" vertical="center" wrapText="1"/>
    </xf>
    <xf numFmtId="0" fontId="6" fillId="0" borderId="2" xfId="46" applyNumberFormat="1" applyFont="1" applyFill="1" applyBorder="1" applyAlignment="1" applyProtection="1">
      <alignment horizontal="center" vertical="center" wrapText="1"/>
      <protection locked="0"/>
    </xf>
    <xf numFmtId="9" fontId="6" fillId="0" borderId="2" xfId="46" applyNumberFormat="1" applyFont="1" applyFill="1" applyBorder="1" applyAlignment="1" applyProtection="1">
      <alignment horizontal="center" vertical="center" wrapText="1"/>
      <protection locked="0"/>
    </xf>
    <xf numFmtId="9" fontId="3" fillId="0" borderId="2" xfId="46" applyNumberFormat="1" applyFont="1" applyFill="1" applyBorder="1" applyAlignment="1" applyProtection="1">
      <alignment horizontal="center" vertical="center" wrapText="1"/>
      <protection locked="0"/>
    </xf>
    <xf numFmtId="0" fontId="3" fillId="0" borderId="2" xfId="46" applyNumberFormat="1" applyFont="1" applyFill="1" applyBorder="1" applyAlignment="1" applyProtection="1">
      <alignment horizontal="center" vertical="center" wrapText="1"/>
      <protection locked="0"/>
    </xf>
    <xf numFmtId="9" fontId="6" fillId="12"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9" fontId="6" fillId="0" borderId="2" xfId="0" applyNumberFormat="1" applyFont="1" applyFill="1" applyBorder="1" applyAlignment="1">
      <alignment horizontal="center" vertical="center"/>
    </xf>
    <xf numFmtId="184" fontId="6" fillId="0" borderId="2" xfId="18" applyNumberFormat="1" applyFont="1" applyBorder="1" applyAlignment="1">
      <alignment horizontal="center" vertical="center" wrapText="1"/>
    </xf>
    <xf numFmtId="0" fontId="6" fillId="0" borderId="2" xfId="0" applyNumberFormat="1" applyFont="1" applyFill="1" applyBorder="1" applyAlignment="1" applyProtection="1">
      <alignment vertical="center" wrapText="1"/>
      <protection locked="0"/>
    </xf>
    <xf numFmtId="0" fontId="6" fillId="6" borderId="2" xfId="0" applyNumberFormat="1" applyFont="1" applyFill="1" applyBorder="1" applyAlignment="1" applyProtection="1">
      <alignment horizontal="center" vertical="center" wrapText="1"/>
      <protection locked="0"/>
    </xf>
    <xf numFmtId="0" fontId="6" fillId="6" borderId="2" xfId="0" applyNumberFormat="1" applyFont="1" applyFill="1" applyBorder="1" applyAlignment="1" applyProtection="1">
      <alignment horizontal="left" vertical="center" wrapText="1"/>
      <protection locked="0"/>
    </xf>
    <xf numFmtId="10" fontId="3" fillId="4" borderId="2" xfId="38" applyNumberFormat="1" applyFont="1" applyFill="1" applyBorder="1" applyAlignment="1">
      <alignment horizontal="center" vertical="center" wrapText="1"/>
    </xf>
    <xf numFmtId="0" fontId="3" fillId="0" borderId="0" xfId="0" applyFont="1" applyBorder="1" applyAlignment="1" applyProtection="1">
      <alignment horizontal="center" vertical="center" wrapText="1"/>
      <protection locked="0"/>
    </xf>
    <xf numFmtId="0" fontId="112" fillId="0" borderId="2" xfId="24" applyFont="1" applyFill="1" applyBorder="1" applyAlignment="1">
      <alignment horizontal="justify" vertical="center" wrapText="1"/>
    </xf>
    <xf numFmtId="9" fontId="26" fillId="0" borderId="2" xfId="38" applyFont="1" applyBorder="1" applyAlignment="1">
      <alignment horizontal="center" vertical="center" wrapText="1"/>
    </xf>
    <xf numFmtId="9" fontId="6" fillId="6" borderId="2" xfId="38" applyFont="1" applyFill="1" applyBorder="1" applyAlignment="1">
      <alignment horizontal="center" vertical="center" wrapText="1"/>
    </xf>
    <xf numFmtId="0" fontId="6" fillId="0" borderId="41" xfId="0" applyFont="1" applyBorder="1" applyAlignment="1">
      <alignment vertical="center" wrapText="1"/>
    </xf>
    <xf numFmtId="0" fontId="6" fillId="4" borderId="4" xfId="0" applyFont="1" applyFill="1" applyBorder="1" applyAlignment="1">
      <alignment vertical="center" wrapText="1"/>
    </xf>
    <xf numFmtId="167" fontId="6" fillId="0" borderId="19" xfId="0" applyNumberFormat="1" applyFont="1" applyBorder="1" applyAlignment="1">
      <alignment horizontal="center" vertical="center" wrapText="1"/>
    </xf>
    <xf numFmtId="167" fontId="6" fillId="0" borderId="6" xfId="0" applyNumberFormat="1" applyFont="1" applyBorder="1" applyAlignment="1">
      <alignment horizontal="center" vertical="center" wrapText="1"/>
    </xf>
    <xf numFmtId="9" fontId="4" fillId="4" borderId="6" xfId="38" applyFont="1" applyFill="1" applyBorder="1" applyAlignment="1">
      <alignment horizontal="center" vertical="center" wrapText="1"/>
    </xf>
    <xf numFmtId="9" fontId="6" fillId="0" borderId="21" xfId="38" applyFont="1" applyFill="1" applyBorder="1" applyAlignment="1">
      <alignment horizontal="center" vertical="center" wrapText="1"/>
    </xf>
    <xf numFmtId="9" fontId="6" fillId="4" borderId="6" xfId="38" applyFont="1" applyFill="1" applyBorder="1" applyAlignment="1">
      <alignment horizontal="center" vertical="center" wrapText="1"/>
    </xf>
    <xf numFmtId="0" fontId="6" fillId="0" borderId="6" xfId="0" applyFont="1" applyBorder="1" applyAlignment="1">
      <alignment vertical="center" wrapText="1"/>
    </xf>
    <xf numFmtId="0" fontId="6" fillId="6" borderId="2" xfId="46" applyNumberFormat="1" applyFont="1" applyFill="1" applyBorder="1" applyAlignment="1" applyProtection="1">
      <alignment horizontal="center" vertical="center" wrapText="1"/>
      <protection locked="0"/>
    </xf>
    <xf numFmtId="9" fontId="6" fillId="6" borderId="2" xfId="46" applyNumberFormat="1" applyFont="1" applyFill="1" applyBorder="1" applyAlignment="1" applyProtection="1">
      <alignment horizontal="center" vertical="center" wrapText="1"/>
      <protection locked="0"/>
    </xf>
    <xf numFmtId="9" fontId="3" fillId="6" borderId="2" xfId="46" applyNumberFormat="1" applyFont="1" applyFill="1" applyBorder="1" applyAlignment="1" applyProtection="1">
      <alignment horizontal="center" vertical="center" wrapText="1"/>
      <protection locked="0"/>
    </xf>
    <xf numFmtId="0" fontId="3" fillId="6" borderId="2" xfId="46" applyNumberFormat="1" applyFont="1" applyFill="1" applyBorder="1" applyAlignment="1" applyProtection="1">
      <alignment horizontal="center" vertical="center" wrapText="1"/>
      <protection locked="0"/>
    </xf>
    <xf numFmtId="168" fontId="6" fillId="0" borderId="19" xfId="10" applyNumberFormat="1" applyFont="1" applyBorder="1" applyAlignment="1">
      <alignment horizontal="center" vertical="center" wrapText="1"/>
    </xf>
    <xf numFmtId="168" fontId="6" fillId="0" borderId="6" xfId="10" applyNumberFormat="1" applyFont="1" applyBorder="1" applyAlignment="1">
      <alignment horizontal="center" vertical="center" wrapText="1"/>
    </xf>
    <xf numFmtId="168" fontId="6" fillId="0" borderId="7" xfId="10" applyNumberFormat="1" applyFont="1" applyBorder="1" applyAlignment="1">
      <alignment horizontal="center" vertical="center" wrapText="1"/>
    </xf>
    <xf numFmtId="9" fontId="4" fillId="4" borderId="6" xfId="38" applyNumberFormat="1" applyFont="1" applyFill="1" applyBorder="1" applyAlignment="1">
      <alignment horizontal="center" vertical="center" wrapText="1"/>
    </xf>
    <xf numFmtId="166" fontId="6" fillId="4" borderId="6" xfId="38" applyNumberFormat="1" applyFont="1" applyFill="1" applyBorder="1" applyAlignment="1">
      <alignment horizontal="center" vertical="center" wrapText="1"/>
    </xf>
    <xf numFmtId="0" fontId="6" fillId="6" borderId="2" xfId="0" applyNumberFormat="1" applyFont="1" applyFill="1" applyBorder="1" applyAlignment="1" applyProtection="1">
      <alignment horizontal="justify" vertical="center" wrapText="1"/>
      <protection locked="0"/>
    </xf>
    <xf numFmtId="3" fontId="113" fillId="0" borderId="2" xfId="0" applyNumberFormat="1" applyFont="1" applyFill="1" applyBorder="1" applyAlignment="1" applyProtection="1">
      <alignment vertical="center" wrapText="1"/>
    </xf>
    <xf numFmtId="3" fontId="113" fillId="0" borderId="20" xfId="0" applyNumberFormat="1" applyFont="1" applyFill="1" applyBorder="1" applyAlignment="1" applyProtection="1">
      <alignment vertical="center" wrapText="1"/>
    </xf>
    <xf numFmtId="0" fontId="0" fillId="0" borderId="2" xfId="0" applyBorder="1" applyAlignment="1">
      <alignment horizontal="left" vertical="center" wrapText="1"/>
    </xf>
    <xf numFmtId="9" fontId="4" fillId="4" borderId="2" xfId="38" applyNumberFormat="1" applyFont="1" applyFill="1" applyBorder="1" applyAlignment="1">
      <alignment horizontal="center" vertical="center" wrapText="1"/>
    </xf>
    <xf numFmtId="9" fontId="6" fillId="0" borderId="7" xfId="0" applyNumberFormat="1" applyFont="1" applyBorder="1" applyAlignment="1">
      <alignment horizontal="center" vertical="center" wrapText="1"/>
    </xf>
    <xf numFmtId="0" fontId="2" fillId="0" borderId="18" xfId="0"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14" fillId="6" borderId="0" xfId="0" applyFont="1" applyFill="1" applyAlignment="1" applyProtection="1">
      <alignment vertical="top" wrapText="1"/>
      <protection locked="0"/>
    </xf>
    <xf numFmtId="0" fontId="14" fillId="6" borderId="10" xfId="0" applyFont="1" applyFill="1" applyBorder="1" applyAlignment="1" applyProtection="1">
      <alignment vertical="top" wrapText="1"/>
      <protection locked="0"/>
    </xf>
    <xf numFmtId="0" fontId="14" fillId="6" borderId="17" xfId="0" applyFont="1" applyFill="1" applyBorder="1" applyAlignment="1" applyProtection="1">
      <alignment vertical="top" wrapText="1"/>
      <protection locked="0"/>
    </xf>
    <xf numFmtId="0" fontId="14" fillId="6" borderId="8" xfId="0" applyFont="1" applyFill="1" applyBorder="1" applyAlignment="1" applyProtection="1">
      <alignment vertical="top" wrapText="1"/>
      <protection locked="0"/>
    </xf>
    <xf numFmtId="0" fontId="14" fillId="6" borderId="0" xfId="0" applyFont="1" applyFill="1" applyAlignment="1" applyProtection="1">
      <alignment vertical="center" wrapText="1"/>
      <protection locked="0"/>
    </xf>
    <xf numFmtId="0" fontId="14" fillId="6" borderId="22" xfId="0" applyFont="1" applyFill="1" applyBorder="1" applyAlignment="1" applyProtection="1">
      <alignment vertical="center" wrapText="1"/>
      <protection locked="0"/>
    </xf>
    <xf numFmtId="0" fontId="14" fillId="6" borderId="0" xfId="0" applyFont="1" applyFill="1" applyBorder="1" applyAlignment="1" applyProtection="1">
      <alignment vertical="center" wrapText="1"/>
      <protection locked="0"/>
    </xf>
    <xf numFmtId="0" fontId="14" fillId="6" borderId="15" xfId="0" applyFont="1" applyFill="1" applyBorder="1" applyAlignment="1" applyProtection="1">
      <alignment vertical="center" wrapText="1"/>
      <protection locked="0"/>
    </xf>
    <xf numFmtId="0" fontId="6" fillId="6" borderId="0" xfId="0" applyFont="1" applyFill="1" applyBorder="1" applyAlignment="1" applyProtection="1">
      <alignment vertical="center" wrapText="1"/>
      <protection locked="0"/>
    </xf>
    <xf numFmtId="0" fontId="2" fillId="6" borderId="15" xfId="0" applyFont="1" applyFill="1" applyBorder="1" applyAlignment="1" applyProtection="1">
      <alignment vertical="center" wrapText="1"/>
      <protection locked="0"/>
    </xf>
    <xf numFmtId="0" fontId="2" fillId="6" borderId="21" xfId="0" applyFont="1" applyFill="1" applyBorder="1" applyAlignment="1" applyProtection="1">
      <alignment vertical="center" wrapText="1"/>
      <protection locked="0"/>
    </xf>
    <xf numFmtId="0" fontId="2" fillId="6" borderId="18" xfId="0" applyFont="1" applyFill="1" applyBorder="1" applyAlignment="1" applyProtection="1">
      <alignment vertical="center" wrapText="1"/>
      <protection locked="0"/>
    </xf>
    <xf numFmtId="0" fontId="2" fillId="6" borderId="19" xfId="0" applyFont="1" applyFill="1" applyBorder="1" applyAlignment="1" applyProtection="1">
      <alignment vertical="center" wrapText="1"/>
      <protection locked="0"/>
    </xf>
    <xf numFmtId="0" fontId="2" fillId="6" borderId="10" xfId="0" applyFont="1" applyFill="1" applyBorder="1" applyAlignment="1" applyProtection="1">
      <alignment vertical="center" wrapText="1"/>
      <protection locked="0"/>
    </xf>
    <xf numFmtId="0" fontId="2" fillId="6" borderId="17" xfId="0" applyFont="1" applyFill="1" applyBorder="1" applyAlignment="1" applyProtection="1">
      <alignment vertical="center" wrapText="1"/>
      <protection locked="0"/>
    </xf>
    <xf numFmtId="0" fontId="3" fillId="6" borderId="17" xfId="0" applyFont="1" applyFill="1" applyBorder="1" applyAlignment="1" applyProtection="1">
      <alignment vertical="center" wrapText="1"/>
      <protection locked="0"/>
    </xf>
    <xf numFmtId="0" fontId="2" fillId="6" borderId="8" xfId="0" applyFont="1" applyFill="1" applyBorder="1" applyAlignment="1" applyProtection="1">
      <alignment vertical="center" wrapText="1"/>
      <protection locked="0"/>
    </xf>
    <xf numFmtId="0" fontId="2" fillId="6" borderId="3" xfId="0" applyFont="1" applyFill="1" applyBorder="1" applyAlignment="1" applyProtection="1">
      <alignment vertical="center" wrapText="1"/>
      <protection locked="0"/>
    </xf>
    <xf numFmtId="0" fontId="2" fillId="6" borderId="4" xfId="0" applyFont="1" applyFill="1" applyBorder="1" applyAlignment="1" applyProtection="1">
      <alignment vertical="center" wrapText="1"/>
      <protection locked="0"/>
    </xf>
    <xf numFmtId="0" fontId="2" fillId="6" borderId="7" xfId="0" applyFont="1" applyFill="1" applyBorder="1" applyAlignment="1" applyProtection="1">
      <alignment vertical="center" wrapText="1"/>
      <protection locked="0"/>
    </xf>
    <xf numFmtId="0" fontId="6" fillId="6" borderId="22" xfId="0" applyFont="1" applyFill="1" applyBorder="1" applyAlignment="1" applyProtection="1">
      <alignment vertical="center" wrapText="1"/>
      <protection locked="0"/>
    </xf>
    <xf numFmtId="0" fontId="6" fillId="6" borderId="19" xfId="0" applyFont="1" applyFill="1" applyBorder="1" applyAlignment="1" applyProtection="1">
      <alignment vertical="center" wrapText="1"/>
      <protection locked="0"/>
    </xf>
    <xf numFmtId="0" fontId="6" fillId="6" borderId="0" xfId="0" applyFont="1" applyFill="1" applyAlignment="1" applyProtection="1">
      <alignment vertical="center" wrapText="1"/>
      <protection locked="0"/>
    </xf>
    <xf numFmtId="0" fontId="6" fillId="6" borderId="7" xfId="0" applyFont="1" applyFill="1" applyBorder="1" applyAlignment="1" applyProtection="1">
      <alignment horizontal="center" vertical="center" wrapText="1"/>
      <protection locked="0"/>
    </xf>
    <xf numFmtId="0" fontId="16" fillId="6" borderId="5"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3" fillId="6" borderId="2"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2" fillId="6" borderId="22" xfId="0" applyFont="1" applyFill="1" applyBorder="1" applyAlignment="1" applyProtection="1">
      <alignment vertical="center" wrapText="1"/>
      <protection locked="0"/>
    </xf>
    <xf numFmtId="0" fontId="8" fillId="13" borderId="2" xfId="0" applyNumberFormat="1" applyFont="1" applyFill="1" applyBorder="1" applyAlignment="1" applyProtection="1">
      <alignment horizontal="center" vertical="center" wrapText="1"/>
      <protection locked="0"/>
    </xf>
    <xf numFmtId="0" fontId="8" fillId="6" borderId="2" xfId="0" applyFont="1" applyFill="1" applyBorder="1" applyAlignment="1" applyProtection="1">
      <alignment horizontal="center" vertical="center" wrapText="1"/>
      <protection locked="0"/>
    </xf>
    <xf numFmtId="0" fontId="8" fillId="6" borderId="2" xfId="0" applyNumberFormat="1" applyFont="1" applyFill="1" applyBorder="1" applyAlignment="1" applyProtection="1">
      <alignment horizontal="center" vertical="center" wrapText="1"/>
      <protection locked="0"/>
    </xf>
    <xf numFmtId="9" fontId="8" fillId="5" borderId="2" xfId="38" applyNumberFormat="1" applyFont="1" applyFill="1" applyBorder="1" applyAlignment="1" applyProtection="1">
      <alignment horizontal="center" vertical="center" wrapText="1"/>
      <protection locked="0"/>
    </xf>
    <xf numFmtId="9" fontId="8" fillId="5" borderId="2" xfId="38" applyFont="1" applyFill="1" applyBorder="1" applyAlignment="1" applyProtection="1">
      <alignment vertical="center" wrapText="1"/>
      <protection locked="0"/>
    </xf>
    <xf numFmtId="9" fontId="8" fillId="5" borderId="2" xfId="38" applyFont="1" applyFill="1" applyBorder="1" applyAlignment="1" applyProtection="1">
      <alignment horizontal="center" vertical="center" wrapText="1"/>
      <protection locked="0"/>
    </xf>
    <xf numFmtId="9" fontId="8" fillId="6" borderId="7" xfId="0" applyNumberFormat="1" applyFont="1" applyFill="1" applyBorder="1" applyAlignment="1" applyProtection="1">
      <alignment horizontal="center" vertical="center" wrapText="1"/>
      <protection locked="0"/>
    </xf>
    <xf numFmtId="167" fontId="6" fillId="6" borderId="7" xfId="0" applyNumberFormat="1" applyFont="1" applyFill="1" applyBorder="1" applyAlignment="1">
      <alignment horizontal="center" vertical="center" wrapText="1"/>
    </xf>
    <xf numFmtId="9" fontId="3" fillId="6" borderId="2" xfId="38" applyFont="1" applyFill="1" applyBorder="1" applyAlignment="1">
      <alignment horizontal="center" vertical="center" wrapText="1"/>
    </xf>
    <xf numFmtId="9" fontId="6" fillId="6" borderId="3" xfId="38" applyFont="1" applyFill="1" applyBorder="1" applyAlignment="1">
      <alignment horizontal="center" vertical="center" wrapText="1"/>
    </xf>
    <xf numFmtId="9" fontId="6" fillId="6" borderId="6" xfId="38" applyFont="1" applyFill="1" applyBorder="1" applyAlignment="1">
      <alignment horizontal="center" vertical="center" wrapText="1"/>
    </xf>
    <xf numFmtId="0" fontId="6" fillId="6" borderId="3" xfId="0" applyFont="1" applyFill="1" applyBorder="1" applyAlignment="1">
      <alignment vertical="center" wrapText="1"/>
    </xf>
    <xf numFmtId="9" fontId="2" fillId="6" borderId="0" xfId="0" applyNumberFormat="1" applyFont="1" applyFill="1" applyAlignment="1" applyProtection="1">
      <alignment vertical="center" wrapText="1"/>
      <protection locked="0"/>
    </xf>
    <xf numFmtId="0" fontId="8" fillId="6" borderId="2" xfId="0" applyFont="1" applyFill="1" applyBorder="1" applyAlignment="1" applyProtection="1">
      <alignment vertical="center" wrapText="1"/>
      <protection locked="0"/>
    </xf>
    <xf numFmtId="0" fontId="8" fillId="6" borderId="9" xfId="0" applyFont="1" applyFill="1" applyBorder="1" applyAlignment="1" applyProtection="1">
      <alignment vertical="center" wrapText="1"/>
      <protection locked="0"/>
    </xf>
    <xf numFmtId="10" fontId="6" fillId="6" borderId="3" xfId="38" applyNumberFormat="1" applyFont="1" applyFill="1" applyBorder="1" applyAlignment="1">
      <alignment horizontal="center" vertical="center" wrapText="1"/>
    </xf>
    <xf numFmtId="9" fontId="2" fillId="6" borderId="0" xfId="38" applyFont="1" applyFill="1" applyAlignment="1" applyProtection="1">
      <alignment vertical="center" wrapText="1"/>
      <protection locked="0"/>
    </xf>
    <xf numFmtId="4" fontId="8" fillId="5" borderId="2" xfId="38" applyNumberFormat="1" applyFont="1" applyFill="1" applyBorder="1" applyAlignment="1" applyProtection="1">
      <alignment horizontal="center" vertical="center" wrapText="1"/>
      <protection locked="0"/>
    </xf>
    <xf numFmtId="176" fontId="8" fillId="0" borderId="2" xfId="38" applyNumberFormat="1" applyFont="1" applyFill="1" applyBorder="1" applyAlignment="1" applyProtection="1">
      <alignment horizontal="center" vertical="center" wrapText="1"/>
      <protection locked="0"/>
    </xf>
    <xf numFmtId="4" fontId="8" fillId="0" borderId="2" xfId="38" applyNumberFormat="1" applyFont="1" applyFill="1" applyBorder="1" applyAlignment="1" applyProtection="1">
      <alignment horizontal="center" vertical="center" wrapText="1"/>
      <protection locked="0"/>
    </xf>
    <xf numFmtId="4" fontId="8" fillId="6" borderId="7" xfId="0" applyNumberFormat="1" applyFont="1" applyFill="1" applyBorder="1" applyAlignment="1" applyProtection="1">
      <alignment horizontal="center" vertical="center" wrapText="1"/>
      <protection locked="0"/>
    </xf>
    <xf numFmtId="2" fontId="6" fillId="0" borderId="7" xfId="0" applyNumberFormat="1" applyFont="1" applyBorder="1" applyAlignment="1">
      <alignment horizontal="center" vertical="center" wrapText="1"/>
    </xf>
    <xf numFmtId="2" fontId="6" fillId="6" borderId="2" xfId="0" applyNumberFormat="1" applyFont="1" applyFill="1" applyBorder="1" applyAlignment="1">
      <alignment horizontal="center" vertical="center" wrapText="1"/>
    </xf>
    <xf numFmtId="166" fontId="6" fillId="6" borderId="3" xfId="38" applyNumberFormat="1" applyFont="1" applyFill="1" applyBorder="1" applyAlignment="1">
      <alignment horizontal="center" vertical="center" wrapText="1"/>
    </xf>
    <xf numFmtId="10" fontId="6" fillId="0" borderId="3" xfId="38" applyNumberFormat="1" applyFont="1" applyFill="1" applyBorder="1" applyAlignment="1">
      <alignment horizontal="center" vertical="center" wrapText="1"/>
    </xf>
    <xf numFmtId="0" fontId="6" fillId="0" borderId="2" xfId="25" applyFont="1" applyBorder="1" applyAlignment="1">
      <alignment vertical="center" wrapText="1"/>
    </xf>
    <xf numFmtId="1" fontId="6" fillId="6" borderId="7" xfId="0" applyNumberFormat="1" applyFont="1" applyFill="1" applyBorder="1" applyAlignment="1">
      <alignment horizontal="center" vertical="center" wrapText="1"/>
    </xf>
    <xf numFmtId="0" fontId="8" fillId="19" borderId="2" xfId="0" applyNumberFormat="1" applyFont="1" applyFill="1" applyBorder="1" applyAlignment="1" applyProtection="1">
      <alignment horizontal="center" vertical="center" wrapText="1"/>
      <protection locked="0"/>
    </xf>
    <xf numFmtId="4" fontId="8" fillId="20" borderId="2" xfId="38" applyNumberFormat="1" applyFont="1" applyFill="1" applyBorder="1" applyAlignment="1" applyProtection="1">
      <alignment horizontal="center" vertical="center" wrapText="1"/>
      <protection locked="0"/>
    </xf>
    <xf numFmtId="9" fontId="3" fillId="6" borderId="6" xfId="38" applyFont="1" applyFill="1" applyBorder="1" applyAlignment="1">
      <alignment horizontal="center" vertical="center" wrapText="1"/>
    </xf>
    <xf numFmtId="166" fontId="6" fillId="6" borderId="2" xfId="38" applyNumberFormat="1" applyFont="1" applyFill="1" applyBorder="1" applyAlignment="1">
      <alignment horizontal="center" vertical="center" wrapText="1"/>
    </xf>
    <xf numFmtId="2" fontId="6" fillId="6" borderId="7" xfId="0" applyNumberFormat="1" applyFont="1" applyFill="1" applyBorder="1" applyAlignment="1">
      <alignment horizontal="center" vertical="center" wrapText="1"/>
    </xf>
    <xf numFmtId="0" fontId="6" fillId="0" borderId="9" xfId="25" applyFont="1" applyBorder="1" applyAlignment="1">
      <alignment vertical="center" wrapText="1"/>
    </xf>
    <xf numFmtId="0" fontId="6" fillId="0" borderId="9" xfId="0" applyFont="1" applyFill="1" applyBorder="1" applyAlignment="1">
      <alignment vertical="center" wrapText="1"/>
    </xf>
    <xf numFmtId="0" fontId="2" fillId="21" borderId="22" xfId="0" applyFont="1" applyFill="1" applyBorder="1" applyAlignment="1" applyProtection="1">
      <alignment vertical="center" wrapText="1"/>
      <protection locked="0"/>
    </xf>
    <xf numFmtId="0" fontId="8" fillId="21" borderId="4" xfId="0" applyNumberFormat="1" applyFont="1" applyFill="1" applyBorder="1" applyAlignment="1" applyProtection="1">
      <alignment horizontal="center" vertical="center" wrapText="1"/>
      <protection locked="0"/>
    </xf>
    <xf numFmtId="0" fontId="6" fillId="21" borderId="4" xfId="0" applyNumberFormat="1" applyFont="1" applyFill="1" applyBorder="1" applyAlignment="1" applyProtection="1">
      <alignment horizontal="center" vertical="center" wrapText="1"/>
      <protection locked="0"/>
    </xf>
    <xf numFmtId="0" fontId="8" fillId="21" borderId="4" xfId="0" applyFont="1" applyFill="1" applyBorder="1" applyAlignment="1" applyProtection="1">
      <alignment horizontal="center" vertical="center" wrapText="1"/>
      <protection locked="0"/>
    </xf>
    <xf numFmtId="0" fontId="8" fillId="21" borderId="4" xfId="38" applyNumberFormat="1" applyFont="1" applyFill="1" applyBorder="1" applyAlignment="1" applyProtection="1">
      <alignment horizontal="center" vertical="center" wrapText="1"/>
      <protection locked="0"/>
    </xf>
    <xf numFmtId="9" fontId="8" fillId="21" borderId="4" xfId="38" applyNumberFormat="1" applyFont="1" applyFill="1" applyBorder="1" applyAlignment="1" applyProtection="1">
      <alignment horizontal="center" vertical="center" wrapText="1"/>
      <protection locked="0"/>
    </xf>
    <xf numFmtId="9" fontId="8" fillId="21" borderId="4" xfId="38" applyFont="1" applyFill="1" applyBorder="1" applyAlignment="1" applyProtection="1">
      <alignment vertical="center" wrapText="1"/>
      <protection locked="0"/>
    </xf>
    <xf numFmtId="167" fontId="6" fillId="21" borderId="4" xfId="0" applyNumberFormat="1" applyFont="1" applyFill="1" applyBorder="1" applyAlignment="1">
      <alignment horizontal="center" vertical="center" wrapText="1"/>
    </xf>
    <xf numFmtId="9" fontId="3" fillId="21" borderId="4" xfId="38" applyFont="1" applyFill="1" applyBorder="1" applyAlignment="1">
      <alignment horizontal="center" vertical="center" wrapText="1"/>
    </xf>
    <xf numFmtId="9" fontId="6" fillId="21" borderId="4" xfId="38" applyFont="1" applyFill="1" applyBorder="1" applyAlignment="1">
      <alignment horizontal="center" vertical="center" wrapText="1"/>
    </xf>
    <xf numFmtId="0" fontId="6" fillId="21" borderId="4" xfId="0" applyFont="1" applyFill="1" applyBorder="1" applyAlignment="1">
      <alignment vertical="center" wrapText="1"/>
    </xf>
    <xf numFmtId="167" fontId="6" fillId="21" borderId="18" xfId="0" applyNumberFormat="1" applyFont="1" applyFill="1" applyBorder="1" applyAlignment="1">
      <alignment horizontal="center" vertical="center" wrapText="1"/>
    </xf>
    <xf numFmtId="167" fontId="6" fillId="21" borderId="2" xfId="0" applyNumberFormat="1" applyFont="1" applyFill="1" applyBorder="1" applyAlignment="1">
      <alignment horizontal="center" vertical="center" wrapText="1"/>
    </xf>
    <xf numFmtId="9" fontId="3" fillId="21" borderId="2" xfId="38" applyFont="1" applyFill="1" applyBorder="1" applyAlignment="1">
      <alignment horizontal="center" vertical="center" wrapText="1"/>
    </xf>
    <xf numFmtId="9" fontId="6" fillId="21" borderId="2" xfId="38" applyFont="1" applyFill="1" applyBorder="1" applyAlignment="1">
      <alignment horizontal="center" vertical="center" wrapText="1"/>
    </xf>
    <xf numFmtId="0" fontId="6" fillId="21" borderId="2" xfId="0" applyFont="1" applyFill="1" applyBorder="1" applyAlignment="1">
      <alignment vertical="center" wrapText="1"/>
    </xf>
    <xf numFmtId="9" fontId="6" fillId="21" borderId="7" xfId="38" applyFont="1" applyFill="1" applyBorder="1" applyAlignment="1">
      <alignment horizontal="center" vertical="center" wrapText="1"/>
    </xf>
    <xf numFmtId="0" fontId="8" fillId="5" borderId="2" xfId="38" applyNumberFormat="1" applyFont="1" applyFill="1" applyBorder="1" applyAlignment="1" applyProtection="1">
      <alignment horizontal="center" vertical="center" wrapText="1"/>
      <protection locked="0"/>
    </xf>
    <xf numFmtId="9" fontId="8" fillId="6" borderId="2" xfId="0" applyNumberFormat="1" applyFont="1" applyFill="1" applyBorder="1" applyAlignment="1" applyProtection="1">
      <alignment horizontal="center" vertical="center" wrapText="1"/>
      <protection locked="0"/>
    </xf>
    <xf numFmtId="167" fontId="6" fillId="6" borderId="19" xfId="0" applyNumberFormat="1" applyFont="1" applyFill="1" applyBorder="1" applyAlignment="1">
      <alignment horizontal="center" vertical="center" wrapText="1"/>
    </xf>
    <xf numFmtId="167" fontId="6" fillId="6" borderId="6" xfId="0" applyNumberFormat="1" applyFont="1" applyFill="1" applyBorder="1" applyAlignment="1">
      <alignment horizontal="center" vertical="center" wrapText="1"/>
    </xf>
    <xf numFmtId="0" fontId="6" fillId="6" borderId="6" xfId="0" applyFont="1" applyFill="1" applyBorder="1" applyAlignment="1">
      <alignment vertical="center" wrapText="1"/>
    </xf>
    <xf numFmtId="0" fontId="6" fillId="19" borderId="6" xfId="0" applyFont="1" applyFill="1" applyBorder="1" applyAlignment="1">
      <alignment vertical="center" wrapText="1"/>
    </xf>
    <xf numFmtId="0" fontId="6" fillId="0" borderId="10" xfId="25" applyFont="1" applyBorder="1" applyAlignment="1">
      <alignment vertical="center" wrapText="1"/>
    </xf>
    <xf numFmtId="0" fontId="8" fillId="6" borderId="2" xfId="0" applyNumberFormat="1" applyFont="1" applyFill="1" applyBorder="1" applyAlignment="1" applyProtection="1">
      <alignment horizontal="left" vertical="center" wrapText="1"/>
      <protection locked="0"/>
    </xf>
    <xf numFmtId="0" fontId="8" fillId="6" borderId="2" xfId="0" applyNumberFormat="1" applyFont="1" applyFill="1" applyBorder="1" applyAlignment="1" applyProtection="1">
      <alignment horizontal="center" vertical="top" wrapText="1"/>
      <protection locked="0"/>
    </xf>
    <xf numFmtId="9" fontId="16" fillId="5" borderId="2" xfId="38" applyNumberFormat="1" applyFont="1" applyFill="1" applyBorder="1" applyAlignment="1" applyProtection="1">
      <alignment horizontal="center" vertical="center" wrapText="1"/>
      <protection locked="0"/>
    </xf>
    <xf numFmtId="0" fontId="6" fillId="5" borderId="2" xfId="46" applyNumberFormat="1" applyFont="1" applyFill="1" applyBorder="1" applyAlignment="1" applyProtection="1">
      <alignment horizontal="center" vertical="center" wrapText="1"/>
      <protection locked="0"/>
    </xf>
    <xf numFmtId="9" fontId="6" fillId="5" borderId="2" xfId="46" applyNumberFormat="1" applyFont="1" applyFill="1" applyBorder="1" applyAlignment="1" applyProtection="1">
      <alignment horizontal="center" vertical="center" wrapText="1"/>
      <protection locked="0"/>
    </xf>
    <xf numFmtId="9" fontId="6" fillId="5" borderId="2" xfId="38" applyNumberFormat="1" applyFont="1" applyFill="1" applyBorder="1" applyAlignment="1" applyProtection="1">
      <alignment horizontal="center" vertical="center" wrapText="1"/>
      <protection locked="0"/>
    </xf>
    <xf numFmtId="9" fontId="3" fillId="5" borderId="2" xfId="46" applyNumberFormat="1" applyFont="1" applyFill="1" applyBorder="1" applyAlignment="1" applyProtection="1">
      <alignment horizontal="center" vertical="center" wrapText="1"/>
      <protection locked="0"/>
    </xf>
    <xf numFmtId="0" fontId="3" fillId="5" borderId="2" xfId="46" applyNumberFormat="1" applyFont="1" applyFill="1" applyBorder="1" applyAlignment="1" applyProtection="1">
      <alignment horizontal="center" vertical="center" wrapText="1"/>
      <protection locked="0"/>
    </xf>
    <xf numFmtId="44" fontId="6" fillId="0" borderId="1" xfId="18" applyFont="1" applyFill="1" applyBorder="1" applyAlignment="1" applyProtection="1">
      <alignment horizontal="right" vertical="center"/>
    </xf>
    <xf numFmtId="44" fontId="6" fillId="6" borderId="2" xfId="18" applyFont="1" applyFill="1" applyBorder="1" applyAlignment="1">
      <alignment horizontal="center" vertical="center" wrapText="1"/>
    </xf>
    <xf numFmtId="9" fontId="6" fillId="6" borderId="2" xfId="18" applyNumberFormat="1" applyFont="1" applyFill="1" applyBorder="1" applyAlignment="1">
      <alignment horizontal="center" vertical="center" wrapText="1"/>
    </xf>
    <xf numFmtId="184" fontId="8" fillId="5" borderId="2" xfId="18" applyNumberFormat="1" applyFont="1" applyFill="1" applyBorder="1" applyAlignment="1" applyProtection="1">
      <alignment horizontal="center" vertical="center" wrapText="1"/>
      <protection locked="0"/>
    </xf>
    <xf numFmtId="184" fontId="8" fillId="6" borderId="2" xfId="18" applyNumberFormat="1" applyFont="1" applyFill="1" applyBorder="1" applyAlignment="1" applyProtection="1">
      <alignment horizontal="center" vertical="center" wrapText="1"/>
      <protection locked="0"/>
    </xf>
    <xf numFmtId="44" fontId="6" fillId="0" borderId="7" xfId="18" applyFont="1" applyFill="1" applyBorder="1" applyAlignment="1">
      <alignment horizontal="center" vertical="center" wrapText="1"/>
    </xf>
    <xf numFmtId="10" fontId="3" fillId="6" borderId="2" xfId="38" applyNumberFormat="1" applyFont="1" applyFill="1" applyBorder="1" applyAlignment="1">
      <alignment horizontal="center" vertical="center" wrapText="1"/>
    </xf>
    <xf numFmtId="10" fontId="6" fillId="4" borderId="2" xfId="38" applyNumberFormat="1" applyFont="1" applyFill="1" applyBorder="1" applyAlignment="1">
      <alignment horizontal="center" vertical="center" wrapText="1"/>
    </xf>
    <xf numFmtId="44" fontId="6" fillId="6" borderId="6" xfId="18" applyFont="1" applyFill="1" applyBorder="1" applyAlignment="1">
      <alignment horizontal="center" vertical="center" wrapText="1"/>
    </xf>
    <xf numFmtId="3" fontId="6" fillId="11" borderId="7" xfId="0" applyNumberFormat="1" applyFont="1" applyFill="1" applyBorder="1" applyAlignment="1">
      <alignment horizontal="center" vertical="center" wrapText="1"/>
    </xf>
    <xf numFmtId="3" fontId="6" fillId="11" borderId="2" xfId="0" applyNumberFormat="1" applyFont="1" applyFill="1" applyBorder="1" applyAlignment="1">
      <alignment horizontal="center" vertical="center" wrapText="1"/>
    </xf>
    <xf numFmtId="9" fontId="3" fillId="11" borderId="2" xfId="38" applyFont="1" applyFill="1" applyBorder="1" applyAlignment="1">
      <alignment horizontal="center" vertical="center" wrapText="1"/>
    </xf>
    <xf numFmtId="9" fontId="6" fillId="11" borderId="3" xfId="38" applyFont="1" applyFill="1" applyBorder="1" applyAlignment="1">
      <alignment horizontal="center" vertical="center" wrapText="1"/>
    </xf>
    <xf numFmtId="9" fontId="6" fillId="11" borderId="2" xfId="38" applyFont="1" applyFill="1" applyBorder="1" applyAlignment="1">
      <alignment horizontal="center" vertical="center" wrapText="1"/>
    </xf>
    <xf numFmtId="0" fontId="6" fillId="11" borderId="3" xfId="0" applyFont="1" applyFill="1" applyBorder="1" applyAlignment="1">
      <alignment vertical="center" wrapText="1"/>
    </xf>
    <xf numFmtId="184" fontId="6" fillId="6" borderId="2" xfId="18" applyNumberFormat="1" applyFont="1" applyFill="1" applyBorder="1" applyAlignment="1">
      <alignment horizontal="center" vertical="center" wrapText="1"/>
    </xf>
    <xf numFmtId="184" fontId="6" fillId="6" borderId="7" xfId="18" applyNumberFormat="1" applyFont="1" applyFill="1" applyBorder="1" applyAlignment="1">
      <alignment horizontal="center" vertical="center" wrapText="1"/>
    </xf>
    <xf numFmtId="0" fontId="8" fillId="6" borderId="2" xfId="0" applyNumberFormat="1" applyFont="1" applyFill="1" applyBorder="1" applyAlignment="1" applyProtection="1">
      <alignment vertical="center" wrapText="1"/>
      <protection locked="0"/>
    </xf>
    <xf numFmtId="168" fontId="8" fillId="5" borderId="2" xfId="10" applyNumberFormat="1" applyFont="1" applyFill="1" applyBorder="1" applyAlignment="1" applyProtection="1">
      <alignment horizontal="center" vertical="center" wrapText="1"/>
      <protection locked="0"/>
    </xf>
    <xf numFmtId="43" fontId="8" fillId="5" borderId="2" xfId="10" applyFont="1" applyFill="1" applyBorder="1" applyAlignment="1" applyProtection="1">
      <alignment horizontal="center" vertical="center" wrapText="1"/>
      <protection locked="0"/>
    </xf>
    <xf numFmtId="9" fontId="8" fillId="5" borderId="2" xfId="10" applyNumberFormat="1" applyFont="1" applyFill="1" applyBorder="1" applyAlignment="1" applyProtection="1">
      <alignment horizontal="center" vertical="center" wrapText="1"/>
      <protection locked="0"/>
    </xf>
    <xf numFmtId="168" fontId="6" fillId="6" borderId="3" xfId="38" applyNumberFormat="1" applyFont="1" applyFill="1" applyBorder="1" applyAlignment="1">
      <alignment horizontal="center" vertical="center" wrapText="1"/>
    </xf>
    <xf numFmtId="44" fontId="6" fillId="6" borderId="7" xfId="18" applyFont="1" applyFill="1" applyBorder="1" applyAlignment="1">
      <alignment horizontal="center" vertical="center" wrapText="1"/>
    </xf>
    <xf numFmtId="43" fontId="6" fillId="6" borderId="3" xfId="38" applyNumberFormat="1" applyFont="1" applyFill="1" applyBorder="1" applyAlignment="1">
      <alignment horizontal="center" vertical="center" wrapText="1"/>
    </xf>
    <xf numFmtId="0" fontId="6" fillId="6" borderId="6" xfId="0" applyFont="1" applyFill="1" applyBorder="1" applyAlignment="1">
      <alignment horizontal="center" vertical="center" wrapText="1"/>
    </xf>
    <xf numFmtId="44" fontId="6" fillId="0" borderId="2" xfId="18" applyFont="1" applyFill="1" applyBorder="1" applyAlignment="1">
      <alignment horizontal="center" vertical="center"/>
    </xf>
    <xf numFmtId="44" fontId="112" fillId="0" borderId="2" xfId="18" applyFont="1" applyFill="1" applyBorder="1" applyAlignment="1">
      <alignment horizontal="right" vertical="center"/>
    </xf>
    <xf numFmtId="44" fontId="112" fillId="0" borderId="2" xfId="18" applyFont="1" applyFill="1" applyBorder="1" applyAlignment="1">
      <alignment horizontal="center" vertical="center"/>
    </xf>
    <xf numFmtId="9" fontId="3" fillId="6" borderId="7" xfId="38" applyFont="1" applyFill="1" applyBorder="1" applyAlignment="1">
      <alignment horizontal="center" vertical="center" wrapText="1"/>
    </xf>
    <xf numFmtId="44" fontId="112" fillId="0" borderId="2" xfId="18" applyFont="1" applyFill="1" applyBorder="1" applyAlignment="1">
      <alignment vertical="center"/>
    </xf>
    <xf numFmtId="44" fontId="6" fillId="0" borderId="2" xfId="18" applyFont="1" applyBorder="1" applyAlignment="1">
      <alignment vertical="center"/>
    </xf>
    <xf numFmtId="0" fontId="8" fillId="6" borderId="0" xfId="0" applyFont="1" applyFill="1" applyBorder="1" applyAlignment="1" applyProtection="1">
      <alignment vertical="center" wrapText="1"/>
      <protection locked="0"/>
    </xf>
    <xf numFmtId="0" fontId="16" fillId="0" borderId="17" xfId="38" applyNumberFormat="1" applyFont="1" applyFill="1" applyBorder="1" applyAlignment="1" applyProtection="1">
      <alignment horizontal="center" vertical="center" wrapText="1"/>
      <protection locked="0"/>
    </xf>
    <xf numFmtId="184" fontId="16" fillId="0" borderId="17" xfId="18" applyNumberFormat="1" applyFont="1" applyFill="1" applyBorder="1" applyAlignment="1" applyProtection="1">
      <alignment horizontal="center" vertical="center" wrapText="1"/>
      <protection locked="0"/>
    </xf>
    <xf numFmtId="9" fontId="8" fillId="6" borderId="17" xfId="38" applyFont="1" applyFill="1" applyBorder="1" applyAlignment="1" applyProtection="1">
      <alignment vertical="center" wrapText="1"/>
      <protection locked="0"/>
    </xf>
    <xf numFmtId="9" fontId="2" fillId="6" borderId="0" xfId="0" applyNumberFormat="1" applyFont="1" applyFill="1" applyBorder="1" applyAlignment="1" applyProtection="1">
      <alignment vertical="center" wrapText="1"/>
      <protection locked="0"/>
    </xf>
    <xf numFmtId="9" fontId="4" fillId="6" borderId="0" xfId="0" applyNumberFormat="1" applyFont="1" applyFill="1" applyBorder="1" applyAlignment="1" applyProtection="1">
      <alignment vertical="center" wrapText="1"/>
      <protection locked="0"/>
    </xf>
    <xf numFmtId="9" fontId="2" fillId="6" borderId="0" xfId="38" applyFont="1" applyFill="1" applyBorder="1" applyAlignment="1" applyProtection="1">
      <alignment vertical="center" wrapText="1"/>
      <protection locked="0"/>
    </xf>
    <xf numFmtId="184" fontId="16" fillId="0" borderId="0" xfId="18" applyNumberFormat="1" applyFont="1" applyFill="1" applyBorder="1" applyAlignment="1" applyProtection="1">
      <alignment horizontal="center" vertical="center" wrapText="1"/>
      <protection locked="0"/>
    </xf>
    <xf numFmtId="0" fontId="2" fillId="0" borderId="22" xfId="0" applyFont="1" applyBorder="1" applyAlignment="1" applyProtection="1">
      <alignment vertical="center" wrapText="1"/>
      <protection locked="0"/>
    </xf>
    <xf numFmtId="0" fontId="0" fillId="0" borderId="0" xfId="0" applyFont="1" applyBorder="1" applyAlignment="1" applyProtection="1">
      <alignment vertical="center" wrapText="1"/>
      <protection locked="0"/>
    </xf>
    <xf numFmtId="0" fontId="2" fillId="0" borderId="21"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0" fontId="0" fillId="0" borderId="18" xfId="0" applyFont="1" applyBorder="1" applyAlignment="1" applyProtection="1">
      <alignment vertical="center" wrapText="1"/>
      <protection locked="0"/>
    </xf>
    <xf numFmtId="0" fontId="2" fillId="0" borderId="19" xfId="0" applyFont="1" applyBorder="1" applyAlignment="1" applyProtection="1">
      <alignment vertical="center" wrapText="1"/>
      <protection locked="0"/>
    </xf>
    <xf numFmtId="0" fontId="63" fillId="0" borderId="3" xfId="0" applyFont="1" applyFill="1" applyBorder="1" applyAlignment="1" applyProtection="1">
      <alignment vertical="top" wrapText="1"/>
      <protection locked="0"/>
    </xf>
    <xf numFmtId="0" fontId="64" fillId="0" borderId="0" xfId="0" applyFont="1" applyFill="1" applyAlignment="1" applyProtection="1">
      <alignment vertical="top" wrapText="1"/>
      <protection locked="0"/>
    </xf>
    <xf numFmtId="0" fontId="64" fillId="0" borderId="0" xfId="0" applyFont="1" applyFill="1" applyBorder="1" applyAlignment="1" applyProtection="1">
      <alignment vertical="top" wrapText="1"/>
      <protection locked="0"/>
    </xf>
    <xf numFmtId="0" fontId="64" fillId="0" borderId="15" xfId="0" applyFont="1" applyFill="1" applyBorder="1" applyAlignment="1" applyProtection="1">
      <alignment vertical="top" wrapText="1"/>
      <protection locked="0"/>
    </xf>
    <xf numFmtId="0" fontId="63" fillId="0" borderId="0" xfId="0" applyFont="1" applyFill="1" applyAlignment="1" applyProtection="1">
      <alignment vertical="top" wrapText="1"/>
      <protection locked="0"/>
    </xf>
    <xf numFmtId="0" fontId="64" fillId="0" borderId="10" xfId="0" applyFont="1" applyFill="1" applyBorder="1" applyAlignment="1" applyProtection="1">
      <alignment vertical="top" wrapText="1"/>
      <protection locked="0"/>
    </xf>
    <xf numFmtId="0" fontId="64" fillId="0" borderId="17" xfId="0" applyFont="1" applyFill="1" applyBorder="1" applyAlignment="1" applyProtection="1">
      <alignment vertical="top" wrapText="1"/>
      <protection locked="0"/>
    </xf>
    <xf numFmtId="0" fontId="64" fillId="0" borderId="8" xfId="0" applyFont="1" applyFill="1" applyBorder="1" applyAlignment="1" applyProtection="1">
      <alignment vertical="top" wrapText="1"/>
      <protection locked="0"/>
    </xf>
    <xf numFmtId="0" fontId="64" fillId="0" borderId="4" xfId="0" applyFont="1" applyFill="1" applyBorder="1" applyAlignment="1" applyProtection="1">
      <alignment vertical="center" wrapText="1"/>
      <protection locked="0"/>
    </xf>
    <xf numFmtId="0" fontId="64" fillId="0" borderId="2" xfId="0" applyFont="1" applyFill="1" applyBorder="1" applyAlignment="1" applyProtection="1">
      <alignment horizontal="center" vertical="center" wrapText="1"/>
      <protection locked="0"/>
    </xf>
    <xf numFmtId="0" fontId="64" fillId="0" borderId="22" xfId="0" applyFont="1" applyFill="1" applyBorder="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4" fillId="0" borderId="15" xfId="0" applyFont="1" applyFill="1" applyBorder="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2" xfId="0" applyFont="1" applyFill="1" applyBorder="1" applyAlignment="1" applyProtection="1">
      <alignment horizontal="center" vertical="center" wrapText="1"/>
      <protection locked="0"/>
    </xf>
    <xf numFmtId="0" fontId="63" fillId="0" borderId="3"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64" fillId="0" borderId="6" xfId="0" applyFont="1" applyFill="1" applyBorder="1" applyAlignment="1" applyProtection="1">
      <alignment vertical="center" wrapText="1"/>
      <protection locked="0"/>
    </xf>
    <xf numFmtId="0" fontId="63" fillId="0" borderId="2" xfId="0" applyFont="1" applyFill="1" applyBorder="1" applyAlignment="1">
      <alignment horizontal="center" vertical="center" wrapText="1"/>
    </xf>
    <xf numFmtId="0" fontId="63" fillId="0" borderId="5"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3" fillId="0" borderId="2" xfId="0" applyFont="1" applyBorder="1" applyAlignment="1">
      <alignment horizontal="center" vertical="center" wrapText="1"/>
    </xf>
    <xf numFmtId="0" fontId="63" fillId="0" borderId="21" xfId="0" applyFont="1" applyFill="1" applyBorder="1" applyAlignment="1">
      <alignment horizontal="center" vertical="center" wrapText="1"/>
    </xf>
    <xf numFmtId="0" fontId="63" fillId="0" borderId="23"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16" xfId="0" applyFont="1" applyFill="1" applyBorder="1" applyAlignment="1">
      <alignment horizontal="center" vertical="center" wrapText="1"/>
    </xf>
    <xf numFmtId="0" fontId="63" fillId="0" borderId="9" xfId="0" applyFont="1" applyFill="1" applyBorder="1" applyAlignment="1">
      <alignment horizontal="center" vertical="center" wrapText="1"/>
    </xf>
    <xf numFmtId="0" fontId="63" fillId="0" borderId="22" xfId="0" applyFont="1" applyFill="1" applyBorder="1" applyAlignment="1">
      <alignment horizontal="center" vertical="center" wrapText="1"/>
    </xf>
    <xf numFmtId="0" fontId="63" fillId="0" borderId="24" xfId="0" applyFont="1" applyFill="1" applyBorder="1" applyAlignment="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4" fillId="6" borderId="2" xfId="0" applyFont="1" applyFill="1" applyBorder="1" applyAlignment="1" applyProtection="1">
      <alignment horizontal="center" vertical="center" wrapText="1"/>
      <protection locked="0"/>
    </xf>
    <xf numFmtId="9" fontId="64" fillId="0" borderId="2" xfId="38"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1" fontId="63" fillId="0" borderId="2" xfId="0" applyNumberFormat="1" applyFont="1" applyFill="1" applyBorder="1" applyAlignment="1">
      <alignment horizontal="center" vertical="center" wrapText="1"/>
    </xf>
    <xf numFmtId="0" fontId="64" fillId="0" borderId="7" xfId="0" applyFont="1" applyFill="1" applyBorder="1" applyAlignment="1">
      <alignment horizontal="center" vertical="center" wrapText="1"/>
    </xf>
    <xf numFmtId="0" fontId="64" fillId="0" borderId="2" xfId="0" applyFont="1" applyFill="1" applyBorder="1" applyAlignment="1">
      <alignment horizontal="center" vertical="center" wrapText="1"/>
    </xf>
    <xf numFmtId="9" fontId="63" fillId="0" borderId="2" xfId="0" applyNumberFormat="1" applyFont="1" applyFill="1" applyBorder="1" applyAlignment="1">
      <alignment horizontal="center" vertical="center" wrapText="1"/>
    </xf>
    <xf numFmtId="0" fontId="64" fillId="0" borderId="6" xfId="0" applyFont="1" applyFill="1" applyBorder="1" applyAlignment="1">
      <alignment horizontal="justify" vertical="justify" wrapText="1"/>
    </xf>
    <xf numFmtId="167" fontId="64" fillId="6" borderId="2" xfId="0" applyNumberFormat="1" applyFont="1" applyFill="1" applyBorder="1" applyAlignment="1">
      <alignment horizontal="center" vertical="center" wrapText="1"/>
    </xf>
    <xf numFmtId="9" fontId="63" fillId="4" borderId="2" xfId="38" applyFont="1" applyFill="1" applyBorder="1" applyAlignment="1">
      <alignment horizontal="center" vertical="center" wrapText="1"/>
    </xf>
    <xf numFmtId="9" fontId="64" fillId="0" borderId="2" xfId="38" applyFont="1" applyFill="1" applyBorder="1" applyAlignment="1">
      <alignment horizontal="center" vertical="center" wrapText="1"/>
    </xf>
    <xf numFmtId="9" fontId="64" fillId="4" borderId="2" xfId="38" applyFont="1" applyFill="1" applyBorder="1" applyAlignment="1">
      <alignment horizontal="center" vertical="center" wrapText="1"/>
    </xf>
    <xf numFmtId="0" fontId="64" fillId="0" borderId="2" xfId="0" applyFont="1" applyBorder="1" applyAlignment="1">
      <alignment vertical="center" wrapText="1"/>
    </xf>
    <xf numFmtId="0" fontId="64" fillId="0" borderId="3" xfId="0" applyFont="1" applyFill="1" applyBorder="1" applyAlignment="1">
      <alignment horizontal="center" vertical="center" wrapText="1"/>
    </xf>
    <xf numFmtId="1" fontId="64" fillId="6" borderId="3" xfId="0" applyNumberFormat="1" applyFont="1" applyFill="1" applyBorder="1" applyAlignment="1">
      <alignment horizontal="center" vertical="center" wrapText="1"/>
    </xf>
    <xf numFmtId="1" fontId="64" fillId="6" borderId="2" xfId="0" applyNumberFormat="1" applyFont="1" applyFill="1" applyBorder="1" applyAlignment="1">
      <alignment horizontal="center" vertical="center" wrapText="1"/>
    </xf>
    <xf numFmtId="9" fontId="63" fillId="6" borderId="2" xfId="38" applyFont="1" applyFill="1" applyBorder="1" applyAlignment="1">
      <alignment horizontal="center" vertical="center" wrapText="1"/>
    </xf>
    <xf numFmtId="9" fontId="64" fillId="22" borderId="2" xfId="38" applyFont="1" applyFill="1" applyBorder="1" applyAlignment="1">
      <alignment horizontal="center" vertical="center" wrapText="1"/>
    </xf>
    <xf numFmtId="0" fontId="64" fillId="0" borderId="2" xfId="0" applyFont="1" applyBorder="1" applyAlignment="1">
      <alignment horizontal="justify" vertical="justify" wrapText="1"/>
    </xf>
    <xf numFmtId="0" fontId="64" fillId="6" borderId="2" xfId="0" applyNumberFormat="1" applyFont="1" applyFill="1" applyBorder="1" applyAlignment="1" applyProtection="1">
      <alignment horizontal="center" vertical="center" wrapText="1"/>
      <protection locked="0"/>
    </xf>
    <xf numFmtId="0" fontId="64" fillId="0" borderId="2" xfId="20" applyNumberFormat="1" applyFont="1" applyFill="1" applyBorder="1" applyAlignment="1" applyProtection="1">
      <alignment horizontal="center" vertical="center" wrapText="1"/>
      <protection locked="0"/>
    </xf>
    <xf numFmtId="9" fontId="64" fillId="6" borderId="2" xfId="0" applyNumberFormat="1" applyFont="1" applyFill="1" applyBorder="1" applyAlignment="1" applyProtection="1">
      <alignment horizontal="center" vertical="center" wrapText="1"/>
      <protection locked="0"/>
    </xf>
    <xf numFmtId="9" fontId="64" fillId="0" borderId="2" xfId="38" applyNumberFormat="1" applyFont="1" applyFill="1" applyBorder="1" applyAlignment="1" applyProtection="1">
      <alignment vertical="center" wrapText="1"/>
      <protection locked="0"/>
    </xf>
    <xf numFmtId="9" fontId="64" fillId="0" borderId="2" xfId="0" applyNumberFormat="1" applyFont="1" applyFill="1" applyBorder="1" applyAlignment="1" applyProtection="1">
      <alignment horizontal="center" vertical="center" wrapText="1"/>
      <protection locked="0"/>
    </xf>
    <xf numFmtId="1" fontId="64" fillId="0" borderId="2" xfId="0" applyNumberFormat="1" applyFont="1" applyFill="1" applyBorder="1" applyAlignment="1">
      <alignment horizontal="center" vertical="center" wrapText="1"/>
    </xf>
    <xf numFmtId="9" fontId="64" fillId="0" borderId="2" xfId="0" applyNumberFormat="1" applyFont="1" applyFill="1" applyBorder="1" applyAlignment="1">
      <alignment horizontal="center" vertical="center" wrapText="1"/>
    </xf>
    <xf numFmtId="9" fontId="63" fillId="6" borderId="2" xfId="0" applyNumberFormat="1" applyFont="1" applyFill="1" applyBorder="1" applyAlignment="1" applyProtection="1">
      <alignment horizontal="center" vertical="center" wrapText="1"/>
      <protection locked="0"/>
    </xf>
    <xf numFmtId="0" fontId="64" fillId="0" borderId="3" xfId="0" applyFont="1" applyFill="1" applyBorder="1" applyAlignment="1">
      <alignment horizontal="justify" vertical="justify" wrapText="1"/>
    </xf>
    <xf numFmtId="9" fontId="63" fillId="0" borderId="2" xfId="38" applyFont="1" applyFill="1" applyBorder="1" applyAlignment="1">
      <alignment horizontal="center" vertical="center" wrapText="1"/>
    </xf>
    <xf numFmtId="0" fontId="64" fillId="0" borderId="2" xfId="0" applyFont="1" applyFill="1" applyBorder="1" applyAlignment="1">
      <alignment horizontal="justify" vertical="justify" wrapText="1"/>
    </xf>
    <xf numFmtId="0" fontId="64" fillId="0" borderId="2" xfId="0" applyFont="1" applyFill="1" applyBorder="1" applyAlignment="1">
      <alignment vertical="center" wrapText="1"/>
    </xf>
    <xf numFmtId="1" fontId="64" fillId="0" borderId="7" xfId="0" applyNumberFormat="1" applyFont="1" applyFill="1" applyBorder="1" applyAlignment="1">
      <alignment horizontal="center" vertical="center" wrapText="1"/>
    </xf>
    <xf numFmtId="167" fontId="64" fillId="6" borderId="7" xfId="0" applyNumberFormat="1" applyFont="1" applyFill="1" applyBorder="1" applyAlignment="1">
      <alignment horizontal="center" vertical="center" wrapText="1"/>
    </xf>
    <xf numFmtId="167" fontId="64" fillId="0" borderId="2" xfId="0" applyNumberFormat="1" applyFont="1" applyFill="1" applyBorder="1" applyAlignment="1">
      <alignment horizontal="center" vertical="center" wrapText="1"/>
    </xf>
    <xf numFmtId="167" fontId="64" fillId="0" borderId="7" xfId="0" applyNumberFormat="1" applyFont="1" applyFill="1" applyBorder="1" applyAlignment="1">
      <alignment horizontal="center" vertical="center" wrapText="1"/>
    </xf>
    <xf numFmtId="9" fontId="64" fillId="0" borderId="3" xfId="38" applyFont="1" applyFill="1" applyBorder="1" applyAlignment="1">
      <alignment horizontal="center" vertical="center" wrapText="1"/>
    </xf>
    <xf numFmtId="185" fontId="64" fillId="0" borderId="7" xfId="0" applyNumberFormat="1" applyFont="1" applyFill="1" applyBorder="1" applyAlignment="1">
      <alignment horizontal="center" vertical="center" wrapText="1"/>
    </xf>
    <xf numFmtId="185" fontId="64" fillId="0" borderId="2" xfId="0" applyNumberFormat="1" applyFont="1" applyFill="1" applyBorder="1" applyAlignment="1">
      <alignment horizontal="center" vertical="center" wrapText="1"/>
    </xf>
    <xf numFmtId="9" fontId="63" fillId="0" borderId="2" xfId="38" applyNumberFormat="1" applyFont="1" applyFill="1" applyBorder="1" applyAlignment="1">
      <alignment horizontal="center" vertical="center" wrapText="1"/>
    </xf>
    <xf numFmtId="9" fontId="64" fillId="0" borderId="2" xfId="38" applyNumberFormat="1" applyFont="1" applyFill="1" applyBorder="1" applyAlignment="1">
      <alignment horizontal="center" vertical="center" wrapText="1"/>
    </xf>
    <xf numFmtId="186" fontId="64" fillId="0" borderId="2" xfId="0" applyNumberFormat="1" applyFont="1" applyFill="1" applyBorder="1" applyAlignment="1">
      <alignment horizontal="center" vertical="center" wrapText="1"/>
    </xf>
    <xf numFmtId="9" fontId="64" fillId="0" borderId="3" xfId="38" applyNumberFormat="1" applyFont="1" applyFill="1" applyBorder="1" applyAlignment="1">
      <alignment horizontal="center" vertical="center" wrapText="1"/>
    </xf>
    <xf numFmtId="186" fontId="64" fillId="0" borderId="7" xfId="0" applyNumberFormat="1" applyFont="1" applyFill="1" applyBorder="1" applyAlignment="1">
      <alignment horizontal="center" vertical="center" wrapText="1"/>
    </xf>
    <xf numFmtId="9" fontId="64" fillId="6" borderId="0" xfId="0" applyNumberFormat="1" applyFont="1" applyFill="1" applyBorder="1" applyAlignment="1" applyProtection="1">
      <alignment horizontal="center" vertical="center" wrapText="1"/>
      <protection locked="0"/>
    </xf>
    <xf numFmtId="9" fontId="64" fillId="0" borderId="0" xfId="38" applyNumberFormat="1" applyFont="1" applyFill="1" applyBorder="1" applyAlignment="1" applyProtection="1">
      <alignment vertical="center" wrapText="1"/>
      <protection locked="0"/>
    </xf>
    <xf numFmtId="9" fontId="64" fillId="0" borderId="0" xfId="0" applyNumberFormat="1" applyFont="1" applyFill="1" applyBorder="1" applyAlignment="1" applyProtection="1">
      <alignment horizontal="center" vertical="center" wrapText="1"/>
      <protection locked="0"/>
    </xf>
    <xf numFmtId="1" fontId="64" fillId="0" borderId="0" xfId="0" applyNumberFormat="1" applyFont="1" applyFill="1" applyBorder="1" applyAlignment="1">
      <alignment horizontal="center" vertical="center" wrapText="1"/>
    </xf>
    <xf numFmtId="9" fontId="64" fillId="0" borderId="0" xfId="0" applyNumberFormat="1" applyFont="1" applyFill="1" applyBorder="1" applyAlignment="1">
      <alignment horizontal="center" vertical="center" wrapText="1"/>
    </xf>
    <xf numFmtId="9" fontId="63" fillId="6" borderId="0" xfId="0" applyNumberFormat="1" applyFont="1" applyFill="1" applyBorder="1" applyAlignment="1" applyProtection="1">
      <alignment horizontal="center" vertical="center" wrapText="1"/>
      <protection locked="0"/>
    </xf>
    <xf numFmtId="9" fontId="64" fillId="0" borderId="0" xfId="38" applyFont="1" applyFill="1" applyBorder="1" applyAlignment="1">
      <alignment horizontal="center" vertical="center" wrapText="1"/>
    </xf>
    <xf numFmtId="0" fontId="64" fillId="0" borderId="0" xfId="0" applyFont="1" applyFill="1" applyBorder="1" applyAlignment="1">
      <alignment horizontal="justify" vertical="justify" wrapText="1"/>
    </xf>
    <xf numFmtId="9" fontId="63" fillId="0" borderId="0" xfId="38" applyFont="1" applyFill="1" applyBorder="1" applyAlignment="1">
      <alignment horizontal="center" vertical="center" wrapText="1"/>
    </xf>
    <xf numFmtId="0" fontId="64" fillId="0" borderId="0" xfId="0" applyFont="1" applyFill="1" applyBorder="1" applyAlignment="1">
      <alignment vertical="center" wrapText="1"/>
    </xf>
    <xf numFmtId="167" fontId="64" fillId="6" borderId="0" xfId="0" applyNumberFormat="1" applyFont="1" applyFill="1" applyBorder="1" applyAlignment="1">
      <alignment horizontal="center" vertical="center" wrapText="1"/>
    </xf>
    <xf numFmtId="167" fontId="64" fillId="0" borderId="0" xfId="0" applyNumberFormat="1" applyFont="1" applyFill="1" applyBorder="1" applyAlignment="1">
      <alignment horizontal="center" vertical="center" wrapText="1"/>
    </xf>
    <xf numFmtId="185" fontId="64" fillId="0" borderId="0" xfId="0" applyNumberFormat="1" applyFont="1" applyFill="1" applyBorder="1" applyAlignment="1">
      <alignment horizontal="center" vertical="center" wrapText="1"/>
    </xf>
    <xf numFmtId="9" fontId="63" fillId="0" borderId="0" xfId="38" applyNumberFormat="1" applyFont="1" applyFill="1" applyBorder="1" applyAlignment="1">
      <alignment horizontal="center" vertical="center" wrapText="1"/>
    </xf>
    <xf numFmtId="9" fontId="64" fillId="0" borderId="0" xfId="38" applyNumberFormat="1" applyFont="1" applyFill="1" applyBorder="1" applyAlignment="1">
      <alignment horizontal="center" vertical="center" wrapText="1"/>
    </xf>
    <xf numFmtId="9" fontId="64" fillId="0" borderId="8" xfId="38" applyNumberFormat="1" applyFont="1" applyFill="1" applyBorder="1" applyAlignment="1">
      <alignment horizontal="center" vertical="center" wrapText="1"/>
    </xf>
    <xf numFmtId="166" fontId="64" fillId="0" borderId="3" xfId="39" applyNumberFormat="1" applyFont="1" applyFill="1" applyBorder="1" applyAlignment="1">
      <alignment horizontal="center" vertical="center" wrapText="1"/>
    </xf>
    <xf numFmtId="9" fontId="64" fillId="0" borderId="2" xfId="46" applyFont="1" applyFill="1" applyBorder="1" applyAlignment="1">
      <alignment horizontal="center" vertical="center" wrapText="1"/>
    </xf>
    <xf numFmtId="9" fontId="63" fillId="0" borderId="2" xfId="39" applyFont="1" applyFill="1" applyBorder="1" applyAlignment="1">
      <alignment horizontal="center" vertical="center" wrapText="1"/>
    </xf>
    <xf numFmtId="9" fontId="64" fillId="0" borderId="3" xfId="39" applyFont="1" applyFill="1" applyBorder="1" applyAlignment="1">
      <alignment horizontal="center" vertical="center" wrapText="1"/>
    </xf>
    <xf numFmtId="0" fontId="64" fillId="0" borderId="2" xfId="0" applyFont="1" applyFill="1" applyBorder="1" applyAlignment="1" applyProtection="1">
      <alignment vertical="center" wrapText="1"/>
      <protection locked="0"/>
    </xf>
    <xf numFmtId="9" fontId="64" fillId="0" borderId="7" xfId="0" applyNumberFormat="1" applyFont="1" applyFill="1" applyBorder="1" applyAlignment="1">
      <alignment horizontal="center" vertical="center" wrapText="1"/>
    </xf>
    <xf numFmtId="9" fontId="64" fillId="6" borderId="2" xfId="38" applyNumberFormat="1" applyFont="1" applyFill="1" applyBorder="1" applyAlignment="1" applyProtection="1">
      <alignment vertical="center" wrapText="1"/>
      <protection locked="0"/>
    </xf>
    <xf numFmtId="0" fontId="64" fillId="0" borderId="3" xfId="0" applyFont="1" applyFill="1" applyBorder="1" applyAlignment="1">
      <alignment vertical="center" wrapText="1"/>
    </xf>
    <xf numFmtId="3" fontId="64" fillId="0" borderId="2" xfId="0" applyNumberFormat="1" applyFont="1" applyFill="1" applyBorder="1" applyAlignment="1">
      <alignment horizontal="center" vertical="center" wrapText="1"/>
    </xf>
    <xf numFmtId="0" fontId="66" fillId="0" borderId="2" xfId="0" applyFont="1" applyFill="1" applyBorder="1" applyAlignment="1">
      <alignment vertical="center" wrapText="1"/>
    </xf>
    <xf numFmtId="0" fontId="64" fillId="0" borderId="2" xfId="0" applyFont="1" applyBorder="1" applyAlignment="1">
      <alignment horizontal="center" vertical="center" wrapText="1"/>
    </xf>
    <xf numFmtId="0" fontId="64" fillId="6" borderId="2" xfId="0" applyFont="1" applyFill="1" applyBorder="1" applyAlignment="1">
      <alignment horizontal="justify" vertical="center" wrapText="1"/>
    </xf>
    <xf numFmtId="0" fontId="64" fillId="0" borderId="2" xfId="38" applyNumberFormat="1" applyFont="1" applyBorder="1" applyAlignment="1">
      <alignment horizontal="center" vertical="center" wrapText="1"/>
    </xf>
    <xf numFmtId="2" fontId="64" fillId="0" borderId="2" xfId="0" applyNumberFormat="1" applyFont="1" applyBorder="1" applyAlignment="1">
      <alignment horizontal="center" vertical="center" wrapText="1"/>
    </xf>
    <xf numFmtId="167" fontId="64" fillId="0" borderId="2" xfId="0" applyNumberFormat="1" applyFont="1" applyBorder="1" applyAlignment="1">
      <alignment horizontal="center" vertical="center" wrapText="1"/>
    </xf>
    <xf numFmtId="3" fontId="64" fillId="0" borderId="7" xfId="0" applyNumberFormat="1" applyFont="1" applyFill="1" applyBorder="1" applyAlignment="1">
      <alignment horizontal="center" vertical="center" wrapText="1"/>
    </xf>
    <xf numFmtId="0" fontId="66" fillId="0" borderId="2" xfId="0" applyFont="1" applyFill="1" applyBorder="1" applyAlignment="1">
      <alignment horizontal="justify" vertical="center" wrapText="1"/>
    </xf>
    <xf numFmtId="0" fontId="66" fillId="0" borderId="2" xfId="0" applyFont="1" applyBorder="1" applyAlignment="1">
      <alignment horizontal="justify" vertical="center" wrapText="1"/>
    </xf>
    <xf numFmtId="0" fontId="63" fillId="6" borderId="2" xfId="0" applyFont="1" applyFill="1" applyBorder="1" applyAlignment="1">
      <alignment horizontal="center" vertical="center"/>
    </xf>
    <xf numFmtId="9" fontId="64" fillId="6" borderId="2" xfId="0" applyNumberFormat="1" applyFont="1" applyFill="1" applyBorder="1" applyAlignment="1">
      <alignment horizontal="center" vertical="center"/>
    </xf>
    <xf numFmtId="0" fontId="66" fillId="0" borderId="2" xfId="0" applyFont="1" applyBorder="1" applyAlignment="1">
      <alignment horizontal="center" vertical="center" wrapText="1"/>
    </xf>
    <xf numFmtId="9" fontId="64" fillId="0" borderId="2" xfId="39" applyFont="1" applyFill="1" applyBorder="1" applyAlignment="1" applyProtection="1">
      <alignment horizontal="center" vertical="center" wrapText="1"/>
      <protection locked="0"/>
    </xf>
    <xf numFmtId="1" fontId="64" fillId="0" borderId="6" xfId="0" applyNumberFormat="1" applyFont="1" applyFill="1" applyBorder="1" applyAlignment="1">
      <alignment horizontal="center" vertical="center" wrapText="1"/>
    </xf>
    <xf numFmtId="9" fontId="64" fillId="0" borderId="21" xfId="38" applyNumberFormat="1" applyFont="1" applyFill="1" applyBorder="1" applyAlignment="1">
      <alignment horizontal="center" vertical="center" wrapText="1"/>
    </xf>
    <xf numFmtId="9" fontId="64" fillId="0" borderId="6" xfId="38" applyFont="1" applyFill="1" applyBorder="1" applyAlignment="1">
      <alignment horizontal="center" vertical="center" wrapText="1"/>
    </xf>
    <xf numFmtId="0" fontId="64" fillId="0" borderId="21" xfId="0" applyFont="1" applyFill="1" applyBorder="1" applyAlignment="1">
      <alignment vertical="center" wrapText="1"/>
    </xf>
    <xf numFmtId="9" fontId="63" fillId="0" borderId="6" xfId="38" applyFont="1" applyFill="1" applyBorder="1" applyAlignment="1">
      <alignment horizontal="center" vertical="center" wrapText="1"/>
    </xf>
    <xf numFmtId="9" fontId="64" fillId="0" borderId="21" xfId="38" applyFont="1" applyFill="1" applyBorder="1" applyAlignment="1">
      <alignment horizontal="center" vertical="center" wrapText="1"/>
    </xf>
    <xf numFmtId="3" fontId="64" fillId="0" borderId="6" xfId="0" applyNumberFormat="1" applyFont="1" applyFill="1" applyBorder="1" applyAlignment="1">
      <alignment horizontal="center" vertical="center" wrapText="1"/>
    </xf>
    <xf numFmtId="9" fontId="63" fillId="0" borderId="6" xfId="38" applyNumberFormat="1" applyFont="1" applyFill="1" applyBorder="1" applyAlignment="1">
      <alignment horizontal="center" vertical="center" wrapText="1"/>
    </xf>
    <xf numFmtId="3" fontId="64" fillId="0" borderId="19" xfId="0" applyNumberFormat="1" applyFont="1" applyFill="1" applyBorder="1" applyAlignment="1">
      <alignment horizontal="center" vertical="center" wrapText="1"/>
    </xf>
    <xf numFmtId="175" fontId="64" fillId="0" borderId="19" xfId="0" applyNumberFormat="1" applyFont="1" applyFill="1" applyBorder="1" applyAlignment="1">
      <alignment horizontal="center" vertical="center" wrapText="1"/>
    </xf>
    <xf numFmtId="0" fontId="64" fillId="6" borderId="6" xfId="0" applyFont="1" applyFill="1" applyBorder="1" applyAlignment="1">
      <alignment vertical="center" wrapText="1"/>
    </xf>
    <xf numFmtId="176" fontId="64" fillId="6" borderId="19" xfId="0" applyNumberFormat="1" applyFont="1" applyFill="1" applyBorder="1" applyAlignment="1">
      <alignment horizontal="center" vertical="center" wrapText="1"/>
    </xf>
    <xf numFmtId="176" fontId="64" fillId="6" borderId="6" xfId="0" applyNumberFormat="1" applyFont="1" applyFill="1" applyBorder="1" applyAlignment="1">
      <alignment horizontal="center" vertical="center" wrapText="1"/>
    </xf>
    <xf numFmtId="9" fontId="63" fillId="6" borderId="6" xfId="38" applyFont="1" applyFill="1" applyBorder="1" applyAlignment="1">
      <alignment horizontal="center" vertical="center" wrapText="1"/>
    </xf>
    <xf numFmtId="9" fontId="64" fillId="6" borderId="21" xfId="38" applyFont="1" applyFill="1" applyBorder="1" applyAlignment="1">
      <alignment horizontal="center" vertical="center" wrapText="1"/>
    </xf>
    <xf numFmtId="9" fontId="64" fillId="6" borderId="6" xfId="38" applyFont="1" applyFill="1" applyBorder="1" applyAlignment="1">
      <alignment horizontal="center" vertical="center" wrapText="1"/>
    </xf>
    <xf numFmtId="176" fontId="64" fillId="11" borderId="19" xfId="0" applyNumberFormat="1" applyFont="1" applyFill="1" applyBorder="1" applyAlignment="1">
      <alignment horizontal="center" vertical="center" wrapText="1"/>
    </xf>
    <xf numFmtId="176" fontId="64" fillId="11" borderId="6" xfId="0" applyNumberFormat="1" applyFont="1" applyFill="1" applyBorder="1" applyAlignment="1">
      <alignment horizontal="center" vertical="center" wrapText="1"/>
    </xf>
    <xf numFmtId="9" fontId="63" fillId="11" borderId="6" xfId="38" applyFont="1" applyFill="1" applyBorder="1" applyAlignment="1">
      <alignment horizontal="center" vertical="center" wrapText="1"/>
    </xf>
    <xf numFmtId="9" fontId="64" fillId="11" borderId="21" xfId="38" applyFont="1" applyFill="1" applyBorder="1" applyAlignment="1">
      <alignment horizontal="center" vertical="center" wrapText="1"/>
    </xf>
    <xf numFmtId="0" fontId="64" fillId="11" borderId="6" xfId="0" applyFont="1" applyFill="1" applyBorder="1" applyAlignment="1">
      <alignment vertical="center" wrapText="1"/>
    </xf>
    <xf numFmtId="167" fontId="64" fillId="0" borderId="19" xfId="0" applyNumberFormat="1" applyFont="1" applyFill="1" applyBorder="1" applyAlignment="1">
      <alignment horizontal="center" vertical="center" wrapText="1"/>
    </xf>
    <xf numFmtId="9" fontId="64" fillId="0" borderId="19" xfId="0" applyNumberFormat="1" applyFont="1" applyFill="1" applyBorder="1" applyAlignment="1">
      <alignment horizontal="center" vertical="center" wrapText="1"/>
    </xf>
    <xf numFmtId="9" fontId="64" fillId="0" borderId="6" xfId="38" applyNumberFormat="1" applyFont="1" applyFill="1" applyBorder="1" applyAlignment="1">
      <alignment horizontal="center" vertical="center" wrapText="1"/>
    </xf>
    <xf numFmtId="0" fontId="64" fillId="6" borderId="21" xfId="0" applyFont="1" applyFill="1" applyBorder="1" applyAlignment="1">
      <alignment horizontal="center" vertical="center" wrapText="1"/>
    </xf>
    <xf numFmtId="0" fontId="63" fillId="6" borderId="6" xfId="0" applyFont="1" applyFill="1" applyBorder="1" applyAlignment="1">
      <alignment vertical="center" wrapText="1"/>
    </xf>
    <xf numFmtId="3" fontId="64" fillId="6" borderId="19" xfId="0" applyNumberFormat="1" applyFont="1" applyFill="1" applyBorder="1" applyAlignment="1">
      <alignment horizontal="center" vertical="center" wrapText="1"/>
    </xf>
    <xf numFmtId="9" fontId="64" fillId="11" borderId="6" xfId="38" applyFont="1" applyFill="1" applyBorder="1" applyAlignment="1">
      <alignment horizontal="center" vertical="center" wrapText="1"/>
    </xf>
    <xf numFmtId="0" fontId="64" fillId="11" borderId="6" xfId="27" applyFont="1" applyFill="1" applyBorder="1" applyAlignment="1">
      <alignment vertical="center" wrapText="1"/>
    </xf>
    <xf numFmtId="0" fontId="64" fillId="6" borderId="21" xfId="0" applyFont="1" applyFill="1" applyBorder="1" applyAlignment="1">
      <alignment vertical="center" wrapText="1"/>
    </xf>
    <xf numFmtId="9" fontId="64" fillId="6" borderId="21" xfId="38" applyNumberFormat="1" applyFont="1" applyFill="1" applyBorder="1" applyAlignment="1">
      <alignment horizontal="center" vertical="center" wrapText="1"/>
    </xf>
    <xf numFmtId="0" fontId="64" fillId="0" borderId="21" xfId="0" applyFont="1" applyFill="1" applyBorder="1" applyAlignment="1">
      <alignment horizontal="justify" vertical="justify" wrapText="1"/>
    </xf>
    <xf numFmtId="1" fontId="64" fillId="0" borderId="19" xfId="0" applyNumberFormat="1" applyFont="1" applyFill="1" applyBorder="1" applyAlignment="1">
      <alignment horizontal="center" vertical="center" wrapText="1"/>
    </xf>
    <xf numFmtId="167" fontId="64" fillId="0" borderId="6" xfId="0" applyNumberFormat="1" applyFont="1" applyFill="1" applyBorder="1" applyAlignment="1">
      <alignment horizontal="center" vertical="center" wrapText="1"/>
    </xf>
    <xf numFmtId="0" fontId="114" fillId="0" borderId="6" xfId="0" applyFont="1" applyFill="1" applyBorder="1" applyAlignment="1">
      <alignment horizontal="justify" vertical="justify" wrapText="1"/>
    </xf>
    <xf numFmtId="0" fontId="114" fillId="0" borderId="21" xfId="0" applyFont="1" applyFill="1" applyBorder="1" applyAlignment="1">
      <alignment horizontal="justify" vertical="justify" wrapText="1"/>
    </xf>
    <xf numFmtId="0" fontId="114" fillId="0" borderId="2" xfId="0" applyFont="1" applyFill="1" applyBorder="1" applyAlignment="1">
      <alignment horizontal="justify" vertical="justify" wrapText="1"/>
    </xf>
    <xf numFmtId="9" fontId="64" fillId="0" borderId="2" xfId="0" applyNumberFormat="1" applyFont="1" applyFill="1" applyBorder="1" applyAlignment="1" applyProtection="1">
      <alignment vertical="center" wrapText="1"/>
      <protection locked="0"/>
    </xf>
    <xf numFmtId="9" fontId="64" fillId="23" borderId="2" xfId="0" applyNumberFormat="1" applyFont="1" applyFill="1" applyBorder="1" applyAlignment="1" applyProtection="1">
      <alignment vertical="center" wrapText="1"/>
      <protection locked="0"/>
    </xf>
    <xf numFmtId="0" fontId="114" fillId="0" borderId="2" xfId="0" applyFont="1" applyBorder="1" applyAlignment="1">
      <alignment horizontal="justify" vertical="justify" wrapText="1"/>
    </xf>
    <xf numFmtId="0" fontId="115" fillId="0" borderId="2" xfId="0" applyFont="1" applyBorder="1" applyAlignment="1">
      <alignment horizontal="left" vertical="center" wrapText="1"/>
    </xf>
    <xf numFmtId="0" fontId="115" fillId="0" borderId="2" xfId="0" applyFont="1" applyBorder="1" applyAlignment="1">
      <alignment horizontal="justify" vertical="justify" wrapText="1"/>
    </xf>
    <xf numFmtId="186" fontId="64" fillId="0" borderId="19" xfId="0" applyNumberFormat="1" applyFont="1" applyFill="1" applyBorder="1" applyAlignment="1">
      <alignment horizontal="center" vertical="center" wrapText="1"/>
    </xf>
    <xf numFmtId="186" fontId="64" fillId="0" borderId="6" xfId="0" applyNumberFormat="1" applyFont="1" applyFill="1" applyBorder="1" applyAlignment="1">
      <alignment horizontal="center" vertical="center" wrapText="1"/>
    </xf>
    <xf numFmtId="0" fontId="114" fillId="0" borderId="3" xfId="0" applyFont="1" applyBorder="1" applyAlignment="1">
      <alignment horizontal="left" vertical="center" wrapText="1"/>
    </xf>
    <xf numFmtId="0" fontId="114" fillId="0" borderId="2" xfId="0" applyFont="1" applyBorder="1" applyAlignment="1">
      <alignment horizontal="center" vertical="justify" wrapText="1"/>
    </xf>
    <xf numFmtId="0" fontId="64" fillId="0" borderId="7"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center" vertical="top" wrapText="1"/>
      <protection locked="0"/>
    </xf>
    <xf numFmtId="0" fontId="64" fillId="0" borderId="2" xfId="0" applyFont="1" applyFill="1" applyBorder="1" applyAlignment="1">
      <alignment horizontal="left" vertical="center" wrapText="1"/>
    </xf>
    <xf numFmtId="0" fontId="64" fillId="0" borderId="2" xfId="0" applyFont="1" applyFill="1" applyBorder="1" applyAlignment="1">
      <alignment horizontal="justify" vertical="center" wrapText="1"/>
    </xf>
    <xf numFmtId="0" fontId="64" fillId="0" borderId="2" xfId="0" applyFont="1" applyBorder="1" applyAlignment="1">
      <alignment horizontal="justify" vertical="center" wrapText="1"/>
    </xf>
    <xf numFmtId="9" fontId="64" fillId="0" borderId="2" xfId="39" applyFont="1" applyFill="1" applyBorder="1" applyAlignment="1">
      <alignment horizontal="center" vertical="center" wrapText="1"/>
    </xf>
    <xf numFmtId="0" fontId="64" fillId="0" borderId="2" xfId="27" applyFont="1" applyBorder="1" applyAlignment="1">
      <alignment horizontal="justify" vertical="center" wrapText="1"/>
    </xf>
    <xf numFmtId="9" fontId="63" fillId="0" borderId="2" xfId="38" applyFont="1" applyBorder="1" applyAlignment="1">
      <alignment horizontal="center" vertical="center" wrapText="1"/>
    </xf>
    <xf numFmtId="9" fontId="64" fillId="0" borderId="2" xfId="38" applyFont="1" applyBorder="1" applyAlignment="1">
      <alignment horizontal="center" vertical="center" wrapText="1"/>
    </xf>
    <xf numFmtId="0" fontId="64" fillId="0" borderId="6" xfId="27" applyFont="1" applyBorder="1" applyAlignment="1">
      <alignment horizontal="justify" vertical="center" wrapText="1"/>
    </xf>
    <xf numFmtId="0" fontId="64" fillId="0" borderId="6" xfId="0" applyFont="1" applyFill="1" applyBorder="1" applyAlignment="1">
      <alignment horizontal="justify" vertical="center" wrapText="1"/>
    </xf>
    <xf numFmtId="0" fontId="64" fillId="0" borderId="0" xfId="0" applyNumberFormat="1" applyFont="1" applyFill="1" applyBorder="1" applyAlignment="1" applyProtection="1">
      <alignment horizontal="center" vertical="center" wrapText="1"/>
      <protection locked="0"/>
    </xf>
    <xf numFmtId="0" fontId="64" fillId="0" borderId="0" xfId="38" applyNumberFormat="1" applyFont="1" applyFill="1" applyBorder="1" applyAlignment="1" applyProtection="1">
      <alignment horizontal="center" vertical="center" wrapText="1"/>
      <protection locked="0"/>
    </xf>
    <xf numFmtId="9" fontId="64" fillId="0" borderId="0" xfId="38" applyNumberFormat="1" applyFont="1" applyFill="1" applyBorder="1" applyAlignment="1" applyProtection="1">
      <alignment horizontal="center" vertical="center" wrapText="1"/>
      <protection locked="0"/>
    </xf>
    <xf numFmtId="9" fontId="64" fillId="0" borderId="0" xfId="38"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0" fontId="2" fillId="0" borderId="0" xfId="30"/>
    <xf numFmtId="0" fontId="6" fillId="0" borderId="21" xfId="0" applyFont="1" applyBorder="1" applyAlignment="1" applyProtection="1">
      <alignment vertical="center" wrapText="1"/>
      <protection locked="0"/>
    </xf>
    <xf numFmtId="17" fontId="3" fillId="11" borderId="4" xfId="0" applyNumberFormat="1" applyFont="1" applyFill="1" applyBorder="1" applyAlignment="1">
      <alignment horizontal="center" vertical="center" wrapText="1"/>
    </xf>
    <xf numFmtId="0" fontId="16"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16" fillId="0" borderId="5" xfId="30" applyFont="1" applyBorder="1" applyAlignment="1">
      <alignment horizontal="center" vertical="center" wrapText="1"/>
    </xf>
    <xf numFmtId="0" fontId="3" fillId="0" borderId="5" xfId="30" applyFont="1" applyBorder="1" applyAlignment="1">
      <alignment horizontal="center" vertical="center" wrapText="1"/>
    </xf>
    <xf numFmtId="0" fontId="16" fillId="0" borderId="0" xfId="30" applyFont="1" applyBorder="1" applyAlignment="1">
      <alignment horizontal="center" vertical="center" wrapText="1"/>
    </xf>
    <xf numFmtId="0" fontId="23" fillId="0" borderId="2" xfId="30" applyFont="1" applyBorder="1" applyAlignment="1">
      <alignment horizontal="center" vertical="center" wrapText="1"/>
    </xf>
    <xf numFmtId="0" fontId="3" fillId="0" borderId="6" xfId="30" applyFont="1" applyBorder="1" applyAlignment="1">
      <alignment horizontal="center" vertical="center" wrapText="1"/>
    </xf>
    <xf numFmtId="0" fontId="8" fillId="0" borderId="20" xfId="0"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9" fontId="8" fillId="0" borderId="2" xfId="38" applyFont="1" applyBorder="1" applyAlignment="1" applyProtection="1">
      <alignment vertical="center" wrapText="1"/>
      <protection locked="0"/>
    </xf>
    <xf numFmtId="0" fontId="8" fillId="0" borderId="25" xfId="0" applyFont="1" applyBorder="1" applyAlignment="1" applyProtection="1">
      <alignment horizontal="justify" vertical="center" wrapText="1"/>
      <protection locked="0"/>
    </xf>
    <xf numFmtId="0" fontId="8" fillId="0" borderId="25" xfId="0" applyFont="1" applyBorder="1" applyAlignment="1" applyProtection="1">
      <alignment vertical="center" wrapText="1"/>
      <protection locked="0"/>
    </xf>
    <xf numFmtId="167" fontId="8" fillId="0" borderId="7" xfId="30" applyNumberFormat="1" applyFont="1" applyBorder="1" applyAlignment="1">
      <alignment horizontal="center" vertical="center" wrapText="1"/>
    </xf>
    <xf numFmtId="167" fontId="8" fillId="0" borderId="2" xfId="30" applyNumberFormat="1" applyFont="1" applyBorder="1" applyAlignment="1">
      <alignment horizontal="center" vertical="center" wrapText="1"/>
    </xf>
    <xf numFmtId="9" fontId="16" fillId="4" borderId="2" xfId="38" applyFont="1" applyFill="1" applyBorder="1" applyAlignment="1">
      <alignment horizontal="center" vertical="center" wrapText="1"/>
    </xf>
    <xf numFmtId="9" fontId="8" fillId="4" borderId="2" xfId="38" applyFont="1" applyFill="1" applyBorder="1" applyAlignment="1">
      <alignment horizontal="center" vertical="center" wrapText="1"/>
    </xf>
    <xf numFmtId="0" fontId="8" fillId="0" borderId="2" xfId="30" applyFont="1" applyBorder="1" applyAlignment="1">
      <alignment vertical="center" wrapText="1"/>
    </xf>
    <xf numFmtId="0" fontId="8" fillId="0" borderId="25" xfId="0" applyFont="1" applyBorder="1" applyAlignment="1" applyProtection="1">
      <alignment horizontal="center" vertical="center" wrapText="1"/>
      <protection locked="0"/>
    </xf>
    <xf numFmtId="9" fontId="8" fillId="0" borderId="2" xfId="38" applyFont="1" applyBorder="1" applyAlignment="1" applyProtection="1">
      <alignment vertical="center" wrapText="1"/>
    </xf>
    <xf numFmtId="0" fontId="14" fillId="4" borderId="4" xfId="0" applyFont="1" applyFill="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9" fontId="8" fillId="0" borderId="2" xfId="0" applyNumberFormat="1" applyFont="1" applyBorder="1" applyAlignment="1" applyProtection="1">
      <alignment vertical="center" wrapText="1"/>
      <protection locked="0"/>
    </xf>
    <xf numFmtId="0" fontId="2" fillId="0" borderId="20" xfId="0" applyFont="1" applyBorder="1" applyAlignment="1" applyProtection="1">
      <alignment vertical="center" wrapText="1"/>
      <protection locked="0"/>
    </xf>
    <xf numFmtId="9" fontId="2" fillId="0" borderId="2" xfId="38" applyFont="1" applyBorder="1" applyAlignment="1" applyProtection="1">
      <alignment vertical="center" wrapText="1"/>
      <protection locked="0"/>
    </xf>
    <xf numFmtId="9" fontId="2" fillId="0" borderId="2" xfId="0" applyNumberFormat="1" applyFont="1" applyBorder="1" applyAlignment="1" applyProtection="1">
      <alignment vertical="center" wrapText="1"/>
      <protection locked="0"/>
    </xf>
    <xf numFmtId="0" fontId="6" fillId="0" borderId="25" xfId="0" applyFont="1" applyBorder="1" applyAlignment="1" applyProtection="1">
      <alignment vertical="center" wrapText="1"/>
      <protection locked="0"/>
    </xf>
    <xf numFmtId="0" fontId="8" fillId="0" borderId="2" xfId="27" applyFont="1" applyBorder="1" applyAlignment="1">
      <alignment horizontal="justify" vertical="center" wrapText="1"/>
    </xf>
    <xf numFmtId="9" fontId="16" fillId="0" borderId="2" xfId="38" applyFont="1" applyBorder="1" applyAlignment="1">
      <alignment horizontal="center" vertical="center" wrapText="1"/>
    </xf>
    <xf numFmtId="0" fontId="8" fillId="6" borderId="2" xfId="0" applyFont="1" applyFill="1" applyBorder="1" applyAlignment="1">
      <alignment horizontal="justify" vertical="center" wrapText="1"/>
    </xf>
    <xf numFmtId="0" fontId="8" fillId="0" borderId="2" xfId="0" applyFont="1" applyBorder="1" applyAlignment="1">
      <alignment horizontal="center" vertical="center" wrapText="1"/>
    </xf>
    <xf numFmtId="9" fontId="8" fillId="0" borderId="2" xfId="38" applyFont="1" applyBorder="1" applyAlignment="1">
      <alignment horizontal="center" vertical="center" wrapText="1"/>
    </xf>
    <xf numFmtId="0" fontId="8" fillId="0" borderId="26" xfId="0" applyFont="1" applyBorder="1" applyAlignment="1" applyProtection="1">
      <alignment vertical="center" wrapText="1"/>
      <protection locked="0"/>
    </xf>
    <xf numFmtId="0" fontId="8" fillId="0" borderId="27" xfId="0" applyFont="1" applyBorder="1" applyAlignment="1" applyProtection="1">
      <alignment vertical="center" wrapText="1"/>
      <protection locked="0"/>
    </xf>
    <xf numFmtId="9" fontId="8" fillId="0" borderId="27" xfId="38" applyFont="1" applyBorder="1" applyAlignment="1" applyProtection="1">
      <alignment vertical="center" wrapText="1"/>
      <protection locked="0"/>
    </xf>
    <xf numFmtId="0" fontId="8" fillId="0" borderId="25" xfId="0" applyFont="1" applyBorder="1" applyAlignment="1" applyProtection="1">
      <alignment horizontal="left" vertical="center" wrapText="1"/>
      <protection locked="0"/>
    </xf>
    <xf numFmtId="0" fontId="2" fillId="0" borderId="26" xfId="0" applyFont="1" applyBorder="1" applyAlignment="1" applyProtection="1">
      <alignment vertical="center" wrapText="1"/>
      <protection locked="0"/>
    </xf>
    <xf numFmtId="0" fontId="2" fillId="0" borderId="27" xfId="0" applyFont="1" applyBorder="1" applyAlignment="1" applyProtection="1">
      <alignment vertical="center" wrapText="1"/>
      <protection locked="0"/>
    </xf>
    <xf numFmtId="9" fontId="2" fillId="0" borderId="27" xfId="38" applyFont="1" applyBorder="1" applyAlignment="1" applyProtection="1">
      <alignment vertical="center" wrapText="1"/>
      <protection locked="0"/>
    </xf>
    <xf numFmtId="9" fontId="16" fillId="6" borderId="2" xfId="38" applyFont="1" applyFill="1" applyBorder="1" applyAlignment="1">
      <alignment horizontal="center" vertical="center" wrapText="1"/>
    </xf>
    <xf numFmtId="0" fontId="68" fillId="6" borderId="2" xfId="0" applyFont="1" applyFill="1" applyBorder="1" applyAlignment="1">
      <alignment horizontal="justify" vertical="center" wrapText="1"/>
    </xf>
    <xf numFmtId="0" fontId="68" fillId="6" borderId="2" xfId="0" applyFont="1" applyFill="1" applyBorder="1" applyAlignment="1">
      <alignment horizontal="center" vertical="center" wrapText="1"/>
    </xf>
    <xf numFmtId="9" fontId="68" fillId="6" borderId="2" xfId="38" applyFont="1" applyFill="1" applyBorder="1" applyAlignment="1">
      <alignment horizontal="center" vertical="center" wrapText="1"/>
    </xf>
    <xf numFmtId="9" fontId="69" fillId="6" borderId="2" xfId="38" applyFont="1" applyFill="1" applyBorder="1" applyAlignment="1">
      <alignment horizontal="center" vertical="center" wrapText="1"/>
    </xf>
    <xf numFmtId="9" fontId="68" fillId="6" borderId="27" xfId="38" applyFont="1" applyFill="1" applyBorder="1" applyAlignment="1" applyProtection="1">
      <alignment vertical="center" wrapText="1"/>
      <protection locked="0"/>
    </xf>
    <xf numFmtId="9" fontId="2" fillId="6" borderId="27" xfId="38" applyFont="1" applyFill="1" applyBorder="1" applyAlignment="1" applyProtection="1">
      <alignment vertical="center" wrapText="1"/>
      <protection locked="0"/>
    </xf>
    <xf numFmtId="0" fontId="8" fillId="0" borderId="2" xfId="0" applyFont="1" applyBorder="1" applyAlignment="1">
      <alignment vertical="center" wrapText="1"/>
    </xf>
    <xf numFmtId="0" fontId="6" fillId="0" borderId="20" xfId="0" applyFont="1" applyBorder="1" applyAlignment="1" applyProtection="1">
      <alignment vertical="center" wrapText="1"/>
      <protection locked="0"/>
    </xf>
    <xf numFmtId="9" fontId="6" fillId="0" borderId="2" xfId="38" applyFont="1" applyBorder="1" applyAlignment="1" applyProtection="1">
      <alignment vertical="center" wrapText="1"/>
      <protection locked="0"/>
    </xf>
    <xf numFmtId="0" fontId="8" fillId="6" borderId="2" xfId="0" applyFont="1" applyFill="1" applyBorder="1" applyAlignment="1">
      <alignment vertical="center" wrapText="1"/>
    </xf>
    <xf numFmtId="0" fontId="68" fillId="6" borderId="2" xfId="0" applyFont="1" applyFill="1" applyBorder="1" applyAlignment="1">
      <alignment horizontal="center" vertical="center"/>
    </xf>
    <xf numFmtId="1" fontId="68" fillId="6" borderId="2" xfId="0" applyNumberFormat="1" applyFont="1" applyFill="1" applyBorder="1" applyAlignment="1">
      <alignment horizontal="center" vertical="center" wrapText="1"/>
    </xf>
    <xf numFmtId="9" fontId="68" fillId="6" borderId="2" xfId="0" applyNumberFormat="1" applyFont="1" applyFill="1" applyBorder="1" applyAlignment="1">
      <alignment horizontal="center" vertical="center"/>
    </xf>
    <xf numFmtId="0" fontId="68" fillId="0" borderId="2" xfId="0" applyFont="1" applyBorder="1" applyAlignment="1">
      <alignment horizontal="justify" vertical="center" wrapText="1"/>
    </xf>
    <xf numFmtId="9" fontId="2" fillId="6" borderId="2" xfId="0" applyNumberFormat="1" applyFont="1" applyFill="1" applyBorder="1" applyAlignment="1">
      <alignment horizontal="center" vertical="center"/>
    </xf>
    <xf numFmtId="0" fontId="16" fillId="6" borderId="2" xfId="0" applyFont="1" applyFill="1" applyBorder="1" applyAlignment="1">
      <alignment horizontal="center" vertical="center"/>
    </xf>
    <xf numFmtId="167" fontId="8" fillId="6" borderId="2" xfId="0" applyNumberFormat="1" applyFont="1" applyFill="1" applyBorder="1" applyAlignment="1">
      <alignment horizontal="center" vertical="center" wrapText="1"/>
    </xf>
    <xf numFmtId="9" fontId="8" fillId="6" borderId="2" xfId="38" applyFont="1" applyFill="1" applyBorder="1" applyAlignment="1">
      <alignment horizontal="center" vertical="center" wrapText="1"/>
    </xf>
    <xf numFmtId="9" fontId="8" fillId="6" borderId="2" xfId="0" applyNumberFormat="1" applyFont="1" applyFill="1" applyBorder="1" applyAlignment="1">
      <alignment horizontal="center" vertical="center"/>
    </xf>
    <xf numFmtId="0" fontId="39" fillId="6" borderId="2" xfId="0" applyFont="1" applyFill="1" applyBorder="1" applyAlignment="1">
      <alignment horizontal="justify" vertical="center" wrapText="1"/>
    </xf>
    <xf numFmtId="0" fontId="8" fillId="0" borderId="2" xfId="0" applyFont="1" applyBorder="1" applyAlignment="1" applyProtection="1">
      <alignment horizontal="center" vertical="center" wrapText="1"/>
      <protection locked="0"/>
    </xf>
    <xf numFmtId="0" fontId="8" fillId="6" borderId="3" xfId="0" applyNumberFormat="1" applyFont="1" applyFill="1" applyBorder="1" applyAlignment="1" applyProtection="1">
      <alignment horizontal="center" vertical="center" wrapText="1"/>
      <protection locked="0"/>
    </xf>
    <xf numFmtId="0" fontId="8" fillId="0" borderId="28" xfId="0" applyFont="1" applyBorder="1" applyAlignment="1" applyProtection="1">
      <alignment vertical="center" wrapText="1"/>
      <protection locked="0"/>
    </xf>
    <xf numFmtId="0" fontId="8" fillId="6" borderId="2" xfId="27" applyFont="1" applyFill="1" applyBorder="1" applyAlignment="1">
      <alignment horizontal="justify" vertical="center" wrapText="1"/>
    </xf>
    <xf numFmtId="0" fontId="8" fillId="0" borderId="0" xfId="0" applyFont="1" applyAlignment="1" applyProtection="1">
      <alignment vertical="center" wrapText="1"/>
      <protection locked="0"/>
    </xf>
    <xf numFmtId="0" fontId="72" fillId="0" borderId="0" xfId="0" applyFont="1" applyBorder="1" applyAlignment="1">
      <alignment vertical="top" wrapText="1"/>
    </xf>
    <xf numFmtId="0" fontId="72" fillId="24" borderId="0" xfId="0" applyFont="1" applyFill="1" applyBorder="1" applyAlignment="1">
      <alignment vertical="top" wrapText="1"/>
    </xf>
    <xf numFmtId="0" fontId="72" fillId="0" borderId="0" xfId="0" applyFont="1" applyBorder="1" applyAlignment="1">
      <alignment vertical="center" wrapText="1"/>
    </xf>
    <xf numFmtId="0" fontId="72" fillId="24" borderId="0" xfId="0" applyFont="1" applyFill="1" applyBorder="1" applyAlignment="1">
      <alignment vertical="center" wrapText="1"/>
    </xf>
    <xf numFmtId="0" fontId="71" fillId="0" borderId="0" xfId="0" applyFont="1" applyBorder="1" applyAlignment="1">
      <alignment vertical="center" wrapText="1"/>
    </xf>
    <xf numFmtId="0" fontId="72" fillId="0" borderId="42" xfId="0" applyFont="1" applyBorder="1" applyAlignment="1">
      <alignment vertical="center" wrapText="1"/>
    </xf>
    <xf numFmtId="0" fontId="72" fillId="0" borderId="42" xfId="0" applyFont="1" applyBorder="1" applyAlignment="1">
      <alignment horizontal="center" vertical="center" wrapText="1"/>
    </xf>
    <xf numFmtId="9" fontId="72" fillId="0" borderId="42" xfId="0" applyNumberFormat="1" applyFont="1" applyBorder="1" applyAlignment="1">
      <alignment horizontal="center" vertical="center" wrapText="1"/>
    </xf>
    <xf numFmtId="167" fontId="72" fillId="0" borderId="42" xfId="0" applyNumberFormat="1" applyFont="1" applyBorder="1" applyAlignment="1">
      <alignment horizontal="center" vertical="center" wrapText="1"/>
    </xf>
    <xf numFmtId="9" fontId="71" fillId="25" borderId="42" xfId="0" applyNumberFormat="1" applyFont="1" applyFill="1" applyBorder="1" applyAlignment="1">
      <alignment horizontal="center" vertical="center" wrapText="1"/>
    </xf>
    <xf numFmtId="9" fontId="72" fillId="25" borderId="42" xfId="0" applyNumberFormat="1" applyFont="1" applyFill="1" applyBorder="1" applyAlignment="1">
      <alignment horizontal="center" vertical="center" wrapText="1"/>
    </xf>
    <xf numFmtId="167" fontId="72" fillId="24" borderId="42" xfId="0" applyNumberFormat="1" applyFont="1" applyFill="1" applyBorder="1" applyAlignment="1">
      <alignment horizontal="center" vertical="center" wrapText="1"/>
    </xf>
    <xf numFmtId="9" fontId="71" fillId="24" borderId="42" xfId="0" applyNumberFormat="1" applyFont="1" applyFill="1" applyBorder="1" applyAlignment="1">
      <alignment horizontal="center" vertical="center" wrapText="1"/>
    </xf>
    <xf numFmtId="9" fontId="72" fillId="24" borderId="42" xfId="0" applyNumberFormat="1" applyFont="1" applyFill="1" applyBorder="1" applyAlignment="1">
      <alignment horizontal="center" vertical="center" wrapText="1"/>
    </xf>
    <xf numFmtId="0" fontId="72" fillId="24" borderId="42" xfId="0" applyFont="1" applyFill="1" applyBorder="1" applyAlignment="1">
      <alignment vertical="center" wrapText="1"/>
    </xf>
    <xf numFmtId="166" fontId="71" fillId="24" borderId="42" xfId="0" applyNumberFormat="1" applyFont="1" applyFill="1" applyBorder="1" applyAlignment="1">
      <alignment horizontal="center" vertical="center" wrapText="1"/>
    </xf>
    <xf numFmtId="166" fontId="72" fillId="24" borderId="42" xfId="0" applyNumberFormat="1" applyFont="1" applyFill="1" applyBorder="1" applyAlignment="1">
      <alignment horizontal="center" vertical="center" wrapText="1"/>
    </xf>
    <xf numFmtId="0" fontId="14" fillId="24" borderId="42" xfId="0" applyFont="1" applyFill="1" applyBorder="1" applyAlignment="1">
      <alignment vertical="center" wrapText="1"/>
    </xf>
    <xf numFmtId="0" fontId="116" fillId="0" borderId="0" xfId="0" applyFont="1" applyBorder="1" applyAlignment="1">
      <alignment horizontal="left" vertical="top"/>
    </xf>
    <xf numFmtId="0" fontId="72" fillId="24" borderId="42" xfId="0" applyFont="1" applyFill="1" applyBorder="1" applyAlignment="1">
      <alignment horizontal="center" vertical="center" wrapText="1"/>
    </xf>
    <xf numFmtId="0" fontId="72" fillId="24" borderId="42" xfId="0" applyFont="1" applyFill="1" applyBorder="1" applyAlignment="1">
      <alignment horizontal="left" vertical="center" wrapText="1"/>
    </xf>
    <xf numFmtId="9" fontId="72" fillId="24" borderId="42" xfId="0" applyNumberFormat="1" applyFont="1" applyFill="1" applyBorder="1" applyAlignment="1">
      <alignment horizontal="left" vertical="center" wrapText="1"/>
    </xf>
    <xf numFmtId="0" fontId="72" fillId="0" borderId="42" xfId="0" applyFont="1" applyBorder="1" applyAlignment="1">
      <alignment wrapText="1"/>
    </xf>
    <xf numFmtId="9" fontId="72" fillId="0" borderId="42" xfId="0" applyNumberFormat="1" applyFont="1" applyBorder="1" applyAlignment="1">
      <alignment wrapText="1"/>
    </xf>
    <xf numFmtId="9" fontId="13" fillId="24" borderId="42" xfId="38" applyNumberFormat="1" applyFont="1" applyFill="1" applyBorder="1" applyAlignment="1">
      <alignment horizontal="center" vertical="center" wrapText="1"/>
    </xf>
    <xf numFmtId="9" fontId="72" fillId="24" borderId="42" xfId="38" applyFont="1" applyFill="1" applyBorder="1" applyAlignment="1">
      <alignment horizontal="center" vertical="center" wrapText="1"/>
    </xf>
    <xf numFmtId="9" fontId="72" fillId="0" borderId="42" xfId="0" applyNumberFormat="1" applyFont="1" applyBorder="1" applyAlignment="1">
      <alignment vertical="center" wrapText="1"/>
    </xf>
    <xf numFmtId="10" fontId="72" fillId="0" borderId="42" xfId="0" applyNumberFormat="1" applyFont="1" applyBorder="1" applyAlignment="1">
      <alignment vertical="center" wrapText="1"/>
    </xf>
    <xf numFmtId="187" fontId="72" fillId="0" borderId="42" xfId="0" applyNumberFormat="1" applyFont="1" applyBorder="1" applyAlignment="1">
      <alignment vertical="center" wrapText="1"/>
    </xf>
    <xf numFmtId="44" fontId="72" fillId="0" borderId="0" xfId="17" applyFont="1" applyBorder="1" applyAlignment="1">
      <alignment vertical="center" wrapText="1"/>
    </xf>
    <xf numFmtId="0" fontId="72" fillId="0" borderId="43" xfId="0" applyFont="1" applyBorder="1" applyAlignment="1">
      <alignment vertical="center" wrapText="1"/>
    </xf>
    <xf numFmtId="0" fontId="72" fillId="0" borderId="44" xfId="0" applyFont="1" applyBorder="1" applyAlignment="1">
      <alignment horizontal="center" vertical="center" wrapText="1"/>
    </xf>
    <xf numFmtId="0" fontId="72" fillId="24" borderId="44" xfId="0" applyFont="1" applyFill="1" applyBorder="1" applyAlignment="1">
      <alignment horizontal="center" vertical="center" wrapText="1"/>
    </xf>
    <xf numFmtId="0" fontId="72" fillId="0" borderId="2" xfId="0" applyFont="1" applyBorder="1" applyAlignment="1">
      <alignment horizontal="center" vertical="center" wrapText="1"/>
    </xf>
    <xf numFmtId="0" fontId="72" fillId="0" borderId="2" xfId="0" applyFont="1" applyBorder="1" applyAlignment="1">
      <alignment horizontal="left" vertical="center" wrapText="1"/>
    </xf>
    <xf numFmtId="0" fontId="72" fillId="24" borderId="2" xfId="0" applyFont="1" applyFill="1" applyBorder="1" applyAlignment="1">
      <alignment horizontal="center" vertical="center" wrapText="1"/>
    </xf>
    <xf numFmtId="0" fontId="72" fillId="24" borderId="2" xfId="0" applyFont="1" applyFill="1" applyBorder="1" applyAlignment="1">
      <alignment horizontal="left" vertical="center" wrapText="1"/>
    </xf>
    <xf numFmtId="0" fontId="72" fillId="0" borderId="6" xfId="0" applyFont="1" applyBorder="1" applyAlignment="1">
      <alignment horizontal="center" vertical="center" wrapText="1"/>
    </xf>
    <xf numFmtId="0" fontId="72" fillId="0" borderId="6" xfId="0" applyFont="1" applyBorder="1" applyAlignment="1">
      <alignment horizontal="left" vertical="center" wrapText="1"/>
    </xf>
    <xf numFmtId="0" fontId="72" fillId="0" borderId="45" xfId="0" applyFont="1" applyBorder="1" applyAlignment="1">
      <alignment horizontal="center" vertical="center" wrapText="1"/>
    </xf>
    <xf numFmtId="0" fontId="71" fillId="26" borderId="45" xfId="0" applyFont="1" applyFill="1" applyBorder="1" applyAlignment="1">
      <alignment horizontal="center" vertical="center" wrapText="1"/>
    </xf>
    <xf numFmtId="0" fontId="71" fillId="26" borderId="46" xfId="0" applyFont="1" applyFill="1" applyBorder="1" applyAlignment="1">
      <alignment horizontal="center" vertical="center" wrapText="1"/>
    </xf>
    <xf numFmtId="0" fontId="72" fillId="0" borderId="46" xfId="0" applyFont="1" applyBorder="1" applyAlignment="1">
      <alignment horizontal="center" vertical="center" wrapText="1"/>
    </xf>
    <xf numFmtId="0" fontId="71" fillId="0" borderId="46" xfId="0" applyFont="1" applyBorder="1" applyAlignment="1">
      <alignment horizontal="center" vertical="center" wrapText="1"/>
    </xf>
    <xf numFmtId="0" fontId="71" fillId="24" borderId="46" xfId="0" applyFont="1" applyFill="1" applyBorder="1" applyAlignment="1">
      <alignment horizontal="center" vertical="center" wrapText="1"/>
    </xf>
    <xf numFmtId="0" fontId="72" fillId="0" borderId="2" xfId="0" applyFont="1" applyBorder="1" applyAlignment="1">
      <alignment vertical="center" wrapText="1"/>
    </xf>
    <xf numFmtId="0" fontId="71" fillId="0" borderId="43" xfId="0" applyFont="1" applyBorder="1" applyAlignment="1">
      <alignment horizontal="center" vertical="center" wrapText="1"/>
    </xf>
    <xf numFmtId="0" fontId="71" fillId="0" borderId="47" xfId="0" applyFont="1" applyBorder="1" applyAlignment="1">
      <alignment vertical="top" wrapText="1"/>
    </xf>
    <xf numFmtId="0" fontId="72" fillId="0" borderId="48" xfId="0" applyFont="1" applyBorder="1" applyAlignment="1">
      <alignment vertical="center" wrapText="1"/>
    </xf>
    <xf numFmtId="0" fontId="8" fillId="0" borderId="9" xfId="0" applyNumberFormat="1"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 fillId="6" borderId="9" xfId="0" applyNumberFormat="1" applyFont="1" applyFill="1" applyBorder="1" applyAlignment="1" applyProtection="1">
      <alignment horizontal="center" vertical="center" wrapText="1"/>
      <protection locked="0"/>
    </xf>
    <xf numFmtId="0" fontId="8" fillId="0" borderId="9" xfId="38" applyNumberFormat="1" applyFont="1" applyFill="1" applyBorder="1" applyAlignment="1" applyProtection="1">
      <alignment horizontal="center" vertical="center" wrapText="1"/>
      <protection locked="0"/>
    </xf>
    <xf numFmtId="9" fontId="8" fillId="0" borderId="9" xfId="38" applyFont="1" applyFill="1" applyBorder="1" applyAlignment="1" applyProtection="1">
      <alignment vertical="center" wrapText="1"/>
      <protection locked="0"/>
    </xf>
    <xf numFmtId="9" fontId="8" fillId="10" borderId="9" xfId="38" applyFont="1" applyFill="1" applyBorder="1" applyAlignment="1" applyProtection="1">
      <alignment vertical="center" wrapText="1"/>
      <protection locked="0"/>
    </xf>
    <xf numFmtId="0" fontId="2" fillId="0" borderId="10" xfId="0" applyFont="1" applyBorder="1" applyAlignment="1" applyProtection="1">
      <alignment vertical="center" wrapText="1"/>
      <protection locked="0"/>
    </xf>
    <xf numFmtId="9" fontId="8" fillId="6" borderId="2" xfId="38" applyFont="1" applyFill="1" applyBorder="1" applyAlignment="1" applyProtection="1">
      <alignment vertical="center" wrapText="1"/>
      <protection locked="0"/>
    </xf>
    <xf numFmtId="9" fontId="8" fillId="22" borderId="2" xfId="38" applyFont="1" applyFill="1" applyBorder="1" applyAlignment="1" applyProtection="1">
      <alignment vertical="center" wrapText="1"/>
      <protection locked="0"/>
    </xf>
    <xf numFmtId="0" fontId="8" fillId="22" borderId="2" xfId="38" applyNumberFormat="1" applyFont="1" applyFill="1" applyBorder="1" applyAlignment="1" applyProtection="1">
      <alignment horizontal="center" vertical="center" wrapText="1"/>
      <protection locked="0"/>
    </xf>
    <xf numFmtId="0" fontId="8" fillId="10" borderId="2" xfId="38" applyNumberFormat="1" applyFont="1" applyFill="1" applyBorder="1" applyAlignment="1" applyProtection="1">
      <alignment horizontal="center" vertical="center" wrapText="1"/>
      <protection locked="0"/>
    </xf>
    <xf numFmtId="9" fontId="8" fillId="22" borderId="2" xfId="38" applyFont="1" applyFill="1" applyBorder="1" applyAlignment="1" applyProtection="1">
      <alignment horizontal="center" vertical="center" wrapText="1"/>
      <protection locked="0"/>
    </xf>
    <xf numFmtId="9" fontId="8" fillId="10" borderId="2" xfId="38" applyFont="1" applyFill="1" applyBorder="1" applyAlignment="1" applyProtection="1">
      <alignment horizontal="center" vertical="center" wrapText="1"/>
      <protection locked="0"/>
    </xf>
    <xf numFmtId="0" fontId="8" fillId="4" borderId="2" xfId="0" applyNumberFormat="1" applyFont="1" applyFill="1" applyBorder="1" applyAlignment="1" applyProtection="1">
      <alignment horizontal="center" vertical="center" wrapText="1"/>
      <protection locked="0"/>
    </xf>
    <xf numFmtId="9" fontId="8" fillId="10" borderId="2" xfId="38" applyNumberFormat="1" applyFont="1" applyFill="1" applyBorder="1" applyAlignment="1" applyProtection="1">
      <alignment horizontal="center" vertical="center" wrapText="1"/>
      <protection locked="0"/>
    </xf>
    <xf numFmtId="0" fontId="6" fillId="0" borderId="2" xfId="0" applyFont="1" applyBorder="1" applyAlignment="1">
      <alignment horizontal="center" vertical="center" wrapText="1"/>
    </xf>
    <xf numFmtId="9" fontId="6" fillId="22" borderId="2" xfId="46" applyNumberFormat="1" applyFont="1" applyFill="1" applyBorder="1" applyAlignment="1" applyProtection="1">
      <alignment horizontal="center" vertical="center" wrapText="1"/>
      <protection locked="0"/>
    </xf>
    <xf numFmtId="9" fontId="6" fillId="10" borderId="2" xfId="38" applyNumberFormat="1"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2" fillId="0" borderId="2" xfId="27" applyFont="1" applyBorder="1" applyAlignment="1">
      <alignment horizontal="center" vertical="center"/>
    </xf>
    <xf numFmtId="167" fontId="6" fillId="0" borderId="2" xfId="27" applyNumberFormat="1" applyFont="1" applyBorder="1" applyAlignment="1">
      <alignment horizontal="center" vertical="center" wrapText="1"/>
    </xf>
    <xf numFmtId="9" fontId="54" fillId="4" borderId="2" xfId="38" applyFont="1" applyFill="1" applyBorder="1" applyAlignment="1">
      <alignment horizontal="center" vertical="center" wrapText="1"/>
    </xf>
    <xf numFmtId="168" fontId="8" fillId="0" borderId="2" xfId="10" applyNumberFormat="1" applyFont="1" applyFill="1" applyBorder="1" applyAlignment="1" applyProtection="1">
      <alignment horizontal="center" vertical="center" wrapText="1"/>
      <protection locked="0"/>
    </xf>
    <xf numFmtId="43" fontId="8" fillId="0" borderId="2" xfId="10" applyFont="1" applyFill="1" applyBorder="1" applyAlignment="1" applyProtection="1">
      <alignment horizontal="center" vertical="center" wrapText="1"/>
      <protection locked="0"/>
    </xf>
    <xf numFmtId="43" fontId="8" fillId="10" borderId="2" xfId="10" applyFont="1" applyFill="1" applyBorder="1" applyAlignment="1" applyProtection="1">
      <alignment horizontal="center" vertical="center" wrapText="1"/>
      <protection locked="0"/>
    </xf>
    <xf numFmtId="0" fontId="14" fillId="0" borderId="0" xfId="0" applyFont="1" applyAlignment="1" applyProtection="1">
      <alignment horizontal="justify" vertical="center" wrapText="1"/>
      <protection locked="0"/>
    </xf>
    <xf numFmtId="0" fontId="2" fillId="0" borderId="0" xfId="0" applyFont="1" applyAlignment="1" applyProtection="1">
      <alignment horizontal="justify" vertical="center" wrapText="1"/>
      <protection locked="0"/>
    </xf>
    <xf numFmtId="1" fontId="6" fillId="0" borderId="8" xfId="0" applyNumberFormat="1" applyFont="1" applyBorder="1" applyAlignment="1">
      <alignment horizontal="center" vertical="center" wrapText="1"/>
    </xf>
    <xf numFmtId="0" fontId="6" fillId="0" borderId="9" xfId="0" applyFont="1" applyBorder="1" applyAlignment="1">
      <alignment horizontal="justify" vertical="center" wrapText="1"/>
    </xf>
    <xf numFmtId="1" fontId="6" fillId="0" borderId="9" xfId="0" applyNumberFormat="1" applyFont="1" applyBorder="1" applyAlignment="1">
      <alignment horizontal="center" vertical="center" wrapText="1"/>
    </xf>
    <xf numFmtId="9" fontId="8" fillId="6" borderId="2" xfId="38" applyNumberFormat="1" applyFont="1" applyFill="1" applyBorder="1" applyAlignment="1" applyProtection="1">
      <alignment horizontal="center" vertical="center" wrapText="1"/>
      <protection locked="0"/>
    </xf>
    <xf numFmtId="0" fontId="42" fillId="6" borderId="2" xfId="38" applyNumberFormat="1" applyFont="1" applyFill="1" applyBorder="1" applyAlignment="1" applyProtection="1">
      <alignment horizontal="center" vertical="center" wrapText="1"/>
      <protection locked="0"/>
    </xf>
    <xf numFmtId="0" fontId="112" fillId="0" borderId="9" xfId="0" applyFont="1" applyBorder="1" applyAlignment="1">
      <alignment horizontal="justify" vertical="center" wrapText="1"/>
    </xf>
    <xf numFmtId="0" fontId="8" fillId="0" borderId="16" xfId="0" applyNumberFormat="1" applyFont="1" applyFill="1" applyBorder="1" applyAlignment="1" applyProtection="1">
      <alignment horizontal="center" vertical="center" wrapText="1"/>
      <protection locked="0"/>
    </xf>
    <xf numFmtId="0" fontId="8" fillId="6" borderId="2" xfId="38" applyNumberFormat="1" applyFont="1" applyFill="1" applyBorder="1" applyAlignment="1" applyProtection="1">
      <alignment horizontal="center" vertical="center" wrapText="1"/>
      <protection locked="0"/>
    </xf>
    <xf numFmtId="9" fontId="8" fillId="6" borderId="2" xfId="38" applyFont="1" applyFill="1" applyBorder="1" applyAlignment="1" applyProtection="1">
      <alignment horizontal="center" vertical="center" wrapText="1"/>
      <protection locked="0"/>
    </xf>
    <xf numFmtId="0" fontId="6" fillId="4" borderId="4" xfId="0" applyFont="1" applyFill="1" applyBorder="1" applyAlignment="1">
      <alignment horizontal="justify" vertical="center" wrapText="1"/>
    </xf>
    <xf numFmtId="0" fontId="8" fillId="6" borderId="2" xfId="0" applyNumberFormat="1" applyFont="1" applyFill="1" applyBorder="1" applyAlignment="1" applyProtection="1">
      <alignment horizontal="justify" vertical="center" wrapText="1"/>
      <protection locked="0"/>
    </xf>
    <xf numFmtId="9" fontId="8" fillId="6" borderId="3" xfId="38" applyFont="1" applyFill="1" applyBorder="1" applyAlignment="1" applyProtection="1">
      <alignment horizontal="center" vertical="center" wrapText="1"/>
      <protection locked="0"/>
    </xf>
    <xf numFmtId="0" fontId="2" fillId="0" borderId="17" xfId="0" applyFont="1" applyBorder="1" applyAlignment="1" applyProtection="1">
      <alignment vertical="center" wrapText="1"/>
      <protection locked="0"/>
    </xf>
    <xf numFmtId="0" fontId="73" fillId="0" borderId="0" xfId="0" applyFont="1" applyBorder="1" applyAlignment="1">
      <alignment vertical="center" wrapText="1"/>
    </xf>
    <xf numFmtId="0" fontId="13" fillId="6" borderId="2" xfId="0" applyFont="1" applyFill="1" applyBorder="1" applyAlignment="1" applyProtection="1">
      <alignment vertical="top" wrapText="1"/>
      <protection locked="0"/>
    </xf>
    <xf numFmtId="0" fontId="14" fillId="6" borderId="2" xfId="0" applyFont="1" applyFill="1" applyBorder="1" applyAlignment="1" applyProtection="1">
      <alignment vertical="center" wrapText="1"/>
      <protection locked="0"/>
    </xf>
    <xf numFmtId="0" fontId="2"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4" fillId="6" borderId="2" xfId="0" applyFont="1" applyFill="1" applyBorder="1" applyAlignment="1" applyProtection="1">
      <alignment horizontal="center" vertical="center" wrapText="1"/>
      <protection locked="0"/>
    </xf>
    <xf numFmtId="167" fontId="14" fillId="0" borderId="0" xfId="0" applyNumberFormat="1" applyFont="1" applyAlignment="1" applyProtection="1">
      <alignment vertical="center" wrapText="1"/>
      <protection locked="0"/>
    </xf>
    <xf numFmtId="0" fontId="8" fillId="10" borderId="2" xfId="0" applyNumberFormat="1" applyFont="1" applyFill="1" applyBorder="1" applyAlignment="1" applyProtection="1">
      <alignment horizontal="center" vertical="center" wrapText="1"/>
      <protection locked="0"/>
    </xf>
    <xf numFmtId="0" fontId="6" fillId="10" borderId="2" xfId="0" applyNumberFormat="1" applyFont="1" applyFill="1" applyBorder="1" applyAlignment="1" applyProtection="1">
      <alignment horizontal="center" vertical="center" wrapText="1"/>
      <protection locked="0"/>
    </xf>
    <xf numFmtId="0" fontId="8" fillId="10" borderId="2" xfId="0" applyFont="1" applyFill="1" applyBorder="1" applyAlignment="1" applyProtection="1">
      <alignment horizontal="center" vertical="center" wrapText="1"/>
      <protection locked="0"/>
    </xf>
    <xf numFmtId="10" fontId="8" fillId="10" borderId="2" xfId="38" applyNumberFormat="1" applyFont="1" applyFill="1" applyBorder="1" applyAlignment="1" applyProtection="1">
      <alignment horizontal="center" vertical="center" wrapText="1"/>
      <protection locked="0"/>
    </xf>
    <xf numFmtId="10" fontId="8" fillId="10" borderId="2" xfId="38" applyNumberFormat="1" applyFont="1" applyFill="1" applyBorder="1" applyAlignment="1" applyProtection="1">
      <alignment vertical="center" wrapText="1"/>
      <protection locked="0"/>
    </xf>
    <xf numFmtId="167" fontId="6" fillId="10" borderId="7" xfId="0" applyNumberFormat="1" applyFont="1" applyFill="1" applyBorder="1" applyAlignment="1">
      <alignment horizontal="center" vertical="center" wrapText="1"/>
    </xf>
    <xf numFmtId="9" fontId="4" fillId="10" borderId="2" xfId="38" applyFont="1" applyFill="1" applyBorder="1" applyAlignment="1">
      <alignment horizontal="center" vertical="center" wrapText="1"/>
    </xf>
    <xf numFmtId="9" fontId="6" fillId="10" borderId="3" xfId="38" applyFont="1" applyFill="1" applyBorder="1" applyAlignment="1">
      <alignment horizontal="center" vertical="center" wrapText="1"/>
    </xf>
    <xf numFmtId="9" fontId="6" fillId="10" borderId="2" xfId="38" applyFont="1" applyFill="1" applyBorder="1" applyAlignment="1">
      <alignment horizontal="center" vertical="center" wrapText="1"/>
    </xf>
    <xf numFmtId="0" fontId="6" fillId="10" borderId="2" xfId="0" applyFont="1" applyFill="1" applyBorder="1" applyAlignment="1">
      <alignment vertical="center" wrapText="1"/>
    </xf>
    <xf numFmtId="0" fontId="8" fillId="0" borderId="0"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left" vertical="center" wrapText="1"/>
      <protection locked="0"/>
    </xf>
    <xf numFmtId="0" fontId="8" fillId="6" borderId="3" xfId="0" applyNumberFormat="1" applyFont="1" applyFill="1" applyBorder="1" applyAlignment="1" applyProtection="1">
      <alignment horizontal="left" vertical="center" wrapText="1"/>
      <protection locked="0"/>
    </xf>
    <xf numFmtId="188" fontId="2" fillId="0" borderId="0" xfId="0" applyNumberFormat="1" applyFont="1" applyAlignment="1" applyProtection="1">
      <alignment vertical="center" wrapText="1"/>
      <protection locked="0"/>
    </xf>
    <xf numFmtId="0" fontId="13" fillId="0" borderId="2" xfId="0" applyFont="1" applyBorder="1" applyAlignment="1" applyProtection="1">
      <alignment vertical="top" wrapText="1"/>
      <protection locked="0"/>
    </xf>
    <xf numFmtId="0" fontId="2" fillId="0" borderId="16" xfId="0" applyFont="1" applyBorder="1" applyAlignment="1" applyProtection="1">
      <alignment vertical="center" wrapText="1"/>
      <protection locked="0"/>
    </xf>
    <xf numFmtId="0" fontId="4" fillId="6" borderId="4" xfId="0" applyFont="1" applyFill="1" applyBorder="1" applyAlignment="1" applyProtection="1">
      <alignment vertical="center"/>
      <protection locked="0"/>
    </xf>
    <xf numFmtId="0" fontId="4" fillId="6" borderId="7" xfId="0" applyFont="1" applyFill="1" applyBorder="1" applyAlignment="1" applyProtection="1">
      <alignment vertical="center"/>
      <protection locked="0"/>
    </xf>
    <xf numFmtId="0" fontId="4" fillId="6" borderId="0" xfId="0" applyFont="1" applyFill="1" applyBorder="1" applyAlignment="1" applyProtection="1">
      <alignment vertical="center"/>
      <protection locked="0"/>
    </xf>
    <xf numFmtId="0" fontId="4" fillId="6" borderId="21" xfId="0" applyFont="1" applyFill="1" applyBorder="1" applyAlignment="1" applyProtection="1">
      <alignment vertical="center"/>
      <protection locked="0"/>
    </xf>
    <xf numFmtId="0" fontId="4" fillId="6" borderId="18" xfId="0" applyFont="1" applyFill="1" applyBorder="1" applyAlignment="1" applyProtection="1">
      <alignment vertical="center"/>
      <protection locked="0"/>
    </xf>
    <xf numFmtId="0" fontId="4" fillId="6" borderId="19" xfId="0" applyFont="1" applyFill="1" applyBorder="1" applyAlignment="1" applyProtection="1">
      <alignment vertical="center"/>
      <protection locked="0"/>
    </xf>
    <xf numFmtId="0" fontId="6" fillId="6" borderId="6" xfId="0" applyFont="1" applyFill="1" applyBorder="1" applyAlignment="1" applyProtection="1">
      <alignment vertical="center" wrapText="1"/>
      <protection locked="0"/>
    </xf>
    <xf numFmtId="17" fontId="3" fillId="6" borderId="17" xfId="0" applyNumberFormat="1" applyFont="1" applyFill="1" applyBorder="1" applyAlignment="1">
      <alignment vertical="center" wrapText="1"/>
    </xf>
    <xf numFmtId="0" fontId="3" fillId="6" borderId="17" xfId="0" applyFont="1" applyFill="1" applyBorder="1" applyAlignment="1">
      <alignment vertical="center" wrapText="1"/>
    </xf>
    <xf numFmtId="0" fontId="3" fillId="6" borderId="22" xfId="0" applyFont="1" applyFill="1" applyBorder="1" applyAlignment="1">
      <alignment vertical="center" wrapText="1"/>
    </xf>
    <xf numFmtId="0" fontId="3" fillId="6" borderId="0" xfId="0" applyFont="1" applyFill="1" applyBorder="1" applyAlignment="1">
      <alignment vertical="center" wrapText="1"/>
    </xf>
    <xf numFmtId="0" fontId="16" fillId="6" borderId="3" xfId="0" applyFont="1" applyFill="1" applyBorder="1" applyAlignment="1" applyProtection="1">
      <alignment horizontal="center" vertical="center" wrapText="1"/>
      <protection locked="0"/>
    </xf>
    <xf numFmtId="0" fontId="23" fillId="6" borderId="3" xfId="0" applyFont="1" applyFill="1" applyBorder="1" applyAlignment="1">
      <alignment horizontal="center" vertical="center" wrapText="1"/>
    </xf>
    <xf numFmtId="0" fontId="6" fillId="0" borderId="10" xfId="0" applyFont="1" applyBorder="1" applyAlignment="1" applyProtection="1">
      <alignment vertical="center" wrapText="1"/>
      <protection locked="0"/>
    </xf>
    <xf numFmtId="0" fontId="3" fillId="6" borderId="1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23" fillId="6" borderId="2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4" xfId="0" applyFont="1" applyFill="1" applyBorder="1" applyAlignment="1">
      <alignment horizontal="center" vertical="center" wrapText="1"/>
    </xf>
    <xf numFmtId="9" fontId="8" fillId="0" borderId="2" xfId="39" applyNumberFormat="1" applyFont="1" applyFill="1" applyBorder="1" applyAlignment="1" applyProtection="1">
      <alignment horizontal="center" vertical="center" wrapText="1"/>
      <protection locked="0"/>
    </xf>
    <xf numFmtId="9" fontId="16" fillId="0" borderId="2" xfId="39" applyNumberFormat="1" applyFont="1" applyFill="1" applyBorder="1" applyAlignment="1" applyProtection="1">
      <alignment horizontal="center" vertical="center" wrapText="1"/>
      <protection locked="0"/>
    </xf>
    <xf numFmtId="9" fontId="16" fillId="0" borderId="2" xfId="38" applyFont="1" applyFill="1" applyBorder="1" applyAlignment="1" applyProtection="1">
      <alignment horizontal="center" vertical="center" wrapText="1"/>
      <protection locked="0"/>
    </xf>
    <xf numFmtId="167" fontId="14" fillId="6" borderId="2" xfId="0" applyNumberFormat="1" applyFont="1" applyFill="1" applyBorder="1" applyAlignment="1">
      <alignment horizontal="center" vertical="center" wrapText="1"/>
    </xf>
    <xf numFmtId="1" fontId="14" fillId="6" borderId="2" xfId="0" applyNumberFormat="1" applyFont="1" applyFill="1" applyBorder="1" applyAlignment="1">
      <alignment horizontal="center" vertical="center" wrapText="1"/>
    </xf>
    <xf numFmtId="9" fontId="6" fillId="4" borderId="3" xfId="38" applyFont="1" applyFill="1" applyBorder="1" applyAlignment="1">
      <alignment horizontal="center" vertical="center" wrapText="1"/>
    </xf>
    <xf numFmtId="0" fontId="6" fillId="6" borderId="4" xfId="0" applyFont="1" applyFill="1" applyBorder="1" applyAlignment="1">
      <alignment vertical="center" wrapText="1"/>
    </xf>
    <xf numFmtId="0" fontId="6" fillId="6" borderId="7" xfId="0" applyFont="1" applyFill="1" applyBorder="1" applyAlignment="1">
      <alignment vertical="center" wrapText="1"/>
    </xf>
    <xf numFmtId="0" fontId="6" fillId="6" borderId="22" xfId="0" applyFont="1" applyFill="1" applyBorder="1" applyAlignment="1">
      <alignment vertical="center" wrapText="1"/>
    </xf>
    <xf numFmtId="0" fontId="6" fillId="0" borderId="0" xfId="0" applyFont="1" applyBorder="1" applyAlignment="1" applyProtection="1">
      <alignment vertical="top" wrapText="1"/>
      <protection locked="0"/>
    </xf>
    <xf numFmtId="0" fontId="6" fillId="0" borderId="15" xfId="0" applyFont="1" applyBorder="1" applyAlignment="1" applyProtection="1">
      <alignment vertical="top" wrapText="1"/>
      <protection locked="0"/>
    </xf>
    <xf numFmtId="0" fontId="6" fillId="0" borderId="17" xfId="0" applyFont="1" applyBorder="1" applyAlignment="1" applyProtection="1">
      <alignment vertical="top" wrapText="1"/>
      <protection locked="0"/>
    </xf>
    <xf numFmtId="0" fontId="6" fillId="0" borderId="8" xfId="0" applyFont="1" applyBorder="1" applyAlignment="1" applyProtection="1">
      <alignment vertical="top" wrapText="1"/>
      <protection locked="0"/>
    </xf>
    <xf numFmtId="0" fontId="6" fillId="6" borderId="10" xfId="0" applyFont="1" applyFill="1" applyBorder="1" applyAlignment="1">
      <alignment vertical="center" wrapText="1"/>
    </xf>
    <xf numFmtId="0" fontId="6" fillId="6" borderId="17" xfId="0" applyFont="1" applyFill="1" applyBorder="1" applyAlignment="1">
      <alignment vertical="center" wrapText="1"/>
    </xf>
    <xf numFmtId="0" fontId="2" fillId="0" borderId="8" xfId="0" applyFont="1" applyBorder="1" applyAlignment="1" applyProtection="1">
      <alignment vertical="center" wrapText="1"/>
      <protection locked="0"/>
    </xf>
    <xf numFmtId="0" fontId="8" fillId="6" borderId="4" xfId="0" applyNumberFormat="1" applyFont="1" applyFill="1" applyBorder="1" applyAlignment="1" applyProtection="1">
      <alignment horizontal="center" vertical="center" wrapText="1"/>
      <protection locked="0"/>
    </xf>
    <xf numFmtId="0" fontId="6" fillId="4" borderId="22" xfId="0" applyFont="1" applyFill="1" applyBorder="1" applyAlignment="1">
      <alignment vertical="center" wrapText="1"/>
    </xf>
    <xf numFmtId="0" fontId="6" fillId="4" borderId="0" xfId="0" applyFont="1" applyFill="1" applyBorder="1" applyAlignment="1">
      <alignment vertical="center" wrapText="1"/>
    </xf>
    <xf numFmtId="0" fontId="6" fillId="4" borderId="15" xfId="0" applyFont="1" applyFill="1" applyBorder="1" applyAlignment="1">
      <alignment vertical="center" wrapText="1"/>
    </xf>
    <xf numFmtId="0" fontId="6" fillId="6" borderId="15" xfId="0" applyFont="1" applyFill="1" applyBorder="1" applyAlignment="1">
      <alignment vertical="center" wrapText="1"/>
    </xf>
    <xf numFmtId="0" fontId="6" fillId="6" borderId="16" xfId="0" applyFont="1" applyFill="1" applyBorder="1" applyAlignment="1">
      <alignment vertical="center" wrapText="1"/>
    </xf>
    <xf numFmtId="9" fontId="16" fillId="0" borderId="2" xfId="38" applyNumberFormat="1" applyFont="1" applyFill="1" applyBorder="1" applyAlignment="1" applyProtection="1">
      <alignment horizontal="center" vertical="center" wrapText="1"/>
      <protection locked="0"/>
    </xf>
    <xf numFmtId="0" fontId="6" fillId="6" borderId="2" xfId="0" applyFont="1" applyFill="1" applyBorder="1" applyAlignment="1">
      <alignment horizontal="center" vertical="center" wrapText="1"/>
    </xf>
    <xf numFmtId="167" fontId="76" fillId="6" borderId="9" xfId="0" applyNumberFormat="1" applyFont="1" applyFill="1" applyBorder="1" applyAlignment="1">
      <alignment horizontal="center" vertical="center" wrapText="1"/>
    </xf>
    <xf numFmtId="1" fontId="55" fillId="6" borderId="2" xfId="0" applyNumberFormat="1" applyFont="1" applyFill="1" applyBorder="1" applyAlignment="1">
      <alignment horizontal="center" vertical="center" wrapText="1"/>
    </xf>
    <xf numFmtId="0" fontId="6" fillId="0" borderId="4" xfId="0" applyFont="1" applyBorder="1" applyAlignment="1">
      <alignment horizontal="left" vertical="center" wrapText="1"/>
    </xf>
    <xf numFmtId="0" fontId="6" fillId="0" borderId="7" xfId="0" applyFont="1" applyBorder="1" applyAlignment="1">
      <alignment horizontal="left" vertical="center" wrapText="1"/>
    </xf>
    <xf numFmtId="1" fontId="55" fillId="6" borderId="7" xfId="0" applyNumberFormat="1"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2" xfId="38" applyNumberFormat="1" applyFont="1" applyBorder="1" applyAlignment="1">
      <alignment horizontal="center" vertical="center" wrapText="1"/>
    </xf>
    <xf numFmtId="0" fontId="6" fillId="0" borderId="2" xfId="0" applyNumberFormat="1" applyFont="1" applyBorder="1" applyAlignment="1">
      <alignment horizontal="center" vertical="center" wrapText="1"/>
    </xf>
    <xf numFmtId="0" fontId="6" fillId="0" borderId="0" xfId="0" applyFont="1" applyBorder="1" applyAlignment="1">
      <alignment vertical="center" wrapText="1"/>
    </xf>
    <xf numFmtId="0" fontId="6" fillId="0" borderId="15" xfId="0" applyFont="1" applyBorder="1" applyAlignment="1">
      <alignment vertical="center" wrapText="1"/>
    </xf>
    <xf numFmtId="9" fontId="4" fillId="4" borderId="7" xfId="38" applyFont="1" applyFill="1" applyBorder="1" applyAlignment="1">
      <alignment horizontal="center" vertical="center" wrapText="1"/>
    </xf>
    <xf numFmtId="0" fontId="6" fillId="0" borderId="10" xfId="0" applyFont="1" applyBorder="1" applyAlignment="1">
      <alignment vertical="center" wrapText="1"/>
    </xf>
    <xf numFmtId="0" fontId="6" fillId="0" borderId="17" xfId="0" applyFont="1" applyBorder="1" applyAlignment="1">
      <alignment vertical="center" wrapText="1"/>
    </xf>
    <xf numFmtId="0" fontId="6" fillId="0" borderId="2" xfId="27" applyFont="1" applyBorder="1" applyAlignment="1">
      <alignment horizontal="center" vertical="center" wrapText="1"/>
    </xf>
    <xf numFmtId="0" fontId="17" fillId="12" borderId="2" xfId="27" applyFont="1" applyFill="1" applyBorder="1" applyAlignment="1">
      <alignment horizontal="center" vertical="center"/>
    </xf>
    <xf numFmtId="167" fontId="32" fillId="0" borderId="2" xfId="27" applyNumberFormat="1" applyFont="1" applyBorder="1" applyAlignment="1">
      <alignment horizontal="center" vertical="center" wrapText="1"/>
    </xf>
    <xf numFmtId="9" fontId="32" fillId="12" borderId="2" xfId="27" applyNumberFormat="1" applyFont="1" applyFill="1" applyBorder="1" applyAlignment="1">
      <alignment horizontal="center" vertical="center"/>
    </xf>
    <xf numFmtId="0" fontId="33" fillId="0" borderId="2" xfId="27" applyFont="1" applyBorder="1" applyAlignment="1">
      <alignment horizontal="justify" vertical="center" wrapText="1"/>
    </xf>
    <xf numFmtId="0" fontId="6" fillId="0" borderId="4" xfId="0" applyFont="1" applyBorder="1" applyAlignment="1">
      <alignment vertical="center" wrapText="1"/>
    </xf>
    <xf numFmtId="0" fontId="6" fillId="0" borderId="7" xfId="0" applyFont="1" applyBorder="1" applyAlignment="1">
      <alignment vertical="center" wrapText="1"/>
    </xf>
    <xf numFmtId="0" fontId="8" fillId="0" borderId="2" xfId="0" applyFont="1" applyBorder="1" applyAlignment="1">
      <alignment horizontal="justify" vertical="center" wrapText="1"/>
    </xf>
    <xf numFmtId="9" fontId="16" fillId="0" borderId="2" xfId="39" applyFont="1" applyFill="1" applyBorder="1" applyAlignment="1">
      <alignment horizontal="center" vertical="center" wrapText="1"/>
    </xf>
    <xf numFmtId="9" fontId="8" fillId="4" borderId="3" xfId="38" applyFont="1" applyFill="1" applyBorder="1" applyAlignment="1">
      <alignment horizontal="center" vertical="center" wrapText="1"/>
    </xf>
    <xf numFmtId="0" fontId="6" fillId="0" borderId="18" xfId="0" applyFont="1" applyBorder="1" applyAlignment="1">
      <alignment vertical="center" wrapText="1"/>
    </xf>
    <xf numFmtId="0" fontId="6" fillId="0" borderId="19" xfId="0" applyFont="1" applyBorder="1" applyAlignment="1">
      <alignment vertical="center" wrapText="1"/>
    </xf>
    <xf numFmtId="9" fontId="16" fillId="0" borderId="7" xfId="38" applyFont="1" applyFill="1" applyBorder="1" applyAlignment="1">
      <alignment horizontal="center" vertical="center" wrapText="1"/>
    </xf>
    <xf numFmtId="9" fontId="16" fillId="0" borderId="3" xfId="0" applyNumberFormat="1" applyFont="1" applyFill="1" applyBorder="1" applyAlignment="1">
      <alignment horizontal="center" vertical="center" wrapText="1"/>
    </xf>
    <xf numFmtId="0" fontId="6" fillId="0" borderId="21" xfId="0" applyFont="1" applyFill="1" applyBorder="1" applyAlignment="1">
      <alignment horizontal="justify" vertical="center" wrapText="1"/>
    </xf>
    <xf numFmtId="0" fontId="6" fillId="0" borderId="18" xfId="0" applyFont="1" applyFill="1" applyBorder="1" applyAlignment="1">
      <alignment horizontal="justify" vertical="center" wrapText="1"/>
    </xf>
    <xf numFmtId="9" fontId="6" fillId="0" borderId="0" xfId="38" applyFont="1" applyFill="1" applyBorder="1" applyAlignment="1" applyProtection="1">
      <alignment vertical="center" wrapText="1"/>
      <protection locked="0"/>
    </xf>
    <xf numFmtId="0" fontId="2" fillId="10" borderId="0" xfId="0" applyFont="1" applyFill="1" applyBorder="1" applyAlignment="1" applyProtection="1">
      <alignment vertical="center" wrapText="1"/>
      <protection locked="0"/>
    </xf>
    <xf numFmtId="9" fontId="8" fillId="10" borderId="2" xfId="38" applyFont="1" applyFill="1" applyBorder="1" applyAlignment="1" applyProtection="1">
      <alignment vertical="center" wrapText="1"/>
      <protection locked="0"/>
    </xf>
    <xf numFmtId="0" fontId="8" fillId="6" borderId="2" xfId="0" applyFont="1" applyFill="1" applyBorder="1" applyAlignment="1" applyProtection="1">
      <alignment horizontal="left" vertical="center" wrapText="1"/>
      <protection locked="0"/>
    </xf>
    <xf numFmtId="166" fontId="8" fillId="6" borderId="2" xfId="38" applyNumberFormat="1" applyFont="1" applyFill="1" applyBorder="1" applyAlignment="1" applyProtection="1">
      <alignment horizontal="center" vertical="center" wrapText="1"/>
      <protection locked="0"/>
    </xf>
    <xf numFmtId="10" fontId="6" fillId="6" borderId="2" xfId="38" applyNumberFormat="1" applyFont="1" applyFill="1" applyBorder="1" applyAlignment="1">
      <alignment horizontal="center" vertical="center" wrapText="1"/>
    </xf>
    <xf numFmtId="9" fontId="8" fillId="10" borderId="2" xfId="38" applyNumberFormat="1" applyFont="1" applyFill="1" applyBorder="1" applyAlignment="1" applyProtection="1">
      <alignment vertical="center" wrapText="1"/>
      <protection locked="0"/>
    </xf>
    <xf numFmtId="9" fontId="8" fillId="6" borderId="4" xfId="38" applyFont="1" applyFill="1" applyBorder="1" applyAlignment="1" applyProtection="1">
      <alignment vertical="center" wrapText="1"/>
      <protection locked="0"/>
    </xf>
    <xf numFmtId="9" fontId="8" fillId="10" borderId="4" xfId="38" applyFont="1" applyFill="1" applyBorder="1" applyAlignment="1" applyProtection="1">
      <alignment vertical="center" wrapText="1"/>
      <protection locked="0"/>
    </xf>
    <xf numFmtId="167" fontId="6" fillId="27" borderId="2" xfId="0" applyNumberFormat="1" applyFont="1" applyFill="1" applyBorder="1" applyAlignment="1">
      <alignment horizontal="center" vertical="center" wrapText="1"/>
    </xf>
    <xf numFmtId="0" fontId="33" fillId="10" borderId="2" xfId="0" applyFont="1" applyFill="1" applyBorder="1" applyAlignment="1">
      <alignment horizontal="justify" vertical="center" wrapText="1"/>
    </xf>
    <xf numFmtId="9" fontId="6" fillId="6" borderId="2" xfId="38" applyNumberFormat="1" applyFont="1" applyFill="1" applyBorder="1" applyAlignment="1" applyProtection="1">
      <alignment horizontal="center" vertical="center" wrapText="1"/>
      <protection locked="0"/>
    </xf>
    <xf numFmtId="0" fontId="33" fillId="6" borderId="2" xfId="0" applyFont="1" applyFill="1" applyBorder="1" applyAlignment="1">
      <alignment horizontal="justify" vertical="center" wrapText="1"/>
    </xf>
    <xf numFmtId="9" fontId="8" fillId="0" borderId="2" xfId="10" applyNumberFormat="1" applyFont="1" applyFill="1" applyBorder="1" applyAlignment="1" applyProtection="1">
      <alignment horizontal="center" vertical="center" wrapText="1"/>
      <protection locked="0"/>
    </xf>
    <xf numFmtId="9" fontId="8" fillId="6" borderId="2" xfId="10" applyNumberFormat="1" applyFont="1" applyFill="1" applyBorder="1" applyAlignment="1" applyProtection="1">
      <alignment horizontal="center" vertical="center" wrapText="1"/>
      <protection locked="0"/>
    </xf>
    <xf numFmtId="43" fontId="8" fillId="6" borderId="2" xfId="10" applyFont="1" applyFill="1" applyBorder="1" applyAlignment="1" applyProtection="1">
      <alignment horizontal="center" vertical="center" wrapText="1"/>
      <protection locked="0"/>
    </xf>
    <xf numFmtId="9" fontId="8" fillId="10" borderId="2" xfId="10" applyNumberFormat="1" applyFont="1" applyFill="1" applyBorder="1" applyAlignment="1" applyProtection="1">
      <alignment horizontal="center" vertical="center" wrapText="1"/>
      <protection locked="0"/>
    </xf>
    <xf numFmtId="6" fontId="6" fillId="0" borderId="2" xfId="0" applyNumberFormat="1" applyFont="1" applyBorder="1" applyAlignment="1">
      <alignment vertical="center" wrapText="1"/>
    </xf>
    <xf numFmtId="0" fontId="6" fillId="6" borderId="2" xfId="0" applyFont="1" applyFill="1" applyBorder="1" applyAlignment="1">
      <alignment horizontal="justify" vertical="center" wrapText="1"/>
    </xf>
    <xf numFmtId="0" fontId="16" fillId="10" borderId="2" xfId="0" applyFont="1" applyFill="1" applyBorder="1" applyAlignment="1">
      <alignment horizontal="center" vertical="center" wrapText="1"/>
    </xf>
    <xf numFmtId="9" fontId="16" fillId="10" borderId="2" xfId="38" applyFont="1" applyFill="1" applyBorder="1" applyAlignment="1">
      <alignment horizontal="center" vertical="center" wrapText="1"/>
    </xf>
    <xf numFmtId="0" fontId="14" fillId="0" borderId="0" xfId="0" applyFont="1" applyAlignment="1" applyProtection="1">
      <alignment horizontal="left" vertical="top" wrapText="1"/>
      <protection locked="0"/>
    </xf>
    <xf numFmtId="0" fontId="14" fillId="0" borderId="0" xfId="0" applyFont="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8" fillId="0" borderId="3" xfId="0" applyFont="1" applyFill="1" applyBorder="1" applyAlignment="1" applyProtection="1">
      <alignment horizontal="center" vertical="center" wrapText="1"/>
      <protection locked="0"/>
    </xf>
    <xf numFmtId="167" fontId="6" fillId="0" borderId="2" xfId="0" applyNumberFormat="1" applyFont="1" applyFill="1" applyBorder="1" applyAlignment="1">
      <alignment horizontal="left" vertical="center" wrapText="1"/>
    </xf>
    <xf numFmtId="9" fontId="4" fillId="0" borderId="2" xfId="38" applyNumberFormat="1" applyFont="1" applyFill="1" applyBorder="1" applyAlignment="1">
      <alignment horizontal="center" vertical="center" wrapText="1"/>
    </xf>
    <xf numFmtId="9" fontId="8" fillId="0" borderId="2" xfId="38"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0" fontId="6" fillId="0" borderId="2" xfId="20" applyFont="1" applyFill="1" applyBorder="1" applyAlignment="1">
      <alignment horizontal="center" vertical="center" wrapText="1"/>
    </xf>
    <xf numFmtId="43" fontId="6" fillId="0" borderId="2" xfId="20" applyNumberFormat="1" applyFont="1" applyFill="1" applyBorder="1" applyAlignment="1">
      <alignment horizontal="center" vertical="center" wrapText="1"/>
    </xf>
    <xf numFmtId="9" fontId="6" fillId="0" borderId="2" xfId="44" applyFont="1" applyFill="1" applyBorder="1" applyAlignment="1">
      <alignment horizontal="center" vertical="center" wrapText="1"/>
    </xf>
    <xf numFmtId="49" fontId="6" fillId="0" borderId="2" xfId="20" applyNumberFormat="1" applyFont="1" applyFill="1" applyBorder="1" applyAlignment="1">
      <alignment horizontal="center" vertical="center" wrapText="1"/>
    </xf>
    <xf numFmtId="0" fontId="107" fillId="0" borderId="2" xfId="0" applyFont="1" applyFill="1" applyBorder="1" applyAlignment="1">
      <alignment horizontal="center" vertical="center" wrapText="1"/>
    </xf>
    <xf numFmtId="9" fontId="107" fillId="0" borderId="2" xfId="0" applyNumberFormat="1" applyFont="1" applyFill="1" applyBorder="1" applyAlignment="1">
      <alignment horizontal="center" vertical="center" wrapText="1"/>
    </xf>
    <xf numFmtId="0" fontId="104" fillId="0" borderId="2" xfId="0" applyFont="1" applyFill="1" applyBorder="1" applyAlignment="1">
      <alignment vertical="center" wrapText="1"/>
    </xf>
    <xf numFmtId="0" fontId="8" fillId="0" borderId="2" xfId="20" applyFont="1" applyFill="1" applyBorder="1" applyAlignment="1">
      <alignment horizontal="center" vertical="center" wrapText="1"/>
    </xf>
    <xf numFmtId="2" fontId="6" fillId="0" borderId="2" xfId="0" applyNumberFormat="1" applyFont="1" applyFill="1" applyBorder="1" applyAlignment="1">
      <alignment horizontal="center" vertical="center" wrapText="1"/>
    </xf>
    <xf numFmtId="167" fontId="117" fillId="0" borderId="2" xfId="0" applyNumberFormat="1" applyFont="1" applyFill="1" applyBorder="1" applyAlignment="1">
      <alignment horizontal="center" vertical="center" wrapText="1"/>
    </xf>
    <xf numFmtId="0" fontId="6" fillId="0" borderId="2" xfId="20" applyFont="1" applyFill="1" applyBorder="1" applyAlignment="1">
      <alignment horizontal="justify" vertical="center" wrapText="1"/>
    </xf>
    <xf numFmtId="0" fontId="118" fillId="0" borderId="2" xfId="0" applyFont="1" applyFill="1" applyBorder="1" applyAlignment="1">
      <alignment vertical="center"/>
    </xf>
    <xf numFmtId="2" fontId="117" fillId="0" borderId="2" xfId="0" applyNumberFormat="1" applyFont="1" applyFill="1" applyBorder="1" applyAlignment="1">
      <alignment horizontal="center" vertical="center" wrapText="1"/>
    </xf>
    <xf numFmtId="0" fontId="112" fillId="0" borderId="2" xfId="0" applyFont="1" applyFill="1" applyBorder="1" applyAlignment="1">
      <alignment horizontal="center" vertical="center" wrapText="1"/>
    </xf>
    <xf numFmtId="0" fontId="6" fillId="0" borderId="2" xfId="20" applyNumberFormat="1" applyFont="1" applyFill="1" applyBorder="1" applyAlignment="1">
      <alignment horizontal="right" vertical="center" wrapText="1"/>
    </xf>
    <xf numFmtId="43" fontId="0" fillId="0" borderId="2" xfId="10" applyFont="1" applyFill="1" applyBorder="1" applyAlignment="1">
      <alignment vertical="center" wrapText="1"/>
    </xf>
    <xf numFmtId="3" fontId="8" fillId="0" borderId="2" xfId="38" applyNumberFormat="1" applyFont="1" applyFill="1" applyBorder="1" applyAlignment="1" applyProtection="1">
      <alignment horizontal="center" vertical="center" wrapText="1"/>
      <protection locked="0"/>
    </xf>
    <xf numFmtId="0" fontId="6" fillId="0" borderId="2" xfId="25" applyFont="1" applyFill="1" applyBorder="1" applyAlignment="1">
      <alignment vertical="center" wrapText="1"/>
    </xf>
    <xf numFmtId="168" fontId="2" fillId="0" borderId="2" xfId="10" applyNumberFormat="1" applyFont="1" applyFill="1" applyBorder="1" applyAlignment="1">
      <alignment horizontal="center" vertical="center" wrapText="1"/>
    </xf>
    <xf numFmtId="0" fontId="101" fillId="0" borderId="2" xfId="0" applyFont="1" applyFill="1" applyBorder="1" applyAlignment="1">
      <alignment vertical="center" wrapText="1"/>
    </xf>
    <xf numFmtId="1" fontId="2" fillId="0" borderId="2" xfId="0" applyNumberFormat="1" applyFont="1" applyFill="1" applyBorder="1" applyAlignment="1">
      <alignment horizontal="center" vertical="center" wrapText="1"/>
    </xf>
    <xf numFmtId="0" fontId="2" fillId="0" borderId="2" xfId="0" applyFont="1" applyFill="1" applyBorder="1" applyAlignment="1" applyProtection="1">
      <alignment horizontal="left" vertical="center" wrapText="1"/>
      <protection locked="0"/>
    </xf>
    <xf numFmtId="0" fontId="17" fillId="0" borderId="2" xfId="0" applyFont="1" applyFill="1" applyBorder="1" applyAlignment="1">
      <alignment horizontal="center" vertical="center"/>
    </xf>
    <xf numFmtId="167" fontId="32" fillId="0" borderId="2" xfId="0" applyNumberFormat="1" applyFont="1" applyFill="1" applyBorder="1" applyAlignment="1">
      <alignment horizontal="center" vertical="center" wrapText="1"/>
    </xf>
    <xf numFmtId="9" fontId="17" fillId="0" borderId="2" xfId="38" applyFont="1" applyFill="1" applyBorder="1" applyAlignment="1">
      <alignment horizontal="center" vertical="center" wrapText="1"/>
    </xf>
    <xf numFmtId="9" fontId="32" fillId="0" borderId="2" xfId="0" applyNumberFormat="1" applyFont="1" applyFill="1" applyBorder="1" applyAlignment="1">
      <alignment horizontal="center" vertical="center"/>
    </xf>
    <xf numFmtId="9" fontId="54" fillId="0" borderId="2" xfId="38" applyFont="1" applyFill="1" applyBorder="1" applyAlignment="1">
      <alignment horizontal="center" vertical="center" wrapText="1"/>
    </xf>
    <xf numFmtId="0" fontId="33" fillId="0" borderId="2" xfId="0" applyFont="1" applyFill="1" applyBorder="1" applyAlignment="1">
      <alignment horizontal="justify" vertical="center" wrapText="1"/>
    </xf>
    <xf numFmtId="0" fontId="8" fillId="0" borderId="0" xfId="0" applyFont="1" applyFill="1" applyBorder="1" applyAlignment="1" applyProtection="1">
      <alignment horizontal="center" vertical="center" wrapText="1"/>
      <protection locked="0"/>
    </xf>
    <xf numFmtId="0" fontId="8" fillId="0" borderId="18" xfId="0" applyFont="1" applyFill="1" applyBorder="1" applyAlignment="1" applyProtection="1">
      <alignment horizontal="center" vertical="center" wrapText="1"/>
      <protection locked="0"/>
    </xf>
    <xf numFmtId="0" fontId="8" fillId="0" borderId="18" xfId="0" applyNumberFormat="1"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0" fontId="8" fillId="0" borderId="0" xfId="38" applyNumberFormat="1" applyFont="1" applyFill="1" applyBorder="1" applyAlignment="1" applyProtection="1">
      <alignment horizontal="center" vertical="center" wrapText="1"/>
      <protection locked="0"/>
    </xf>
    <xf numFmtId="9" fontId="8" fillId="0" borderId="0" xfId="38" applyNumberFormat="1" applyFont="1" applyFill="1" applyBorder="1" applyAlignment="1" applyProtection="1">
      <alignment horizontal="center" vertical="center" wrapText="1"/>
      <protection locked="0"/>
    </xf>
    <xf numFmtId="167" fontId="6" fillId="0" borderId="0" xfId="0" applyNumberFormat="1" applyFont="1" applyFill="1" applyBorder="1" applyAlignment="1">
      <alignment horizontal="center" vertical="center" wrapText="1"/>
    </xf>
    <xf numFmtId="9" fontId="4" fillId="0" borderId="0" xfId="38" applyFont="1" applyFill="1" applyBorder="1" applyAlignment="1">
      <alignment horizontal="center" vertical="center" wrapText="1"/>
    </xf>
    <xf numFmtId="9" fontId="6" fillId="0" borderId="0" xfId="38" applyFont="1" applyFill="1" applyBorder="1" applyAlignment="1">
      <alignment horizontal="center" vertical="center" wrapText="1"/>
    </xf>
    <xf numFmtId="0" fontId="6" fillId="0" borderId="0" xfId="0" applyFont="1" applyFill="1" applyBorder="1" applyAlignment="1">
      <alignment vertical="center" wrapText="1"/>
    </xf>
    <xf numFmtId="0" fontId="6" fillId="0" borderId="0" xfId="0" applyFont="1" applyFill="1" applyBorder="1" applyAlignment="1">
      <alignment horizontal="left" vertical="center" wrapText="1"/>
    </xf>
    <xf numFmtId="167" fontId="6" fillId="0" borderId="6" xfId="0" applyNumberFormat="1" applyFont="1" applyFill="1" applyBorder="1" applyAlignment="1">
      <alignment horizontal="center" vertical="center" wrapText="1"/>
    </xf>
    <xf numFmtId="9" fontId="4" fillId="0" borderId="6" xfId="38" applyFont="1" applyFill="1" applyBorder="1" applyAlignment="1">
      <alignment horizontal="center" vertical="center" wrapText="1"/>
    </xf>
    <xf numFmtId="43" fontId="6" fillId="0" borderId="6" xfId="38" applyNumberFormat="1" applyFont="1" applyFill="1" applyBorder="1" applyAlignment="1">
      <alignment horizontal="center" vertical="center" wrapText="1"/>
    </xf>
    <xf numFmtId="0" fontId="6" fillId="0" borderId="6" xfId="0" applyFont="1" applyFill="1" applyBorder="1" applyAlignment="1">
      <alignment vertical="center" wrapText="1"/>
    </xf>
    <xf numFmtId="0" fontId="2" fillId="0" borderId="0" xfId="0" applyFont="1" applyAlignment="1" applyProtection="1">
      <alignment horizontal="left" vertical="center" wrapText="1"/>
      <protection locked="0"/>
    </xf>
    <xf numFmtId="0" fontId="14" fillId="0" borderId="3" xfId="0" applyFont="1" applyBorder="1" applyAlignment="1" applyProtection="1">
      <alignment vertical="center" wrapText="1"/>
      <protection locked="0"/>
    </xf>
    <xf numFmtId="0" fontId="16" fillId="2" borderId="25" xfId="0" applyFont="1" applyFill="1" applyBorder="1" applyAlignment="1" applyProtection="1">
      <alignment horizontal="center" vertical="center" wrapText="1"/>
      <protection locked="0"/>
    </xf>
    <xf numFmtId="0" fontId="16" fillId="0" borderId="7" xfId="0" applyFont="1" applyBorder="1" applyAlignment="1">
      <alignment horizontal="center" vertical="center" wrapText="1"/>
    </xf>
    <xf numFmtId="0" fontId="77" fillId="0" borderId="2" xfId="24" applyFont="1" applyFill="1" applyBorder="1" applyAlignment="1">
      <alignment horizontal="justify" vertical="center" wrapText="1"/>
    </xf>
    <xf numFmtId="9" fontId="77" fillId="0" borderId="2" xfId="46" applyFont="1" applyFill="1" applyBorder="1" applyAlignment="1">
      <alignment horizontal="center" vertical="center" wrapText="1"/>
    </xf>
    <xf numFmtId="0" fontId="26" fillId="0" borderId="2" xfId="24" applyFont="1" applyFill="1" applyBorder="1" applyAlignment="1">
      <alignment horizontal="center" vertical="center" wrapText="1"/>
    </xf>
    <xf numFmtId="0" fontId="8" fillId="0" borderId="25" xfId="0" applyNumberFormat="1" applyFont="1" applyFill="1" applyBorder="1" applyAlignment="1" applyProtection="1">
      <alignment horizontal="center" vertical="center" wrapText="1"/>
      <protection locked="0"/>
    </xf>
    <xf numFmtId="0" fontId="26" fillId="0" borderId="2" xfId="24" applyFont="1" applyFill="1" applyBorder="1" applyAlignment="1">
      <alignment horizontal="justify" vertical="center" wrapText="1"/>
    </xf>
    <xf numFmtId="0" fontId="6" fillId="6" borderId="2" xfId="0" applyFont="1" applyFill="1" applyBorder="1" applyAlignment="1" applyProtection="1">
      <alignment horizontal="center" vertical="center" wrapText="1"/>
      <protection locked="0"/>
    </xf>
    <xf numFmtId="0" fontId="6" fillId="0" borderId="2" xfId="0" applyFont="1" applyFill="1" applyBorder="1" applyAlignment="1">
      <alignment horizontal="distributed" vertical="center" wrapText="1"/>
    </xf>
    <xf numFmtId="0" fontId="8" fillId="6" borderId="4" xfId="0" applyFont="1" applyFill="1" applyBorder="1" applyAlignment="1" applyProtection="1">
      <alignment horizontal="center" vertical="center" wrapText="1"/>
      <protection locked="0"/>
    </xf>
    <xf numFmtId="0" fontId="8" fillId="0" borderId="29" xfId="0" applyNumberFormat="1" applyFont="1" applyFill="1" applyBorder="1" applyAlignment="1" applyProtection="1">
      <alignment horizontal="center" vertical="center" wrapText="1"/>
      <protection locked="0"/>
    </xf>
    <xf numFmtId="0" fontId="8" fillId="0" borderId="30" xfId="0" applyNumberFormat="1" applyFont="1" applyFill="1" applyBorder="1" applyAlignment="1" applyProtection="1">
      <alignment horizontal="center" vertical="center" wrapText="1"/>
      <protection locked="0"/>
    </xf>
    <xf numFmtId="0" fontId="2" fillId="0" borderId="2" xfId="27" applyFont="1" applyFill="1" applyBorder="1" applyAlignment="1">
      <alignment horizontal="center" vertical="center"/>
    </xf>
    <xf numFmtId="167" fontId="6" fillId="0" borderId="2" xfId="27" applyNumberFormat="1" applyFont="1" applyFill="1" applyBorder="1" applyAlignment="1">
      <alignment horizontal="center" vertical="center" wrapText="1"/>
    </xf>
    <xf numFmtId="0" fontId="8" fillId="0" borderId="25" xfId="0" applyNumberFormat="1" applyFont="1" applyFill="1" applyBorder="1" applyAlignment="1" applyProtection="1">
      <alignment horizontal="left" vertical="center" wrapText="1"/>
      <protection locked="0"/>
    </xf>
    <xf numFmtId="168" fontId="6" fillId="0" borderId="2" xfId="10" applyNumberFormat="1" applyFont="1" applyFill="1" applyBorder="1" applyAlignment="1">
      <alignment horizontal="center" vertical="center" wrapText="1"/>
    </xf>
    <xf numFmtId="166" fontId="4" fillId="0" borderId="2" xfId="38" applyNumberFormat="1" applyFont="1" applyFill="1" applyBorder="1" applyAlignment="1">
      <alignment horizontal="center" vertical="center" wrapText="1"/>
    </xf>
    <xf numFmtId="176" fontId="6" fillId="11" borderId="2" xfId="0" applyNumberFormat="1" applyFont="1" applyFill="1" applyBorder="1" applyAlignment="1">
      <alignment horizontal="center" vertical="center" wrapText="1"/>
    </xf>
    <xf numFmtId="9" fontId="4" fillId="11" borderId="2" xfId="38" applyFont="1" applyFill="1" applyBorder="1" applyAlignment="1">
      <alignment horizontal="center" vertical="center" wrapText="1"/>
    </xf>
    <xf numFmtId="44" fontId="6" fillId="0" borderId="2" xfId="18" applyFont="1" applyFill="1" applyBorder="1" applyAlignment="1">
      <alignment horizontal="center" vertical="center" wrapText="1"/>
    </xf>
    <xf numFmtId="10" fontId="4" fillId="0" borderId="2" xfId="38" applyNumberFormat="1" applyFont="1" applyFill="1" applyBorder="1" applyAlignment="1">
      <alignment horizontal="center" vertical="center" wrapText="1"/>
    </xf>
    <xf numFmtId="189" fontId="6" fillId="0" borderId="2" xfId="0" applyNumberFormat="1" applyFont="1" applyFill="1" applyBorder="1" applyAlignment="1">
      <alignment horizontal="center" vertical="center" wrapText="1"/>
    </xf>
    <xf numFmtId="0" fontId="6" fillId="0" borderId="0" xfId="0" applyFont="1" applyBorder="1" applyAlignment="1" applyProtection="1">
      <alignment horizontal="center" vertical="top" wrapText="1"/>
      <protection locked="0"/>
    </xf>
    <xf numFmtId="0" fontId="6" fillId="0" borderId="22" xfId="0" applyFont="1" applyBorder="1" applyAlignment="1" applyProtection="1">
      <alignment vertical="center" wrapText="1"/>
      <protection locked="0"/>
    </xf>
    <xf numFmtId="0" fontId="6" fillId="0" borderId="15" xfId="0" applyFont="1" applyFill="1" applyBorder="1" applyAlignment="1" applyProtection="1">
      <alignment vertical="center" wrapText="1"/>
      <protection locked="0"/>
    </xf>
    <xf numFmtId="0" fontId="3" fillId="5" borderId="19" xfId="0" applyFont="1" applyFill="1" applyBorder="1" applyAlignment="1" applyProtection="1">
      <alignment horizontal="center" vertical="center" wrapText="1"/>
      <protection locked="0"/>
    </xf>
    <xf numFmtId="0" fontId="6" fillId="0" borderId="19" xfId="0" applyFont="1" applyBorder="1" applyAlignment="1" applyProtection="1">
      <alignment vertical="center" wrapText="1"/>
      <protection locked="0"/>
    </xf>
    <xf numFmtId="0" fontId="8" fillId="0" borderId="22" xfId="0" applyFont="1" applyBorder="1" applyAlignment="1" applyProtection="1">
      <alignment vertical="center" wrapText="1"/>
      <protection locked="0"/>
    </xf>
    <xf numFmtId="0" fontId="16" fillId="5" borderId="4" xfId="0" applyFont="1" applyFill="1" applyBorder="1" applyAlignment="1" applyProtection="1">
      <alignment horizontal="center" vertical="center" textRotation="255" wrapText="1"/>
      <protection locked="0"/>
    </xf>
    <xf numFmtId="0" fontId="16" fillId="5" borderId="4" xfId="0" applyFont="1" applyFill="1" applyBorder="1" applyAlignment="1" applyProtection="1">
      <alignment horizontal="center" vertical="center" wrapText="1"/>
      <protection locked="0"/>
    </xf>
    <xf numFmtId="0" fontId="2" fillId="0" borderId="22" xfId="0" applyFont="1" applyFill="1" applyBorder="1" applyAlignment="1" applyProtection="1">
      <alignment vertical="center" wrapText="1"/>
      <protection locked="0"/>
    </xf>
    <xf numFmtId="0" fontId="6" fillId="0" borderId="9" xfId="0" applyFont="1" applyBorder="1" applyAlignment="1">
      <alignment horizontal="center" vertical="center" wrapText="1"/>
    </xf>
    <xf numFmtId="43" fontId="8" fillId="0" borderId="4" xfId="10" applyFont="1" applyFill="1" applyBorder="1" applyAlignment="1" applyProtection="1">
      <alignment vertical="center" wrapText="1"/>
      <protection locked="0"/>
    </xf>
    <xf numFmtId="43" fontId="6" fillId="0" borderId="2" xfId="10" applyFont="1" applyFill="1" applyBorder="1" applyAlignment="1">
      <alignment horizontal="center" vertical="center" wrapText="1"/>
    </xf>
    <xf numFmtId="0" fontId="6" fillId="0" borderId="6" xfId="0" applyFont="1" applyBorder="1" applyAlignment="1">
      <alignment horizontal="center" vertical="center" wrapText="1"/>
    </xf>
    <xf numFmtId="9" fontId="6" fillId="0" borderId="2" xfId="10" applyNumberFormat="1" applyFont="1" applyFill="1" applyBorder="1" applyAlignment="1">
      <alignment horizontal="center" vertical="center" wrapText="1"/>
    </xf>
    <xf numFmtId="2" fontId="6" fillId="0" borderId="2" xfId="20" applyNumberFormat="1" applyFont="1" applyFill="1" applyBorder="1" applyAlignment="1" applyProtection="1">
      <alignment horizontal="center" vertical="center" wrapText="1"/>
      <protection locked="0"/>
    </xf>
    <xf numFmtId="43" fontId="8" fillId="0" borderId="2" xfId="10" applyFont="1" applyFill="1" applyBorder="1" applyAlignment="1" applyProtection="1">
      <alignment vertical="center" wrapText="1"/>
      <protection locked="0"/>
    </xf>
    <xf numFmtId="179" fontId="4" fillId="0" borderId="2" xfId="46" applyNumberFormat="1" applyFont="1" applyFill="1" applyBorder="1" applyAlignment="1">
      <alignment horizontal="center" vertical="center" wrapText="1"/>
    </xf>
    <xf numFmtId="169" fontId="6" fillId="0" borderId="2" xfId="10" applyNumberFormat="1" applyFont="1" applyFill="1" applyBorder="1" applyAlignment="1">
      <alignment horizontal="center" vertical="center" wrapText="1"/>
    </xf>
    <xf numFmtId="9" fontId="6" fillId="0" borderId="2" xfId="46" applyFont="1" applyFill="1" applyBorder="1" applyAlignment="1">
      <alignment horizontal="center" vertical="center" wrapText="1"/>
    </xf>
    <xf numFmtId="43" fontId="4" fillId="0" borderId="2" xfId="10" applyFont="1" applyFill="1" applyBorder="1" applyAlignment="1">
      <alignment horizontal="center" vertical="center" wrapText="1"/>
    </xf>
    <xf numFmtId="179" fontId="42" fillId="0" borderId="2" xfId="0" applyNumberFormat="1" applyFont="1" applyFill="1" applyBorder="1" applyAlignment="1">
      <alignment horizontal="center" vertical="center"/>
    </xf>
    <xf numFmtId="179" fontId="6" fillId="0" borderId="2" xfId="0" applyNumberFormat="1" applyFont="1" applyFill="1" applyBorder="1" applyAlignment="1">
      <alignment horizontal="center" vertical="center" wrapText="1"/>
    </xf>
    <xf numFmtId="43" fontId="6" fillId="0" borderId="2" xfId="10" applyFont="1" applyFill="1" applyBorder="1" applyAlignment="1">
      <alignment vertical="center" wrapText="1"/>
    </xf>
    <xf numFmtId="167" fontId="4" fillId="0" borderId="2" xfId="46" applyNumberFormat="1" applyFont="1" applyFill="1" applyBorder="1" applyAlignment="1">
      <alignment horizontal="center" vertical="center" wrapText="1"/>
    </xf>
    <xf numFmtId="169" fontId="4" fillId="0" borderId="2" xfId="10" applyNumberFormat="1" applyFont="1" applyFill="1" applyBorder="1" applyAlignment="1">
      <alignment horizontal="center" vertical="center" wrapText="1"/>
    </xf>
    <xf numFmtId="2" fontId="2" fillId="0" borderId="0" xfId="0" applyNumberFormat="1" applyFont="1" applyFill="1" applyAlignment="1" applyProtection="1">
      <alignment vertical="center" wrapText="1"/>
      <protection locked="0"/>
    </xf>
    <xf numFmtId="168" fontId="8" fillId="0" borderId="2" xfId="10" applyNumberFormat="1" applyFont="1" applyFill="1" applyBorder="1" applyAlignment="1" applyProtection="1">
      <alignment vertical="center" wrapText="1"/>
      <protection locked="0"/>
    </xf>
    <xf numFmtId="168" fontId="6" fillId="0" borderId="2" xfId="38" applyNumberFormat="1" applyFont="1" applyFill="1" applyBorder="1" applyAlignment="1">
      <alignment horizontal="center" vertical="center" wrapText="1"/>
    </xf>
    <xf numFmtId="0" fontId="8" fillId="0" borderId="6" xfId="0" applyNumberFormat="1" applyFont="1" applyFill="1" applyBorder="1" applyAlignment="1" applyProtection="1">
      <alignment vertical="center" wrapText="1"/>
      <protection locked="0"/>
    </xf>
    <xf numFmtId="0" fontId="2" fillId="28" borderId="22" xfId="0" applyFont="1" applyFill="1" applyBorder="1" applyAlignment="1" applyProtection="1">
      <alignment vertical="center" wrapText="1"/>
      <protection locked="0"/>
    </xf>
    <xf numFmtId="0" fontId="8" fillId="28" borderId="3" xfId="0" applyNumberFormat="1" applyFont="1" applyFill="1" applyBorder="1" applyAlignment="1" applyProtection="1">
      <alignment horizontal="center" vertical="center" wrapText="1"/>
      <protection locked="0"/>
    </xf>
    <xf numFmtId="0" fontId="8" fillId="28" borderId="4" xfId="0" applyNumberFormat="1" applyFont="1" applyFill="1" applyBorder="1" applyAlignment="1" applyProtection="1">
      <alignment horizontal="center" vertical="center" wrapText="1"/>
      <protection locked="0"/>
    </xf>
    <xf numFmtId="0" fontId="8" fillId="28" borderId="4" xfId="0" applyFont="1" applyFill="1" applyBorder="1" applyAlignment="1" applyProtection="1">
      <alignment horizontal="center" vertical="center" wrapText="1"/>
      <protection locked="0"/>
    </xf>
    <xf numFmtId="0" fontId="8" fillId="28" borderId="4" xfId="38" applyNumberFormat="1" applyFont="1" applyFill="1" applyBorder="1" applyAlignment="1" applyProtection="1">
      <alignment horizontal="center" vertical="center" wrapText="1"/>
      <protection locked="0"/>
    </xf>
    <xf numFmtId="9" fontId="8" fillId="28" borderId="4" xfId="38" applyNumberFormat="1" applyFont="1" applyFill="1" applyBorder="1" applyAlignment="1" applyProtection="1">
      <alignment horizontal="center" vertical="center" wrapText="1"/>
      <protection locked="0"/>
    </xf>
    <xf numFmtId="9" fontId="8" fillId="28" borderId="4" xfId="38" applyFont="1" applyFill="1" applyBorder="1" applyAlignment="1" applyProtection="1">
      <alignment vertical="center" wrapText="1"/>
      <protection locked="0"/>
    </xf>
    <xf numFmtId="9" fontId="8" fillId="0" borderId="7" xfId="38" applyFont="1" applyFill="1" applyBorder="1" applyAlignment="1" applyProtection="1">
      <alignment vertical="center" wrapText="1"/>
      <protection locked="0"/>
    </xf>
    <xf numFmtId="167" fontId="6" fillId="28" borderId="2" xfId="0" applyNumberFormat="1" applyFont="1" applyFill="1" applyBorder="1" applyAlignment="1">
      <alignment horizontal="center" vertical="center" wrapText="1"/>
    </xf>
    <xf numFmtId="9" fontId="4" fillId="28" borderId="2" xfId="38" applyFont="1" applyFill="1" applyBorder="1" applyAlignment="1">
      <alignment horizontal="center" vertical="center" wrapText="1"/>
    </xf>
    <xf numFmtId="9" fontId="6" fillId="28" borderId="2" xfId="38" applyFont="1" applyFill="1" applyBorder="1" applyAlignment="1">
      <alignment horizontal="center" vertical="center" wrapText="1"/>
    </xf>
    <xf numFmtId="0" fontId="8" fillId="28" borderId="2" xfId="0" applyNumberFormat="1" applyFont="1" applyFill="1" applyBorder="1" applyAlignment="1" applyProtection="1">
      <alignment horizontal="center" vertical="center" wrapText="1"/>
      <protection locked="0"/>
    </xf>
    <xf numFmtId="0" fontId="6" fillId="28" borderId="2" xfId="0" applyFont="1" applyFill="1" applyBorder="1" applyAlignment="1">
      <alignment vertical="center" wrapText="1"/>
    </xf>
    <xf numFmtId="0" fontId="2" fillId="28" borderId="0" xfId="0" applyFont="1" applyFill="1" applyAlignment="1" applyProtection="1">
      <alignment vertical="center" wrapText="1"/>
      <protection locked="0"/>
    </xf>
    <xf numFmtId="9" fontId="8" fillId="0" borderId="7" xfId="38" applyNumberFormat="1" applyFont="1" applyFill="1" applyBorder="1" applyAlignment="1" applyProtection="1">
      <alignment horizontal="center" vertical="center" wrapText="1"/>
      <protection locked="0"/>
    </xf>
    <xf numFmtId="9" fontId="6" fillId="0" borderId="0" xfId="38" applyNumberFormat="1"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left" vertical="center" wrapText="1"/>
      <protection locked="0"/>
    </xf>
    <xf numFmtId="9" fontId="8" fillId="0" borderId="15" xfId="38" applyFont="1" applyFill="1" applyBorder="1" applyAlignment="1" applyProtection="1">
      <alignment vertical="center" wrapText="1"/>
      <protection locked="0"/>
    </xf>
    <xf numFmtId="0" fontId="2" fillId="0" borderId="15" xfId="0" applyFont="1" applyFill="1" applyBorder="1" applyAlignment="1" applyProtection="1">
      <alignment vertical="center" wrapText="1"/>
      <protection locked="0"/>
    </xf>
    <xf numFmtId="43" fontId="2" fillId="0" borderId="0" xfId="10" applyFont="1" applyAlignment="1" applyProtection="1">
      <alignment vertical="center" wrapText="1"/>
      <protection locked="0"/>
    </xf>
    <xf numFmtId="0" fontId="2" fillId="0" borderId="18" xfId="0" applyFont="1" applyFill="1" applyBorder="1" applyAlignment="1" applyProtection="1">
      <alignment vertical="center" wrapText="1"/>
      <protection locked="0"/>
    </xf>
    <xf numFmtId="0" fontId="2" fillId="0" borderId="19" xfId="0" applyFont="1" applyFill="1" applyBorder="1" applyAlignment="1" applyProtection="1">
      <alignment vertical="center" wrapText="1"/>
      <protection locked="0"/>
    </xf>
    <xf numFmtId="43" fontId="2" fillId="0" borderId="0" xfId="0" applyNumberFormat="1" applyFont="1" applyAlignment="1" applyProtection="1">
      <alignment vertical="center" wrapText="1"/>
      <protection locked="0"/>
    </xf>
    <xf numFmtId="0" fontId="63" fillId="0" borderId="0" xfId="0" applyFont="1" applyBorder="1" applyAlignment="1" applyProtection="1">
      <alignment vertical="top" wrapText="1"/>
      <protection locked="0"/>
    </xf>
    <xf numFmtId="0" fontId="64" fillId="0" borderId="0" xfId="0" applyNumberFormat="1" applyFont="1" applyAlignment="1" applyProtection="1">
      <alignment horizontal="center" vertical="top" wrapText="1"/>
      <protection locked="0"/>
    </xf>
    <xf numFmtId="0" fontId="64" fillId="0" borderId="0" xfId="0" applyFont="1" applyAlignment="1" applyProtection="1">
      <alignment horizontal="center" vertical="top" wrapText="1"/>
      <protection locked="0"/>
    </xf>
    <xf numFmtId="0" fontId="64" fillId="0" borderId="0" xfId="0" applyFont="1" applyAlignment="1" applyProtection="1">
      <alignment vertical="top" wrapText="1"/>
      <protection locked="0"/>
    </xf>
    <xf numFmtId="0" fontId="80" fillId="0" borderId="0" xfId="0" applyFont="1" applyAlignment="1" applyProtection="1">
      <alignment vertical="top" wrapText="1"/>
      <protection locked="0"/>
    </xf>
    <xf numFmtId="0" fontId="119" fillId="0" borderId="0" xfId="0" applyFont="1" applyAlignment="1" applyProtection="1">
      <alignment vertical="top" wrapText="1"/>
      <protection locked="0"/>
    </xf>
    <xf numFmtId="0" fontId="63" fillId="0" borderId="0" xfId="0" applyFont="1" applyAlignment="1" applyProtection="1">
      <alignment vertical="top" wrapText="1"/>
      <protection locked="0"/>
    </xf>
    <xf numFmtId="0" fontId="81" fillId="0" borderId="0" xfId="0" applyFont="1" applyAlignment="1" applyProtection="1">
      <alignment vertical="top" wrapText="1"/>
      <protection locked="0"/>
    </xf>
    <xf numFmtId="180" fontId="64" fillId="0" borderId="0" xfId="0" applyNumberFormat="1" applyFont="1" applyAlignment="1" applyProtection="1">
      <alignment vertical="top" wrapText="1"/>
      <protection locked="0"/>
    </xf>
    <xf numFmtId="0" fontId="64" fillId="0" borderId="0" xfId="0" applyFont="1" applyBorder="1" applyAlignment="1" applyProtection="1">
      <alignment vertical="center" wrapText="1"/>
      <protection locked="0"/>
    </xf>
    <xf numFmtId="0" fontId="64"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119" fillId="0" borderId="0" xfId="0" applyFont="1" applyAlignment="1" applyProtection="1">
      <alignment vertical="center" wrapText="1"/>
      <protection locked="0"/>
    </xf>
    <xf numFmtId="0" fontId="63" fillId="0" borderId="0" xfId="0" applyFont="1" applyAlignment="1" applyProtection="1">
      <alignment vertical="center" wrapText="1"/>
      <protection locked="0"/>
    </xf>
    <xf numFmtId="0" fontId="81" fillId="0" borderId="0" xfId="0" applyFont="1" applyAlignment="1" applyProtection="1">
      <alignment vertical="center" wrapText="1"/>
      <protection locked="0"/>
    </xf>
    <xf numFmtId="180" fontId="64" fillId="0" borderId="0" xfId="0" applyNumberFormat="1" applyFont="1" applyAlignment="1" applyProtection="1">
      <alignment vertical="center" wrapText="1"/>
      <protection locked="0"/>
    </xf>
    <xf numFmtId="0" fontId="64" fillId="0" borderId="22" xfId="0" applyFont="1" applyBorder="1" applyAlignment="1" applyProtection="1">
      <alignment vertical="center" wrapText="1"/>
      <protection locked="0"/>
    </xf>
    <xf numFmtId="0" fontId="114" fillId="0" borderId="0" xfId="0" applyFont="1" applyFill="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Border="1" applyAlignment="1" applyProtection="1">
      <alignment vertical="center" wrapText="1"/>
      <protection locked="0"/>
    </xf>
    <xf numFmtId="0" fontId="114" fillId="0" borderId="0" xfId="0" applyFont="1" applyFill="1" applyBorder="1" applyAlignment="1" applyProtection="1">
      <alignment vertical="center" wrapText="1"/>
      <protection locked="0"/>
    </xf>
    <xf numFmtId="0" fontId="63" fillId="5" borderId="2" xfId="0" applyFont="1" applyFill="1" applyBorder="1" applyAlignment="1" applyProtection="1">
      <alignment horizontal="center" vertical="center" textRotation="255" wrapText="1"/>
      <protection locked="0"/>
    </xf>
    <xf numFmtId="0" fontId="63" fillId="0" borderId="2" xfId="0" applyNumberFormat="1" applyFont="1" applyBorder="1" applyAlignment="1">
      <alignment horizontal="center" vertical="center" wrapText="1"/>
    </xf>
    <xf numFmtId="0" fontId="83" fillId="0" borderId="2" xfId="0" applyNumberFormat="1" applyFont="1" applyBorder="1" applyAlignment="1">
      <alignment horizontal="center" vertical="center" wrapText="1"/>
    </xf>
    <xf numFmtId="0" fontId="83" fillId="0" borderId="2" xfId="0" applyFont="1" applyBorder="1" applyAlignment="1">
      <alignment horizontal="center" vertical="center" wrapText="1"/>
    </xf>
    <xf numFmtId="0" fontId="85" fillId="0" borderId="2" xfId="0" applyFont="1" applyBorder="1" applyAlignment="1">
      <alignment horizontal="center" vertical="center" wrapText="1"/>
    </xf>
    <xf numFmtId="180" fontId="83" fillId="0" borderId="2" xfId="0" applyNumberFormat="1" applyFont="1" applyBorder="1" applyAlignment="1">
      <alignment horizontal="center" vertical="center" wrapText="1"/>
    </xf>
    <xf numFmtId="0" fontId="86" fillId="0" borderId="2" xfId="20" applyFont="1" applyFill="1" applyBorder="1" applyAlignment="1" applyProtection="1">
      <alignment vertical="center" wrapText="1"/>
      <protection locked="0"/>
    </xf>
    <xf numFmtId="10" fontId="80" fillId="0" borderId="2" xfId="46" applyNumberFormat="1" applyFont="1" applyFill="1" applyBorder="1" applyAlignment="1" applyProtection="1">
      <alignment horizontal="center" vertical="center" wrapText="1"/>
      <protection locked="0"/>
    </xf>
    <xf numFmtId="10" fontId="120" fillId="0" borderId="2" xfId="46" applyNumberFormat="1" applyFont="1" applyFill="1" applyBorder="1" applyAlignment="1" applyProtection="1">
      <alignment horizontal="center" vertical="center" wrapText="1"/>
      <protection locked="0"/>
    </xf>
    <xf numFmtId="10" fontId="121" fillId="0" borderId="2" xfId="46" applyNumberFormat="1" applyFont="1" applyFill="1" applyBorder="1" applyAlignment="1" applyProtection="1">
      <alignment horizontal="center" vertical="center" wrapText="1"/>
      <protection locked="0"/>
    </xf>
    <xf numFmtId="167" fontId="80" fillId="0" borderId="9" xfId="0" applyNumberFormat="1" applyFont="1" applyBorder="1" applyAlignment="1">
      <alignment horizontal="center" vertical="center" wrapText="1"/>
    </xf>
    <xf numFmtId="0" fontId="80" fillId="0" borderId="9" xfId="0" applyFont="1" applyBorder="1" applyAlignment="1">
      <alignment horizontal="center" vertical="center" wrapText="1"/>
    </xf>
    <xf numFmtId="9" fontId="80" fillId="0" borderId="9" xfId="38" applyFont="1" applyFill="1" applyBorder="1" applyAlignment="1">
      <alignment horizontal="center" vertical="center" wrapText="1"/>
    </xf>
    <xf numFmtId="180" fontId="80" fillId="0" borderId="9" xfId="0" applyNumberFormat="1" applyFont="1" applyBorder="1" applyAlignment="1">
      <alignment horizontal="center" vertical="center" wrapText="1"/>
    </xf>
    <xf numFmtId="9" fontId="83" fillId="0" borderId="9" xfId="38" applyFont="1" applyFill="1" applyBorder="1" applyAlignment="1">
      <alignment horizontal="center" vertical="center" wrapText="1"/>
    </xf>
    <xf numFmtId="0" fontId="87" fillId="0" borderId="9" xfId="0" applyFont="1" applyFill="1" applyBorder="1" applyAlignment="1">
      <alignment horizontal="center" vertical="center" wrapText="1"/>
    </xf>
    <xf numFmtId="0" fontId="86" fillId="0" borderId="22" xfId="20" applyNumberFormat="1" applyFont="1" applyFill="1" applyBorder="1" applyAlignment="1" applyProtection="1">
      <alignment horizontal="center" vertical="center" wrapText="1"/>
      <protection locked="0"/>
    </xf>
    <xf numFmtId="10" fontId="80" fillId="0" borderId="3" xfId="46" applyNumberFormat="1" applyFont="1" applyFill="1" applyBorder="1" applyAlignment="1" applyProtection="1">
      <alignment horizontal="center" vertical="center" wrapText="1"/>
      <protection locked="0"/>
    </xf>
    <xf numFmtId="9" fontId="80" fillId="0" borderId="2" xfId="46" applyNumberFormat="1" applyFont="1" applyFill="1" applyBorder="1" applyAlignment="1" applyProtection="1">
      <alignment horizontal="center" vertical="center" wrapText="1"/>
      <protection locked="0"/>
    </xf>
    <xf numFmtId="9" fontId="121" fillId="0" borderId="2" xfId="46"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2" fontId="80" fillId="0" borderId="2" xfId="46" applyNumberFormat="1" applyFont="1" applyFill="1" applyBorder="1" applyAlignment="1" applyProtection="1">
      <alignment horizontal="center" vertical="center" wrapText="1"/>
      <protection locked="0"/>
    </xf>
    <xf numFmtId="2" fontId="80" fillId="0" borderId="6" xfId="46" applyNumberFormat="1" applyFont="1" applyFill="1" applyBorder="1" applyAlignment="1" applyProtection="1">
      <alignment horizontal="center" vertical="center" wrapText="1"/>
      <protection locked="0"/>
    </xf>
    <xf numFmtId="2" fontId="121" fillId="0" borderId="6" xfId="46" applyNumberFormat="1" applyFont="1" applyFill="1" applyBorder="1" applyAlignment="1" applyProtection="1">
      <alignment horizontal="center" vertical="center" wrapText="1"/>
      <protection locked="0"/>
    </xf>
    <xf numFmtId="9" fontId="83" fillId="0" borderId="6" xfId="38" applyFont="1" applyFill="1" applyBorder="1" applyAlignment="1">
      <alignment horizontal="center" vertical="center" wrapText="1"/>
    </xf>
    <xf numFmtId="166" fontId="80" fillId="0" borderId="2" xfId="46" applyNumberFormat="1" applyFont="1" applyFill="1" applyBorder="1" applyAlignment="1" applyProtection="1">
      <alignment horizontal="center" vertical="center" wrapText="1"/>
      <protection locked="0"/>
    </xf>
    <xf numFmtId="1" fontId="80" fillId="0" borderId="6" xfId="46" applyNumberFormat="1" applyFont="1" applyFill="1" applyBorder="1" applyAlignment="1" applyProtection="1">
      <alignment horizontal="center" vertical="center" wrapText="1"/>
      <protection locked="0"/>
    </xf>
    <xf numFmtId="167" fontId="80" fillId="0" borderId="16" xfId="0" applyNumberFormat="1" applyFont="1" applyBorder="1" applyAlignment="1">
      <alignment vertical="center" wrapText="1"/>
    </xf>
    <xf numFmtId="2" fontId="121" fillId="0" borderId="2" xfId="46" applyNumberFormat="1" applyFont="1" applyFill="1" applyBorder="1" applyAlignment="1" applyProtection="1">
      <alignment horizontal="center" vertical="center" wrapText="1"/>
      <protection locked="0"/>
    </xf>
    <xf numFmtId="167" fontId="80" fillId="0" borderId="6" xfId="0" applyNumberFormat="1" applyFont="1" applyBorder="1" applyAlignment="1">
      <alignment vertical="center" wrapText="1"/>
    </xf>
    <xf numFmtId="166" fontId="121" fillId="0" borderId="2" xfId="46" applyNumberFormat="1" applyFont="1" applyFill="1" applyBorder="1" applyAlignment="1" applyProtection="1">
      <alignment horizontal="center" vertical="center" wrapText="1"/>
      <protection locked="0"/>
    </xf>
    <xf numFmtId="0" fontId="80" fillId="0" borderId="2" xfId="38" applyNumberFormat="1" applyFont="1" applyFill="1" applyBorder="1" applyAlignment="1" applyProtection="1">
      <alignment horizontal="center" vertical="center" wrapText="1"/>
      <protection locked="0"/>
    </xf>
    <xf numFmtId="178" fontId="80" fillId="0" borderId="2" xfId="38" applyNumberFormat="1" applyFont="1" applyFill="1" applyBorder="1" applyAlignment="1" applyProtection="1">
      <alignment horizontal="center" vertical="center" wrapText="1"/>
      <protection locked="0"/>
    </xf>
    <xf numFmtId="10" fontId="80" fillId="0" borderId="2" xfId="38" applyNumberFormat="1" applyFont="1" applyFill="1" applyBorder="1" applyAlignment="1" applyProtection="1">
      <alignment horizontal="center" vertical="center" wrapText="1"/>
      <protection locked="0"/>
    </xf>
    <xf numFmtId="0" fontId="80" fillId="0" borderId="0" xfId="0" applyFont="1" applyFill="1" applyAlignment="1" applyProtection="1">
      <alignment vertical="center" wrapText="1"/>
      <protection locked="0"/>
    </xf>
    <xf numFmtId="10" fontId="121" fillId="0" borderId="2" xfId="38" applyNumberFormat="1" applyFont="1" applyFill="1" applyBorder="1" applyAlignment="1" applyProtection="1">
      <alignment horizontal="center" vertical="center" wrapText="1"/>
      <protection locked="0"/>
    </xf>
    <xf numFmtId="2" fontId="80" fillId="0" borderId="2" xfId="38" applyNumberFormat="1" applyFont="1" applyFill="1" applyBorder="1" applyAlignment="1" applyProtection="1">
      <alignment horizontal="center" vertical="center" wrapText="1"/>
      <protection locked="0"/>
    </xf>
    <xf numFmtId="2" fontId="121" fillId="0" borderId="2" xfId="38" applyNumberFormat="1" applyFont="1" applyFill="1" applyBorder="1" applyAlignment="1" applyProtection="1">
      <alignment horizontal="center" vertical="center" wrapText="1"/>
      <protection locked="0"/>
    </xf>
    <xf numFmtId="0" fontId="84" fillId="0" borderId="2" xfId="0" applyFont="1" applyFill="1" applyBorder="1" applyAlignment="1" applyProtection="1">
      <alignment horizontal="center" vertical="center" wrapText="1"/>
      <protection locked="0"/>
    </xf>
    <xf numFmtId="0" fontId="86" fillId="0" borderId="3" xfId="20" applyNumberFormat="1" applyFont="1" applyFill="1" applyBorder="1" applyAlignment="1" applyProtection="1">
      <alignment horizontal="center" vertical="center" wrapText="1"/>
      <protection locked="0"/>
    </xf>
    <xf numFmtId="0" fontId="84" fillId="0" borderId="2" xfId="0" applyFont="1" applyFill="1" applyBorder="1" applyAlignment="1" applyProtection="1">
      <alignment vertical="center" wrapText="1"/>
      <protection locked="0"/>
    </xf>
    <xf numFmtId="179" fontId="80" fillId="0" borderId="2" xfId="38" applyNumberFormat="1" applyFont="1" applyFill="1" applyBorder="1" applyAlignment="1" applyProtection="1">
      <alignment horizontal="center" vertical="center" wrapText="1"/>
      <protection locked="0"/>
    </xf>
    <xf numFmtId="179" fontId="121" fillId="0" borderId="2" xfId="38" applyNumberFormat="1" applyFont="1" applyFill="1" applyBorder="1" applyAlignment="1" applyProtection="1">
      <alignment horizontal="center" vertical="center" wrapText="1"/>
      <protection locked="0"/>
    </xf>
    <xf numFmtId="2" fontId="80" fillId="0" borderId="9" xfId="0" applyNumberFormat="1" applyFont="1" applyBorder="1" applyAlignment="1">
      <alignment horizontal="center" vertical="center" wrapText="1"/>
    </xf>
    <xf numFmtId="2" fontId="80" fillId="4" borderId="9" xfId="0" applyNumberFormat="1" applyFont="1" applyFill="1" applyBorder="1" applyAlignment="1">
      <alignment horizontal="center" vertical="center" wrapText="1"/>
    </xf>
    <xf numFmtId="9" fontId="80" fillId="4" borderId="9" xfId="38" applyFont="1" applyFill="1" applyBorder="1" applyAlignment="1">
      <alignment horizontal="center" vertical="center" wrapText="1"/>
    </xf>
    <xf numFmtId="179" fontId="80" fillId="0" borderId="9" xfId="0" applyNumberFormat="1" applyFont="1" applyBorder="1" applyAlignment="1">
      <alignment horizontal="center" vertical="center" wrapText="1"/>
    </xf>
    <xf numFmtId="179" fontId="80" fillId="4" borderId="9" xfId="0" applyNumberFormat="1" applyFont="1" applyFill="1" applyBorder="1" applyAlignment="1">
      <alignment horizontal="center" vertical="center" wrapText="1"/>
    </xf>
    <xf numFmtId="9" fontId="83" fillId="4" borderId="9" xfId="38" applyFont="1" applyFill="1" applyBorder="1" applyAlignment="1">
      <alignment horizontal="center" vertical="center" wrapText="1"/>
    </xf>
    <xf numFmtId="0" fontId="80" fillId="10" borderId="9" xfId="0" applyFont="1" applyFill="1" applyBorder="1" applyAlignment="1">
      <alignment horizontal="center" vertical="center" wrapText="1"/>
    </xf>
    <xf numFmtId="43" fontId="80" fillId="6" borderId="2" xfId="14" applyFont="1" applyFill="1" applyBorder="1" applyAlignment="1">
      <alignment horizontal="center" vertical="center" wrapText="1"/>
    </xf>
    <xf numFmtId="0" fontId="80" fillId="0" borderId="9" xfId="0" applyFont="1" applyFill="1" applyBorder="1" applyAlignment="1">
      <alignment horizontal="center" vertical="center" wrapText="1"/>
    </xf>
    <xf numFmtId="181" fontId="80" fillId="6" borderId="2" xfId="14" applyNumberFormat="1" applyFont="1" applyFill="1" applyBorder="1" applyAlignment="1">
      <alignment horizontal="center" vertical="center" wrapText="1"/>
    </xf>
    <xf numFmtId="169" fontId="80" fillId="6" borderId="2" xfId="14" applyNumberFormat="1" applyFont="1" applyFill="1" applyBorder="1" applyAlignment="1">
      <alignment horizontal="center" vertical="center" wrapText="1"/>
    </xf>
    <xf numFmtId="180" fontId="80" fillId="6" borderId="2" xfId="14" applyNumberFormat="1" applyFont="1" applyFill="1" applyBorder="1" applyAlignment="1">
      <alignment horizontal="center" vertical="center" wrapText="1"/>
    </xf>
    <xf numFmtId="0" fontId="87" fillId="0" borderId="2" xfId="0" applyFont="1" applyFill="1" applyBorder="1" applyAlignment="1">
      <alignment horizontal="center" vertical="center" wrapText="1"/>
    </xf>
    <xf numFmtId="181" fontId="80" fillId="0" borderId="2" xfId="14" applyNumberFormat="1" applyFont="1" applyFill="1" applyBorder="1" applyAlignment="1">
      <alignment horizontal="center" vertical="center" wrapText="1"/>
    </xf>
    <xf numFmtId="0" fontId="87" fillId="0" borderId="2" xfId="0" applyFont="1" applyFill="1" applyBorder="1" applyAlignment="1">
      <alignment horizontal="left" vertical="center" wrapText="1"/>
    </xf>
    <xf numFmtId="0" fontId="121" fillId="0" borderId="2" xfId="38" applyNumberFormat="1" applyFont="1" applyFill="1" applyBorder="1" applyAlignment="1" applyProtection="1">
      <alignment horizontal="center" vertical="center" wrapText="1"/>
      <protection locked="0"/>
    </xf>
    <xf numFmtId="9" fontId="80" fillId="6" borderId="2" xfId="38" applyFont="1" applyFill="1" applyBorder="1" applyAlignment="1">
      <alignment horizontal="center" vertical="center" wrapText="1"/>
    </xf>
    <xf numFmtId="0" fontId="80" fillId="0" borderId="2" xfId="0" applyFont="1" applyFill="1" applyBorder="1" applyAlignment="1">
      <alignment horizontal="center" vertical="center" wrapText="1"/>
    </xf>
    <xf numFmtId="180" fontId="80" fillId="0" borderId="2" xfId="14" applyNumberFormat="1" applyFont="1" applyFill="1" applyBorder="1" applyAlignment="1">
      <alignment horizontal="center" vertical="center" wrapText="1"/>
    </xf>
    <xf numFmtId="169" fontId="80" fillId="0" borderId="2" xfId="14" applyNumberFormat="1" applyFont="1" applyFill="1" applyBorder="1" applyAlignment="1">
      <alignment horizontal="center" vertical="center" wrapText="1"/>
    </xf>
    <xf numFmtId="9" fontId="83" fillId="6" borderId="2" xfId="38" applyFont="1" applyFill="1" applyBorder="1" applyAlignment="1">
      <alignment horizontal="center" vertical="center" wrapText="1"/>
    </xf>
    <xf numFmtId="9" fontId="80" fillId="0" borderId="2" xfId="38" applyNumberFormat="1" applyFont="1" applyFill="1" applyBorder="1" applyAlignment="1" applyProtection="1">
      <alignment horizontal="center" vertical="center" wrapText="1"/>
      <protection locked="0"/>
    </xf>
    <xf numFmtId="9" fontId="80" fillId="0" borderId="2" xfId="38" applyFont="1" applyFill="1" applyBorder="1" applyAlignment="1" applyProtection="1">
      <alignment vertical="center" wrapText="1"/>
      <protection locked="0"/>
    </xf>
    <xf numFmtId="167" fontId="80" fillId="0" borderId="2" xfId="0" applyNumberFormat="1" applyFont="1" applyBorder="1" applyAlignment="1">
      <alignment horizontal="center" vertical="center" wrapText="1"/>
    </xf>
    <xf numFmtId="9" fontId="80" fillId="4" borderId="2" xfId="38" applyFont="1" applyFill="1" applyBorder="1" applyAlignment="1">
      <alignment horizontal="center" vertical="center" wrapText="1"/>
    </xf>
    <xf numFmtId="9" fontId="80" fillId="0" borderId="2" xfId="38" applyFont="1" applyFill="1" applyBorder="1" applyAlignment="1">
      <alignment horizontal="center" vertical="center" wrapText="1"/>
    </xf>
    <xf numFmtId="9" fontId="83" fillId="4" borderId="2" xfId="38" applyFont="1" applyFill="1" applyBorder="1" applyAlignment="1">
      <alignment horizontal="center" vertical="center" wrapText="1"/>
    </xf>
    <xf numFmtId="0" fontId="80" fillId="0" borderId="2" xfId="0" applyFont="1" applyBorder="1" applyAlignment="1">
      <alignment horizontal="center" vertical="center" wrapText="1"/>
    </xf>
    <xf numFmtId="0" fontId="87" fillId="0" borderId="2" xfId="0" applyFont="1" applyBorder="1" applyAlignment="1">
      <alignment horizontal="center" vertical="center" wrapText="1"/>
    </xf>
    <xf numFmtId="180" fontId="80" fillId="0" borderId="2" xfId="0" applyNumberFormat="1" applyFont="1" applyBorder="1" applyAlignment="1">
      <alignment horizontal="center" vertical="center" wrapText="1"/>
    </xf>
    <xf numFmtId="9" fontId="121" fillId="0" borderId="2" xfId="38" applyFont="1" applyFill="1" applyBorder="1" applyAlignment="1" applyProtection="1">
      <alignment vertical="center" wrapText="1"/>
      <protection locked="0"/>
    </xf>
    <xf numFmtId="9" fontId="83" fillId="4" borderId="16" xfId="38" applyFont="1" applyFill="1" applyBorder="1" applyAlignment="1">
      <alignment vertical="center" wrapText="1"/>
    </xf>
    <xf numFmtId="9" fontId="80" fillId="0" borderId="16" xfId="38" applyFont="1" applyFill="1" applyBorder="1" applyAlignment="1">
      <alignment vertical="center" wrapText="1"/>
    </xf>
    <xf numFmtId="9" fontId="80" fillId="4" borderId="16" xfId="38" applyFont="1" applyFill="1" applyBorder="1" applyAlignment="1">
      <alignment vertical="center" wrapText="1"/>
    </xf>
    <xf numFmtId="0" fontId="80" fillId="0" borderId="16" xfId="0" applyFont="1" applyBorder="1" applyAlignment="1">
      <alignment vertical="center" wrapText="1"/>
    </xf>
    <xf numFmtId="167" fontId="119" fillId="0" borderId="16" xfId="0" applyNumberFormat="1" applyFont="1" applyBorder="1" applyAlignment="1">
      <alignment vertical="center" wrapText="1"/>
    </xf>
    <xf numFmtId="9" fontId="122" fillId="4" borderId="16" xfId="38" applyFont="1" applyFill="1" applyBorder="1" applyAlignment="1">
      <alignment vertical="center" wrapText="1"/>
    </xf>
    <xf numFmtId="9" fontId="119" fillId="0" borderId="16" xfId="38" applyFont="1" applyFill="1" applyBorder="1" applyAlignment="1">
      <alignment vertical="center" wrapText="1"/>
    </xf>
    <xf numFmtId="9" fontId="119" fillId="4" borderId="16" xfId="38" applyFont="1" applyFill="1" applyBorder="1" applyAlignment="1">
      <alignment vertical="center" wrapText="1"/>
    </xf>
    <xf numFmtId="0" fontId="119" fillId="0" borderId="16" xfId="0" applyFont="1" applyBorder="1" applyAlignment="1">
      <alignment vertical="center" wrapText="1"/>
    </xf>
    <xf numFmtId="0" fontId="87" fillId="0" borderId="0" xfId="0" applyFont="1" applyFill="1" applyAlignment="1" applyProtection="1">
      <alignment vertical="center" wrapText="1"/>
      <protection locked="0"/>
    </xf>
    <xf numFmtId="180" fontId="80" fillId="0" borderId="0" xfId="0" applyNumberFormat="1" applyFont="1" applyFill="1" applyAlignment="1" applyProtection="1">
      <alignment vertical="center" wrapText="1"/>
      <protection locked="0"/>
    </xf>
    <xf numFmtId="0" fontId="87" fillId="0" borderId="0" xfId="0" applyFont="1" applyFill="1" applyAlignment="1" applyProtection="1">
      <alignment horizontal="left" vertical="center" wrapText="1"/>
      <protection locked="0"/>
    </xf>
    <xf numFmtId="166" fontId="83" fillId="4" borderId="9" xfId="38" applyNumberFormat="1" applyFont="1" applyFill="1" applyBorder="1" applyAlignment="1">
      <alignment horizontal="center" vertical="center" wrapText="1"/>
    </xf>
    <xf numFmtId="0" fontId="119" fillId="0" borderId="2" xfId="0" applyFont="1" applyBorder="1" applyAlignment="1">
      <alignment horizontal="center" vertical="center" wrapText="1"/>
    </xf>
    <xf numFmtId="167" fontId="80" fillId="6" borderId="2" xfId="14" applyNumberFormat="1" applyFont="1" applyFill="1" applyBorder="1" applyAlignment="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4" borderId="2" xfId="38" applyNumberFormat="1" applyFont="1" applyFill="1" applyBorder="1" applyAlignment="1" applyProtection="1">
      <alignment horizontal="center" vertical="center" wrapText="1"/>
      <protection locked="0"/>
    </xf>
    <xf numFmtId="2" fontId="80" fillId="4" borderId="2" xfId="38" applyNumberFormat="1" applyFont="1" applyFill="1" applyBorder="1" applyAlignment="1" applyProtection="1">
      <alignment horizontal="center" vertical="center" wrapText="1"/>
      <protection locked="0"/>
    </xf>
    <xf numFmtId="180" fontId="80" fillId="10" borderId="2" xfId="0" applyNumberFormat="1" applyFont="1" applyFill="1" applyBorder="1" applyAlignment="1">
      <alignment horizontal="center" vertical="center" wrapText="1"/>
    </xf>
    <xf numFmtId="2" fontId="80" fillId="6" borderId="2" xfId="14" applyNumberFormat="1" applyFont="1" applyFill="1" applyBorder="1" applyAlignment="1">
      <alignment horizontal="center" vertical="center" wrapText="1"/>
    </xf>
    <xf numFmtId="166" fontId="80" fillId="4" borderId="9" xfId="38" applyNumberFormat="1" applyFont="1" applyFill="1" applyBorder="1" applyAlignment="1">
      <alignment horizontal="center" vertical="center" wrapText="1"/>
    </xf>
    <xf numFmtId="43" fontId="80" fillId="6" borderId="2" xfId="14" applyNumberFormat="1" applyFont="1" applyFill="1" applyBorder="1" applyAlignment="1">
      <alignment horizontal="center" vertical="center" wrapText="1"/>
    </xf>
    <xf numFmtId="168" fontId="80" fillId="6" borderId="2" xfId="14" applyNumberFormat="1" applyFont="1" applyFill="1" applyBorder="1" applyAlignment="1">
      <alignment horizontal="center" vertical="center" wrapText="1"/>
    </xf>
    <xf numFmtId="0" fontId="80" fillId="0" borderId="3" xfId="0" applyNumberFormat="1" applyFont="1" applyFill="1" applyBorder="1" applyAlignment="1" applyProtection="1">
      <alignment horizontal="center" vertical="center" wrapText="1"/>
      <protection locked="0"/>
    </xf>
    <xf numFmtId="2" fontId="80" fillId="0" borderId="2" xfId="0" applyNumberFormat="1" applyFont="1" applyFill="1" applyBorder="1" applyAlignment="1" applyProtection="1">
      <alignment horizontal="center" vertical="center" wrapText="1"/>
      <protection locked="0"/>
    </xf>
    <xf numFmtId="0" fontId="119" fillId="0" borderId="3" xfId="0" applyNumberFormat="1" applyFont="1" applyFill="1" applyBorder="1" applyAlignment="1" applyProtection="1">
      <alignment horizontal="center" vertical="center" wrapText="1"/>
      <protection locked="0"/>
    </xf>
    <xf numFmtId="2" fontId="119" fillId="0" borderId="2" xfId="0" applyNumberFormat="1" applyFont="1" applyFill="1" applyBorder="1" applyAlignment="1" applyProtection="1">
      <alignment horizontal="center" vertical="center" wrapText="1"/>
      <protection locked="0"/>
    </xf>
    <xf numFmtId="0" fontId="119" fillId="0" borderId="2" xfId="0" applyFont="1" applyFill="1" applyBorder="1" applyAlignment="1" applyProtection="1">
      <alignment horizontal="center" vertical="center" wrapText="1"/>
      <protection locked="0"/>
    </xf>
    <xf numFmtId="0" fontId="122" fillId="0" borderId="2" xfId="0" applyFont="1" applyFill="1" applyBorder="1" applyAlignment="1" applyProtection="1">
      <alignment horizontal="center" vertical="center" wrapText="1"/>
      <protection locked="0"/>
    </xf>
    <xf numFmtId="0" fontId="123" fillId="0" borderId="2" xfId="0" applyFont="1" applyFill="1" applyBorder="1" applyAlignment="1" applyProtection="1">
      <alignment horizontal="center" vertical="center" wrapText="1"/>
      <protection locked="0"/>
    </xf>
    <xf numFmtId="180" fontId="119" fillId="0" borderId="3" xfId="0" applyNumberFormat="1" applyFont="1" applyFill="1" applyBorder="1" applyAlignment="1" applyProtection="1">
      <alignment horizontal="center" vertical="center" wrapText="1"/>
      <protection locked="0"/>
    </xf>
    <xf numFmtId="0" fontId="123" fillId="0" borderId="2" xfId="0"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2" fontId="80" fillId="0" borderId="2" xfId="20" applyNumberFormat="1" applyFont="1" applyFill="1" applyBorder="1" applyAlignment="1" applyProtection="1">
      <alignment horizontal="center" vertical="center" wrapText="1"/>
      <protection locked="0"/>
    </xf>
    <xf numFmtId="10" fontId="120" fillId="6" borderId="2" xfId="46"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vertical="center" wrapText="1"/>
      <protection locked="0"/>
    </xf>
    <xf numFmtId="9" fontId="80" fillId="13" borderId="2" xfId="38" applyNumberFormat="1" applyFont="1" applyFill="1" applyBorder="1" applyAlignment="1" applyProtection="1">
      <alignment horizontal="center" vertical="center" wrapText="1"/>
      <protection locked="0"/>
    </xf>
    <xf numFmtId="9" fontId="121" fillId="0" borderId="2" xfId="38" applyNumberFormat="1" applyFont="1" applyFill="1" applyBorder="1" applyAlignment="1" applyProtection="1">
      <alignment horizontal="center" vertical="center" wrapText="1"/>
      <protection locked="0"/>
    </xf>
    <xf numFmtId="9" fontId="80" fillId="0" borderId="2" xfId="38"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2" fontId="80" fillId="0" borderId="7" xfId="2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3"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vertical="center" wrapText="1"/>
      <protection locked="0"/>
    </xf>
    <xf numFmtId="0" fontId="84" fillId="0" borderId="4" xfId="0" applyFont="1" applyFill="1" applyBorder="1" applyAlignment="1" applyProtection="1">
      <alignment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38" applyNumberFormat="1" applyFont="1" applyFill="1" applyBorder="1" applyAlignment="1" applyProtection="1">
      <alignment horizontal="center" vertical="center" wrapText="1"/>
      <protection locked="0"/>
    </xf>
    <xf numFmtId="9" fontId="80" fillId="0" borderId="4" xfId="38" applyNumberFormat="1" applyFont="1" applyFill="1" applyBorder="1" applyAlignment="1" applyProtection="1">
      <alignment horizontal="center" vertical="center" wrapText="1"/>
      <protection locked="0"/>
    </xf>
    <xf numFmtId="9" fontId="80" fillId="0" borderId="4" xfId="38" applyFont="1" applyFill="1" applyBorder="1" applyAlignment="1" applyProtection="1">
      <alignment vertical="center" wrapText="1"/>
      <protection locked="0"/>
    </xf>
    <xf numFmtId="9" fontId="121" fillId="0" borderId="4" xfId="38" applyFont="1" applyFill="1" applyBorder="1" applyAlignment="1" applyProtection="1">
      <alignment vertical="center" wrapText="1"/>
      <protection locked="0"/>
    </xf>
    <xf numFmtId="0" fontId="119" fillId="0" borderId="4" xfId="0" applyNumberFormat="1" applyFont="1" applyFill="1" applyBorder="1" applyAlignment="1" applyProtection="1">
      <alignment horizontal="center" vertical="center" wrapText="1"/>
      <protection locked="0"/>
    </xf>
    <xf numFmtId="180" fontId="119" fillId="0" borderId="4"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vertical="center" wrapText="1"/>
      <protection locked="0"/>
    </xf>
    <xf numFmtId="0" fontId="80" fillId="4" borderId="2" xfId="0" applyFont="1" applyFill="1" applyBorder="1" applyAlignment="1" applyProtection="1">
      <alignment horizontal="center" vertical="center" wrapText="1"/>
      <protection locked="0"/>
    </xf>
    <xf numFmtId="0" fontId="80" fillId="0" borderId="2" xfId="0" applyFont="1" applyFill="1" applyBorder="1" applyAlignment="1" applyProtection="1">
      <alignment horizontal="left" vertical="center" wrapText="1"/>
      <protection locked="0"/>
    </xf>
    <xf numFmtId="0" fontId="83" fillId="4" borderId="2" xfId="0" applyFont="1" applyFill="1" applyBorder="1" applyAlignment="1" applyProtection="1">
      <alignment horizontal="center" vertical="center" wrapText="1"/>
      <protection locked="0"/>
    </xf>
    <xf numFmtId="0" fontId="83" fillId="0" borderId="2" xfId="0" applyFont="1" applyFill="1" applyBorder="1" applyAlignment="1" applyProtection="1">
      <alignment horizontal="center" vertical="center" wrapText="1"/>
      <protection locked="0"/>
    </xf>
    <xf numFmtId="0" fontId="87" fillId="0" borderId="2" xfId="0" applyFont="1" applyFill="1" applyBorder="1" applyAlignment="1" applyProtection="1">
      <alignment horizontal="left" vertical="center" wrapText="1"/>
      <protection locked="0"/>
    </xf>
    <xf numFmtId="180" fontId="80" fillId="0" borderId="3" xfId="0" applyNumberFormat="1" applyFont="1" applyFill="1" applyBorder="1" applyAlignment="1" applyProtection="1">
      <alignment horizontal="center" vertical="center" wrapText="1"/>
      <protection locked="0"/>
    </xf>
    <xf numFmtId="9" fontId="83" fillId="4" borderId="9" xfId="38" applyFont="1" applyFill="1" applyBorder="1" applyAlignment="1">
      <alignment vertical="center" wrapText="1"/>
    </xf>
    <xf numFmtId="0" fontId="87" fillId="0" borderId="3" xfId="0" applyFont="1" applyFill="1" applyBorder="1" applyAlignment="1" applyProtection="1">
      <alignment horizontal="left" vertical="center" wrapText="1"/>
      <protection locked="0"/>
    </xf>
    <xf numFmtId="9" fontId="80" fillId="0" borderId="0" xfId="38" applyFont="1" applyFill="1" applyBorder="1" applyAlignment="1" applyProtection="1">
      <alignment horizontal="center" vertical="center" wrapText="1"/>
      <protection locked="0"/>
    </xf>
    <xf numFmtId="9" fontId="83" fillId="4" borderId="0" xfId="38" applyFont="1" applyFill="1" applyBorder="1" applyAlignment="1">
      <alignment vertical="center" wrapText="1"/>
    </xf>
    <xf numFmtId="0" fontId="87" fillId="0" borderId="0" xfId="0"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vertical="top" wrapText="1"/>
      <protection locked="0"/>
    </xf>
    <xf numFmtId="0" fontId="80" fillId="0" borderId="0" xfId="0" applyNumberFormat="1" applyFont="1" applyFill="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9" fontId="80" fillId="4" borderId="6" xfId="38" applyFont="1" applyFill="1" applyBorder="1" applyAlignment="1">
      <alignment horizontal="center" vertical="center" wrapText="1"/>
    </xf>
    <xf numFmtId="167" fontId="80" fillId="0" borderId="2" xfId="0" applyNumberFormat="1" applyFont="1" applyBorder="1" applyAlignment="1" applyProtection="1">
      <alignment horizontal="center" vertical="center" wrapText="1"/>
      <protection locked="0"/>
    </xf>
    <xf numFmtId="0" fontId="80" fillId="4" borderId="3" xfId="0" applyNumberFormat="1" applyFont="1" applyFill="1" applyBorder="1" applyAlignment="1" applyProtection="1">
      <alignment horizontal="center" vertical="center" wrapText="1"/>
      <protection locked="0"/>
    </xf>
    <xf numFmtId="167" fontId="80" fillId="0" borderId="3" xfId="0" applyNumberFormat="1" applyFont="1" applyFill="1" applyBorder="1" applyAlignment="1" applyProtection="1">
      <alignment horizontal="center" vertical="center" wrapText="1"/>
      <protection locked="0"/>
    </xf>
    <xf numFmtId="167" fontId="80" fillId="4" borderId="2" xfId="0" applyNumberFormat="1" applyFont="1" applyFill="1" applyBorder="1" applyAlignment="1" applyProtection="1">
      <alignment horizontal="center" vertical="center" wrapText="1"/>
      <protection locked="0"/>
    </xf>
    <xf numFmtId="9" fontId="80" fillId="0" borderId="3" xfId="38" applyFont="1" applyFill="1" applyBorder="1" applyAlignment="1" applyProtection="1">
      <alignment horizontal="center" vertical="center" wrapText="1"/>
      <protection locked="0"/>
    </xf>
    <xf numFmtId="0" fontId="80" fillId="0" borderId="2" xfId="46" applyNumberFormat="1" applyFont="1" applyFill="1" applyBorder="1" applyAlignment="1" applyProtection="1">
      <alignment horizontal="center" vertical="center" wrapText="1"/>
      <protection locked="0"/>
    </xf>
    <xf numFmtId="9" fontId="83" fillId="0" borderId="2" xfId="46" applyNumberFormat="1" applyFont="1" applyFill="1" applyBorder="1" applyAlignment="1" applyProtection="1">
      <alignment horizontal="center" vertical="center" wrapText="1"/>
      <protection locked="0"/>
    </xf>
    <xf numFmtId="0" fontId="83" fillId="0" borderId="2" xfId="46" applyNumberFormat="1" applyFont="1" applyFill="1" applyBorder="1" applyAlignment="1" applyProtection="1">
      <alignment horizontal="center" vertical="center" wrapText="1"/>
      <protection locked="0"/>
    </xf>
    <xf numFmtId="9" fontId="83" fillId="4" borderId="6" xfId="38" applyFont="1" applyFill="1" applyBorder="1" applyAlignment="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84" fillId="6" borderId="2" xfId="0" applyNumberFormat="1" applyFont="1" applyFill="1" applyBorder="1" applyAlignment="1" applyProtection="1">
      <alignment horizontal="center" vertical="center" wrapText="1"/>
      <protection locked="0"/>
    </xf>
    <xf numFmtId="0" fontId="84" fillId="6" borderId="2" xfId="0" applyNumberFormat="1" applyFont="1" applyFill="1" applyBorder="1" applyAlignment="1" applyProtection="1">
      <alignment vertical="center" wrapText="1"/>
      <protection locked="0"/>
    </xf>
    <xf numFmtId="0" fontId="80" fillId="6" borderId="3"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0" borderId="2" xfId="0" applyFont="1" applyBorder="1" applyAlignment="1" applyProtection="1">
      <alignment horizontal="center" vertical="center" wrapText="1"/>
      <protection locked="0"/>
    </xf>
    <xf numFmtId="9" fontId="80" fillId="0" borderId="3" xfId="0" applyNumberFormat="1" applyFont="1" applyFill="1" applyBorder="1" applyAlignment="1" applyProtection="1">
      <alignment horizontal="center" vertical="center" wrapText="1"/>
      <protection locked="0"/>
    </xf>
    <xf numFmtId="9" fontId="80" fillId="4" borderId="2" xfId="0" applyNumberFormat="1" applyFont="1" applyFill="1" applyBorder="1" applyAlignment="1" applyProtection="1">
      <alignment horizontal="center" vertical="center" wrapText="1"/>
      <protection locked="0"/>
    </xf>
    <xf numFmtId="9" fontId="80" fillId="0" borderId="2" xfId="0" applyNumberFormat="1" applyFont="1" applyFill="1" applyBorder="1" applyAlignment="1" applyProtection="1">
      <alignment horizontal="center" vertical="center" wrapText="1"/>
      <protection locked="0"/>
    </xf>
    <xf numFmtId="9" fontId="83" fillId="4" borderId="2" xfId="0" applyNumberFormat="1" applyFont="1" applyFill="1" applyBorder="1" applyAlignment="1" applyProtection="1">
      <alignment horizontal="center" vertical="center" wrapText="1"/>
      <protection locked="0"/>
    </xf>
    <xf numFmtId="9" fontId="83" fillId="4" borderId="2" xfId="38" applyFont="1" applyFill="1" applyBorder="1" applyAlignment="1">
      <alignment vertical="center" wrapText="1"/>
    </xf>
    <xf numFmtId="0" fontId="64" fillId="0" borderId="0" xfId="0" applyFont="1" applyBorder="1" applyAlignment="1" applyProtection="1">
      <alignment horizontal="left" vertical="center" wrapText="1"/>
      <protection locked="0"/>
    </xf>
    <xf numFmtId="9" fontId="114" fillId="0" borderId="0" xfId="38" applyFont="1" applyFill="1" applyBorder="1" applyAlignment="1" applyProtection="1">
      <alignment vertical="center" wrapText="1"/>
      <protection locked="0"/>
    </xf>
    <xf numFmtId="9" fontId="83" fillId="0" borderId="0" xfId="38" applyFont="1" applyFill="1" applyBorder="1" applyAlignment="1">
      <alignment vertical="center" wrapText="1"/>
    </xf>
    <xf numFmtId="0" fontId="64" fillId="0" borderId="18" xfId="0" applyFont="1" applyFill="1" applyBorder="1" applyAlignment="1" applyProtection="1">
      <alignment vertical="center" wrapText="1"/>
      <protection locked="0"/>
    </xf>
    <xf numFmtId="0" fontId="89" fillId="0" borderId="0" xfId="0" applyFont="1" applyFill="1" applyBorder="1" applyAlignment="1" applyProtection="1">
      <alignment vertical="center" wrapText="1"/>
      <protection locked="0"/>
    </xf>
    <xf numFmtId="10" fontId="18" fillId="4" borderId="2" xfId="38" applyNumberFormat="1" applyFont="1" applyFill="1" applyBorder="1" applyAlignment="1">
      <alignment horizontal="center" vertical="center" wrapText="1"/>
    </xf>
    <xf numFmtId="0" fontId="19" fillId="0" borderId="2" xfId="0" applyNumberFormat="1" applyFont="1" applyBorder="1" applyAlignment="1">
      <alignment vertical="center" wrapText="1"/>
    </xf>
    <xf numFmtId="166" fontId="18" fillId="4" borderId="2" xfId="38" applyNumberFormat="1" applyFont="1" applyFill="1" applyBorder="1" applyAlignment="1">
      <alignment horizontal="center" vertical="center" wrapText="1"/>
    </xf>
    <xf numFmtId="184" fontId="2" fillId="0" borderId="0" xfId="18" applyNumberFormat="1" applyFont="1" applyAlignment="1" applyProtection="1">
      <alignment vertical="center" wrapText="1"/>
      <protection locked="0"/>
    </xf>
    <xf numFmtId="1" fontId="2" fillId="0" borderId="0" xfId="0" applyNumberFormat="1" applyFont="1" applyAlignment="1" applyProtection="1">
      <alignment vertical="center" wrapText="1"/>
      <protection locked="0"/>
    </xf>
    <xf numFmtId="166" fontId="8" fillId="0" borderId="2" xfId="38" applyNumberFormat="1" applyFont="1" applyFill="1" applyBorder="1" applyAlignment="1" applyProtection="1">
      <alignment vertical="center" wrapText="1"/>
      <protection locked="0"/>
    </xf>
    <xf numFmtId="166" fontId="19" fillId="0" borderId="2" xfId="38" applyNumberFormat="1" applyFont="1" applyFill="1" applyBorder="1" applyAlignment="1">
      <alignment horizontal="center" vertical="center" wrapText="1"/>
    </xf>
    <xf numFmtId="44" fontId="2" fillId="0" borderId="0" xfId="18" applyFont="1" applyAlignment="1" applyProtection="1">
      <alignment vertical="center" wrapText="1"/>
      <protection locked="0"/>
    </xf>
    <xf numFmtId="0" fontId="32" fillId="0" borderId="2" xfId="0" applyNumberFormat="1" applyFont="1" applyBorder="1" applyAlignment="1">
      <alignment horizontal="center" vertical="center" wrapText="1"/>
    </xf>
    <xf numFmtId="167" fontId="19" fillId="4" borderId="2" xfId="0" applyNumberFormat="1" applyFont="1" applyFill="1" applyBorder="1" applyAlignment="1">
      <alignment horizontal="center" vertical="center" wrapText="1"/>
    </xf>
    <xf numFmtId="0" fontId="19" fillId="4" borderId="2" xfId="0" applyFont="1" applyFill="1" applyBorder="1" applyAlignment="1">
      <alignment vertical="center" wrapText="1"/>
    </xf>
    <xf numFmtId="9" fontId="18" fillId="4" borderId="2" xfId="38" applyNumberFormat="1" applyFont="1" applyFill="1" applyBorder="1" applyAlignment="1">
      <alignment horizontal="center" vertical="center" wrapText="1"/>
    </xf>
    <xf numFmtId="1" fontId="19" fillId="0" borderId="2" xfId="0" applyNumberFormat="1" applyFont="1" applyBorder="1" applyAlignment="1">
      <alignment horizontal="center" vertical="center" wrapText="1"/>
    </xf>
    <xf numFmtId="9" fontId="16" fillId="5" borderId="2" xfId="38" applyFont="1" applyFill="1" applyBorder="1" applyAlignment="1" applyProtection="1">
      <alignment vertical="center" wrapText="1"/>
      <protection locked="0"/>
    </xf>
    <xf numFmtId="9" fontId="6" fillId="4" borderId="2" xfId="38" applyNumberFormat="1" applyFont="1" applyFill="1" applyBorder="1" applyAlignment="1">
      <alignment horizontal="center" vertical="center" wrapText="1"/>
    </xf>
    <xf numFmtId="0" fontId="16" fillId="5" borderId="2" xfId="0" applyFont="1" applyFill="1" applyBorder="1" applyAlignment="1" applyProtection="1">
      <alignment horizontal="center" vertical="center" wrapText="1"/>
      <protection locked="0"/>
    </xf>
    <xf numFmtId="0" fontId="16" fillId="5" borderId="7" xfId="0" applyFont="1" applyFill="1" applyBorder="1" applyAlignment="1" applyProtection="1">
      <alignment horizontal="center" vertical="center" wrapText="1"/>
      <protection locked="0"/>
    </xf>
    <xf numFmtId="170" fontId="6" fillId="0" borderId="3" xfId="10" applyNumberFormat="1" applyFont="1" applyFill="1" applyBorder="1" applyAlignment="1">
      <alignment horizontal="center" vertical="center" wrapText="1"/>
    </xf>
    <xf numFmtId="0" fontId="6" fillId="0" borderId="2" xfId="0" applyFont="1" applyBorder="1" applyAlignment="1">
      <alignment vertical="center"/>
    </xf>
    <xf numFmtId="4" fontId="16" fillId="5" borderId="2" xfId="38" applyNumberFormat="1" applyFont="1" applyFill="1" applyBorder="1" applyAlignment="1" applyProtection="1">
      <alignment horizontal="center" vertical="center" wrapText="1"/>
      <protection locked="0"/>
    </xf>
    <xf numFmtId="4" fontId="8" fillId="0" borderId="2" xfId="0" applyNumberFormat="1" applyFont="1" applyFill="1" applyBorder="1" applyAlignment="1" applyProtection="1">
      <alignment horizontal="center" vertical="center" wrapText="1"/>
      <protection locked="0"/>
    </xf>
    <xf numFmtId="43" fontId="6" fillId="0" borderId="3" xfId="10" applyFont="1" applyFill="1" applyBorder="1" applyAlignment="1">
      <alignment horizontal="center" vertical="center" wrapText="1"/>
    </xf>
    <xf numFmtId="0" fontId="16" fillId="5" borderId="2" xfId="38" applyNumberFormat="1" applyFont="1" applyFill="1" applyBorder="1" applyAlignment="1" applyProtection="1">
      <alignment horizontal="center" vertical="center" wrapText="1"/>
      <protection locked="0"/>
    </xf>
    <xf numFmtId="0" fontId="6" fillId="0" borderId="0" xfId="0" applyFont="1" applyBorder="1" applyAlignment="1">
      <alignment vertical="center"/>
    </xf>
    <xf numFmtId="0" fontId="16" fillId="4" borderId="4" xfId="38" applyNumberFormat="1" applyFont="1" applyFill="1" applyBorder="1" applyAlignment="1" applyProtection="1">
      <alignment horizontal="center" vertical="center" wrapText="1"/>
      <protection locked="0"/>
    </xf>
    <xf numFmtId="9" fontId="16" fillId="4" borderId="4" xfId="38" applyNumberFormat="1" applyFont="1" applyFill="1" applyBorder="1" applyAlignment="1" applyProtection="1">
      <alignment horizontal="center" vertical="center" wrapText="1"/>
      <protection locked="0"/>
    </xf>
    <xf numFmtId="9" fontId="16" fillId="4" borderId="4" xfId="38" applyFont="1" applyFill="1" applyBorder="1" applyAlignment="1" applyProtection="1">
      <alignment vertical="center" wrapText="1"/>
      <protection locked="0"/>
    </xf>
    <xf numFmtId="9" fontId="3" fillId="4" borderId="4" xfId="38" applyFont="1" applyFill="1" applyBorder="1" applyAlignment="1">
      <alignment horizontal="center" vertical="center" wrapText="1"/>
    </xf>
    <xf numFmtId="0" fontId="75" fillId="0" borderId="15" xfId="0" applyFont="1" applyBorder="1" applyAlignment="1">
      <alignment vertical="center"/>
    </xf>
    <xf numFmtId="0" fontId="3" fillId="0" borderId="2" xfId="0" applyFont="1" applyBorder="1" applyAlignment="1">
      <alignment vertical="center" wrapText="1"/>
    </xf>
    <xf numFmtId="9" fontId="16" fillId="5" borderId="2" xfId="38" applyFont="1" applyFill="1" applyBorder="1" applyAlignment="1" applyProtection="1">
      <alignment horizontal="center" vertical="center" wrapText="1"/>
      <protection locked="0"/>
    </xf>
    <xf numFmtId="9" fontId="3" fillId="0" borderId="2" xfId="0" applyNumberFormat="1" applyFont="1" applyBorder="1" applyAlignment="1">
      <alignment horizontal="center" vertical="center" wrapText="1"/>
    </xf>
    <xf numFmtId="9" fontId="3" fillId="4" borderId="6" xfId="38" applyFont="1" applyFill="1" applyBorder="1" applyAlignment="1">
      <alignment horizontal="center" vertical="center" wrapText="1"/>
    </xf>
    <xf numFmtId="9" fontId="2" fillId="0" borderId="0" xfId="38" applyFont="1" applyBorder="1" applyAlignment="1" applyProtection="1">
      <alignment vertical="center" wrapText="1"/>
      <protection locked="0"/>
    </xf>
    <xf numFmtId="9" fontId="2" fillId="0" borderId="0" xfId="0" applyNumberFormat="1" applyFont="1" applyBorder="1" applyAlignment="1" applyProtection="1">
      <alignment vertical="center" wrapText="1"/>
      <protection locked="0"/>
    </xf>
    <xf numFmtId="0" fontId="2" fillId="0" borderId="0"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14" fillId="0" borderId="0" xfId="0" applyFont="1" applyBorder="1" applyAlignment="1" applyProtection="1">
      <alignment vertical="center" wrapText="1"/>
      <protection locked="0"/>
    </xf>
    <xf numFmtId="0" fontId="23" fillId="0" borderId="9" xfId="0" applyFont="1" applyBorder="1" applyAlignment="1">
      <alignment horizontal="center" vertical="center" wrapText="1"/>
    </xf>
    <xf numFmtId="0" fontId="3" fillId="0" borderId="16" xfId="0" applyFont="1" applyBorder="1" applyAlignment="1">
      <alignment horizontal="center" vertical="center" wrapText="1"/>
    </xf>
    <xf numFmtId="9" fontId="6" fillId="0" borderId="2" xfId="0" applyNumberFormat="1" applyFont="1" applyBorder="1" applyAlignment="1">
      <alignment horizontal="center" vertical="center" wrapText="1"/>
    </xf>
    <xf numFmtId="0" fontId="8" fillId="6" borderId="9" xfId="0" applyFont="1" applyFill="1" applyBorder="1" applyAlignment="1" applyProtection="1">
      <alignment horizontal="left" vertical="center" wrapText="1"/>
      <protection locked="0"/>
    </xf>
    <xf numFmtId="4" fontId="16" fillId="5" borderId="2" xfId="38" applyNumberFormat="1" applyFont="1" applyFill="1" applyBorder="1" applyAlignment="1" applyProtection="1">
      <alignment vertical="center" wrapText="1"/>
      <protection locked="0"/>
    </xf>
    <xf numFmtId="4" fontId="16" fillId="20" borderId="2" xfId="38" applyNumberFormat="1" applyFont="1" applyFill="1" applyBorder="1" applyAlignment="1" applyProtection="1">
      <alignment vertical="center" wrapText="1"/>
      <protection locked="0"/>
    </xf>
    <xf numFmtId="2" fontId="6" fillId="0" borderId="7" xfId="25" applyNumberFormat="1" applyFont="1" applyBorder="1" applyAlignment="1">
      <alignment horizontal="center" vertical="center" wrapText="1"/>
    </xf>
    <xf numFmtId="4" fontId="6" fillId="0" borderId="2" xfId="0" applyNumberFormat="1" applyFont="1" applyBorder="1" applyAlignment="1">
      <alignment horizontal="center" vertical="center" wrapText="1"/>
    </xf>
    <xf numFmtId="10" fontId="3" fillId="0" borderId="2" xfId="38" applyNumberFormat="1" applyFont="1" applyBorder="1" applyAlignment="1">
      <alignment horizontal="center" vertical="center" wrapText="1"/>
    </xf>
    <xf numFmtId="167" fontId="6" fillId="0" borderId="7" xfId="25" applyNumberFormat="1" applyFont="1" applyBorder="1" applyAlignment="1">
      <alignment horizontal="center" vertical="center" wrapText="1"/>
    </xf>
    <xf numFmtId="4" fontId="3" fillId="0" borderId="2" xfId="0" applyNumberFormat="1" applyFont="1" applyBorder="1" applyAlignment="1">
      <alignment horizontal="center" vertical="center" wrapText="1"/>
    </xf>
    <xf numFmtId="10" fontId="6" fillId="0" borderId="2" xfId="38" applyNumberFormat="1" applyFont="1" applyBorder="1" applyAlignment="1">
      <alignment horizontal="center" vertical="center" wrapText="1"/>
    </xf>
    <xf numFmtId="2" fontId="3" fillId="0" borderId="2" xfId="0" applyNumberFormat="1" applyFont="1" applyBorder="1" applyAlignment="1">
      <alignment horizontal="center" vertical="center" wrapText="1"/>
    </xf>
    <xf numFmtId="2" fontId="6" fillId="0" borderId="2" xfId="25" applyNumberFormat="1" applyFont="1" applyBorder="1" applyAlignment="1">
      <alignment horizontal="center" vertical="center" wrapText="1"/>
    </xf>
    <xf numFmtId="166" fontId="4" fillId="4" borderId="2" xfId="38" applyNumberFormat="1" applyFont="1" applyFill="1" applyBorder="1" applyAlignment="1">
      <alignment horizontal="center" vertical="center" wrapText="1"/>
    </xf>
    <xf numFmtId="167" fontId="6" fillId="0" borderId="2" xfId="25" applyNumberFormat="1" applyFont="1" applyBorder="1" applyAlignment="1">
      <alignment horizontal="center" vertical="center" wrapText="1"/>
    </xf>
    <xf numFmtId="3" fontId="16" fillId="5" borderId="2" xfId="38" applyNumberFormat="1" applyFont="1" applyFill="1" applyBorder="1" applyAlignment="1" applyProtection="1">
      <alignment horizontal="center" vertical="center" wrapText="1"/>
      <protection locked="0"/>
    </xf>
    <xf numFmtId="3" fontId="16" fillId="5" borderId="2" xfId="38" applyNumberFormat="1" applyFont="1" applyFill="1" applyBorder="1" applyAlignment="1" applyProtection="1">
      <alignment vertical="center" wrapText="1"/>
      <protection locked="0"/>
    </xf>
    <xf numFmtId="3" fontId="16" fillId="20" borderId="2" xfId="38" applyNumberFormat="1" applyFont="1" applyFill="1" applyBorder="1" applyAlignment="1" applyProtection="1">
      <alignment vertical="center" wrapText="1"/>
      <protection locked="0"/>
    </xf>
    <xf numFmtId="3" fontId="6" fillId="0" borderId="2"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2" fontId="6" fillId="0" borderId="8" xfId="25" applyNumberFormat="1" applyFont="1" applyBorder="1" applyAlignment="1">
      <alignment horizontal="center" vertical="center" wrapText="1"/>
    </xf>
    <xf numFmtId="167" fontId="6" fillId="0" borderId="8" xfId="25" applyNumberFormat="1" applyFont="1" applyBorder="1" applyAlignment="1">
      <alignment horizontal="center" vertical="center" wrapText="1"/>
    </xf>
    <xf numFmtId="4" fontId="16" fillId="8" borderId="2" xfId="38" applyNumberFormat="1" applyFont="1" applyFill="1" applyBorder="1" applyAlignment="1" applyProtection="1">
      <alignment vertical="center" wrapText="1"/>
      <protection locked="0"/>
    </xf>
    <xf numFmtId="10" fontId="3" fillId="0" borderId="2" xfId="38" applyNumberFormat="1" applyFont="1" applyFill="1" applyBorder="1" applyAlignment="1">
      <alignment horizontal="center" vertical="center" wrapText="1"/>
    </xf>
    <xf numFmtId="0" fontId="6" fillId="29" borderId="4" xfId="0" applyFont="1" applyFill="1" applyBorder="1" applyAlignment="1">
      <alignment vertical="center" wrapText="1"/>
    </xf>
    <xf numFmtId="0" fontId="6" fillId="29" borderId="4" xfId="0" applyNumberFormat="1" applyFont="1" applyFill="1" applyBorder="1" applyAlignment="1" applyProtection="1">
      <alignment horizontal="center" vertical="center" wrapText="1"/>
      <protection locked="0"/>
    </xf>
    <xf numFmtId="167" fontId="6" fillId="29" borderId="4" xfId="0" applyNumberFormat="1" applyFont="1" applyFill="1" applyBorder="1" applyAlignment="1">
      <alignment horizontal="center" vertical="center" wrapText="1"/>
    </xf>
    <xf numFmtId="9" fontId="3" fillId="29" borderId="4" xfId="38" applyFont="1" applyFill="1" applyBorder="1" applyAlignment="1">
      <alignment horizontal="center" vertical="center" wrapText="1"/>
    </xf>
    <xf numFmtId="9" fontId="6" fillId="29" borderId="4" xfId="38" applyFont="1" applyFill="1" applyBorder="1" applyAlignment="1">
      <alignment horizontal="center" vertical="center" wrapText="1"/>
    </xf>
    <xf numFmtId="0" fontId="75" fillId="0" borderId="0" xfId="0" applyFont="1" applyBorder="1" applyAlignment="1">
      <alignment vertical="center"/>
    </xf>
    <xf numFmtId="0" fontId="16" fillId="5" borderId="2" xfId="46" applyNumberFormat="1" applyFont="1" applyFill="1" applyBorder="1" applyAlignment="1" applyProtection="1">
      <alignment horizontal="center" vertical="center" wrapText="1"/>
      <protection locked="0"/>
    </xf>
    <xf numFmtId="9" fontId="16" fillId="5" borderId="2" xfId="46" applyNumberFormat="1" applyFont="1" applyFill="1" applyBorder="1" applyAlignment="1" applyProtection="1">
      <alignment horizontal="center" vertical="center" wrapText="1"/>
      <protection locked="0"/>
    </xf>
    <xf numFmtId="9" fontId="6" fillId="0" borderId="18" xfId="0" applyNumberFormat="1" applyFont="1" applyBorder="1" applyAlignment="1" applyProtection="1">
      <alignment vertical="center" wrapText="1"/>
      <protection locked="0"/>
    </xf>
    <xf numFmtId="9" fontId="2" fillId="0" borderId="18" xfId="0" applyNumberFormat="1" applyFont="1" applyBorder="1" applyAlignment="1" applyProtection="1">
      <alignment vertical="center" wrapText="1"/>
      <protection locked="0"/>
    </xf>
    <xf numFmtId="0" fontId="19" fillId="0" borderId="16" xfId="0" applyFont="1" applyBorder="1" applyAlignment="1" applyProtection="1">
      <alignment vertical="top" wrapText="1"/>
      <protection locked="0"/>
    </xf>
    <xf numFmtId="3" fontId="19" fillId="0" borderId="0" xfId="0" applyNumberFormat="1" applyFont="1" applyAlignment="1" applyProtection="1">
      <alignment vertical="top" wrapText="1"/>
      <protection locked="0"/>
    </xf>
    <xf numFmtId="9" fontId="19" fillId="0" borderId="0" xfId="0" applyNumberFormat="1" applyFont="1" applyAlignment="1" applyProtection="1">
      <alignment vertical="top" wrapText="1"/>
      <protection locked="0"/>
    </xf>
    <xf numFmtId="0" fontId="19" fillId="0" borderId="16" xfId="0" applyFont="1" applyBorder="1" applyAlignment="1" applyProtection="1">
      <alignment vertical="center" wrapText="1"/>
      <protection locked="0"/>
    </xf>
    <xf numFmtId="3" fontId="19" fillId="0" borderId="0" xfId="0" applyNumberFormat="1" applyFont="1" applyAlignment="1" applyProtection="1">
      <alignment vertical="center" wrapText="1"/>
      <protection locked="0"/>
    </xf>
    <xf numFmtId="9" fontId="19" fillId="0" borderId="0" xfId="0" applyNumberFormat="1" applyFont="1" applyAlignment="1" applyProtection="1">
      <alignment vertical="center" wrapText="1"/>
      <protection locked="0"/>
    </xf>
    <xf numFmtId="0" fontId="19" fillId="0" borderId="15" xfId="0" applyFont="1" applyBorder="1" applyAlignment="1" applyProtection="1">
      <alignment vertical="center" wrapText="1"/>
      <protection locked="0"/>
    </xf>
    <xf numFmtId="0" fontId="19" fillId="0" borderId="6" xfId="0" applyFont="1" applyBorder="1" applyAlignment="1" applyProtection="1">
      <alignment vertical="center" wrapText="1"/>
      <protection locked="0"/>
    </xf>
    <xf numFmtId="0" fontId="18" fillId="5" borderId="2" xfId="0" applyFont="1" applyFill="1" applyBorder="1" applyAlignment="1" applyProtection="1">
      <alignment horizontal="center" vertical="center" wrapText="1"/>
      <protection locked="0"/>
    </xf>
    <xf numFmtId="3" fontId="18" fillId="8" borderId="7" xfId="0" applyNumberFormat="1" applyFont="1" applyFill="1" applyBorder="1" applyAlignment="1">
      <alignment horizontal="center" vertical="center" wrapText="1"/>
    </xf>
    <xf numFmtId="3" fontId="18" fillId="8" borderId="2" xfId="0" applyNumberFormat="1" applyFont="1" applyFill="1" applyBorder="1" applyAlignment="1">
      <alignment horizontal="center" vertical="center" wrapText="1"/>
    </xf>
    <xf numFmtId="9" fontId="18" fillId="8" borderId="2" xfId="0" applyNumberFormat="1" applyFont="1" applyFill="1" applyBorder="1" applyAlignment="1">
      <alignment horizontal="center" vertical="center" wrapText="1"/>
    </xf>
    <xf numFmtId="0" fontId="18" fillId="8"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9" fontId="19" fillId="0" borderId="2" xfId="38" applyFont="1" applyFill="1" applyBorder="1" applyAlignment="1" applyProtection="1">
      <alignment vertical="center" wrapText="1"/>
      <protection locked="0"/>
    </xf>
    <xf numFmtId="3" fontId="19" fillId="0" borderId="7" xfId="0" applyNumberFormat="1" applyFont="1" applyBorder="1" applyAlignment="1">
      <alignment horizontal="center" vertical="center" wrapText="1"/>
    </xf>
    <xf numFmtId="3" fontId="19" fillId="0" borderId="2" xfId="0" applyNumberFormat="1" applyFont="1" applyBorder="1" applyAlignment="1">
      <alignment horizontal="center" vertical="center" wrapText="1"/>
    </xf>
    <xf numFmtId="9" fontId="19" fillId="0" borderId="2" xfId="38" applyNumberFormat="1" applyFont="1" applyFill="1" applyBorder="1" applyAlignment="1">
      <alignment horizontal="center" vertical="center" wrapText="1"/>
    </xf>
    <xf numFmtId="9" fontId="19" fillId="4" borderId="2" xfId="38" applyNumberFormat="1" applyFont="1" applyFill="1" applyBorder="1" applyAlignment="1">
      <alignment horizontal="center" vertical="center" wrapText="1"/>
    </xf>
    <xf numFmtId="175" fontId="19" fillId="0" borderId="2" xfId="0" applyNumberFormat="1" applyFont="1" applyBorder="1" applyAlignment="1">
      <alignment vertical="center"/>
    </xf>
    <xf numFmtId="175" fontId="0" fillId="0" borderId="2" xfId="0" applyNumberFormat="1" applyBorder="1" applyAlignment="1">
      <alignment vertical="center" wrapText="1"/>
    </xf>
    <xf numFmtId="0" fontId="19" fillId="0" borderId="2" xfId="0" applyNumberFormat="1" applyFont="1" applyBorder="1" applyAlignment="1">
      <alignment horizontal="justify" vertical="center" wrapText="1"/>
    </xf>
    <xf numFmtId="0" fontId="19" fillId="6" borderId="2" xfId="0" applyFont="1" applyFill="1" applyBorder="1" applyAlignment="1">
      <alignment vertical="center" wrapText="1"/>
    </xf>
    <xf numFmtId="0" fontId="19" fillId="4" borderId="3" xfId="0" applyNumberFormat="1" applyFont="1" applyFill="1" applyBorder="1" applyAlignment="1" applyProtection="1">
      <alignment horizontal="center" vertical="center" wrapText="1"/>
      <protection locked="0"/>
    </xf>
    <xf numFmtId="0" fontId="19" fillId="4" borderId="4" xfId="0" applyNumberFormat="1" applyFont="1" applyFill="1" applyBorder="1" applyAlignment="1" applyProtection="1">
      <alignment horizontal="center" vertical="center" wrapText="1"/>
      <protection locked="0"/>
    </xf>
    <xf numFmtId="0" fontId="19" fillId="4" borderId="4" xfId="0" applyFont="1" applyFill="1" applyBorder="1" applyAlignment="1" applyProtection="1">
      <alignment horizontal="center" vertical="center" wrapText="1"/>
      <protection locked="0"/>
    </xf>
    <xf numFmtId="0" fontId="19" fillId="4" borderId="4" xfId="38" applyNumberFormat="1" applyFont="1" applyFill="1" applyBorder="1" applyAlignment="1" applyProtection="1">
      <alignment horizontal="center" vertical="center" wrapText="1"/>
      <protection locked="0"/>
    </xf>
    <xf numFmtId="9" fontId="19" fillId="4" borderId="4" xfId="38" applyNumberFormat="1" applyFont="1" applyFill="1" applyBorder="1" applyAlignment="1" applyProtection="1">
      <alignment horizontal="center" vertical="center" wrapText="1"/>
      <protection locked="0"/>
    </xf>
    <xf numFmtId="9" fontId="19" fillId="4" borderId="4" xfId="38" applyFont="1" applyFill="1" applyBorder="1" applyAlignment="1" applyProtection="1">
      <alignment vertical="center" wrapText="1"/>
      <protection locked="0"/>
    </xf>
    <xf numFmtId="0" fontId="19" fillId="4" borderId="7" xfId="0" applyNumberFormat="1" applyFont="1" applyFill="1" applyBorder="1" applyAlignment="1" applyProtection="1">
      <alignment horizontal="center" vertical="center" wrapText="1"/>
      <protection locked="0"/>
    </xf>
    <xf numFmtId="3" fontId="19" fillId="4" borderId="7" xfId="0" applyNumberFormat="1" applyFont="1" applyFill="1" applyBorder="1" applyAlignment="1">
      <alignment horizontal="center" vertical="center" wrapText="1"/>
    </xf>
    <xf numFmtId="3" fontId="19" fillId="4" borderId="2" xfId="0" applyNumberFormat="1" applyFont="1" applyFill="1" applyBorder="1" applyAlignment="1">
      <alignment horizontal="center" vertical="center" wrapText="1"/>
    </xf>
    <xf numFmtId="3" fontId="19" fillId="4" borderId="2" xfId="0" applyNumberFormat="1" applyFont="1" applyFill="1" applyBorder="1" applyAlignment="1" applyProtection="1">
      <alignment horizontal="center" vertical="center" wrapText="1"/>
      <protection locked="0"/>
    </xf>
    <xf numFmtId="167" fontId="19" fillId="4" borderId="6" xfId="0" applyNumberFormat="1" applyFont="1" applyFill="1" applyBorder="1" applyAlignment="1">
      <alignment horizontal="center" vertical="center" wrapText="1"/>
    </xf>
    <xf numFmtId="0" fontId="19" fillId="0" borderId="2" xfId="0" applyFont="1" applyFill="1" applyBorder="1" applyAlignment="1" applyProtection="1">
      <alignment horizontal="left" vertical="center" wrapText="1"/>
      <protection locked="0"/>
    </xf>
    <xf numFmtId="0" fontId="19" fillId="0" borderId="2" xfId="0" applyFont="1" applyBorder="1" applyAlignment="1" applyProtection="1">
      <alignment vertical="center" wrapText="1"/>
      <protection locked="0"/>
    </xf>
    <xf numFmtId="0" fontId="124" fillId="0" borderId="2" xfId="0" applyFont="1" applyBorder="1" applyAlignment="1">
      <alignment horizontal="justify" vertical="center"/>
    </xf>
    <xf numFmtId="0" fontId="19" fillId="0" borderId="2" xfId="27" applyFont="1" applyFill="1" applyBorder="1" applyAlignment="1">
      <alignment horizontal="justify" vertical="center" wrapText="1"/>
    </xf>
    <xf numFmtId="0" fontId="19" fillId="0" borderId="2" xfId="0" applyFont="1" applyBorder="1" applyAlignment="1">
      <alignment horizontal="justify" vertical="center" wrapText="1"/>
    </xf>
    <xf numFmtId="0" fontId="19" fillId="0" borderId="0" xfId="0" applyNumberFormat="1"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horizontal="center" vertical="center" wrapText="1"/>
      <protection locked="0"/>
    </xf>
    <xf numFmtId="0" fontId="19" fillId="0" borderId="0" xfId="0" applyFont="1" applyBorder="1" applyAlignment="1" applyProtection="1">
      <alignment horizontal="center" vertical="center" wrapText="1"/>
      <protection locked="0"/>
    </xf>
    <xf numFmtId="0" fontId="19" fillId="0" borderId="0" xfId="0" applyNumberFormat="1" applyFont="1" applyFill="1" applyBorder="1" applyAlignment="1" applyProtection="1">
      <alignment horizontal="center" vertical="top" wrapText="1"/>
      <protection locked="0"/>
    </xf>
    <xf numFmtId="9" fontId="19" fillId="0" borderId="0" xfId="38" applyNumberFormat="1" applyFont="1" applyFill="1" applyBorder="1" applyAlignment="1" applyProtection="1">
      <alignment horizontal="center" vertical="center" wrapText="1"/>
      <protection locked="0"/>
    </xf>
    <xf numFmtId="0" fontId="19" fillId="6" borderId="0" xfId="0" applyNumberFormat="1" applyFont="1" applyFill="1" applyBorder="1" applyAlignment="1" applyProtection="1">
      <alignment horizontal="center" vertical="center" wrapText="1"/>
      <protection locked="0"/>
    </xf>
    <xf numFmtId="3" fontId="19" fillId="0" borderId="0" xfId="0" applyNumberFormat="1" applyFont="1" applyBorder="1" applyAlignment="1">
      <alignment horizontal="center" vertical="center" wrapText="1"/>
    </xf>
    <xf numFmtId="9" fontId="18" fillId="4" borderId="0" xfId="38" applyNumberFormat="1" applyFont="1" applyFill="1" applyBorder="1" applyAlignment="1">
      <alignment horizontal="center" vertical="center" wrapText="1"/>
    </xf>
    <xf numFmtId="9" fontId="19" fillId="0" borderId="0" xfId="38" applyNumberFormat="1" applyFont="1" applyFill="1" applyBorder="1" applyAlignment="1">
      <alignment horizontal="center" vertical="center" wrapText="1"/>
    </xf>
    <xf numFmtId="9" fontId="19" fillId="4" borderId="0" xfId="38" applyNumberFormat="1" applyFont="1" applyFill="1" applyBorder="1" applyAlignment="1">
      <alignment horizontal="center" vertical="center" wrapText="1"/>
    </xf>
    <xf numFmtId="0" fontId="19" fillId="0" borderId="0" xfId="0" applyFont="1" applyBorder="1" applyAlignment="1">
      <alignment vertical="center" wrapText="1"/>
    </xf>
    <xf numFmtId="9" fontId="18" fillId="4" borderId="0" xfId="38" applyFont="1" applyFill="1" applyBorder="1" applyAlignment="1">
      <alignment horizontal="center" vertical="center" wrapText="1"/>
    </xf>
    <xf numFmtId="9" fontId="19" fillId="4" borderId="0" xfId="38" applyFont="1" applyFill="1" applyBorder="1" applyAlignment="1">
      <alignment horizontal="center" vertical="center" wrapText="1"/>
    </xf>
    <xf numFmtId="167" fontId="19" fillId="0" borderId="0" xfId="0" applyNumberFormat="1" applyFont="1" applyBorder="1" applyAlignment="1">
      <alignment horizontal="center" vertical="center" wrapText="1"/>
    </xf>
    <xf numFmtId="9" fontId="19" fillId="0" borderId="0" xfId="38" applyFont="1" applyFill="1" applyBorder="1" applyAlignment="1">
      <alignment horizontal="center" vertical="center" wrapText="1"/>
    </xf>
    <xf numFmtId="0" fontId="19" fillId="0" borderId="0" xfId="0" applyFont="1" applyBorder="1" applyAlignment="1">
      <alignment horizontal="center" vertical="center" wrapText="1"/>
    </xf>
    <xf numFmtId="1" fontId="19" fillId="0" borderId="0" xfId="0" applyNumberFormat="1" applyFont="1" applyBorder="1" applyAlignment="1">
      <alignment horizontal="center" vertical="center" wrapText="1"/>
    </xf>
    <xf numFmtId="0" fontId="19" fillId="0" borderId="0" xfId="0" applyFont="1" applyFill="1" applyBorder="1" applyAlignment="1">
      <alignment vertical="center" wrapText="1"/>
    </xf>
    <xf numFmtId="9" fontId="18" fillId="6" borderId="0" xfId="38" applyFont="1" applyFill="1" applyBorder="1" applyAlignment="1">
      <alignment horizontal="center" vertical="center" wrapText="1"/>
    </xf>
    <xf numFmtId="9" fontId="19" fillId="6" borderId="0" xfId="38" applyFont="1" applyFill="1" applyBorder="1" applyAlignment="1">
      <alignment horizontal="center" vertical="center" wrapText="1"/>
    </xf>
    <xf numFmtId="0" fontId="19" fillId="0" borderId="0" xfId="0" applyFont="1" applyBorder="1" applyAlignment="1" applyProtection="1">
      <alignment horizontal="left" vertical="center" wrapText="1"/>
      <protection locked="0"/>
    </xf>
    <xf numFmtId="9" fontId="19" fillId="0" borderId="18" xfId="0" applyNumberFormat="1" applyFont="1" applyBorder="1" applyAlignment="1" applyProtection="1">
      <alignment vertical="center" wrapText="1"/>
      <protection locked="0"/>
    </xf>
    <xf numFmtId="0" fontId="19" fillId="0" borderId="18" xfId="0" applyFont="1" applyBorder="1" applyAlignment="1" applyProtection="1">
      <alignment vertical="center" wrapText="1"/>
      <protection locked="0"/>
    </xf>
    <xf numFmtId="3" fontId="19" fillId="0" borderId="18" xfId="0" applyNumberFormat="1" applyFont="1" applyBorder="1" applyAlignment="1" applyProtection="1">
      <alignment vertical="center" wrapText="1"/>
      <protection locked="0"/>
    </xf>
    <xf numFmtId="0" fontId="2" fillId="0" borderId="0" xfId="0" applyFont="1" applyBorder="1" applyAlignment="1" applyProtection="1">
      <alignment horizontal="left" vertical="top"/>
      <protection locked="0"/>
    </xf>
    <xf numFmtId="9" fontId="19" fillId="0" borderId="0" xfId="0" applyNumberFormat="1" applyFont="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3" fontId="19" fillId="0" borderId="0" xfId="0" applyNumberFormat="1" applyFont="1" applyAlignment="1" applyProtection="1">
      <alignment horizontal="left" vertical="center" wrapText="1"/>
      <protection locked="0"/>
    </xf>
    <xf numFmtId="0" fontId="4" fillId="0" borderId="4" xfId="0" applyFont="1" applyBorder="1" applyAlignment="1" applyProtection="1">
      <alignment vertical="center"/>
      <protection locked="0"/>
    </xf>
    <xf numFmtId="0" fontId="4" fillId="0" borderId="7" xfId="0" applyFont="1" applyBorder="1" applyAlignment="1" applyProtection="1">
      <alignment vertical="center"/>
      <protection locked="0"/>
    </xf>
    <xf numFmtId="17" fontId="3" fillId="11" borderId="3" xfId="0" applyNumberFormat="1" applyFont="1" applyFill="1" applyBorder="1" applyAlignment="1">
      <alignment horizontal="center" vertical="center" wrapText="1"/>
    </xf>
    <xf numFmtId="167" fontId="32" fillId="0" borderId="7" xfId="0" applyNumberFormat="1" applyFont="1" applyBorder="1" applyAlignment="1">
      <alignment horizontal="center" vertical="center" wrapText="1"/>
    </xf>
    <xf numFmtId="9" fontId="32" fillId="11" borderId="2" xfId="39" applyFont="1" applyFill="1" applyBorder="1" applyAlignment="1">
      <alignment horizontal="center" vertical="center" wrapText="1"/>
    </xf>
    <xf numFmtId="9" fontId="17" fillId="6" borderId="2" xfId="38" applyFont="1" applyFill="1" applyBorder="1" applyAlignment="1">
      <alignment horizontal="center" vertical="center" wrapText="1"/>
    </xf>
    <xf numFmtId="0" fontId="91" fillId="0" borderId="2" xfId="0" applyFont="1" applyBorder="1" applyAlignment="1">
      <alignment horizontal="left" vertical="center" wrapText="1"/>
    </xf>
    <xf numFmtId="167" fontId="19" fillId="0" borderId="7" xfId="0" applyNumberFormat="1" applyFont="1" applyBorder="1" applyAlignment="1">
      <alignment horizontal="center" vertical="center" wrapText="1"/>
    </xf>
    <xf numFmtId="9" fontId="19" fillId="11" borderId="2" xfId="39" applyFont="1" applyFill="1" applyBorder="1" applyAlignment="1">
      <alignment horizontal="center" vertical="center" wrapText="1"/>
    </xf>
    <xf numFmtId="0" fontId="32" fillId="11" borderId="2" xfId="23" applyFont="1" applyFill="1" applyBorder="1" applyAlignment="1">
      <alignment vertical="center" wrapText="1"/>
    </xf>
    <xf numFmtId="0" fontId="32" fillId="0" borderId="2" xfId="0" applyFont="1" applyFill="1" applyBorder="1" applyAlignment="1" applyProtection="1">
      <alignment horizontal="center" vertical="center" wrapText="1"/>
      <protection locked="0"/>
    </xf>
    <xf numFmtId="167" fontId="32" fillId="11" borderId="2" xfId="0" applyNumberFormat="1" applyFont="1" applyFill="1" applyBorder="1" applyAlignment="1">
      <alignment horizontal="center" vertical="center" wrapText="1"/>
    </xf>
    <xf numFmtId="9" fontId="17" fillId="11" borderId="2" xfId="38" applyFont="1" applyFill="1" applyBorder="1" applyAlignment="1">
      <alignment horizontal="center" vertical="center" wrapText="1"/>
    </xf>
    <xf numFmtId="9" fontId="32" fillId="11" borderId="2" xfId="38" applyFont="1" applyFill="1" applyBorder="1" applyAlignment="1">
      <alignment horizontal="center" vertical="center" wrapText="1"/>
    </xf>
    <xf numFmtId="0" fontId="32" fillId="11" borderId="2" xfId="0" applyFont="1" applyFill="1" applyBorder="1" applyAlignment="1">
      <alignment vertical="center" wrapText="1"/>
    </xf>
    <xf numFmtId="0" fontId="32" fillId="0" borderId="2" xfId="38" applyNumberFormat="1" applyFont="1" applyFill="1" applyBorder="1" applyAlignment="1" applyProtection="1">
      <alignment horizontal="center" vertical="center" wrapText="1"/>
      <protection locked="0"/>
    </xf>
    <xf numFmtId="9" fontId="32" fillId="0" borderId="2" xfId="38" applyNumberFormat="1" applyFont="1" applyFill="1" applyBorder="1" applyAlignment="1" applyProtection="1">
      <alignment horizontal="center" vertical="center" wrapText="1"/>
      <protection locked="0"/>
    </xf>
    <xf numFmtId="167" fontId="32" fillId="4" borderId="4" xfId="0" applyNumberFormat="1" applyFont="1" applyFill="1" applyBorder="1" applyAlignment="1">
      <alignment horizontal="center" vertical="center" wrapText="1"/>
    </xf>
    <xf numFmtId="9" fontId="17" fillId="4" borderId="4" xfId="38" applyFont="1" applyFill="1" applyBorder="1" applyAlignment="1">
      <alignment horizontal="center" vertical="center" wrapText="1"/>
    </xf>
    <xf numFmtId="9" fontId="32" fillId="4" borderId="4" xfId="38" applyFont="1" applyFill="1" applyBorder="1" applyAlignment="1">
      <alignment horizontal="center" vertical="center" wrapText="1"/>
    </xf>
    <xf numFmtId="9" fontId="32" fillId="4" borderId="7" xfId="38" applyFont="1" applyFill="1" applyBorder="1" applyAlignment="1">
      <alignment horizontal="center" vertical="center" wrapText="1"/>
    </xf>
    <xf numFmtId="0" fontId="32" fillId="4" borderId="3" xfId="0" applyNumberFormat="1" applyFont="1" applyFill="1" applyBorder="1" applyAlignment="1" applyProtection="1">
      <alignment horizontal="center" vertical="center" wrapText="1"/>
      <protection locked="0"/>
    </xf>
    <xf numFmtId="2" fontId="32" fillId="6" borderId="2" xfId="0" applyNumberFormat="1" applyFont="1" applyFill="1" applyBorder="1" applyAlignment="1">
      <alignment horizontal="center" vertical="center" wrapText="1"/>
    </xf>
    <xf numFmtId="167" fontId="32" fillId="6" borderId="2" xfId="0" applyNumberFormat="1" applyFont="1" applyFill="1" applyBorder="1" applyAlignment="1">
      <alignment horizontal="center" vertical="center" wrapText="1"/>
    </xf>
    <xf numFmtId="9" fontId="32" fillId="6" borderId="3" xfId="38" applyFont="1" applyFill="1" applyBorder="1" applyAlignment="1">
      <alignment horizontal="center" vertical="center" wrapText="1"/>
    </xf>
    <xf numFmtId="9" fontId="32" fillId="6" borderId="2" xfId="38" applyFont="1" applyFill="1" applyBorder="1" applyAlignment="1">
      <alignment horizontal="center" vertical="center" wrapText="1"/>
    </xf>
    <xf numFmtId="0" fontId="32" fillId="6" borderId="2" xfId="0" applyFont="1" applyFill="1" applyBorder="1" applyAlignment="1">
      <alignment vertical="center" wrapText="1"/>
    </xf>
    <xf numFmtId="0" fontId="32" fillId="6" borderId="0" xfId="0" applyFont="1" applyFill="1" applyAlignment="1" applyProtection="1">
      <alignment vertical="center" wrapText="1"/>
      <protection locked="0"/>
    </xf>
    <xf numFmtId="0" fontId="32" fillId="6" borderId="2" xfId="23" applyFont="1" applyFill="1" applyBorder="1" applyAlignment="1">
      <alignment vertical="center" wrapText="1"/>
    </xf>
    <xf numFmtId="0" fontId="32" fillId="6" borderId="2" xfId="0" applyFont="1" applyFill="1" applyBorder="1" applyAlignment="1">
      <alignment horizontal="justify" vertical="center" wrapText="1"/>
    </xf>
    <xf numFmtId="0" fontId="32" fillId="0" borderId="0" xfId="0" applyNumberFormat="1" applyFont="1" applyFill="1" applyBorder="1" applyAlignment="1" applyProtection="1">
      <alignment horizontal="center" vertical="center" wrapText="1"/>
      <protection locked="0"/>
    </xf>
    <xf numFmtId="9" fontId="8" fillId="0" borderId="0" xfId="0" applyNumberFormat="1" applyFont="1" applyFill="1" applyBorder="1" applyAlignment="1" applyProtection="1">
      <alignment horizontal="center" vertical="center" wrapText="1"/>
      <protection locked="0"/>
    </xf>
    <xf numFmtId="9" fontId="8" fillId="6" borderId="0" xfId="0" applyNumberFormat="1" applyFont="1" applyFill="1" applyBorder="1" applyAlignment="1" applyProtection="1">
      <alignment horizontal="center" vertical="center" wrapText="1"/>
      <protection locked="0"/>
    </xf>
    <xf numFmtId="9" fontId="4" fillId="6" borderId="0" xfId="38" applyFont="1" applyFill="1" applyBorder="1" applyAlignment="1">
      <alignment horizontal="center" vertical="center" wrapText="1"/>
    </xf>
    <xf numFmtId="9" fontId="6" fillId="6" borderId="0" xfId="38" applyFont="1" applyFill="1" applyBorder="1" applyAlignment="1">
      <alignment horizontal="center" vertical="center" wrapText="1"/>
    </xf>
    <xf numFmtId="0" fontId="32" fillId="11" borderId="0" xfId="23" applyFont="1" applyFill="1" applyBorder="1" applyAlignment="1">
      <alignment vertical="center" wrapText="1"/>
    </xf>
    <xf numFmtId="0" fontId="14" fillId="0" borderId="0" xfId="0" applyNumberFormat="1" applyFont="1" applyFill="1" applyBorder="1" applyAlignment="1" applyProtection="1">
      <alignment horizontal="center" vertical="center" wrapText="1"/>
      <protection locked="0"/>
    </xf>
    <xf numFmtId="9" fontId="4" fillId="4" borderId="0" xfId="38" applyFont="1" applyFill="1" applyBorder="1" applyAlignment="1">
      <alignment horizontal="center" vertical="center" wrapText="1"/>
    </xf>
    <xf numFmtId="9" fontId="6" fillId="4" borderId="0" xfId="38" applyFont="1" applyFill="1" applyBorder="1" applyAlignment="1">
      <alignment horizontal="center" vertical="center" wrapText="1"/>
    </xf>
    <xf numFmtId="0" fontId="8" fillId="0" borderId="6" xfId="0" applyFont="1" applyBorder="1" applyAlignment="1" applyProtection="1">
      <alignment vertical="center" wrapText="1"/>
      <protection locked="0"/>
    </xf>
    <xf numFmtId="167" fontId="8" fillId="0" borderId="7" xfId="0" applyNumberFormat="1" applyFont="1" applyBorder="1" applyAlignment="1">
      <alignment horizontal="center" vertical="center" wrapText="1"/>
    </xf>
    <xf numFmtId="167" fontId="8" fillId="0" borderId="2" xfId="0" applyNumberFormat="1" applyFont="1" applyBorder="1" applyAlignment="1">
      <alignment horizontal="center" vertical="center" wrapText="1"/>
    </xf>
    <xf numFmtId="0" fontId="8" fillId="0" borderId="2" xfId="0" applyNumberFormat="1" applyFont="1" applyBorder="1" applyAlignment="1">
      <alignment vertical="center" wrapText="1"/>
    </xf>
    <xf numFmtId="1" fontId="8" fillId="0" borderId="7" xfId="0" applyNumberFormat="1" applyFont="1" applyBorder="1" applyAlignment="1">
      <alignment horizontal="center" vertical="center" wrapText="1"/>
    </xf>
    <xf numFmtId="1" fontId="8" fillId="0" borderId="2" xfId="0" applyNumberFormat="1" applyFont="1" applyBorder="1" applyAlignment="1">
      <alignment horizontal="center" vertical="center" wrapText="1"/>
    </xf>
    <xf numFmtId="44" fontId="8" fillId="0" borderId="2" xfId="17" applyFont="1" applyBorder="1" applyAlignment="1">
      <alignment horizontal="center" vertical="center" wrapText="1"/>
    </xf>
    <xf numFmtId="184" fontId="6" fillId="0" borderId="2" xfId="17" applyNumberFormat="1" applyFont="1" applyBorder="1" applyAlignment="1">
      <alignment horizontal="center" vertical="center" wrapText="1"/>
    </xf>
    <xf numFmtId="9" fontId="8" fillId="0" borderId="2" xfId="50" applyNumberFormat="1" applyFont="1" applyFill="1" applyBorder="1" applyAlignment="1" applyProtection="1">
      <alignment vertical="center" wrapText="1"/>
      <protection locked="0"/>
    </xf>
    <xf numFmtId="184" fontId="8" fillId="0" borderId="2" xfId="17" applyNumberFormat="1" applyFont="1" applyBorder="1" applyAlignment="1">
      <alignment horizontal="center" vertical="center" wrapText="1"/>
    </xf>
    <xf numFmtId="184" fontId="8" fillId="0" borderId="7" xfId="17" applyNumberFormat="1" applyFont="1" applyBorder="1" applyAlignment="1">
      <alignment horizontal="center" vertical="center" wrapText="1"/>
    </xf>
    <xf numFmtId="0" fontId="8" fillId="3" borderId="6" xfId="0" applyNumberFormat="1" applyFont="1" applyFill="1" applyBorder="1" applyAlignment="1" applyProtection="1">
      <alignment horizontal="center" vertical="center" wrapText="1"/>
      <protection locked="0"/>
    </xf>
    <xf numFmtId="0" fontId="6" fillId="6" borderId="2" xfId="0" quotePrefix="1" applyFont="1" applyFill="1" applyBorder="1" applyAlignment="1">
      <alignment vertical="center" wrapText="1"/>
    </xf>
    <xf numFmtId="167" fontId="8" fillId="4" borderId="7" xfId="0" applyNumberFormat="1" applyFont="1" applyFill="1" applyBorder="1" applyAlignment="1">
      <alignment horizontal="center" vertical="center" wrapText="1"/>
    </xf>
    <xf numFmtId="167" fontId="8" fillId="4" borderId="2" xfId="0" applyNumberFormat="1" applyFont="1" applyFill="1" applyBorder="1" applyAlignment="1">
      <alignment horizontal="center" vertical="center" wrapText="1"/>
    </xf>
    <xf numFmtId="0" fontId="8" fillId="4" borderId="2" xfId="0" applyFont="1" applyFill="1" applyBorder="1" applyAlignment="1">
      <alignment vertical="center" wrapText="1"/>
    </xf>
    <xf numFmtId="0" fontId="8" fillId="0" borderId="15" xfId="0" applyNumberFormat="1" applyFont="1" applyFill="1" applyBorder="1" applyAlignment="1" applyProtection="1">
      <alignment horizontal="center" vertical="center" wrapText="1"/>
      <protection locked="0"/>
    </xf>
    <xf numFmtId="0" fontId="8" fillId="0" borderId="2" xfId="0" applyFont="1" applyBorder="1" applyAlignment="1">
      <alignment horizontal="center" vertical="center"/>
    </xf>
    <xf numFmtId="168" fontId="8" fillId="0" borderId="2" xfId="10" applyNumberFormat="1" applyFont="1" applyBorder="1" applyAlignment="1">
      <alignment horizontal="center" vertical="center" wrapText="1"/>
    </xf>
    <xf numFmtId="0" fontId="8" fillId="0" borderId="21" xfId="0" applyFont="1" applyBorder="1" applyAlignment="1" applyProtection="1">
      <alignment vertical="center" wrapText="1"/>
      <protection locked="0"/>
    </xf>
    <xf numFmtId="0" fontId="8" fillId="0" borderId="2" xfId="23" applyFont="1" applyBorder="1" applyAlignment="1">
      <alignment horizontal="justify" vertical="center" wrapText="1"/>
    </xf>
    <xf numFmtId="0" fontId="54" fillId="0" borderId="0" xfId="0" applyFont="1" applyAlignment="1" applyProtection="1">
      <alignment vertical="top" wrapText="1"/>
      <protection locked="0"/>
    </xf>
    <xf numFmtId="0" fontId="54" fillId="0" borderId="0" xfId="0" applyFont="1" applyAlignment="1" applyProtection="1">
      <alignment vertical="center" wrapText="1"/>
      <protection locked="0"/>
    </xf>
    <xf numFmtId="0" fontId="6" fillId="0" borderId="2" xfId="0" applyFont="1" applyFill="1" applyBorder="1" applyAlignment="1" applyProtection="1">
      <alignment horizontal="left" vertical="center" wrapText="1"/>
      <protection locked="0"/>
    </xf>
    <xf numFmtId="0" fontId="26" fillId="0" borderId="2" xfId="0" applyFont="1" applyBorder="1" applyAlignment="1">
      <alignment horizontal="center" vertical="center" wrapText="1"/>
    </xf>
    <xf numFmtId="0" fontId="6" fillId="0" borderId="9" xfId="0" applyNumberFormat="1" applyFont="1" applyFill="1" applyBorder="1" applyAlignment="1" applyProtection="1">
      <alignment horizontal="left" vertical="center" wrapText="1"/>
      <protection locked="0"/>
    </xf>
    <xf numFmtId="0" fontId="6" fillId="0" borderId="9" xfId="0" applyFont="1" applyFill="1" applyBorder="1" applyAlignment="1" applyProtection="1">
      <alignment horizontal="left" vertical="center" wrapText="1"/>
      <protection locked="0"/>
    </xf>
    <xf numFmtId="0" fontId="6" fillId="0" borderId="2" xfId="0" applyFont="1" applyBorder="1" applyAlignment="1">
      <alignment horizontal="justify" vertical="justify" wrapText="1"/>
    </xf>
    <xf numFmtId="0" fontId="6" fillId="6" borderId="2" xfId="0" applyFont="1" applyFill="1" applyBorder="1" applyAlignment="1">
      <alignment horizontal="center" vertical="center"/>
    </xf>
    <xf numFmtId="9" fontId="6" fillId="6" borderId="2" xfId="0" applyNumberFormat="1" applyFont="1" applyFill="1" applyBorder="1" applyAlignment="1">
      <alignment horizontal="center" vertical="center"/>
    </xf>
    <xf numFmtId="0" fontId="96" fillId="0" borderId="2" xfId="0" applyFont="1" applyBorder="1" applyAlignment="1">
      <alignment horizontal="justify" vertical="center" wrapText="1"/>
    </xf>
    <xf numFmtId="176" fontId="6" fillId="6" borderId="2" xfId="0" applyNumberFormat="1" applyFont="1" applyFill="1" applyBorder="1" applyAlignment="1">
      <alignment horizontal="center" vertical="center" wrapText="1"/>
    </xf>
    <xf numFmtId="170" fontId="2" fillId="0" borderId="0" xfId="10" applyNumberFormat="1" applyFont="1" applyAlignment="1" applyProtection="1">
      <alignment vertical="center" wrapText="1"/>
      <protection locked="0"/>
    </xf>
    <xf numFmtId="168" fontId="2" fillId="0" borderId="0" xfId="0" applyNumberFormat="1" applyFont="1" applyAlignment="1" applyProtection="1">
      <alignment vertical="center" wrapText="1"/>
      <protection locked="0"/>
    </xf>
    <xf numFmtId="0" fontId="32" fillId="0" borderId="17" xfId="0" applyFont="1" applyBorder="1" applyAlignment="1" applyProtection="1">
      <alignment vertical="center" wrapText="1"/>
      <protection locked="0"/>
    </xf>
    <xf numFmtId="10" fontId="2" fillId="0" borderId="0" xfId="38" applyNumberFormat="1" applyFont="1" applyAlignment="1" applyProtection="1">
      <alignment vertical="center" wrapText="1"/>
      <protection locked="0"/>
    </xf>
    <xf numFmtId="0" fontId="32" fillId="0" borderId="0" xfId="0" applyFont="1" applyBorder="1" applyAlignment="1" applyProtection="1">
      <alignment vertical="top" wrapText="1"/>
      <protection locked="0"/>
    </xf>
    <xf numFmtId="0" fontId="14" fillId="0" borderId="15" xfId="0" applyFont="1" applyBorder="1" applyAlignment="1" applyProtection="1">
      <alignment vertical="top" wrapText="1"/>
      <protection locked="0"/>
    </xf>
    <xf numFmtId="0" fontId="104" fillId="0" borderId="52" xfId="24" applyNumberFormat="1" applyFont="1" applyFill="1" applyBorder="1" applyAlignment="1">
      <alignment vertical="center" wrapText="1"/>
    </xf>
    <xf numFmtId="0" fontId="104" fillId="0" borderId="2" xfId="24" applyNumberFormat="1" applyFont="1" applyFill="1" applyBorder="1" applyAlignment="1">
      <alignment horizontal="center" vertical="center" wrapText="1"/>
    </xf>
    <xf numFmtId="0" fontId="104" fillId="0" borderId="52" xfId="24" applyNumberFormat="1" applyFont="1" applyBorder="1" applyAlignment="1">
      <alignment horizontal="center" vertical="center" wrapText="1"/>
    </xf>
    <xf numFmtId="0" fontId="14" fillId="0" borderId="2" xfId="0" applyNumberFormat="1" applyFont="1" applyFill="1" applyBorder="1" applyAlignment="1" applyProtection="1">
      <alignment horizontal="center" vertical="center" wrapText="1"/>
      <protection locked="0"/>
    </xf>
    <xf numFmtId="0" fontId="104" fillId="42" borderId="52" xfId="24" applyNumberFormat="1" applyFont="1" applyFill="1" applyBorder="1" applyAlignment="1">
      <alignment vertical="center" wrapText="1"/>
    </xf>
    <xf numFmtId="0" fontId="129" fillId="0" borderId="52" xfId="24" applyNumberFormat="1" applyFont="1" applyBorder="1" applyAlignment="1">
      <alignment horizontal="center" vertical="center" wrapText="1"/>
    </xf>
    <xf numFmtId="0" fontId="104" fillId="0" borderId="2" xfId="24" applyNumberFormat="1" applyFont="1" applyBorder="1" applyAlignment="1">
      <alignment vertical="center" wrapText="1"/>
    </xf>
    <xf numFmtId="0" fontId="104" fillId="0" borderId="53" xfId="24" applyNumberFormat="1" applyFont="1" applyBorder="1" applyAlignment="1">
      <alignment vertical="center" wrapText="1"/>
    </xf>
    <xf numFmtId="170" fontId="14" fillId="0" borderId="2" xfId="10" applyNumberFormat="1" applyFont="1" applyFill="1" applyBorder="1" applyAlignment="1" applyProtection="1">
      <alignment horizontal="center" vertical="center" wrapText="1"/>
      <protection locked="0"/>
    </xf>
    <xf numFmtId="170" fontId="14" fillId="0" borderId="2" xfId="10" applyNumberFormat="1" applyFont="1" applyFill="1" applyBorder="1" applyAlignment="1" applyProtection="1">
      <alignment vertical="center" wrapText="1"/>
      <protection locked="0"/>
    </xf>
    <xf numFmtId="1" fontId="4" fillId="4" borderId="2" xfId="38" applyNumberFormat="1" applyFont="1" applyFill="1" applyBorder="1" applyAlignment="1">
      <alignment horizontal="center" vertical="center" wrapText="1"/>
    </xf>
    <xf numFmtId="2" fontId="4" fillId="4" borderId="2" xfId="38" applyNumberFormat="1" applyFont="1" applyFill="1" applyBorder="1" applyAlignment="1">
      <alignment horizontal="center" vertical="center" wrapText="1"/>
    </xf>
    <xf numFmtId="2" fontId="2" fillId="0" borderId="2" xfId="38" applyNumberFormat="1" applyFont="1" applyFill="1" applyBorder="1" applyAlignment="1">
      <alignment horizontal="center" vertical="center" wrapText="1"/>
    </xf>
    <xf numFmtId="167" fontId="4" fillId="4" borderId="2" xfId="38" applyNumberFormat="1" applyFont="1" applyFill="1" applyBorder="1" applyAlignment="1">
      <alignment horizontal="center" vertical="center" wrapText="1"/>
    </xf>
    <xf numFmtId="1" fontId="2" fillId="0" borderId="2" xfId="38" applyNumberFormat="1" applyFont="1" applyFill="1" applyBorder="1" applyAlignment="1">
      <alignment horizontal="center" vertical="center" wrapText="1"/>
    </xf>
    <xf numFmtId="1" fontId="6" fillId="0" borderId="2" xfId="38" applyNumberFormat="1" applyFont="1" applyFill="1" applyBorder="1" applyAlignment="1">
      <alignment horizontal="center" vertical="center" wrapText="1"/>
    </xf>
    <xf numFmtId="2" fontId="6" fillId="4" borderId="2" xfId="38" applyNumberFormat="1" applyFont="1" applyFill="1" applyBorder="1" applyAlignment="1">
      <alignment horizontal="center" vertical="center" wrapText="1"/>
    </xf>
    <xf numFmtId="0" fontId="13" fillId="0" borderId="2" xfId="46" applyNumberFormat="1" applyFont="1" applyFill="1" applyBorder="1" applyAlignment="1" applyProtection="1">
      <alignment horizontal="center" vertical="center" wrapText="1"/>
      <protection locked="0"/>
    </xf>
    <xf numFmtId="167" fontId="2" fillId="11" borderId="2" xfId="0" applyNumberFormat="1" applyFont="1" applyFill="1" applyBorder="1" applyAlignment="1">
      <alignment horizontal="center" vertical="center" wrapText="1"/>
    </xf>
    <xf numFmtId="167" fontId="6" fillId="11" borderId="2" xfId="0" applyNumberFormat="1" applyFont="1" applyFill="1" applyBorder="1" applyAlignment="1">
      <alignment horizontal="center" vertical="center" wrapText="1"/>
    </xf>
    <xf numFmtId="184" fontId="6" fillId="11" borderId="2" xfId="18" applyNumberFormat="1" applyFont="1" applyFill="1" applyBorder="1" applyAlignment="1">
      <alignment horizontal="center" vertical="center" wrapText="1"/>
    </xf>
    <xf numFmtId="190" fontId="2" fillId="11" borderId="2" xfId="18" applyNumberFormat="1" applyFont="1" applyFill="1" applyBorder="1" applyAlignment="1">
      <alignment horizontal="center" vertical="center" wrapText="1"/>
    </xf>
    <xf numFmtId="168" fontId="6" fillId="11" borderId="2" xfId="10" applyNumberFormat="1" applyFont="1" applyFill="1" applyBorder="1" applyAlignment="1">
      <alignment horizontal="center" vertical="center" wrapText="1"/>
    </xf>
    <xf numFmtId="0" fontId="14" fillId="6" borderId="2" xfId="0" applyNumberFormat="1" applyFont="1" applyFill="1" applyBorder="1" applyAlignment="1" applyProtection="1">
      <alignment horizontal="center" vertical="center" wrapText="1"/>
      <protection locked="0"/>
    </xf>
    <xf numFmtId="168" fontId="14" fillId="0" borderId="2" xfId="10" applyNumberFormat="1" applyFont="1" applyFill="1" applyBorder="1" applyAlignment="1" applyProtection="1">
      <alignment horizontal="center" vertical="center" wrapText="1"/>
      <protection locked="0"/>
    </xf>
    <xf numFmtId="43" fontId="14" fillId="0" borderId="2" xfId="10" applyFont="1" applyFill="1" applyBorder="1" applyAlignment="1" applyProtection="1">
      <alignment horizontal="center" vertical="center" wrapText="1"/>
      <protection locked="0"/>
    </xf>
    <xf numFmtId="1" fontId="6" fillId="0" borderId="2" xfId="0" applyNumberFormat="1" applyFont="1" applyBorder="1" applyAlignment="1">
      <alignment vertical="center" wrapText="1"/>
    </xf>
    <xf numFmtId="1" fontId="6" fillId="0" borderId="2" xfId="10" applyNumberFormat="1" applyFont="1" applyBorder="1" applyAlignment="1">
      <alignment horizontal="center" vertical="center" wrapText="1"/>
    </xf>
    <xf numFmtId="168" fontId="6" fillId="5" borderId="2" xfId="10" applyNumberFormat="1" applyFont="1" applyFill="1" applyBorder="1" applyAlignment="1">
      <alignment horizontal="center" vertical="center" wrapText="1"/>
    </xf>
    <xf numFmtId="0" fontId="6" fillId="5" borderId="2" xfId="0" applyFont="1" applyFill="1" applyBorder="1" applyAlignment="1">
      <alignment vertical="center" wrapText="1"/>
    </xf>
    <xf numFmtId="168" fontId="6" fillId="0" borderId="2" xfId="10" applyNumberFormat="1" applyFont="1" applyBorder="1" applyAlignment="1">
      <alignment vertical="center" wrapText="1"/>
    </xf>
    <xf numFmtId="1" fontId="6" fillId="0" borderId="2" xfId="0" applyNumberFormat="1" applyFont="1" applyBorder="1" applyAlignment="1">
      <alignment horizontal="right" vertical="center" wrapText="1"/>
    </xf>
    <xf numFmtId="10" fontId="2" fillId="0" borderId="0" xfId="0" applyNumberFormat="1" applyFont="1" applyAlignment="1" applyProtection="1">
      <alignment vertical="center" wrapText="1"/>
      <protection locked="0"/>
    </xf>
    <xf numFmtId="9" fontId="6" fillId="0" borderId="2" xfId="38" quotePrefix="1" applyFont="1" applyFill="1" applyBorder="1" applyAlignment="1">
      <alignment horizontal="center" vertical="center" wrapText="1"/>
    </xf>
    <xf numFmtId="0" fontId="16" fillId="4" borderId="4" xfId="0" applyFont="1" applyFill="1" applyBorder="1" applyAlignment="1" applyProtection="1">
      <alignment horizontal="center" vertical="center" wrapText="1"/>
      <protection locked="0"/>
    </xf>
    <xf numFmtId="9" fontId="4" fillId="6" borderId="2" xfId="38" applyNumberFormat="1" applyFont="1" applyFill="1" applyBorder="1" applyAlignment="1">
      <alignment horizontal="center" vertical="center" wrapText="1"/>
    </xf>
    <xf numFmtId="0" fontId="6" fillId="0" borderId="2" xfId="10" applyNumberFormat="1" applyFont="1" applyBorder="1" applyAlignment="1">
      <alignment horizontal="center" vertical="center" wrapText="1"/>
    </xf>
    <xf numFmtId="10" fontId="4" fillId="6" borderId="2" xfId="38" applyNumberFormat="1" applyFont="1" applyFill="1" applyBorder="1" applyAlignment="1">
      <alignment horizontal="center" vertical="center" wrapText="1"/>
    </xf>
    <xf numFmtId="0" fontId="104" fillId="0" borderId="2" xfId="0" applyFont="1" applyBorder="1" applyAlignment="1">
      <alignment horizontal="center" vertical="center" wrapText="1"/>
    </xf>
    <xf numFmtId="9" fontId="112" fillId="0" borderId="2" xfId="38" applyFont="1" applyBorder="1" applyAlignment="1">
      <alignment horizontal="center" vertical="center" wrapText="1"/>
    </xf>
    <xf numFmtId="9" fontId="130" fillId="4" borderId="2" xfId="38" applyFont="1" applyFill="1" applyBorder="1" applyAlignment="1">
      <alignment horizontal="center" vertical="center" wrapText="1"/>
    </xf>
    <xf numFmtId="9" fontId="112" fillId="0" borderId="3" xfId="38" applyFont="1" applyFill="1" applyBorder="1" applyAlignment="1">
      <alignment horizontal="center" vertical="center" wrapText="1"/>
    </xf>
    <xf numFmtId="9" fontId="112" fillId="4" borderId="2" xfId="38" applyFont="1" applyFill="1" applyBorder="1" applyAlignment="1">
      <alignment horizontal="center" vertical="center" wrapText="1"/>
    </xf>
    <xf numFmtId="0" fontId="112" fillId="0" borderId="2" xfId="0" applyFont="1" applyBorder="1" applyAlignment="1">
      <alignment vertical="center" wrapText="1"/>
    </xf>
    <xf numFmtId="2" fontId="112" fillId="0" borderId="2" xfId="0" applyNumberFormat="1" applyFont="1" applyBorder="1" applyAlignment="1">
      <alignment horizontal="center" vertical="center" wrapText="1"/>
    </xf>
    <xf numFmtId="167" fontId="112" fillId="0" borderId="2" xfId="0" applyNumberFormat="1" applyFont="1" applyBorder="1" applyAlignment="1">
      <alignment horizontal="center" vertical="center" wrapText="1"/>
    </xf>
    <xf numFmtId="9" fontId="8" fillId="6" borderId="2" xfId="46" applyNumberFormat="1" applyFont="1" applyFill="1" applyBorder="1" applyAlignment="1" applyProtection="1">
      <alignment horizontal="center" vertical="center" wrapText="1"/>
      <protection locked="0"/>
    </xf>
    <xf numFmtId="0" fontId="8" fillId="6" borderId="2" xfId="46" applyNumberFormat="1" applyFont="1" applyFill="1" applyBorder="1" applyAlignment="1" applyProtection="1">
      <alignment horizontal="center" vertical="center" wrapText="1"/>
      <protection locked="0"/>
    </xf>
    <xf numFmtId="9" fontId="16" fillId="6" borderId="2" xfId="46" applyNumberFormat="1" applyFont="1" applyFill="1" applyBorder="1" applyAlignment="1" applyProtection="1">
      <alignment horizontal="center" vertical="center" wrapText="1"/>
      <protection locked="0"/>
    </xf>
    <xf numFmtId="0" fontId="16" fillId="6" borderId="2" xfId="46" applyNumberFormat="1" applyFont="1" applyFill="1" applyBorder="1" applyAlignment="1" applyProtection="1">
      <alignment horizontal="center" vertical="center" wrapText="1"/>
      <protection locked="0"/>
    </xf>
    <xf numFmtId="9" fontId="54" fillId="6" borderId="2" xfId="38" applyFont="1" applyFill="1" applyBorder="1" applyAlignment="1">
      <alignment horizontal="center" vertical="center" wrapText="1"/>
    </xf>
    <xf numFmtId="0" fontId="131" fillId="12" borderId="2" xfId="0" applyFont="1" applyFill="1" applyBorder="1" applyAlignment="1">
      <alignment horizontal="center" vertical="center"/>
    </xf>
    <xf numFmtId="167" fontId="132" fillId="0" borderId="2" xfId="0" applyNumberFormat="1" applyFont="1" applyBorder="1" applyAlignment="1">
      <alignment horizontal="center" vertical="center" wrapText="1"/>
    </xf>
    <xf numFmtId="9" fontId="131" fillId="4" borderId="2" xfId="38" applyFont="1" applyFill="1" applyBorder="1" applyAlignment="1">
      <alignment horizontal="center" vertical="center" wrapText="1"/>
    </xf>
    <xf numFmtId="9" fontId="132" fillId="12" borderId="2" xfId="0" applyNumberFormat="1" applyFont="1" applyFill="1" applyBorder="1" applyAlignment="1">
      <alignment horizontal="center" vertical="center"/>
    </xf>
    <xf numFmtId="9" fontId="133" fillId="4" borderId="2" xfId="38" applyFont="1" applyFill="1" applyBorder="1" applyAlignment="1">
      <alignment horizontal="center" vertical="center" wrapText="1"/>
    </xf>
    <xf numFmtId="0" fontId="134" fillId="0" borderId="2" xfId="0" applyFont="1" applyBorder="1" applyAlignment="1">
      <alignment horizontal="justify" vertical="center" wrapText="1"/>
    </xf>
    <xf numFmtId="9" fontId="100" fillId="4" borderId="2" xfId="38" applyFont="1" applyFill="1" applyBorder="1" applyAlignment="1">
      <alignment horizontal="center" vertical="center" wrapText="1"/>
    </xf>
    <xf numFmtId="0" fontId="112" fillId="6" borderId="2" xfId="0" applyFont="1" applyFill="1" applyBorder="1" applyAlignment="1">
      <alignment vertical="center" wrapText="1"/>
    </xf>
    <xf numFmtId="9" fontId="6" fillId="5" borderId="2" xfId="38" applyFont="1" applyFill="1" applyBorder="1" applyAlignment="1">
      <alignment horizontal="center" vertical="center" wrapText="1"/>
    </xf>
    <xf numFmtId="0" fontId="8" fillId="6" borderId="0" xfId="0" applyNumberFormat="1" applyFont="1" applyFill="1" applyBorder="1" applyAlignment="1" applyProtection="1">
      <alignment horizontal="left" vertical="center" wrapText="1"/>
      <protection locked="0"/>
    </xf>
    <xf numFmtId="0" fontId="8" fillId="6" borderId="0" xfId="0" applyFont="1" applyFill="1" applyBorder="1" applyAlignment="1" applyProtection="1">
      <alignment horizontal="center" vertical="center" wrapText="1"/>
      <protection locked="0"/>
    </xf>
    <xf numFmtId="0" fontId="8" fillId="6" borderId="0" xfId="0" applyNumberFormat="1" applyFont="1" applyFill="1" applyBorder="1" applyAlignment="1" applyProtection="1">
      <alignment horizontal="center" vertical="top" wrapText="1"/>
      <protection locked="0"/>
    </xf>
    <xf numFmtId="9" fontId="8" fillId="6" borderId="0" xfId="38" applyNumberFormat="1" applyFont="1" applyFill="1" applyBorder="1" applyAlignment="1" applyProtection="1">
      <alignment horizontal="center" vertical="center" wrapText="1"/>
      <protection locked="0"/>
    </xf>
    <xf numFmtId="167" fontId="6" fillId="6" borderId="0" xfId="0" applyNumberFormat="1" applyFont="1" applyFill="1" applyBorder="1" applyAlignment="1">
      <alignment horizontal="center" vertical="center" wrapText="1"/>
    </xf>
    <xf numFmtId="0" fontId="16" fillId="43" borderId="2" xfId="0" applyFont="1" applyFill="1" applyBorder="1" applyAlignment="1" applyProtection="1">
      <alignment horizontal="center" vertical="center" textRotation="255" wrapText="1"/>
      <protection locked="0"/>
    </xf>
    <xf numFmtId="0" fontId="3" fillId="43" borderId="2" xfId="0" applyFont="1" applyFill="1" applyBorder="1" applyAlignment="1" applyProtection="1">
      <alignment horizontal="center" vertical="center" wrapText="1"/>
      <protection locked="0"/>
    </xf>
    <xf numFmtId="0" fontId="6" fillId="43" borderId="2" xfId="0" applyFont="1" applyFill="1" applyBorder="1" applyAlignment="1" applyProtection="1">
      <alignment vertical="center" wrapText="1"/>
      <protection locked="0"/>
    </xf>
    <xf numFmtId="0" fontId="16" fillId="43" borderId="2" xfId="0" applyFont="1" applyFill="1" applyBorder="1" applyAlignment="1" applyProtection="1">
      <alignment horizontal="center" vertical="center" wrapText="1"/>
      <protection locked="0"/>
    </xf>
    <xf numFmtId="0" fontId="16" fillId="43" borderId="7" xfId="0" applyFont="1" applyFill="1" applyBorder="1" applyAlignment="1">
      <alignment horizontal="center" vertical="center" wrapText="1"/>
    </xf>
    <xf numFmtId="0" fontId="16" fillId="43" borderId="2" xfId="0" applyFont="1" applyFill="1" applyBorder="1" applyAlignment="1">
      <alignment horizontal="center" vertical="center" wrapText="1"/>
    </xf>
    <xf numFmtId="0" fontId="3" fillId="43" borderId="2" xfId="0" applyFont="1" applyFill="1" applyBorder="1" applyAlignment="1">
      <alignment horizontal="center" vertical="center" wrapText="1"/>
    </xf>
    <xf numFmtId="0" fontId="23" fillId="43" borderId="2" xfId="0" applyFont="1" applyFill="1" applyBorder="1" applyAlignment="1">
      <alignment horizontal="center" vertical="center" wrapText="1"/>
    </xf>
    <xf numFmtId="0" fontId="60" fillId="43" borderId="2" xfId="0" applyFont="1" applyFill="1" applyBorder="1" applyAlignment="1">
      <alignment horizontal="center" vertical="center" wrapText="1"/>
    </xf>
    <xf numFmtId="0" fontId="17" fillId="43" borderId="2" xfId="0" applyFont="1" applyFill="1" applyBorder="1" applyAlignment="1">
      <alignment horizontal="center" vertical="center" wrapText="1"/>
    </xf>
    <xf numFmtId="0" fontId="13" fillId="43" borderId="2" xfId="0" applyFont="1" applyFill="1" applyBorder="1" applyAlignment="1">
      <alignment horizontal="center" vertical="center" wrapText="1"/>
    </xf>
    <xf numFmtId="0" fontId="63" fillId="43" borderId="2" xfId="0" applyFont="1" applyFill="1" applyBorder="1" applyAlignment="1" applyProtection="1">
      <alignment horizontal="center" vertical="center" textRotation="255" wrapText="1"/>
      <protection locked="0"/>
    </xf>
    <xf numFmtId="17" fontId="3" fillId="32" borderId="2" xfId="0" applyNumberFormat="1" applyFont="1" applyFill="1" applyBorder="1" applyAlignment="1">
      <alignment horizontal="center" vertical="center" wrapText="1"/>
    </xf>
    <xf numFmtId="0" fontId="3" fillId="32" borderId="2" xfId="0" applyFont="1" applyFill="1" applyBorder="1" applyAlignment="1">
      <alignment horizontal="center" vertical="center" wrapText="1"/>
    </xf>
    <xf numFmtId="17" fontId="3" fillId="16" borderId="2" xfId="0" applyNumberFormat="1" applyFont="1" applyFill="1" applyBorder="1" applyAlignment="1">
      <alignment horizontal="center" vertical="center" wrapText="1"/>
    </xf>
    <xf numFmtId="0" fontId="3" fillId="16" borderId="2" xfId="0" applyFont="1" applyFill="1" applyBorder="1" applyAlignment="1">
      <alignment horizontal="center" vertical="center" wrapText="1"/>
    </xf>
    <xf numFmtId="17" fontId="3" fillId="20" borderId="2" xfId="0" applyNumberFormat="1" applyFont="1" applyFill="1" applyBorder="1" applyAlignment="1">
      <alignment horizontal="center" vertical="center" wrapText="1"/>
    </xf>
    <xf numFmtId="0" fontId="3" fillId="20" borderId="2"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17" fontId="3" fillId="33" borderId="2" xfId="0" applyNumberFormat="1" applyFont="1" applyFill="1" applyBorder="1" applyAlignment="1">
      <alignment horizontal="center" vertical="center" wrapText="1"/>
    </xf>
    <xf numFmtId="0" fontId="3" fillId="33" borderId="2" xfId="0" applyFont="1" applyFill="1" applyBorder="1" applyAlignment="1">
      <alignment horizontal="center" vertical="center" wrapText="1"/>
    </xf>
    <xf numFmtId="0" fontId="20" fillId="0" borderId="18" xfId="0" applyFont="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2" fillId="0" borderId="0" xfId="0" applyFont="1" applyBorder="1" applyAlignment="1" applyProtection="1">
      <alignment horizontal="left" vertical="top" wrapText="1"/>
      <protection locked="0"/>
    </xf>
    <xf numFmtId="0" fontId="5" fillId="0" borderId="0" xfId="0" applyFont="1" applyBorder="1" applyAlignment="1" applyProtection="1">
      <alignment horizontal="left" vertical="top" wrapText="1"/>
      <protection locked="0"/>
    </xf>
    <xf numFmtId="17" fontId="3" fillId="27" borderId="2" xfId="0" applyNumberFormat="1" applyFont="1" applyFill="1" applyBorder="1" applyAlignment="1">
      <alignment horizontal="center" vertical="center" wrapText="1"/>
    </xf>
    <xf numFmtId="0" fontId="3" fillId="27" borderId="2" xfId="0" applyFont="1" applyFill="1" applyBorder="1" applyAlignment="1">
      <alignment horizontal="center" vertical="center" wrapText="1"/>
    </xf>
    <xf numFmtId="0" fontId="14" fillId="0" borderId="2"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14" fillId="0" borderId="2" xfId="0" applyFont="1" applyBorder="1" applyAlignment="1" applyProtection="1">
      <alignment horizontal="center" vertical="top" wrapText="1"/>
      <protection locked="0"/>
    </xf>
    <xf numFmtId="0" fontId="12" fillId="0" borderId="7" xfId="0" applyFont="1" applyBorder="1" applyAlignment="1">
      <alignment horizontal="left" vertical="top" wrapText="1"/>
    </xf>
    <xf numFmtId="0" fontId="12" fillId="0" borderId="2" xfId="0" applyFont="1" applyBorder="1" applyAlignment="1">
      <alignment horizontal="left" vertical="top" wrapText="1"/>
    </xf>
    <xf numFmtId="0" fontId="14" fillId="0" borderId="4" xfId="0" applyFont="1" applyBorder="1" applyAlignment="1" applyProtection="1">
      <alignment horizontal="center" vertical="center" wrapText="1"/>
      <protection locked="0"/>
    </xf>
    <xf numFmtId="17" fontId="3" fillId="11" borderId="2" xfId="0" applyNumberFormat="1" applyFont="1" applyFill="1" applyBorder="1" applyAlignment="1">
      <alignment horizontal="center" vertical="center" wrapText="1"/>
    </xf>
    <xf numFmtId="0" fontId="3" fillId="11" borderId="2" xfId="0" applyFont="1" applyFill="1" applyBorder="1" applyAlignment="1">
      <alignment horizontal="center" vertical="center" wrapText="1"/>
    </xf>
    <xf numFmtId="17" fontId="3" fillId="31" borderId="2" xfId="0" applyNumberFormat="1" applyFont="1" applyFill="1" applyBorder="1" applyAlignment="1">
      <alignment horizontal="center" vertical="center" wrapText="1"/>
    </xf>
    <xf numFmtId="0" fontId="3" fillId="31" borderId="2" xfId="0" applyFont="1" applyFill="1" applyBorder="1" applyAlignment="1">
      <alignment horizontal="center" vertical="center" wrapText="1"/>
    </xf>
    <xf numFmtId="17" fontId="3" fillId="11" borderId="7" xfId="0" applyNumberFormat="1" applyFont="1" applyFill="1" applyBorder="1" applyAlignment="1">
      <alignment horizontal="center" vertical="center" wrapText="1"/>
    </xf>
    <xf numFmtId="0" fontId="13" fillId="0" borderId="4" xfId="0" applyFont="1" applyBorder="1" applyAlignment="1" applyProtection="1">
      <alignment horizontal="center" wrapText="1"/>
      <protection locked="0"/>
    </xf>
    <xf numFmtId="0" fontId="0" fillId="5" borderId="2" xfId="0" applyFill="1" applyBorder="1"/>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2" xfId="0" applyFont="1" applyBorder="1" applyAlignment="1" applyProtection="1">
      <alignment horizontal="center" vertical="center" wrapText="1"/>
      <protection locked="0"/>
    </xf>
    <xf numFmtId="17" fontId="3" fillId="30" borderId="2" xfId="0" applyNumberFormat="1" applyFont="1" applyFill="1" applyBorder="1" applyAlignment="1">
      <alignment horizontal="center" vertical="center" wrapText="1"/>
    </xf>
    <xf numFmtId="0" fontId="3" fillId="30" borderId="2" xfId="0"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2" xfId="0" applyFont="1" applyBorder="1" applyAlignment="1" applyProtection="1">
      <alignment horizontal="left" vertical="center" wrapText="1" indent="3"/>
      <protection locked="0"/>
    </xf>
    <xf numFmtId="0" fontId="2" fillId="4" borderId="2" xfId="0" applyFont="1" applyFill="1" applyBorder="1" applyAlignment="1" applyProtection="1">
      <alignment horizontal="center" vertical="center" wrapText="1"/>
      <protection locked="0"/>
    </xf>
    <xf numFmtId="0" fontId="13" fillId="0" borderId="3" xfId="0" applyFont="1" applyBorder="1" applyAlignment="1" applyProtection="1">
      <alignment horizontal="left" vertical="center" wrapText="1" indent="3"/>
      <protection locked="0"/>
    </xf>
    <xf numFmtId="0" fontId="13" fillId="0" borderId="4" xfId="0" applyFont="1" applyBorder="1" applyAlignment="1" applyProtection="1">
      <alignment horizontal="left" vertical="center" wrapText="1" indent="3"/>
      <protection locked="0"/>
    </xf>
    <xf numFmtId="0" fontId="13" fillId="0" borderId="7" xfId="0" applyFont="1" applyBorder="1" applyAlignment="1" applyProtection="1">
      <alignment horizontal="left" vertical="center" wrapText="1" indent="3"/>
      <protection locked="0"/>
    </xf>
    <xf numFmtId="0" fontId="16" fillId="5" borderId="2" xfId="0"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2" fillId="0" borderId="0" xfId="0" applyFont="1" applyBorder="1" applyAlignment="1" applyProtection="1">
      <alignment horizontal="center" vertical="top" wrapText="1"/>
      <protection locked="0"/>
    </xf>
    <xf numFmtId="0" fontId="4" fillId="0" borderId="4" xfId="0" applyFont="1" applyBorder="1" applyAlignment="1" applyProtection="1">
      <alignment horizontal="center" wrapText="1"/>
      <protection locked="0"/>
    </xf>
    <xf numFmtId="0" fontId="37" fillId="0" borderId="7" xfId="0" applyFont="1" applyBorder="1" applyAlignment="1">
      <alignment horizontal="left" vertical="top" wrapText="1"/>
    </xf>
    <xf numFmtId="0" fontId="37" fillId="0" borderId="2" xfId="0" applyFont="1" applyBorder="1" applyAlignment="1">
      <alignment horizontal="left" vertical="top" wrapText="1"/>
    </xf>
    <xf numFmtId="0" fontId="2" fillId="0" borderId="2" xfId="0" applyFont="1" applyBorder="1" applyAlignment="1" applyProtection="1">
      <alignment horizontal="center" vertical="top" wrapText="1"/>
      <protection locked="0"/>
    </xf>
    <xf numFmtId="0" fontId="2" fillId="0" borderId="4"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2" xfId="0" applyFont="1" applyBorder="1" applyAlignment="1" applyProtection="1">
      <alignment horizontal="center" vertical="center" wrapText="1"/>
      <protection locked="0"/>
    </xf>
    <xf numFmtId="17" fontId="4" fillId="0" borderId="3" xfId="0" applyNumberFormat="1" applyFont="1" applyBorder="1" applyAlignment="1" applyProtection="1">
      <alignment horizontal="center" vertical="center" wrapText="1"/>
      <protection locked="0"/>
    </xf>
    <xf numFmtId="0" fontId="4" fillId="43" borderId="2" xfId="0" applyFont="1" applyFill="1" applyBorder="1" applyAlignment="1" applyProtection="1">
      <alignment horizontal="center" vertical="center" wrapText="1"/>
      <protection locked="0"/>
    </xf>
    <xf numFmtId="0" fontId="4" fillId="5" borderId="2" xfId="0" applyFont="1" applyFill="1" applyBorder="1" applyAlignment="1" applyProtection="1">
      <alignment horizontal="center" vertical="center" wrapText="1"/>
      <protection locked="0"/>
    </xf>
    <xf numFmtId="0" fontId="2" fillId="5" borderId="2" xfId="0" applyFont="1" applyFill="1" applyBorder="1"/>
    <xf numFmtId="17" fontId="4" fillId="11" borderId="7" xfId="0" applyNumberFormat="1" applyFont="1" applyFill="1" applyBorder="1" applyAlignment="1">
      <alignment horizontal="center" vertical="center" wrapText="1"/>
    </xf>
    <xf numFmtId="0" fontId="4" fillId="11" borderId="2" xfId="0" applyFont="1" applyFill="1" applyBorder="1" applyAlignment="1">
      <alignment horizontal="center" vertical="center" wrapText="1"/>
    </xf>
    <xf numFmtId="17" fontId="4" fillId="20" borderId="2" xfId="0" applyNumberFormat="1" applyFont="1" applyFill="1" applyBorder="1" applyAlignment="1">
      <alignment horizontal="center" vertical="center" wrapText="1"/>
    </xf>
    <xf numFmtId="0" fontId="4" fillId="20" borderId="2" xfId="0" applyFont="1" applyFill="1" applyBorder="1" applyAlignment="1">
      <alignment horizontal="center" vertical="center" wrapText="1"/>
    </xf>
    <xf numFmtId="17" fontId="4" fillId="27" borderId="2" xfId="0" applyNumberFormat="1" applyFont="1" applyFill="1" applyBorder="1" applyAlignment="1">
      <alignment horizontal="center" vertical="center" wrapText="1"/>
    </xf>
    <xf numFmtId="0" fontId="4" fillId="27" borderId="2" xfId="0" applyFont="1" applyFill="1" applyBorder="1" applyAlignment="1">
      <alignment horizontal="center" vertical="center" wrapText="1"/>
    </xf>
    <xf numFmtId="17" fontId="4" fillId="32" borderId="2" xfId="0" applyNumberFormat="1" applyFont="1" applyFill="1" applyBorder="1" applyAlignment="1">
      <alignment horizontal="center" vertical="center" wrapText="1"/>
    </xf>
    <xf numFmtId="0" fontId="4" fillId="32" borderId="2" xfId="0" applyFont="1" applyFill="1" applyBorder="1" applyAlignment="1">
      <alignment horizontal="center" vertical="center" wrapText="1"/>
    </xf>
    <xf numFmtId="17" fontId="4" fillId="11" borderId="3" xfId="0" applyNumberFormat="1" applyFont="1" applyFill="1" applyBorder="1" applyAlignment="1">
      <alignment horizontal="center" vertical="center" wrapText="1"/>
    </xf>
    <xf numFmtId="17" fontId="4" fillId="11" borderId="4" xfId="0" applyNumberFormat="1" applyFont="1" applyFill="1" applyBorder="1" applyAlignment="1">
      <alignment horizontal="center" vertical="center" wrapText="1"/>
    </xf>
    <xf numFmtId="17" fontId="4" fillId="30" borderId="2" xfId="0" applyNumberFormat="1" applyFont="1" applyFill="1" applyBorder="1" applyAlignment="1">
      <alignment horizontal="center" vertical="center" wrapText="1"/>
    </xf>
    <xf numFmtId="0" fontId="4" fillId="30" borderId="2" xfId="0" applyFont="1" applyFill="1" applyBorder="1" applyAlignment="1">
      <alignment horizontal="center" vertical="center" wrapText="1"/>
    </xf>
    <xf numFmtId="17" fontId="4" fillId="33" borderId="2" xfId="0" applyNumberFormat="1" applyFont="1" applyFill="1" applyBorder="1" applyAlignment="1">
      <alignment horizontal="center" vertical="center" wrapText="1"/>
    </xf>
    <xf numFmtId="0" fontId="4" fillId="33" borderId="2" xfId="0" applyFont="1" applyFill="1" applyBorder="1" applyAlignment="1">
      <alignment horizontal="center" vertical="center" wrapText="1"/>
    </xf>
    <xf numFmtId="17" fontId="4" fillId="16" borderId="2" xfId="0" applyNumberFormat="1" applyFont="1" applyFill="1" applyBorder="1" applyAlignment="1">
      <alignment horizontal="center" vertical="center" wrapText="1"/>
    </xf>
    <xf numFmtId="0" fontId="4" fillId="16" borderId="2" xfId="0" applyFont="1" applyFill="1" applyBorder="1" applyAlignment="1">
      <alignment horizontal="center" vertical="center" wrapText="1"/>
    </xf>
    <xf numFmtId="17" fontId="4" fillId="11" borderId="2" xfId="0" applyNumberFormat="1" applyFont="1" applyFill="1" applyBorder="1" applyAlignment="1">
      <alignment horizontal="center" vertical="center" wrapText="1"/>
    </xf>
    <xf numFmtId="17" fontId="4" fillId="31" borderId="2" xfId="0" applyNumberFormat="1" applyFont="1" applyFill="1" applyBorder="1" applyAlignment="1">
      <alignment horizontal="center" vertical="center" wrapText="1"/>
    </xf>
    <xf numFmtId="0" fontId="4" fillId="31" borderId="2" xfId="0" applyFont="1" applyFill="1" applyBorder="1" applyAlignment="1">
      <alignment horizontal="center" vertical="center" wrapText="1"/>
    </xf>
    <xf numFmtId="0" fontId="2" fillId="0" borderId="9"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9" xfId="38" applyNumberFormat="1" applyFont="1" applyFill="1" applyBorder="1" applyAlignment="1" applyProtection="1">
      <alignment horizontal="center" vertical="center" wrapText="1"/>
      <protection locked="0"/>
    </xf>
    <xf numFmtId="0" fontId="2" fillId="0" borderId="6" xfId="38" applyNumberFormat="1" applyFont="1" applyFill="1" applyBorder="1" applyAlignment="1" applyProtection="1">
      <alignment horizontal="center" vertical="center" wrapText="1"/>
      <protection locked="0"/>
    </xf>
    <xf numFmtId="9" fontId="2" fillId="0" borderId="9" xfId="38" applyNumberFormat="1" applyFont="1" applyFill="1" applyBorder="1" applyAlignment="1" applyProtection="1">
      <alignment horizontal="center" vertical="center" wrapText="1"/>
      <protection locked="0"/>
    </xf>
    <xf numFmtId="9" fontId="2" fillId="0" borderId="6" xfId="38" applyNumberFormat="1" applyFont="1" applyFill="1" applyBorder="1" applyAlignment="1" applyProtection="1">
      <alignment horizontal="center" vertical="center" wrapText="1"/>
      <protection locked="0"/>
    </xf>
    <xf numFmtId="9" fontId="2" fillId="0" borderId="9" xfId="38" applyFont="1" applyFill="1" applyBorder="1" applyAlignment="1" applyProtection="1">
      <alignment horizontal="center" vertical="center" wrapText="1"/>
      <protection locked="0"/>
    </xf>
    <xf numFmtId="9" fontId="2" fillId="0" borderId="6" xfId="38" applyFont="1" applyFill="1" applyBorder="1" applyAlignment="1" applyProtection="1">
      <alignment horizontal="center" vertical="center" wrapText="1"/>
      <protection locked="0"/>
    </xf>
    <xf numFmtId="9" fontId="2" fillId="0" borderId="9" xfId="0" applyNumberFormat="1" applyFont="1" applyBorder="1" applyAlignment="1">
      <alignment horizontal="center" vertical="center" wrapText="1"/>
    </xf>
    <xf numFmtId="9" fontId="2" fillId="0" borderId="6" xfId="0" applyNumberFormat="1" applyFont="1" applyBorder="1" applyAlignment="1">
      <alignment horizontal="center" vertical="center" wrapText="1"/>
    </xf>
    <xf numFmtId="9" fontId="4" fillId="4" borderId="9" xfId="38" applyFont="1" applyFill="1" applyBorder="1" applyAlignment="1">
      <alignment horizontal="center" vertical="center" wrapText="1"/>
    </xf>
    <xf numFmtId="9" fontId="4" fillId="4" borderId="6" xfId="38" applyFont="1" applyFill="1" applyBorder="1" applyAlignment="1">
      <alignment horizontal="center" vertical="center" wrapText="1"/>
    </xf>
    <xf numFmtId="9" fontId="2" fillId="0" borderId="9" xfId="38" applyFont="1" applyFill="1" applyBorder="1" applyAlignment="1">
      <alignment horizontal="center" vertical="center" wrapText="1"/>
    </xf>
    <xf numFmtId="9" fontId="2" fillId="0" borderId="6" xfId="38" applyFont="1" applyFill="1" applyBorder="1" applyAlignment="1">
      <alignment horizontal="center" vertical="center" wrapText="1"/>
    </xf>
    <xf numFmtId="9" fontId="2" fillId="4" borderId="9" xfId="38" applyFont="1" applyFill="1" applyBorder="1" applyAlignment="1">
      <alignment horizontal="center" vertical="center" wrapText="1"/>
    </xf>
    <xf numFmtId="9" fontId="2" fillId="4" borderId="6" xfId="38" applyFont="1" applyFill="1" applyBorder="1" applyAlignment="1">
      <alignment horizontal="center" vertical="center" wrapText="1"/>
    </xf>
    <xf numFmtId="0" fontId="2" fillId="6" borderId="9" xfId="0" applyFont="1" applyFill="1" applyBorder="1" applyAlignment="1">
      <alignment horizontal="justify" vertical="justify" wrapText="1"/>
    </xf>
    <xf numFmtId="0" fontId="2" fillId="6" borderId="6" xfId="0" applyFont="1" applyFill="1" applyBorder="1" applyAlignment="1">
      <alignment horizontal="justify" vertical="justify" wrapText="1"/>
    </xf>
    <xf numFmtId="9" fontId="2" fillId="0" borderId="10" xfId="38" applyFont="1" applyFill="1" applyBorder="1" applyAlignment="1" applyProtection="1">
      <alignment horizontal="center" vertical="center" wrapText="1"/>
      <protection locked="0"/>
    </xf>
    <xf numFmtId="9" fontId="2" fillId="0" borderId="8" xfId="38" applyFont="1" applyFill="1" applyBorder="1" applyAlignment="1" applyProtection="1">
      <alignment horizontal="center" vertical="center" wrapText="1"/>
      <protection locked="0"/>
    </xf>
    <xf numFmtId="9" fontId="2" fillId="0" borderId="21" xfId="38" applyFont="1" applyFill="1" applyBorder="1" applyAlignment="1" applyProtection="1">
      <alignment horizontal="center" vertical="center" wrapText="1"/>
      <protection locked="0"/>
    </xf>
    <xf numFmtId="9" fontId="2" fillId="0" borderId="19" xfId="38" applyFont="1" applyFill="1" applyBorder="1" applyAlignment="1" applyProtection="1">
      <alignment horizontal="center" vertical="center" wrapText="1"/>
      <protection locked="0"/>
    </xf>
    <xf numFmtId="167" fontId="2" fillId="0" borderId="9"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9" fontId="2" fillId="4" borderId="9" xfId="38" applyFont="1" applyFill="1" applyBorder="1" applyAlignment="1" applyProtection="1">
      <alignment horizontal="center" vertical="center" wrapText="1"/>
      <protection locked="0"/>
    </xf>
    <xf numFmtId="9" fontId="2" fillId="4" borderId="6" xfId="38" applyFont="1" applyFill="1" applyBorder="1" applyAlignment="1" applyProtection="1">
      <alignment horizontal="center" vertical="center" wrapText="1"/>
      <protection locked="0"/>
    </xf>
    <xf numFmtId="0" fontId="2" fillId="0" borderId="9" xfId="0" applyFont="1" applyBorder="1" applyAlignment="1">
      <alignment horizontal="justify" vertical="center" wrapText="1"/>
    </xf>
    <xf numFmtId="0" fontId="2" fillId="0" borderId="6" xfId="0" applyFont="1" applyBorder="1" applyAlignment="1">
      <alignment horizontal="justify" vertical="center" wrapText="1"/>
    </xf>
    <xf numFmtId="0" fontId="4" fillId="4" borderId="3"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4" fillId="4" borderId="7" xfId="0"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wrapText="1"/>
      <protection locked="0"/>
    </xf>
    <xf numFmtId="0" fontId="13" fillId="0" borderId="4" xfId="0" applyFont="1" applyFill="1" applyBorder="1" applyAlignment="1" applyProtection="1">
      <alignment horizontal="center" wrapText="1"/>
      <protection locked="0"/>
    </xf>
    <xf numFmtId="0" fontId="13" fillId="0" borderId="7" xfId="0" applyFont="1" applyFill="1" applyBorder="1" applyAlignment="1" applyProtection="1">
      <alignment horizontal="center" wrapText="1"/>
      <protection locked="0"/>
    </xf>
    <xf numFmtId="0" fontId="13" fillId="0" borderId="7" xfId="0" applyFont="1" applyFill="1" applyBorder="1" applyAlignment="1">
      <alignment horizontal="left" vertical="top" wrapText="1"/>
    </xf>
    <xf numFmtId="0" fontId="13" fillId="0" borderId="2" xfId="0" applyFont="1" applyFill="1" applyBorder="1" applyAlignment="1">
      <alignment horizontal="left" vertical="top" wrapText="1"/>
    </xf>
    <xf numFmtId="0" fontId="14" fillId="0" borderId="2" xfId="0" applyFont="1" applyFill="1" applyBorder="1" applyAlignment="1" applyProtection="1">
      <alignment horizontal="center" vertical="top" wrapText="1"/>
      <protection locked="0"/>
    </xf>
    <xf numFmtId="0" fontId="14" fillId="0" borderId="3"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wrapText="1"/>
      <protection locked="0"/>
    </xf>
    <xf numFmtId="0" fontId="3" fillId="43" borderId="2" xfId="0" applyFont="1" applyFill="1" applyBorder="1" applyAlignment="1" applyProtection="1">
      <alignment horizontal="center" vertical="center" wrapText="1"/>
      <protection locked="0"/>
    </xf>
    <xf numFmtId="0" fontId="0" fillId="43" borderId="2" xfId="0" applyFill="1" applyBorder="1"/>
    <xf numFmtId="17"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7" fontId="3" fillId="0" borderId="7" xfId="0" applyNumberFormat="1" applyFont="1" applyFill="1" applyBorder="1" applyAlignment="1">
      <alignment horizontal="center" vertical="center" wrapText="1"/>
    </xf>
    <xf numFmtId="0" fontId="8" fillId="0" borderId="2" xfId="0" applyFont="1" applyFill="1" applyBorder="1" applyAlignment="1" applyProtection="1">
      <alignment horizontal="center" vertical="center" wrapText="1"/>
      <protection locked="0"/>
    </xf>
    <xf numFmtId="0" fontId="39" fillId="0" borderId="2" xfId="20"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vertical="center" wrapText="1"/>
      <protection locked="0"/>
    </xf>
    <xf numFmtId="0" fontId="39" fillId="0" borderId="2" xfId="20" applyFont="1" applyFill="1" applyBorder="1" applyAlignment="1" applyProtection="1">
      <alignment vertical="center" wrapText="1"/>
      <protection locked="0"/>
    </xf>
    <xf numFmtId="0" fontId="8" fillId="0" borderId="2" xfId="0" applyFont="1" applyFill="1" applyBorder="1" applyAlignment="1">
      <alignment horizontal="center" vertical="center" wrapText="1"/>
    </xf>
    <xf numFmtId="9" fontId="6" fillId="0" borderId="2" xfId="38"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2" xfId="0" applyFont="1" applyFill="1" applyBorder="1" applyAlignment="1" applyProtection="1">
      <alignment horizontal="justify" vertical="center" wrapText="1"/>
      <protection locked="0"/>
    </xf>
    <xf numFmtId="0" fontId="8" fillId="0" borderId="2" xfId="20" applyNumberFormat="1" applyFont="1" applyFill="1" applyBorder="1" applyAlignment="1" applyProtection="1">
      <alignment horizontal="center" vertical="center" wrapText="1"/>
      <protection locked="0"/>
    </xf>
    <xf numFmtId="0" fontId="8" fillId="0" borderId="2" xfId="20" applyFont="1" applyFill="1" applyBorder="1" applyAlignment="1" applyProtection="1">
      <alignment horizontal="center" vertical="center" wrapText="1"/>
      <protection locked="0"/>
    </xf>
    <xf numFmtId="167" fontId="8" fillId="0" borderId="2" xfId="0" applyNumberFormat="1" applyFont="1" applyFill="1" applyBorder="1" applyAlignment="1">
      <alignment horizontal="center" vertical="center" wrapText="1"/>
    </xf>
    <xf numFmtId="0" fontId="8" fillId="0" borderId="2" xfId="0"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vertical="center" wrapText="1"/>
      <protection locked="0"/>
    </xf>
    <xf numFmtId="0" fontId="39" fillId="0" borderId="2" xfId="20" applyFont="1" applyFill="1" applyBorder="1" applyAlignment="1" applyProtection="1">
      <alignment horizontal="center" vertical="center" wrapText="1"/>
      <protection locked="0"/>
    </xf>
    <xf numFmtId="0" fontId="39" fillId="0" borderId="2" xfId="20" applyNumberFormat="1" applyFont="1" applyFill="1" applyBorder="1" applyAlignment="1" applyProtection="1">
      <alignment vertical="center" wrapText="1"/>
      <protection locked="0"/>
    </xf>
    <xf numFmtId="167" fontId="8" fillId="0" borderId="31" xfId="0" applyNumberFormat="1" applyFont="1" applyFill="1" applyBorder="1" applyAlignment="1">
      <alignment horizontal="center" vertical="center" wrapText="1"/>
    </xf>
    <xf numFmtId="167" fontId="8" fillId="0" borderId="32" xfId="0" applyNumberFormat="1" applyFont="1" applyFill="1" applyBorder="1" applyAlignment="1">
      <alignment horizontal="center" vertical="center" wrapText="1"/>
    </xf>
    <xf numFmtId="167" fontId="8" fillId="0" borderId="34" xfId="0" applyNumberFormat="1"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2" fillId="0" borderId="0" xfId="0" applyFont="1" applyFill="1" applyBorder="1" applyAlignment="1" applyProtection="1">
      <alignment horizontal="left" vertical="center" wrapText="1"/>
      <protection locked="0"/>
    </xf>
    <xf numFmtId="0" fontId="20" fillId="0" borderId="18" xfId="0"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0" fontId="2" fillId="0" borderId="0" xfId="0" applyFont="1" applyFill="1" applyBorder="1" applyAlignment="1" applyProtection="1">
      <alignment horizontal="left" vertical="top" wrapText="1"/>
      <protection locked="0"/>
    </xf>
    <xf numFmtId="0" fontId="42" fillId="0" borderId="49" xfId="0" applyFont="1" applyBorder="1" applyAlignment="1">
      <alignment horizontal="center" vertical="center" wrapText="1"/>
    </xf>
    <xf numFmtId="0" fontId="42" fillId="0" borderId="40" xfId="0" applyFont="1" applyBorder="1" applyAlignment="1">
      <alignment horizontal="center" vertical="center" wrapText="1"/>
    </xf>
    <xf numFmtId="0" fontId="42" fillId="14" borderId="49" xfId="0" applyFont="1" applyFill="1" applyBorder="1" applyAlignment="1">
      <alignment horizontal="center" vertical="center" wrapText="1"/>
    </xf>
    <xf numFmtId="0" fontId="42" fillId="14" borderId="40" xfId="0" applyFont="1" applyFill="1" applyBorder="1" applyAlignment="1">
      <alignment horizontal="center" vertical="center" wrapText="1"/>
    </xf>
    <xf numFmtId="0" fontId="18" fillId="0" borderId="4" xfId="0" applyFont="1" applyBorder="1" applyAlignment="1" applyProtection="1">
      <alignment horizontal="center" wrapText="1"/>
      <protection locked="0"/>
    </xf>
    <xf numFmtId="0" fontId="45" fillId="0" borderId="7" xfId="0" applyFont="1" applyBorder="1" applyAlignment="1">
      <alignment horizontal="left" vertical="top" wrapText="1"/>
    </xf>
    <xf numFmtId="0" fontId="45" fillId="0" borderId="2" xfId="0" applyFont="1" applyBorder="1" applyAlignment="1">
      <alignment horizontal="left" vertical="top" wrapText="1"/>
    </xf>
    <xf numFmtId="0" fontId="19" fillId="0" borderId="2" xfId="0" applyFont="1" applyBorder="1" applyAlignment="1" applyProtection="1">
      <alignment horizontal="center" vertical="top" wrapText="1"/>
      <protection locked="0"/>
    </xf>
    <xf numFmtId="0" fontId="19" fillId="0" borderId="3"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protection locked="0"/>
    </xf>
    <xf numFmtId="0" fontId="18" fillId="0" borderId="4" xfId="0" applyFont="1" applyBorder="1" applyAlignment="1" applyProtection="1">
      <alignment horizontal="center" vertical="center"/>
      <protection locked="0"/>
    </xf>
    <xf numFmtId="0" fontId="18" fillId="0" borderId="7" xfId="0" applyFont="1" applyBorder="1" applyAlignment="1" applyProtection="1">
      <alignment horizontal="center" vertical="center"/>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17" fontId="18" fillId="11" borderId="7" xfId="0" applyNumberFormat="1" applyFont="1" applyFill="1" applyBorder="1" applyAlignment="1">
      <alignment horizontal="center" vertical="center" wrapText="1"/>
    </xf>
    <xf numFmtId="0" fontId="18" fillId="11" borderId="2" xfId="0" applyFont="1" applyFill="1" applyBorder="1" applyAlignment="1">
      <alignment horizontal="center" vertical="center" wrapText="1"/>
    </xf>
    <xf numFmtId="17" fontId="18" fillId="20" borderId="2" xfId="0" applyNumberFormat="1" applyFont="1" applyFill="1" applyBorder="1" applyAlignment="1">
      <alignment horizontal="center" vertical="center" wrapText="1"/>
    </xf>
    <xf numFmtId="0" fontId="18" fillId="20" borderId="2" xfId="0" applyFont="1" applyFill="1" applyBorder="1" applyAlignment="1">
      <alignment horizontal="center" vertical="center" wrapText="1"/>
    </xf>
    <xf numFmtId="0" fontId="18" fillId="6" borderId="3" xfId="0" applyFont="1" applyFill="1" applyBorder="1" applyAlignment="1" applyProtection="1">
      <alignment horizontal="center" vertical="center"/>
      <protection locked="0"/>
    </xf>
    <xf numFmtId="0" fontId="18" fillId="6" borderId="4" xfId="0" applyFont="1" applyFill="1" applyBorder="1" applyAlignment="1" applyProtection="1">
      <alignment horizontal="center" vertical="center"/>
      <protection locked="0"/>
    </xf>
    <xf numFmtId="0" fontId="18" fillId="6" borderId="7" xfId="0" applyFont="1" applyFill="1" applyBorder="1" applyAlignment="1" applyProtection="1">
      <alignment horizontal="center" vertical="center"/>
      <protection locked="0"/>
    </xf>
    <xf numFmtId="17" fontId="18" fillId="32" borderId="2" xfId="0" applyNumberFormat="1" applyFont="1" applyFill="1" applyBorder="1" applyAlignment="1">
      <alignment horizontal="center" vertical="center" wrapText="1"/>
    </xf>
    <xf numFmtId="0" fontId="18" fillId="32" borderId="2" xfId="0" applyFont="1" applyFill="1" applyBorder="1" applyAlignment="1">
      <alignment horizontal="center" vertical="center" wrapText="1"/>
    </xf>
    <xf numFmtId="17" fontId="18" fillId="11" borderId="2" xfId="0" applyNumberFormat="1" applyFont="1" applyFill="1" applyBorder="1" applyAlignment="1">
      <alignment horizontal="center" vertical="center" wrapText="1"/>
    </xf>
    <xf numFmtId="17" fontId="18" fillId="31" borderId="2" xfId="0" applyNumberFormat="1" applyFont="1" applyFill="1" applyBorder="1" applyAlignment="1">
      <alignment horizontal="center" vertical="center" wrapText="1"/>
    </xf>
    <xf numFmtId="0" fontId="18" fillId="31" borderId="2" xfId="0" applyFont="1" applyFill="1" applyBorder="1" applyAlignment="1">
      <alignment horizontal="center" vertical="center" wrapText="1"/>
    </xf>
    <xf numFmtId="0" fontId="47" fillId="0" borderId="0" xfId="0" applyFont="1" applyBorder="1" applyAlignment="1" applyProtection="1">
      <alignment horizontal="left" vertical="center" wrapText="1"/>
      <protection locked="0"/>
    </xf>
    <xf numFmtId="17" fontId="18" fillId="27" borderId="2" xfId="0" applyNumberFormat="1" applyFont="1" applyFill="1" applyBorder="1" applyAlignment="1">
      <alignment horizontal="center" vertical="center" wrapText="1"/>
    </xf>
    <xf numFmtId="0" fontId="18" fillId="27" borderId="2" xfId="0" applyFont="1" applyFill="1" applyBorder="1" applyAlignment="1">
      <alignment horizontal="center" vertical="center" wrapText="1"/>
    </xf>
    <xf numFmtId="17" fontId="18" fillId="30" borderId="2" xfId="0" applyNumberFormat="1" applyFont="1" applyFill="1" applyBorder="1" applyAlignment="1">
      <alignment horizontal="center" vertical="center" wrapText="1"/>
    </xf>
    <xf numFmtId="0" fontId="18" fillId="30" borderId="2" xfId="0" applyFont="1" applyFill="1" applyBorder="1" applyAlignment="1">
      <alignment horizontal="center" vertical="center" wrapText="1"/>
    </xf>
    <xf numFmtId="17" fontId="18" fillId="6" borderId="2" xfId="0" applyNumberFormat="1" applyFont="1" applyFill="1" applyBorder="1" applyAlignment="1">
      <alignment horizontal="center" vertical="center" wrapText="1"/>
    </xf>
    <xf numFmtId="0" fontId="18" fillId="6" borderId="2" xfId="0" applyFont="1" applyFill="1" applyBorder="1" applyAlignment="1">
      <alignment horizontal="center" vertical="center" wrapText="1"/>
    </xf>
    <xf numFmtId="0" fontId="55" fillId="0" borderId="0" xfId="0" applyFont="1" applyAlignment="1" applyProtection="1">
      <alignment horizontal="left" vertical="center" wrapText="1"/>
      <protection locked="0"/>
    </xf>
    <xf numFmtId="0" fontId="56" fillId="0" borderId="18" xfId="0" applyFont="1" applyBorder="1" applyAlignment="1" applyProtection="1">
      <alignment horizontal="center" vertical="center" wrapText="1"/>
      <protection locked="0"/>
    </xf>
    <xf numFmtId="0" fontId="57" fillId="0" borderId="0" xfId="0" applyFont="1" applyBorder="1" applyAlignment="1" applyProtection="1">
      <alignment horizontal="center" vertical="center" wrapText="1"/>
      <protection locked="0"/>
    </xf>
    <xf numFmtId="0" fontId="57" fillId="0" borderId="0" xfId="0" applyFont="1" applyBorder="1" applyAlignment="1" applyProtection="1">
      <alignment horizontal="center" vertical="top" wrapText="1"/>
      <protection locked="0"/>
    </xf>
    <xf numFmtId="0" fontId="19" fillId="5" borderId="2" xfId="0" applyFont="1" applyFill="1" applyBorder="1"/>
    <xf numFmtId="0" fontId="13" fillId="0" borderId="4" xfId="20" applyFont="1" applyBorder="1" applyAlignment="1" applyProtection="1">
      <alignment horizontal="center" wrapText="1"/>
      <protection locked="0"/>
    </xf>
    <xf numFmtId="0" fontId="12" fillId="0" borderId="7" xfId="20" applyFont="1" applyBorder="1" applyAlignment="1">
      <alignment horizontal="left" vertical="top" wrapText="1"/>
    </xf>
    <xf numFmtId="0" fontId="12" fillId="0" borderId="2" xfId="20" applyFont="1" applyBorder="1" applyAlignment="1">
      <alignment horizontal="left" vertical="top" wrapText="1"/>
    </xf>
    <xf numFmtId="0" fontId="14" fillId="0" borderId="2" xfId="20" applyFont="1" applyBorder="1" applyAlignment="1" applyProtection="1">
      <alignment horizontal="center" vertical="top" wrapText="1"/>
      <protection locked="0"/>
    </xf>
    <xf numFmtId="0" fontId="14" fillId="0" borderId="3" xfId="20" applyFont="1" applyBorder="1" applyAlignment="1" applyProtection="1">
      <alignment horizontal="center" vertical="center" wrapText="1"/>
      <protection locked="0"/>
    </xf>
    <xf numFmtId="0" fontId="14" fillId="0" borderId="7" xfId="20" applyFont="1" applyBorder="1" applyAlignment="1" applyProtection="1">
      <alignment horizontal="center" vertical="center" wrapText="1"/>
      <protection locked="0"/>
    </xf>
    <xf numFmtId="0" fontId="14" fillId="0" borderId="4" xfId="20" applyFont="1" applyBorder="1" applyAlignment="1" applyProtection="1">
      <alignment horizontal="center" vertical="center" wrapText="1"/>
      <protection locked="0"/>
    </xf>
    <xf numFmtId="0" fontId="14" fillId="0" borderId="2" xfId="20" applyFont="1" applyBorder="1" applyAlignment="1" applyProtection="1">
      <alignment horizontal="center" vertical="center" wrapText="1"/>
      <protection locked="0"/>
    </xf>
    <xf numFmtId="0" fontId="6" fillId="0" borderId="2" xfId="20" applyFont="1" applyBorder="1" applyAlignment="1" applyProtection="1">
      <alignment horizontal="center" vertical="center" wrapText="1"/>
      <protection locked="0"/>
    </xf>
    <xf numFmtId="0" fontId="4" fillId="0" borderId="2" xfId="20" applyFont="1" applyBorder="1" applyAlignment="1" applyProtection="1">
      <alignment horizontal="center" vertical="center" wrapText="1"/>
      <protection locked="0"/>
    </xf>
    <xf numFmtId="0" fontId="4" fillId="0" borderId="3" xfId="20" applyFont="1" applyBorder="1" applyAlignment="1" applyProtection="1">
      <alignment horizontal="center" vertical="center" wrapText="1"/>
      <protection locked="0"/>
    </xf>
    <xf numFmtId="0" fontId="4" fillId="0" borderId="4" xfId="20" applyFont="1" applyBorder="1" applyAlignment="1" applyProtection="1">
      <alignment horizontal="center" vertical="center" wrapText="1"/>
      <protection locked="0"/>
    </xf>
    <xf numFmtId="0" fontId="4" fillId="0" borderId="7" xfId="20" applyFont="1" applyBorder="1" applyAlignment="1" applyProtection="1">
      <alignment horizontal="center" vertical="center" wrapText="1"/>
      <protection locked="0"/>
    </xf>
    <xf numFmtId="0" fontId="4" fillId="0" borderId="4" xfId="20" applyFont="1" applyBorder="1" applyAlignment="1" applyProtection="1">
      <alignment horizontal="center" vertical="center"/>
      <protection locked="0"/>
    </xf>
    <xf numFmtId="0" fontId="4" fillId="0" borderId="7" xfId="20" applyFont="1" applyBorder="1" applyAlignment="1" applyProtection="1">
      <alignment horizontal="center" vertical="center"/>
      <protection locked="0"/>
    </xf>
    <xf numFmtId="0" fontId="4" fillId="0" borderId="3" xfId="20" applyFont="1" applyBorder="1" applyAlignment="1" applyProtection="1">
      <alignment horizontal="center" vertical="center"/>
      <protection locked="0"/>
    </xf>
    <xf numFmtId="0" fontId="3" fillId="5" borderId="2" xfId="20" applyFont="1" applyFill="1" applyBorder="1" applyAlignment="1" applyProtection="1">
      <alignment horizontal="center" vertical="center" wrapText="1"/>
      <protection locked="0"/>
    </xf>
    <xf numFmtId="0" fontId="2" fillId="5" borderId="2" xfId="20" applyFill="1" applyBorder="1"/>
    <xf numFmtId="17" fontId="3" fillId="11" borderId="7" xfId="20" applyNumberFormat="1" applyFont="1" applyFill="1" applyBorder="1" applyAlignment="1">
      <alignment horizontal="center" vertical="center" wrapText="1"/>
    </xf>
    <xf numFmtId="0" fontId="3" fillId="11" borderId="2" xfId="20" applyFont="1" applyFill="1" applyBorder="1" applyAlignment="1">
      <alignment horizontal="center" vertical="center" wrapText="1"/>
    </xf>
    <xf numFmtId="17" fontId="3" fillId="20" borderId="2" xfId="20" applyNumberFormat="1" applyFont="1" applyFill="1" applyBorder="1" applyAlignment="1">
      <alignment horizontal="center" vertical="center" wrapText="1"/>
    </xf>
    <xf numFmtId="0" fontId="3" fillId="20" borderId="2" xfId="20" applyFont="1" applyFill="1" applyBorder="1" applyAlignment="1">
      <alignment horizontal="center" vertical="center" wrapText="1"/>
    </xf>
    <xf numFmtId="17" fontId="3" fillId="27" borderId="2" xfId="20" applyNumberFormat="1" applyFont="1" applyFill="1" applyBorder="1" applyAlignment="1">
      <alignment horizontal="center" vertical="center" wrapText="1"/>
    </xf>
    <xf numFmtId="0" fontId="3" fillId="27" borderId="2" xfId="20" applyFont="1" applyFill="1" applyBorder="1" applyAlignment="1">
      <alignment horizontal="center" vertical="center" wrapText="1"/>
    </xf>
    <xf numFmtId="17" fontId="3" fillId="32" borderId="2" xfId="20" applyNumberFormat="1" applyFont="1" applyFill="1" applyBorder="1" applyAlignment="1">
      <alignment horizontal="center" vertical="center" wrapText="1"/>
    </xf>
    <xf numFmtId="0" fontId="3" fillId="32" borderId="2" xfId="20" applyFont="1" applyFill="1" applyBorder="1" applyAlignment="1">
      <alignment horizontal="center" vertical="center" wrapText="1"/>
    </xf>
    <xf numFmtId="17" fontId="3" fillId="11" borderId="2" xfId="20" applyNumberFormat="1" applyFont="1" applyFill="1" applyBorder="1" applyAlignment="1">
      <alignment horizontal="center" vertical="center" wrapText="1"/>
    </xf>
    <xf numFmtId="17" fontId="3" fillId="30" borderId="2" xfId="20" applyNumberFormat="1" applyFont="1" applyFill="1" applyBorder="1" applyAlignment="1">
      <alignment horizontal="center" vertical="center" wrapText="1"/>
    </xf>
    <xf numFmtId="0" fontId="3" fillId="30" borderId="2" xfId="20" applyFont="1" applyFill="1" applyBorder="1" applyAlignment="1">
      <alignment horizontal="center" vertical="center" wrapText="1"/>
    </xf>
    <xf numFmtId="17" fontId="3" fillId="33" borderId="2" xfId="20" applyNumberFormat="1" applyFont="1" applyFill="1" applyBorder="1" applyAlignment="1">
      <alignment horizontal="center" vertical="center" wrapText="1"/>
    </xf>
    <xf numFmtId="0" fontId="3" fillId="33" borderId="2" xfId="20" applyFont="1" applyFill="1" applyBorder="1" applyAlignment="1">
      <alignment horizontal="center" vertical="center" wrapText="1"/>
    </xf>
    <xf numFmtId="17" fontId="3" fillId="16" borderId="2" xfId="20" applyNumberFormat="1" applyFont="1" applyFill="1" applyBorder="1" applyAlignment="1">
      <alignment horizontal="center" vertical="center" wrapText="1"/>
    </xf>
    <xf numFmtId="0" fontId="3" fillId="16" borderId="2" xfId="20" applyFont="1" applyFill="1" applyBorder="1" applyAlignment="1">
      <alignment horizontal="center" vertical="center" wrapText="1"/>
    </xf>
    <xf numFmtId="17" fontId="3" fillId="31" borderId="2" xfId="20" applyNumberFormat="1" applyFont="1" applyFill="1" applyBorder="1" applyAlignment="1">
      <alignment horizontal="center" vertical="center" wrapText="1"/>
    </xf>
    <xf numFmtId="0" fontId="3" fillId="31" borderId="2" xfId="20" applyFont="1" applyFill="1" applyBorder="1" applyAlignment="1">
      <alignment horizontal="center" vertical="center" wrapText="1"/>
    </xf>
    <xf numFmtId="0" fontId="8" fillId="0" borderId="9" xfId="20" applyNumberFormat="1" applyFont="1" applyFill="1" applyBorder="1" applyAlignment="1" applyProtection="1">
      <alignment horizontal="center" vertical="center" wrapText="1"/>
      <protection locked="0"/>
    </xf>
    <xf numFmtId="0" fontId="8" fillId="0" borderId="6" xfId="20" applyNumberFormat="1" applyFont="1" applyFill="1" applyBorder="1" applyAlignment="1" applyProtection="1">
      <alignment horizontal="center" vertical="center" wrapText="1"/>
      <protection locked="0"/>
    </xf>
    <xf numFmtId="0" fontId="3" fillId="0" borderId="9" xfId="20" applyFont="1" applyFill="1" applyBorder="1" applyAlignment="1" applyProtection="1">
      <alignment horizontal="center" vertical="center" wrapText="1"/>
      <protection locked="0"/>
    </xf>
    <xf numFmtId="0" fontId="3" fillId="0" borderId="6" xfId="20" applyFont="1" applyFill="1" applyBorder="1" applyAlignment="1" applyProtection="1">
      <alignment horizontal="center" vertical="center" wrapText="1"/>
      <protection locked="0"/>
    </xf>
    <xf numFmtId="0" fontId="8" fillId="0" borderId="9" xfId="20" applyFont="1" applyFill="1" applyBorder="1" applyAlignment="1" applyProtection="1">
      <alignment horizontal="center" vertical="center" wrapText="1"/>
      <protection locked="0"/>
    </xf>
    <xf numFmtId="0" fontId="8" fillId="0" borderId="6" xfId="20" applyFont="1" applyFill="1" applyBorder="1" applyAlignment="1" applyProtection="1">
      <alignment horizontal="center" vertical="center" wrapText="1"/>
      <protection locked="0"/>
    </xf>
    <xf numFmtId="0" fontId="16" fillId="0" borderId="9" xfId="20" applyFont="1" applyFill="1" applyBorder="1" applyAlignment="1" applyProtection="1">
      <alignment horizontal="center" vertical="center" textRotation="255" wrapText="1"/>
      <protection locked="0"/>
    </xf>
    <xf numFmtId="0" fontId="16" fillId="0" borderId="6" xfId="20" applyFont="1" applyFill="1" applyBorder="1" applyAlignment="1" applyProtection="1">
      <alignment horizontal="center" vertical="center" textRotation="255" wrapText="1"/>
      <protection locked="0"/>
    </xf>
    <xf numFmtId="9" fontId="8" fillId="0" borderId="9" xfId="38" applyNumberFormat="1" applyFont="1" applyFill="1" applyBorder="1" applyAlignment="1" applyProtection="1">
      <alignment horizontal="center" vertical="center" wrapText="1"/>
      <protection locked="0"/>
    </xf>
    <xf numFmtId="9" fontId="8" fillId="0" borderId="6" xfId="38" applyNumberFormat="1" applyFont="1" applyFill="1" applyBorder="1" applyAlignment="1" applyProtection="1">
      <alignment horizontal="center" vertical="center" wrapText="1"/>
      <protection locked="0"/>
    </xf>
    <xf numFmtId="9" fontId="8" fillId="0" borderId="9" xfId="38" applyFont="1" applyFill="1" applyBorder="1" applyAlignment="1" applyProtection="1">
      <alignment horizontal="center" vertical="center" wrapText="1"/>
      <protection locked="0"/>
    </xf>
    <xf numFmtId="9" fontId="8" fillId="0" borderId="6" xfId="38" applyFont="1" applyFill="1" applyBorder="1" applyAlignment="1" applyProtection="1">
      <alignment horizontal="center" vertical="center" wrapText="1"/>
      <protection locked="0"/>
    </xf>
    <xf numFmtId="167" fontId="6" fillId="0" borderId="9" xfId="20" applyNumberFormat="1" applyFont="1" applyBorder="1" applyAlignment="1">
      <alignment horizontal="center" vertical="center" wrapText="1"/>
    </xf>
    <xf numFmtId="167" fontId="6" fillId="0" borderId="6" xfId="20" applyNumberFormat="1" applyFont="1" applyBorder="1" applyAlignment="1">
      <alignment horizontal="center" vertical="center" wrapText="1"/>
    </xf>
    <xf numFmtId="0" fontId="16" fillId="0" borderId="9" xfId="20" applyFont="1" applyBorder="1" applyAlignment="1">
      <alignment horizontal="center" vertical="center" wrapText="1"/>
    </xf>
    <xf numFmtId="0" fontId="16" fillId="0" borderId="6" xfId="20" applyFont="1" applyBorder="1" applyAlignment="1">
      <alignment horizontal="center" vertical="center" wrapText="1"/>
    </xf>
    <xf numFmtId="9" fontId="6" fillId="4" borderId="9" xfId="38" applyFont="1" applyFill="1" applyBorder="1" applyAlignment="1">
      <alignment horizontal="center" vertical="center" wrapText="1"/>
    </xf>
    <xf numFmtId="9" fontId="6" fillId="4" borderId="6" xfId="38" applyFont="1" applyFill="1" applyBorder="1" applyAlignment="1">
      <alignment horizontal="center" vertical="center" wrapText="1"/>
    </xf>
    <xf numFmtId="0" fontId="3" fillId="0" borderId="9" xfId="20" applyFont="1" applyBorder="1" applyAlignment="1">
      <alignment horizontal="center" vertical="center" wrapText="1"/>
    </xf>
    <xf numFmtId="0" fontId="3" fillId="0" borderId="6" xfId="20" applyFont="1" applyBorder="1" applyAlignment="1">
      <alignment horizontal="center" vertical="center" wrapText="1"/>
    </xf>
    <xf numFmtId="9" fontId="6" fillId="0" borderId="9" xfId="38" applyFont="1" applyFill="1" applyBorder="1" applyAlignment="1">
      <alignment horizontal="center" vertical="center" wrapText="1"/>
    </xf>
    <xf numFmtId="9" fontId="6" fillId="0" borderId="6" xfId="38" applyFont="1" applyFill="1" applyBorder="1" applyAlignment="1">
      <alignment horizontal="center" vertical="center" wrapText="1"/>
    </xf>
    <xf numFmtId="0" fontId="6" fillId="0" borderId="9" xfId="20" applyFont="1" applyBorder="1" applyAlignment="1">
      <alignment horizontal="left" vertical="center" wrapText="1"/>
    </xf>
    <xf numFmtId="0" fontId="6" fillId="0" borderId="6" xfId="20" applyFont="1" applyBorder="1" applyAlignment="1">
      <alignment horizontal="left" vertical="center" wrapText="1"/>
    </xf>
    <xf numFmtId="0" fontId="16" fillId="0" borderId="9" xfId="20" applyFont="1" applyBorder="1" applyAlignment="1">
      <alignment horizontal="left" vertical="center" wrapText="1"/>
    </xf>
    <xf numFmtId="0" fontId="16" fillId="0" borderId="6" xfId="20" applyFont="1" applyBorder="1" applyAlignment="1">
      <alignment horizontal="left" vertical="center" wrapText="1"/>
    </xf>
    <xf numFmtId="9" fontId="16" fillId="0" borderId="9" xfId="20" applyNumberFormat="1" applyFont="1" applyBorder="1" applyAlignment="1">
      <alignment horizontal="center" vertical="center" wrapText="1"/>
    </xf>
    <xf numFmtId="0" fontId="6" fillId="0" borderId="9" xfId="20" applyFont="1" applyBorder="1" applyAlignment="1">
      <alignment horizontal="center" vertical="center" wrapText="1"/>
    </xf>
    <xf numFmtId="0" fontId="6" fillId="0" borderId="6" xfId="20" applyFont="1" applyBorder="1" applyAlignment="1">
      <alignment horizontal="center" vertical="center" wrapText="1"/>
    </xf>
    <xf numFmtId="0" fontId="2" fillId="0" borderId="9" xfId="20" applyFont="1" applyBorder="1" applyAlignment="1">
      <alignment horizontal="center" vertical="center" wrapText="1"/>
    </xf>
    <xf numFmtId="0" fontId="2" fillId="0" borderId="6" xfId="20" applyFont="1" applyBorder="1" applyAlignment="1">
      <alignment horizontal="center" vertical="center" wrapText="1"/>
    </xf>
    <xf numFmtId="0" fontId="2" fillId="0" borderId="9" xfId="20" applyFont="1" applyBorder="1" applyAlignment="1">
      <alignment horizontal="left" vertical="center" wrapText="1"/>
    </xf>
    <xf numFmtId="0" fontId="2" fillId="0" borderId="6" xfId="20" applyFont="1" applyBorder="1" applyAlignment="1">
      <alignment horizontal="left" vertical="center" wrapText="1"/>
    </xf>
    <xf numFmtId="0" fontId="2" fillId="0" borderId="0" xfId="20" applyFont="1" applyBorder="1" applyAlignment="1" applyProtection="1">
      <alignment horizontal="left" vertical="center" wrapText="1"/>
      <protection locked="0"/>
    </xf>
    <xf numFmtId="0" fontId="20" fillId="0" borderId="18" xfId="20" applyFont="1" applyBorder="1" applyAlignment="1" applyProtection="1">
      <alignment horizontal="center" vertical="center" wrapText="1"/>
      <protection locked="0"/>
    </xf>
    <xf numFmtId="0" fontId="4" fillId="0" borderId="17" xfId="20" applyFont="1" applyBorder="1" applyAlignment="1" applyProtection="1">
      <alignment horizontal="center" vertical="center" wrapText="1"/>
      <protection locked="0"/>
    </xf>
    <xf numFmtId="0" fontId="2" fillId="0" borderId="0" xfId="20" applyFont="1" applyBorder="1" applyAlignment="1" applyProtection="1">
      <alignment horizontal="center" vertical="top" wrapText="1"/>
      <protection locked="0"/>
    </xf>
    <xf numFmtId="0" fontId="3" fillId="0" borderId="9" xfId="20" applyFont="1" applyBorder="1" applyAlignment="1">
      <alignment horizontal="left" vertical="center" wrapText="1"/>
    </xf>
    <xf numFmtId="0" fontId="3" fillId="0" borderId="6" xfId="20" applyFont="1" applyBorder="1" applyAlignment="1">
      <alignment horizontal="left" vertical="center" wrapText="1"/>
    </xf>
    <xf numFmtId="0" fontId="13" fillId="0" borderId="3" xfId="0" applyFont="1" applyBorder="1" applyAlignment="1" applyProtection="1">
      <alignment horizontal="center" wrapText="1"/>
      <protection locked="0"/>
    </xf>
    <xf numFmtId="0" fontId="13" fillId="0" borderId="7" xfId="0" applyFont="1" applyBorder="1" applyAlignment="1" applyProtection="1">
      <alignment horizontal="center" wrapText="1"/>
      <protection locked="0"/>
    </xf>
    <xf numFmtId="0" fontId="14" fillId="0" borderId="10" xfId="0" applyFont="1" applyBorder="1" applyAlignment="1" applyProtection="1">
      <alignment horizontal="center" vertical="top" wrapText="1"/>
      <protection locked="0"/>
    </xf>
    <xf numFmtId="0" fontId="14" fillId="0" borderId="17" xfId="0" applyFont="1" applyBorder="1" applyAlignment="1" applyProtection="1">
      <alignment horizontal="center" vertical="top" wrapText="1"/>
      <protection locked="0"/>
    </xf>
    <xf numFmtId="0" fontId="14" fillId="0" borderId="8" xfId="0" applyFont="1" applyBorder="1" applyAlignment="1" applyProtection="1">
      <alignment horizontal="center" vertical="top" wrapText="1"/>
      <protection locked="0"/>
    </xf>
    <xf numFmtId="0" fontId="14" fillId="0" borderId="21" xfId="0" applyFont="1" applyBorder="1" applyAlignment="1" applyProtection="1">
      <alignment horizontal="center" vertical="top" wrapText="1"/>
      <protection locked="0"/>
    </xf>
    <xf numFmtId="0" fontId="14" fillId="0" borderId="18" xfId="0" applyFont="1" applyBorder="1" applyAlignment="1" applyProtection="1">
      <alignment horizontal="center" vertical="top" wrapText="1"/>
      <protection locked="0"/>
    </xf>
    <xf numFmtId="0" fontId="14" fillId="0" borderId="19" xfId="0" applyFont="1" applyBorder="1" applyAlignment="1" applyProtection="1">
      <alignment horizontal="center" vertical="top" wrapText="1"/>
      <protection locked="0"/>
    </xf>
    <xf numFmtId="0" fontId="6" fillId="0" borderId="3"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6" fillId="0" borderId="7" xfId="0" applyFont="1" applyBorder="1" applyAlignment="1" applyProtection="1">
      <alignment horizontal="left"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43" borderId="7" xfId="0" applyFont="1" applyFill="1" applyBorder="1" applyAlignment="1" applyProtection="1">
      <alignment horizontal="center" vertical="center" wrapText="1"/>
      <protection locked="0"/>
    </xf>
    <xf numFmtId="0" fontId="59" fillId="43" borderId="2" xfId="0" applyFont="1" applyFill="1" applyBorder="1" applyAlignment="1" applyProtection="1">
      <alignment horizontal="center" vertical="center" wrapText="1"/>
      <protection locked="0"/>
    </xf>
    <xf numFmtId="0" fontId="125" fillId="43" borderId="2" xfId="0" applyFont="1" applyFill="1" applyBorder="1"/>
    <xf numFmtId="0" fontId="23" fillId="43" borderId="2" xfId="0" applyFont="1" applyFill="1" applyBorder="1" applyAlignment="1" applyProtection="1">
      <alignment horizontal="center" vertical="center" wrapText="1"/>
      <protection locked="0"/>
    </xf>
    <xf numFmtId="0" fontId="16" fillId="43" borderId="2" xfId="0" applyFont="1" applyFill="1" applyBorder="1" applyAlignment="1" applyProtection="1">
      <alignment horizontal="center" vertical="center" wrapText="1"/>
      <protection locked="0"/>
    </xf>
    <xf numFmtId="17" fontId="3" fillId="43" borderId="7" xfId="0" applyNumberFormat="1" applyFont="1" applyFill="1" applyBorder="1" applyAlignment="1">
      <alignment horizontal="center" vertical="center" wrapText="1"/>
    </xf>
    <xf numFmtId="0" fontId="3" fillId="43" borderId="2" xfId="0" applyFont="1" applyFill="1" applyBorder="1" applyAlignment="1">
      <alignment horizontal="center" vertical="center" wrapText="1"/>
    </xf>
    <xf numFmtId="17" fontId="3" fillId="43" borderId="2" xfId="0" applyNumberFormat="1" applyFont="1" applyFill="1" applyBorder="1" applyAlignment="1">
      <alignment horizontal="center" vertical="center" wrapText="1"/>
    </xf>
    <xf numFmtId="17" fontId="17" fillId="43" borderId="3" xfId="0" applyNumberFormat="1" applyFont="1" applyFill="1" applyBorder="1" applyAlignment="1">
      <alignment horizontal="center" vertical="center" wrapText="1"/>
    </xf>
    <xf numFmtId="17" fontId="17" fillId="43" borderId="4" xfId="0" applyNumberFormat="1" applyFont="1" applyFill="1" applyBorder="1" applyAlignment="1">
      <alignment horizontal="center" vertical="center" wrapText="1"/>
    </xf>
    <xf numFmtId="17" fontId="17" fillId="43" borderId="7" xfId="0" applyNumberFormat="1" applyFont="1" applyFill="1" applyBorder="1" applyAlignment="1">
      <alignment horizontal="center" vertical="center" wrapText="1"/>
    </xf>
    <xf numFmtId="17" fontId="3" fillId="43" borderId="3" xfId="0" applyNumberFormat="1" applyFont="1" applyFill="1" applyBorder="1" applyAlignment="1">
      <alignment horizontal="center" vertical="center" wrapText="1"/>
    </xf>
    <xf numFmtId="17" fontId="3" fillId="43" borderId="4" xfId="0" applyNumberFormat="1" applyFont="1" applyFill="1" applyBorder="1" applyAlignment="1">
      <alignment horizontal="center" vertical="center" wrapText="1"/>
    </xf>
    <xf numFmtId="0" fontId="17" fillId="0" borderId="2"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wrapText="1"/>
      <protection locked="0"/>
    </xf>
    <xf numFmtId="0" fontId="125" fillId="0" borderId="2" xfId="0" applyFont="1" applyFill="1" applyBorder="1"/>
    <xf numFmtId="0" fontId="23" fillId="0" borderId="2" xfId="0" applyFont="1" applyFill="1" applyBorder="1" applyAlignment="1" applyProtection="1">
      <alignment horizontal="center" vertical="center" wrapText="1"/>
      <protection locked="0"/>
    </xf>
    <xf numFmtId="17" fontId="17" fillId="17" borderId="3" xfId="0" applyNumberFormat="1" applyFont="1" applyFill="1" applyBorder="1" applyAlignment="1">
      <alignment horizontal="center" vertical="center" wrapText="1"/>
    </xf>
    <xf numFmtId="17" fontId="17" fillId="17" borderId="4" xfId="0" applyNumberFormat="1" applyFont="1" applyFill="1" applyBorder="1" applyAlignment="1">
      <alignment horizontal="center" vertical="center" wrapText="1"/>
    </xf>
    <xf numFmtId="17" fontId="17" fillId="17" borderId="7" xfId="0" applyNumberFormat="1" applyFont="1" applyFill="1" applyBorder="1" applyAlignment="1">
      <alignment horizontal="center" vertical="center" wrapText="1"/>
    </xf>
    <xf numFmtId="17" fontId="3" fillId="17" borderId="3" xfId="0" applyNumberFormat="1" applyFont="1" applyFill="1" applyBorder="1" applyAlignment="1">
      <alignment horizontal="center" vertical="center" wrapText="1"/>
    </xf>
    <xf numFmtId="17" fontId="3" fillId="17" borderId="4" xfId="0" applyNumberFormat="1" applyFont="1" applyFill="1" applyBorder="1" applyAlignment="1">
      <alignment horizontal="center" vertical="center" wrapText="1"/>
    </xf>
    <xf numFmtId="17" fontId="3" fillId="17" borderId="7" xfId="0" applyNumberFormat="1" applyFont="1" applyFill="1" applyBorder="1" applyAlignment="1">
      <alignment horizontal="center" vertical="center" wrapText="1"/>
    </xf>
    <xf numFmtId="0" fontId="16" fillId="0" borderId="2" xfId="0" applyFont="1" applyFill="1" applyBorder="1" applyAlignment="1" applyProtection="1">
      <alignment horizontal="center" vertical="center" wrapText="1"/>
      <protection locked="0"/>
    </xf>
    <xf numFmtId="0" fontId="3" fillId="17" borderId="2" xfId="0" applyFont="1" applyFill="1" applyBorder="1" applyAlignment="1">
      <alignment horizontal="center" vertical="center" wrapText="1"/>
    </xf>
    <xf numFmtId="17" fontId="3" fillId="17" borderId="2" xfId="0" applyNumberFormat="1" applyFont="1" applyFill="1" applyBorder="1" applyAlignment="1">
      <alignment horizontal="center" vertical="center" wrapText="1"/>
    </xf>
    <xf numFmtId="0" fontId="2" fillId="0" borderId="17" xfId="0" applyFont="1" applyFill="1" applyBorder="1" applyAlignment="1" applyProtection="1">
      <alignment horizontal="left" vertical="center" wrapText="1"/>
      <protection locked="0"/>
    </xf>
    <xf numFmtId="0" fontId="3" fillId="0" borderId="4" xfId="0" applyFont="1" applyBorder="1" applyAlignment="1" applyProtection="1">
      <alignment horizontal="center" wrapText="1"/>
      <protection locked="0"/>
    </xf>
    <xf numFmtId="0" fontId="30" fillId="0" borderId="7" xfId="0" applyFont="1" applyBorder="1" applyAlignment="1">
      <alignment horizontal="left" vertical="top" wrapText="1"/>
    </xf>
    <xf numFmtId="0" fontId="30" fillId="0" borderId="2" xfId="0" applyFont="1" applyBorder="1" applyAlignment="1">
      <alignment horizontal="left" vertical="top" wrapText="1"/>
    </xf>
    <xf numFmtId="0" fontId="6" fillId="0" borderId="2" xfId="0" applyFont="1" applyBorder="1" applyAlignment="1" applyProtection="1">
      <alignment horizontal="center" vertical="top" wrapText="1"/>
      <protection locked="0"/>
    </xf>
    <xf numFmtId="0" fontId="6" fillId="0" borderId="3"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6" fillId="5" borderId="2" xfId="0" applyFont="1" applyFill="1" applyBorder="1"/>
    <xf numFmtId="0" fontId="3" fillId="0" borderId="10"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locked="0"/>
    </xf>
    <xf numFmtId="17" fontId="3" fillId="32" borderId="7" xfId="0" applyNumberFormat="1" applyFont="1" applyFill="1" applyBorder="1" applyAlignment="1">
      <alignment horizontal="center" vertical="center" wrapText="1"/>
    </xf>
    <xf numFmtId="0" fontId="6" fillId="0" borderId="2"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0" xfId="0" applyFont="1" applyAlignment="1" applyProtection="1">
      <alignment horizontal="center" vertical="center" wrapText="1"/>
      <protection locked="0"/>
    </xf>
    <xf numFmtId="0" fontId="13" fillId="0" borderId="0" xfId="0" applyFont="1" applyAlignment="1" applyProtection="1">
      <alignment horizontal="left" vertical="center" wrapText="1"/>
      <protection locked="0"/>
    </xf>
    <xf numFmtId="0" fontId="2" fillId="0" borderId="0" xfId="0" applyFont="1" applyAlignment="1" applyProtection="1">
      <alignment horizontal="center" vertical="center" wrapText="1"/>
      <protection locked="0"/>
    </xf>
    <xf numFmtId="0" fontId="13" fillId="6" borderId="2" xfId="0" applyFont="1" applyFill="1" applyBorder="1" applyAlignment="1" applyProtection="1">
      <alignment horizontal="center" wrapText="1"/>
      <protection locked="0"/>
    </xf>
    <xf numFmtId="0" fontId="14" fillId="6" borderId="2" xfId="0" applyFont="1" applyFill="1" applyBorder="1" applyAlignment="1" applyProtection="1">
      <alignment horizontal="center" vertical="top" wrapText="1"/>
      <protection locked="0"/>
    </xf>
    <xf numFmtId="0" fontId="14" fillId="6" borderId="2" xfId="0" applyFont="1" applyFill="1" applyBorder="1" applyAlignment="1" applyProtection="1">
      <alignment horizontal="center" vertical="center" wrapText="1"/>
      <protection locked="0"/>
    </xf>
    <xf numFmtId="0" fontId="6" fillId="6" borderId="2" xfId="0" applyFont="1" applyFill="1" applyBorder="1" applyAlignment="1" applyProtection="1">
      <alignment horizontal="center" vertical="center" wrapText="1"/>
      <protection locked="0"/>
    </xf>
    <xf numFmtId="0" fontId="4" fillId="6" borderId="2" xfId="0" applyFont="1" applyFill="1" applyBorder="1" applyAlignment="1" applyProtection="1">
      <alignment horizontal="center" vertical="center" wrapText="1"/>
      <protection locked="0"/>
    </xf>
    <xf numFmtId="0" fontId="4" fillId="6" borderId="17" xfId="0" applyFont="1" applyFill="1" applyBorder="1" applyAlignment="1" applyProtection="1">
      <alignment horizontal="center" vertical="center"/>
      <protection locked="0"/>
    </xf>
    <xf numFmtId="0" fontId="4" fillId="6" borderId="8" xfId="0" applyFont="1" applyFill="1" applyBorder="1" applyAlignment="1" applyProtection="1">
      <alignment horizontal="center" vertical="center"/>
      <protection locked="0"/>
    </xf>
    <xf numFmtId="0" fontId="4" fillId="6" borderId="10" xfId="0" applyFont="1" applyFill="1" applyBorder="1" applyAlignment="1" applyProtection="1">
      <alignment horizontal="center" vertical="center"/>
      <protection locked="0"/>
    </xf>
    <xf numFmtId="0" fontId="4" fillId="6" borderId="9" xfId="0" applyFont="1" applyFill="1" applyBorder="1" applyAlignment="1" applyProtection="1">
      <alignment horizontal="center" vertical="center"/>
      <protection locked="0"/>
    </xf>
    <xf numFmtId="0" fontId="3" fillId="6" borderId="2" xfId="0" applyFont="1" applyFill="1" applyBorder="1" applyAlignment="1" applyProtection="1">
      <alignment horizontal="center" vertical="center" wrapText="1"/>
      <protection locked="0"/>
    </xf>
    <xf numFmtId="17" fontId="3" fillId="6" borderId="2"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7" fontId="3" fillId="6" borderId="7" xfId="0" applyNumberFormat="1" applyFont="1" applyFill="1" applyBorder="1" applyAlignment="1">
      <alignment horizontal="center" vertical="center" wrapText="1"/>
    </xf>
    <xf numFmtId="0" fontId="4" fillId="0" borderId="22" xfId="0" applyFont="1" applyBorder="1" applyAlignment="1" applyProtection="1">
      <alignment horizontal="center" vertical="center" wrapText="1"/>
      <protection locked="0"/>
    </xf>
    <xf numFmtId="0" fontId="0" fillId="0" borderId="21"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3" fillId="6" borderId="3" xfId="0" applyFont="1" applyFill="1" applyBorder="1" applyAlignment="1">
      <alignment horizontal="center" vertical="center" wrapText="1"/>
    </xf>
    <xf numFmtId="0" fontId="2" fillId="6" borderId="0" xfId="0" applyFont="1" applyFill="1" applyBorder="1" applyAlignment="1" applyProtection="1">
      <alignment horizontal="left" vertical="center" wrapText="1"/>
      <protection locked="0"/>
    </xf>
    <xf numFmtId="0" fontId="20" fillId="6" borderId="0" xfId="0"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0" fillId="6" borderId="0" xfId="0"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wrapText="1"/>
      <protection locked="0"/>
    </xf>
    <xf numFmtId="0" fontId="65" fillId="0" borderId="7" xfId="0" applyFont="1" applyFill="1" applyBorder="1" applyAlignment="1">
      <alignment horizontal="left" vertical="top" wrapText="1"/>
    </xf>
    <xf numFmtId="0" fontId="65" fillId="0" borderId="2" xfId="0" applyFont="1" applyFill="1" applyBorder="1" applyAlignment="1">
      <alignment horizontal="left" vertical="top" wrapText="1"/>
    </xf>
    <xf numFmtId="0" fontId="64" fillId="0" borderId="2" xfId="0" applyFont="1" applyFill="1" applyBorder="1" applyAlignment="1" applyProtection="1">
      <alignment horizontal="center" vertical="top" wrapText="1"/>
      <protection locked="0"/>
    </xf>
    <xf numFmtId="0" fontId="64" fillId="0" borderId="3" xfId="0" applyFont="1" applyFill="1" applyBorder="1" applyAlignment="1" applyProtection="1">
      <alignment horizontal="center" vertical="center" wrapText="1"/>
      <protection locked="0"/>
    </xf>
    <xf numFmtId="0" fontId="64" fillId="0" borderId="7"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2" xfId="0" applyFont="1" applyFill="1" applyBorder="1" applyAlignment="1" applyProtection="1">
      <alignment horizontal="center" vertical="center" wrapText="1"/>
      <protection locked="0"/>
    </xf>
    <xf numFmtId="0" fontId="63" fillId="0" borderId="3" xfId="0" applyFont="1" applyFill="1" applyBorder="1" applyAlignment="1" applyProtection="1">
      <alignment horizontal="center" vertical="center" wrapText="1"/>
      <protection locked="0"/>
    </xf>
    <xf numFmtId="0" fontId="63" fillId="0" borderId="4" xfId="0"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wrapText="1"/>
      <protection locked="0"/>
    </xf>
    <xf numFmtId="0" fontId="63" fillId="43" borderId="2" xfId="0" applyFont="1" applyFill="1" applyBorder="1" applyAlignment="1" applyProtection="1">
      <alignment horizontal="center" vertical="center" wrapText="1"/>
      <protection locked="0"/>
    </xf>
    <xf numFmtId="0" fontId="63" fillId="43" borderId="7" xfId="0" applyFont="1" applyFill="1" applyBorder="1" applyAlignment="1" applyProtection="1">
      <alignment horizontal="center" vertical="center" wrapText="1"/>
      <protection locked="0"/>
    </xf>
    <xf numFmtId="17" fontId="63" fillId="0" borderId="7" xfId="0" applyNumberFormat="1" applyFont="1" applyFill="1" applyBorder="1" applyAlignment="1">
      <alignment horizontal="center" vertical="center" wrapText="1"/>
    </xf>
    <xf numFmtId="0" fontId="63" fillId="0" borderId="2" xfId="0" applyFont="1" applyFill="1" applyBorder="1" applyAlignment="1">
      <alignment horizontal="center" vertical="center" wrapText="1"/>
    </xf>
    <xf numFmtId="0" fontId="63" fillId="0" borderId="3" xfId="0" applyFont="1" applyFill="1" applyBorder="1" applyAlignment="1">
      <alignment horizontal="center" vertical="center" wrapText="1"/>
    </xf>
    <xf numFmtId="17" fontId="63" fillId="0" borderId="2" xfId="0" applyNumberFormat="1" applyFont="1" applyFill="1" applyBorder="1" applyAlignment="1">
      <alignment horizontal="center" vertical="center" wrapText="1"/>
    </xf>
    <xf numFmtId="0" fontId="64" fillId="0" borderId="0" xfId="0"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64" fillId="43" borderId="2" xfId="0" applyFont="1" applyFill="1" applyBorder="1"/>
    <xf numFmtId="0" fontId="4" fillId="0" borderId="35" xfId="0" applyFont="1" applyBorder="1" applyAlignment="1" applyProtection="1">
      <alignment horizontal="center" vertical="center"/>
      <protection locked="0"/>
    </xf>
    <xf numFmtId="0" fontId="4" fillId="0" borderId="36" xfId="0" applyFont="1" applyBorder="1" applyAlignment="1" applyProtection="1">
      <alignment horizontal="center" vertical="center"/>
      <protection locked="0"/>
    </xf>
    <xf numFmtId="0" fontId="4" fillId="0" borderId="37" xfId="0" applyFont="1" applyBorder="1" applyAlignment="1" applyProtection="1">
      <alignment horizontal="center" vertical="center"/>
      <protection locked="0"/>
    </xf>
    <xf numFmtId="0" fontId="4" fillId="0" borderId="38"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3" xfId="30" applyFont="1" applyBorder="1" applyAlignment="1" applyProtection="1">
      <alignment horizontal="center" vertical="center"/>
      <protection locked="0"/>
    </xf>
    <xf numFmtId="0" fontId="4" fillId="0" borderId="4" xfId="30" applyFont="1" applyBorder="1" applyAlignment="1" applyProtection="1">
      <alignment horizontal="center" vertical="center"/>
      <protection locked="0"/>
    </xf>
    <xf numFmtId="0" fontId="3" fillId="5" borderId="9" xfId="0" applyFont="1" applyFill="1" applyBorder="1" applyAlignment="1" applyProtection="1">
      <alignment horizontal="center" vertical="center" textRotation="90" wrapText="1"/>
      <protection locked="0"/>
    </xf>
    <xf numFmtId="0" fontId="3" fillId="5" borderId="6" xfId="0" applyFont="1" applyFill="1" applyBorder="1" applyAlignment="1" applyProtection="1">
      <alignment horizontal="center" vertical="center" textRotation="90" wrapText="1"/>
      <protection locked="0"/>
    </xf>
    <xf numFmtId="17" fontId="3" fillId="32" borderId="3" xfId="0" applyNumberFormat="1" applyFont="1" applyFill="1" applyBorder="1" applyAlignment="1">
      <alignment horizontal="center" vertical="center" wrapText="1"/>
    </xf>
    <xf numFmtId="17" fontId="3" fillId="32" borderId="4" xfId="0" applyNumberFormat="1" applyFont="1" applyFill="1" applyBorder="1" applyAlignment="1">
      <alignment horizontal="center" vertical="center" wrapText="1"/>
    </xf>
    <xf numFmtId="17" fontId="3" fillId="11" borderId="13" xfId="0" applyNumberFormat="1" applyFont="1" applyFill="1" applyBorder="1" applyAlignment="1">
      <alignment horizontal="center" vertical="center" wrapText="1"/>
    </xf>
    <xf numFmtId="17" fontId="3" fillId="11" borderId="4" xfId="0" applyNumberFormat="1" applyFont="1" applyFill="1" applyBorder="1" applyAlignment="1">
      <alignment horizontal="center" vertical="center" wrapText="1"/>
    </xf>
    <xf numFmtId="17" fontId="3" fillId="11" borderId="29" xfId="0" applyNumberFormat="1" applyFont="1" applyFill="1" applyBorder="1" applyAlignment="1">
      <alignment horizontal="center" vertical="center" wrapText="1"/>
    </xf>
    <xf numFmtId="17" fontId="3" fillId="20" borderId="13" xfId="0" applyNumberFormat="1" applyFont="1" applyFill="1" applyBorder="1" applyAlignment="1">
      <alignment horizontal="center" vertical="center" wrapText="1"/>
    </xf>
    <xf numFmtId="17" fontId="3" fillId="20" borderId="4" xfId="0" applyNumberFormat="1" applyFont="1" applyFill="1" applyBorder="1" applyAlignment="1">
      <alignment horizontal="center" vertical="center" wrapText="1"/>
    </xf>
    <xf numFmtId="17" fontId="3" fillId="20" borderId="29" xfId="0" applyNumberFormat="1" applyFont="1" applyFill="1" applyBorder="1" applyAlignment="1">
      <alignment horizontal="center" vertical="center" wrapText="1"/>
    </xf>
    <xf numFmtId="17" fontId="3" fillId="27" borderId="13" xfId="0" applyNumberFormat="1" applyFont="1" applyFill="1" applyBorder="1" applyAlignment="1">
      <alignment horizontal="center" vertical="center" wrapText="1"/>
    </xf>
    <xf numFmtId="17" fontId="3" fillId="27" borderId="4" xfId="0" applyNumberFormat="1" applyFont="1" applyFill="1" applyBorder="1" applyAlignment="1">
      <alignment horizontal="center" vertical="center" wrapText="1"/>
    </xf>
    <xf numFmtId="17" fontId="3" fillId="27" borderId="29" xfId="0" applyNumberFormat="1" applyFont="1" applyFill="1" applyBorder="1" applyAlignment="1">
      <alignment horizontal="center" vertical="center" wrapText="1"/>
    </xf>
    <xf numFmtId="17" fontId="3" fillId="32" borderId="13" xfId="0" applyNumberFormat="1" applyFont="1" applyFill="1" applyBorder="1" applyAlignment="1">
      <alignment horizontal="center" vertical="center" wrapText="1"/>
    </xf>
    <xf numFmtId="0" fontId="70" fillId="0" borderId="0" xfId="0" applyFont="1" applyBorder="1" applyAlignment="1" applyProtection="1">
      <alignment horizontal="center" vertical="top" wrapText="1"/>
      <protection locked="0"/>
    </xf>
    <xf numFmtId="17" fontId="3" fillId="31" borderId="2" xfId="30" applyNumberFormat="1" applyFont="1" applyFill="1" applyBorder="1" applyAlignment="1">
      <alignment horizontal="center" vertical="center" wrapText="1"/>
    </xf>
    <xf numFmtId="0" fontId="3" fillId="31" borderId="2" xfId="30" applyFont="1" applyFill="1" applyBorder="1" applyAlignment="1">
      <alignment horizontal="center" vertical="center" wrapText="1"/>
    </xf>
    <xf numFmtId="0" fontId="8" fillId="4" borderId="2" xfId="0" applyFont="1" applyFill="1" applyBorder="1" applyAlignment="1" applyProtection="1">
      <alignment horizontal="center" vertical="center" wrapText="1"/>
      <protection locked="0"/>
    </xf>
    <xf numFmtId="0" fontId="20" fillId="0" borderId="0"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1" fillId="0" borderId="2" xfId="0" applyFont="1" applyBorder="1" applyAlignment="1">
      <alignment horizontal="center" vertical="top" wrapText="1"/>
    </xf>
    <xf numFmtId="0" fontId="0" fillId="0" borderId="2" xfId="0" applyBorder="1"/>
    <xf numFmtId="0" fontId="126" fillId="0" borderId="51" xfId="0" applyFont="1" applyBorder="1" applyAlignment="1">
      <alignment horizontal="left" vertical="top" wrapText="1"/>
    </xf>
    <xf numFmtId="0" fontId="0" fillId="0" borderId="0" xfId="0"/>
    <xf numFmtId="0" fontId="72" fillId="0" borderId="42" xfId="0" applyFont="1" applyBorder="1" applyAlignment="1">
      <alignment horizontal="center" vertical="top" wrapText="1"/>
    </xf>
    <xf numFmtId="0" fontId="72" fillId="0" borderId="2" xfId="0" applyFont="1" applyBorder="1" applyAlignment="1">
      <alignment horizontal="center" vertical="center" wrapText="1"/>
    </xf>
    <xf numFmtId="0" fontId="0" fillId="0" borderId="6" xfId="0" applyBorder="1"/>
    <xf numFmtId="0" fontId="72" fillId="0" borderId="6" xfId="0" applyFont="1" applyBorder="1" applyAlignment="1">
      <alignment horizontal="center" vertical="center" wrapText="1"/>
    </xf>
    <xf numFmtId="0" fontId="71" fillId="0" borderId="43" xfId="0" applyFont="1" applyBorder="1" applyAlignment="1">
      <alignment horizontal="center" vertical="center"/>
    </xf>
    <xf numFmtId="0" fontId="71" fillId="0" borderId="2" xfId="0" applyFont="1" applyBorder="1" applyAlignment="1">
      <alignment horizontal="center" vertical="center" wrapText="1"/>
    </xf>
    <xf numFmtId="0" fontId="71" fillId="0" borderId="50" xfId="0" applyFont="1" applyBorder="1" applyAlignment="1">
      <alignment horizontal="center" vertical="center"/>
    </xf>
    <xf numFmtId="0" fontId="71" fillId="26" borderId="2" xfId="0" applyFont="1" applyFill="1" applyBorder="1" applyAlignment="1">
      <alignment horizontal="center" vertical="center" wrapText="1"/>
    </xf>
    <xf numFmtId="17" fontId="71" fillId="34" borderId="2" xfId="0" applyNumberFormat="1" applyFont="1" applyFill="1" applyBorder="1" applyAlignment="1">
      <alignment horizontal="center" vertical="center" wrapText="1"/>
    </xf>
    <xf numFmtId="0" fontId="71" fillId="24" borderId="43" xfId="0" applyFont="1" applyFill="1" applyBorder="1" applyAlignment="1">
      <alignment horizontal="center" vertical="center"/>
    </xf>
    <xf numFmtId="17" fontId="71" fillId="24" borderId="2" xfId="0" applyNumberFormat="1" applyFont="1" applyFill="1" applyBorder="1" applyAlignment="1">
      <alignment horizontal="center" vertical="center" wrapText="1"/>
    </xf>
    <xf numFmtId="17" fontId="71" fillId="37" borderId="2" xfId="0" applyNumberFormat="1" applyFont="1" applyFill="1" applyBorder="1" applyAlignment="1">
      <alignment horizontal="center" vertical="center" wrapText="1"/>
    </xf>
    <xf numFmtId="17" fontId="71" fillId="35" borderId="2" xfId="0" applyNumberFormat="1" applyFont="1" applyFill="1" applyBorder="1" applyAlignment="1">
      <alignment horizontal="center" vertical="center" wrapText="1"/>
    </xf>
    <xf numFmtId="17" fontId="71" fillId="36" borderId="2" xfId="0" applyNumberFormat="1" applyFont="1" applyFill="1" applyBorder="1" applyAlignment="1">
      <alignment horizontal="center" vertical="center" wrapText="1"/>
    </xf>
    <xf numFmtId="17" fontId="71" fillId="38" borderId="2" xfId="0" applyNumberFormat="1" applyFont="1" applyFill="1" applyBorder="1" applyAlignment="1">
      <alignment horizontal="center" vertical="center" wrapText="1"/>
    </xf>
    <xf numFmtId="17" fontId="71" fillId="39" borderId="2" xfId="0" applyNumberFormat="1" applyFont="1" applyFill="1" applyBorder="1" applyAlignment="1">
      <alignment horizontal="center" vertical="center" wrapText="1"/>
    </xf>
    <xf numFmtId="17" fontId="71" fillId="40" borderId="2" xfId="0" applyNumberFormat="1" applyFont="1" applyFill="1" applyBorder="1" applyAlignment="1">
      <alignment horizontal="center" vertical="center" wrapText="1"/>
    </xf>
    <xf numFmtId="17" fontId="71" fillId="41" borderId="2" xfId="0" applyNumberFormat="1" applyFont="1" applyFill="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4" xfId="0" applyFont="1" applyFill="1" applyBorder="1" applyAlignment="1" applyProtection="1">
      <alignment horizontal="center" vertical="center" wrapText="1"/>
      <protection locked="0"/>
    </xf>
    <xf numFmtId="0" fontId="6" fillId="10" borderId="7" xfId="0" applyFont="1" applyFill="1" applyBorder="1" applyAlignment="1" applyProtection="1">
      <alignment horizontal="center" vertical="center" wrapText="1"/>
      <protection locked="0"/>
    </xf>
    <xf numFmtId="17" fontId="3" fillId="30" borderId="3" xfId="0" applyNumberFormat="1" applyFont="1" applyFill="1" applyBorder="1" applyAlignment="1">
      <alignment horizontal="center" vertical="center" wrapText="1"/>
    </xf>
    <xf numFmtId="0" fontId="3" fillId="30" borderId="4" xfId="0" applyFont="1" applyFill="1" applyBorder="1" applyAlignment="1">
      <alignment horizontal="center" vertical="center" wrapText="1"/>
    </xf>
    <xf numFmtId="0" fontId="3" fillId="30" borderId="7" xfId="0" applyFont="1" applyFill="1" applyBorder="1" applyAlignment="1">
      <alignment horizontal="center" vertical="center" wrapText="1"/>
    </xf>
    <xf numFmtId="0" fontId="13" fillId="0" borderId="2" xfId="0" applyFont="1" applyBorder="1" applyAlignment="1" applyProtection="1">
      <alignment horizontal="center" wrapText="1"/>
      <protection locked="0"/>
    </xf>
    <xf numFmtId="0" fontId="8" fillId="0" borderId="9" xfId="0" applyNumberFormat="1" applyFont="1" applyFill="1" applyBorder="1" applyAlignment="1" applyProtection="1">
      <alignment horizontal="center" vertical="center" wrapText="1"/>
      <protection locked="0"/>
    </xf>
    <xf numFmtId="0" fontId="8" fillId="0" borderId="6" xfId="0" applyNumberFormat="1" applyFont="1" applyFill="1" applyBorder="1" applyAlignment="1" applyProtection="1">
      <alignment horizontal="center" vertical="center" wrapText="1"/>
      <protection locked="0"/>
    </xf>
    <xf numFmtId="0" fontId="73" fillId="0" borderId="0" xfId="0" applyFont="1" applyAlignment="1">
      <alignment horizontal="justify" vertical="center" wrapText="1"/>
    </xf>
    <xf numFmtId="0" fontId="8" fillId="0" borderId="16" xfId="0" applyNumberFormat="1" applyFont="1" applyFill="1" applyBorder="1" applyAlignment="1" applyProtection="1">
      <alignment horizontal="center" vertical="center" wrapText="1"/>
      <protection locked="0"/>
    </xf>
    <xf numFmtId="0" fontId="73" fillId="0" borderId="17" xfId="0" applyFont="1" applyBorder="1" applyAlignment="1">
      <alignment horizontal="justify" vertical="center" wrapText="1"/>
    </xf>
    <xf numFmtId="0" fontId="73" fillId="0" borderId="0" xfId="0" applyFont="1" applyBorder="1" applyAlignment="1">
      <alignment horizontal="justify" vertical="center" wrapText="1"/>
    </xf>
    <xf numFmtId="0" fontId="2" fillId="0" borderId="17" xfId="0" applyFont="1" applyBorder="1" applyAlignment="1" applyProtection="1">
      <alignment horizontal="center" vertical="center" wrapText="1"/>
      <protection locked="0"/>
    </xf>
    <xf numFmtId="0" fontId="127" fillId="0" borderId="0" xfId="0" applyFont="1" applyBorder="1" applyAlignment="1">
      <alignment horizontal="center" vertical="center" wrapText="1"/>
    </xf>
    <xf numFmtId="0" fontId="4" fillId="6" borderId="3" xfId="0" applyFont="1" applyFill="1" applyBorder="1" applyAlignment="1" applyProtection="1">
      <alignment horizontal="center" vertical="center"/>
      <protection locked="0"/>
    </xf>
    <xf numFmtId="0" fontId="4" fillId="6" borderId="4"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17" fontId="3" fillId="10" borderId="7" xfId="0" applyNumberFormat="1" applyFont="1" applyFill="1" applyBorder="1" applyAlignment="1">
      <alignment horizontal="center" vertical="center" wrapText="1"/>
    </xf>
    <xf numFmtId="0" fontId="3" fillId="10" borderId="2" xfId="0" applyFont="1" applyFill="1" applyBorder="1" applyAlignment="1">
      <alignment horizontal="center" vertical="center" wrapText="1"/>
    </xf>
    <xf numFmtId="17" fontId="3" fillId="6" borderId="3" xfId="0" applyNumberFormat="1" applyFont="1" applyFill="1" applyBorder="1" applyAlignment="1">
      <alignment horizontal="center" vertical="center" wrapText="1"/>
    </xf>
    <xf numFmtId="17" fontId="3" fillId="6" borderId="4" xfId="0" applyNumberFormat="1"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14" fillId="0" borderId="0" xfId="0" applyFont="1" applyBorder="1" applyAlignment="1" applyProtection="1">
      <alignment horizontal="left" vertical="center" wrapText="1"/>
      <protection locked="0"/>
    </xf>
    <xf numFmtId="0" fontId="4" fillId="0" borderId="17" xfId="0" applyFont="1" applyBorder="1" applyAlignment="1" applyProtection="1">
      <alignment horizontal="center" vertical="center" wrapText="1"/>
      <protection locked="0"/>
    </xf>
    <xf numFmtId="0" fontId="4" fillId="0" borderId="0" xfId="0" applyFont="1" applyBorder="1" applyAlignment="1" applyProtection="1">
      <alignment horizontal="center" vertical="top" wrapText="1"/>
      <protection locked="0"/>
    </xf>
    <xf numFmtId="0" fontId="4" fillId="0" borderId="10"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3" fillId="43" borderId="3"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left" vertical="center" wrapText="1"/>
      <protection locked="0"/>
    </xf>
    <xf numFmtId="0" fontId="0" fillId="43" borderId="2" xfId="0" applyFill="1" applyBorder="1" applyAlignment="1">
      <alignment wrapText="1"/>
    </xf>
    <xf numFmtId="0" fontId="4" fillId="0" borderId="17"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top"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6" fillId="0" borderId="9" xfId="0" applyFont="1" applyBorder="1" applyAlignment="1">
      <alignment horizontal="center" vertical="center" wrapText="1"/>
    </xf>
    <xf numFmtId="0" fontId="6" fillId="0" borderId="6" xfId="0" applyFont="1" applyBorder="1" applyAlignment="1">
      <alignment horizontal="center" vertical="center" wrapText="1"/>
    </xf>
    <xf numFmtId="0" fontId="8" fillId="0" borderId="9" xfId="0" applyFont="1" applyFill="1" applyBorder="1" applyAlignment="1" applyProtection="1">
      <alignment horizontal="justify" vertical="center" wrapText="1"/>
      <protection locked="0"/>
    </xf>
    <xf numFmtId="0" fontId="8" fillId="0" borderId="6" xfId="0" applyFont="1" applyFill="1" applyBorder="1" applyAlignment="1" applyProtection="1">
      <alignment horizontal="justify" vertical="center" wrapText="1"/>
      <protection locked="0"/>
    </xf>
    <xf numFmtId="0" fontId="6" fillId="0" borderId="9" xfId="0" applyFont="1" applyFill="1" applyBorder="1" applyAlignment="1">
      <alignment horizontal="justify" vertical="center" wrapText="1"/>
    </xf>
    <xf numFmtId="0" fontId="6" fillId="0" borderId="6" xfId="0" applyFont="1" applyFill="1" applyBorder="1" applyAlignment="1">
      <alignment horizontal="justify" vertical="center" wrapText="1"/>
    </xf>
    <xf numFmtId="0" fontId="8" fillId="0" borderId="3" xfId="38" applyNumberFormat="1" applyFont="1" applyFill="1" applyBorder="1" applyAlignment="1" applyProtection="1">
      <alignment horizontal="center" vertical="center" wrapText="1"/>
      <protection locked="0"/>
    </xf>
    <xf numFmtId="0" fontId="8" fillId="0" borderId="4" xfId="38" applyNumberFormat="1" applyFont="1" applyFill="1" applyBorder="1" applyAlignment="1" applyProtection="1">
      <alignment horizontal="center" vertical="center" wrapText="1"/>
      <protection locked="0"/>
    </xf>
    <xf numFmtId="0" fontId="8" fillId="0" borderId="7" xfId="38" applyNumberFormat="1" applyFont="1" applyFill="1" applyBorder="1" applyAlignment="1" applyProtection="1">
      <alignment horizontal="center" vertical="center" wrapText="1"/>
      <protection locked="0"/>
    </xf>
    <xf numFmtId="0" fontId="63" fillId="0" borderId="3" xfId="0" applyFont="1" applyBorder="1" applyAlignment="1" applyProtection="1">
      <alignment horizontal="center" wrapText="1"/>
      <protection locked="0"/>
    </xf>
    <xf numFmtId="0" fontId="63" fillId="0" borderId="4" xfId="0" applyFont="1" applyBorder="1" applyAlignment="1" applyProtection="1">
      <alignment horizontal="center" wrapText="1"/>
      <protection locked="0"/>
    </xf>
    <xf numFmtId="0" fontId="63" fillId="0" borderId="7" xfId="0" applyFont="1" applyBorder="1" applyAlignment="1" applyProtection="1">
      <alignment horizontal="center" wrapText="1"/>
      <protection locked="0"/>
    </xf>
    <xf numFmtId="0" fontId="65" fillId="0" borderId="7" xfId="0" applyFont="1" applyBorder="1" applyAlignment="1">
      <alignment horizontal="left" vertical="top" wrapText="1"/>
    </xf>
    <xf numFmtId="0" fontId="65" fillId="0" borderId="2" xfId="0" applyFont="1" applyBorder="1" applyAlignment="1">
      <alignment horizontal="left" vertical="top" wrapText="1"/>
    </xf>
    <xf numFmtId="0" fontId="64" fillId="0" borderId="2" xfId="0" applyFont="1" applyBorder="1" applyAlignment="1" applyProtection="1">
      <alignment horizontal="center" vertical="top" wrapText="1"/>
      <protection locked="0"/>
    </xf>
    <xf numFmtId="0" fontId="63" fillId="0" borderId="3"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82" fillId="5" borderId="2" xfId="0" applyFont="1" applyFill="1" applyBorder="1" applyAlignment="1" applyProtection="1">
      <alignment horizontal="center" vertical="center" wrapText="1"/>
      <protection locked="0"/>
    </xf>
    <xf numFmtId="0" fontId="82" fillId="5" borderId="3" xfId="0" applyFont="1" applyFill="1" applyBorder="1" applyAlignment="1" applyProtection="1">
      <alignment horizontal="center" vertical="center" wrapText="1"/>
      <protection locked="0"/>
    </xf>
    <xf numFmtId="0" fontId="84" fillId="5" borderId="2" xfId="0" applyFont="1" applyFill="1" applyBorder="1" applyAlignment="1">
      <alignment horizontal="center"/>
    </xf>
    <xf numFmtId="0" fontId="63" fillId="5" borderId="2" xfId="0" applyFont="1" applyFill="1" applyBorder="1" applyAlignment="1" applyProtection="1">
      <alignment horizontal="center" vertical="center" wrapText="1"/>
      <protection locked="0"/>
    </xf>
    <xf numFmtId="17" fontId="63" fillId="11" borderId="7" xfId="0" applyNumberFormat="1" applyFont="1" applyFill="1" applyBorder="1" applyAlignment="1">
      <alignment horizontal="center" vertical="center" wrapText="1"/>
    </xf>
    <xf numFmtId="0" fontId="63" fillId="11" borderId="2" xfId="0" applyFont="1" applyFill="1" applyBorder="1" applyAlignment="1">
      <alignment horizontal="center" vertical="center" wrapText="1"/>
    </xf>
    <xf numFmtId="17" fontId="63" fillId="20" borderId="7" xfId="0" applyNumberFormat="1" applyFont="1" applyFill="1" applyBorder="1" applyAlignment="1">
      <alignment horizontal="center" vertical="center" wrapText="1"/>
    </xf>
    <xf numFmtId="0" fontId="63" fillId="20" borderId="2" xfId="0" applyFont="1" applyFill="1" applyBorder="1" applyAlignment="1">
      <alignment horizontal="center" vertical="center" wrapText="1"/>
    </xf>
    <xf numFmtId="17" fontId="63" fillId="27" borderId="7" xfId="0" applyNumberFormat="1" applyFont="1" applyFill="1" applyBorder="1" applyAlignment="1">
      <alignment horizontal="center" vertical="center" wrapText="1"/>
    </xf>
    <xf numFmtId="0" fontId="63" fillId="27" borderId="2" xfId="0" applyFont="1" applyFill="1" applyBorder="1" applyAlignment="1">
      <alignment horizontal="center" vertical="center" wrapText="1"/>
    </xf>
    <xf numFmtId="17" fontId="63" fillId="33" borderId="7" xfId="0" applyNumberFormat="1" applyFont="1" applyFill="1" applyBorder="1" applyAlignment="1">
      <alignment horizontal="center" vertical="center" wrapText="1"/>
    </xf>
    <xf numFmtId="0" fontId="63" fillId="33" borderId="2" xfId="0" applyFont="1" applyFill="1" applyBorder="1" applyAlignment="1">
      <alignment horizontal="center" vertical="center" wrapText="1"/>
    </xf>
    <xf numFmtId="17" fontId="83" fillId="27" borderId="7" xfId="0" applyNumberFormat="1" applyFont="1" applyFill="1" applyBorder="1" applyAlignment="1">
      <alignment horizontal="center" vertical="center" wrapText="1"/>
    </xf>
    <xf numFmtId="0" fontId="83" fillId="27" borderId="2" xfId="0" applyFont="1" applyFill="1" applyBorder="1" applyAlignment="1">
      <alignment horizontal="center" vertical="center" wrapText="1"/>
    </xf>
    <xf numFmtId="17" fontId="83" fillId="27" borderId="3" xfId="0" applyNumberFormat="1" applyFont="1" applyFill="1" applyBorder="1" applyAlignment="1">
      <alignment horizontal="center" vertical="center" wrapText="1"/>
    </xf>
    <xf numFmtId="17" fontId="83" fillId="27" borderId="4" xfId="0" applyNumberFormat="1" applyFont="1" applyFill="1" applyBorder="1" applyAlignment="1">
      <alignment horizontal="center" vertical="center" wrapText="1"/>
    </xf>
    <xf numFmtId="0" fontId="84" fillId="0" borderId="9" xfId="0" applyFont="1" applyFill="1" applyBorder="1" applyAlignment="1" applyProtection="1">
      <alignment horizontal="center" vertical="center" wrapText="1"/>
      <protection locked="0"/>
    </xf>
    <xf numFmtId="0" fontId="84" fillId="0" borderId="16"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86" fillId="0" borderId="10" xfId="20" applyNumberFormat="1" applyFont="1" applyFill="1" applyBorder="1" applyAlignment="1" applyProtection="1">
      <alignment horizontal="center" vertical="center" wrapText="1"/>
      <protection locked="0"/>
    </xf>
    <xf numFmtId="0" fontId="86" fillId="0" borderId="22" xfId="20" applyNumberFormat="1" applyFont="1" applyFill="1" applyBorder="1" applyAlignment="1" applyProtection="1">
      <alignment horizontal="center" vertical="center" wrapText="1"/>
      <protection locked="0"/>
    </xf>
    <xf numFmtId="0" fontId="86" fillId="0" borderId="21" xfId="20" applyNumberFormat="1" applyFont="1" applyFill="1" applyBorder="1" applyAlignment="1" applyProtection="1">
      <alignment horizontal="center" vertical="center" wrapText="1"/>
      <protection locked="0"/>
    </xf>
    <xf numFmtId="0" fontId="84" fillId="0" borderId="9" xfId="0" applyFont="1" applyFill="1" applyBorder="1" applyAlignment="1" applyProtection="1">
      <alignment vertical="center" wrapText="1"/>
      <protection locked="0"/>
    </xf>
    <xf numFmtId="0" fontId="84" fillId="0" borderId="16" xfId="0" applyFont="1" applyFill="1" applyBorder="1" applyAlignment="1" applyProtection="1">
      <alignment vertical="center" wrapText="1"/>
      <protection locked="0"/>
    </xf>
    <xf numFmtId="0" fontId="84" fillId="0" borderId="6" xfId="0" applyFont="1" applyFill="1" applyBorder="1" applyAlignment="1" applyProtection="1">
      <alignment vertical="center" wrapText="1"/>
      <protection locked="0"/>
    </xf>
    <xf numFmtId="0" fontId="86" fillId="0" borderId="2" xfId="20" applyFont="1" applyFill="1" applyBorder="1" applyAlignment="1" applyProtection="1">
      <alignment vertical="center" wrapText="1"/>
      <protection locked="0"/>
    </xf>
    <xf numFmtId="0" fontId="80" fillId="0" borderId="9"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167" fontId="80" fillId="0" borderId="9" xfId="0" applyNumberFormat="1" applyFont="1" applyBorder="1" applyAlignment="1">
      <alignment horizontal="center" vertical="center" wrapText="1"/>
    </xf>
    <xf numFmtId="167" fontId="80" fillId="0" borderId="16" xfId="0" applyNumberFormat="1" applyFont="1" applyBorder="1" applyAlignment="1">
      <alignment horizontal="center" vertical="center" wrapText="1"/>
    </xf>
    <xf numFmtId="167" fontId="80" fillId="0" borderId="6" xfId="0" applyNumberFormat="1" applyFont="1" applyBorder="1" applyAlignment="1">
      <alignment horizontal="center" vertical="center" wrapText="1"/>
    </xf>
    <xf numFmtId="2" fontId="83" fillId="4" borderId="9" xfId="38" applyNumberFormat="1" applyFont="1" applyFill="1" applyBorder="1" applyAlignment="1">
      <alignment horizontal="center" vertical="center" wrapText="1"/>
    </xf>
    <xf numFmtId="2" fontId="83" fillId="4" borderId="16" xfId="38" applyNumberFormat="1" applyFont="1" applyFill="1" applyBorder="1" applyAlignment="1">
      <alignment horizontal="center" vertical="center" wrapText="1"/>
    </xf>
    <xf numFmtId="2" fontId="83" fillId="4" borderId="6" xfId="38" applyNumberFormat="1" applyFont="1" applyFill="1" applyBorder="1" applyAlignment="1">
      <alignment horizontal="center" vertical="center" wrapText="1"/>
    </xf>
    <xf numFmtId="2" fontId="80" fillId="0" borderId="9" xfId="38" applyNumberFormat="1" applyFont="1" applyFill="1" applyBorder="1" applyAlignment="1">
      <alignment horizontal="center" vertical="center" wrapText="1"/>
    </xf>
    <xf numFmtId="2" fontId="80" fillId="0" borderId="16" xfId="38" applyNumberFormat="1" applyFont="1" applyFill="1" applyBorder="1" applyAlignment="1">
      <alignment horizontal="center" vertical="center" wrapText="1"/>
    </xf>
    <xf numFmtId="2" fontId="80" fillId="0" borderId="6" xfId="38" applyNumberFormat="1" applyFont="1" applyFill="1" applyBorder="1" applyAlignment="1">
      <alignment horizontal="center" vertical="center" wrapText="1"/>
    </xf>
    <xf numFmtId="9" fontId="80" fillId="4" borderId="9" xfId="38" applyFont="1" applyFill="1" applyBorder="1" applyAlignment="1">
      <alignment horizontal="center" vertical="center" wrapText="1"/>
    </xf>
    <xf numFmtId="9" fontId="80" fillId="4" borderId="16" xfId="38" applyFont="1" applyFill="1" applyBorder="1" applyAlignment="1">
      <alignment horizontal="center" vertical="center" wrapText="1"/>
    </xf>
    <xf numFmtId="9" fontId="80" fillId="4" borderId="6" xfId="38" applyFont="1" applyFill="1" applyBorder="1" applyAlignment="1">
      <alignment horizontal="center" vertical="center" wrapText="1"/>
    </xf>
    <xf numFmtId="0" fontId="80" fillId="0" borderId="9" xfId="0" applyFont="1" applyBorder="1" applyAlignment="1">
      <alignment horizontal="center" vertical="center" wrapText="1"/>
    </xf>
    <xf numFmtId="0" fontId="80" fillId="0" borderId="16" xfId="0" applyFont="1" applyBorder="1" applyAlignment="1">
      <alignment horizontal="center" vertical="center" wrapText="1"/>
    </xf>
    <xf numFmtId="0" fontId="80" fillId="0" borderId="6" xfId="0" applyFont="1" applyBorder="1" applyAlignment="1">
      <alignment horizontal="center" vertical="center" wrapText="1"/>
    </xf>
    <xf numFmtId="9" fontId="80" fillId="0" borderId="9" xfId="38" applyFont="1" applyFill="1" applyBorder="1" applyAlignment="1">
      <alignment horizontal="center" vertical="center" wrapText="1"/>
    </xf>
    <xf numFmtId="9" fontId="80" fillId="0" borderId="16" xfId="38" applyFont="1" applyFill="1" applyBorder="1" applyAlignment="1">
      <alignment horizontal="center" vertical="center" wrapText="1"/>
    </xf>
    <xf numFmtId="9" fontId="80" fillId="0" borderId="6" xfId="38" applyFont="1" applyFill="1" applyBorder="1" applyAlignment="1">
      <alignment horizontal="center" vertical="center" wrapText="1"/>
    </xf>
    <xf numFmtId="9" fontId="83" fillId="4" borderId="9" xfId="38" applyFont="1" applyFill="1" applyBorder="1" applyAlignment="1">
      <alignment horizontal="center" vertical="center" wrapText="1"/>
    </xf>
    <xf numFmtId="9" fontId="83" fillId="4" borderId="16" xfId="38" applyFont="1" applyFill="1" applyBorder="1" applyAlignment="1">
      <alignment horizontal="center" vertical="center" wrapText="1"/>
    </xf>
    <xf numFmtId="9" fontId="83" fillId="4" borderId="6" xfId="38" applyFont="1" applyFill="1" applyBorder="1" applyAlignment="1">
      <alignment horizontal="center" vertical="center" wrapText="1"/>
    </xf>
    <xf numFmtId="0" fontId="87" fillId="0" borderId="9" xfId="0" applyFont="1" applyBorder="1" applyAlignment="1">
      <alignment horizontal="center" vertical="center" wrapText="1"/>
    </xf>
    <xf numFmtId="0" fontId="87" fillId="0" borderId="16" xfId="0" applyFont="1" applyBorder="1" applyAlignment="1">
      <alignment horizontal="center" vertical="center" wrapText="1"/>
    </xf>
    <xf numFmtId="0" fontId="87" fillId="0" borderId="6" xfId="0" applyFont="1" applyBorder="1" applyAlignment="1">
      <alignment horizontal="center" vertical="center" wrapText="1"/>
    </xf>
    <xf numFmtId="180" fontId="80" fillId="0" borderId="9" xfId="0" applyNumberFormat="1" applyFont="1" applyBorder="1" applyAlignment="1">
      <alignment horizontal="center" vertical="center" wrapText="1"/>
    </xf>
    <xf numFmtId="180" fontId="80" fillId="0" borderId="16" xfId="0" applyNumberFormat="1" applyFont="1" applyBorder="1" applyAlignment="1">
      <alignment horizontal="center" vertical="center" wrapText="1"/>
    </xf>
    <xf numFmtId="180" fontId="80" fillId="0" borderId="6" xfId="0" applyNumberFormat="1" applyFont="1" applyBorder="1" applyAlignment="1">
      <alignment horizontal="center" vertical="center" wrapText="1"/>
    </xf>
    <xf numFmtId="9" fontId="83" fillId="0" borderId="9" xfId="38" applyFont="1" applyFill="1" applyBorder="1" applyAlignment="1">
      <alignment horizontal="center" vertical="center" wrapText="1"/>
    </xf>
    <xf numFmtId="9" fontId="83" fillId="0" borderId="16" xfId="38" applyFont="1" applyFill="1" applyBorder="1" applyAlignment="1">
      <alignment horizontal="center" vertical="center" wrapText="1"/>
    </xf>
    <xf numFmtId="9" fontId="83" fillId="0" borderId="6" xfId="38" applyFont="1" applyFill="1" applyBorder="1" applyAlignment="1">
      <alignment horizontal="center" vertical="center" wrapText="1"/>
    </xf>
    <xf numFmtId="0" fontId="80" fillId="0" borderId="9" xfId="38" applyNumberFormat="1" applyFont="1" applyFill="1" applyBorder="1" applyAlignment="1">
      <alignment horizontal="center" vertical="center" wrapText="1"/>
    </xf>
    <xf numFmtId="0" fontId="80" fillId="0" borderId="16" xfId="38" applyNumberFormat="1" applyFont="1" applyFill="1" applyBorder="1" applyAlignment="1">
      <alignment horizontal="center" vertical="center" wrapText="1"/>
    </xf>
    <xf numFmtId="0" fontId="80" fillId="0" borderId="6" xfId="38" applyNumberFormat="1" applyFont="1" applyFill="1" applyBorder="1" applyAlignment="1">
      <alignment horizontal="center" vertical="center" wrapText="1"/>
    </xf>
    <xf numFmtId="9" fontId="83" fillId="0" borderId="9" xfId="38" applyNumberFormat="1" applyFont="1" applyFill="1" applyBorder="1" applyAlignment="1">
      <alignment horizontal="center" vertical="center" wrapText="1"/>
    </xf>
    <xf numFmtId="9" fontId="83" fillId="0" borderId="16" xfId="38" applyNumberFormat="1" applyFont="1" applyFill="1" applyBorder="1" applyAlignment="1">
      <alignment horizontal="center" vertical="center" wrapText="1"/>
    </xf>
    <xf numFmtId="9" fontId="83" fillId="0" borderId="6" xfId="38" applyNumberFormat="1" applyFont="1" applyFill="1" applyBorder="1" applyAlignment="1">
      <alignment horizontal="center" vertical="center" wrapText="1"/>
    </xf>
    <xf numFmtId="0" fontId="87" fillId="0" borderId="9" xfId="0" applyFont="1" applyFill="1" applyBorder="1" applyAlignment="1">
      <alignment horizontal="center" vertical="center" wrapText="1"/>
    </xf>
    <xf numFmtId="0" fontId="87" fillId="0" borderId="16" xfId="0" applyFont="1" applyFill="1" applyBorder="1" applyAlignment="1">
      <alignment horizontal="center" vertical="center" wrapText="1"/>
    </xf>
    <xf numFmtId="0" fontId="87" fillId="0" borderId="6" xfId="0" applyFont="1" applyFill="1" applyBorder="1" applyAlignment="1">
      <alignment horizontal="center" vertical="center" wrapText="1"/>
    </xf>
    <xf numFmtId="0" fontId="87" fillId="0" borderId="9" xfId="0" applyFont="1" applyFill="1" applyBorder="1" applyAlignment="1">
      <alignment horizontal="left" vertical="center" wrapText="1"/>
    </xf>
    <xf numFmtId="0" fontId="87" fillId="0" borderId="16" xfId="0" applyFont="1" applyFill="1" applyBorder="1" applyAlignment="1">
      <alignment horizontal="left" vertical="center" wrapText="1"/>
    </xf>
    <xf numFmtId="0" fontId="87" fillId="0" borderId="6" xfId="0" applyFont="1" applyFill="1" applyBorder="1" applyAlignment="1">
      <alignment horizontal="left" vertical="center" wrapText="1"/>
    </xf>
    <xf numFmtId="9" fontId="80" fillId="0" borderId="9" xfId="38" applyFont="1" applyBorder="1" applyAlignment="1">
      <alignment horizontal="center" vertical="center" wrapText="1"/>
    </xf>
    <xf numFmtId="9" fontId="80" fillId="0" borderId="16" xfId="38" applyFont="1" applyBorder="1" applyAlignment="1">
      <alignment horizontal="center" vertical="center" wrapText="1"/>
    </xf>
    <xf numFmtId="9" fontId="80" fillId="0" borderId="6" xfId="38" applyFont="1" applyBorder="1" applyAlignment="1">
      <alignment horizontal="center" vertical="center" wrapText="1"/>
    </xf>
    <xf numFmtId="0" fontId="80" fillId="0" borderId="9" xfId="38" applyNumberFormat="1" applyFont="1" applyBorder="1" applyAlignment="1">
      <alignment horizontal="center" vertical="center" wrapText="1"/>
    </xf>
    <xf numFmtId="0" fontId="80" fillId="0" borderId="16" xfId="38" applyNumberFormat="1" applyFont="1" applyBorder="1" applyAlignment="1">
      <alignment horizontal="center" vertical="center" wrapText="1"/>
    </xf>
    <xf numFmtId="0" fontId="80" fillId="0" borderId="6" xfId="38" applyNumberFormat="1" applyFont="1" applyBorder="1" applyAlignment="1">
      <alignment horizontal="center" vertical="center" wrapText="1"/>
    </xf>
    <xf numFmtId="167" fontId="80" fillId="0" borderId="9" xfId="38" applyNumberFormat="1" applyFont="1" applyBorder="1" applyAlignment="1">
      <alignment horizontal="center" vertical="center" wrapText="1"/>
    </xf>
    <xf numFmtId="167" fontId="80" fillId="0" borderId="16" xfId="38" applyNumberFormat="1" applyFont="1" applyBorder="1" applyAlignment="1">
      <alignment horizontal="center" vertical="center" wrapText="1"/>
    </xf>
    <xf numFmtId="167" fontId="80" fillId="0" borderId="6" xfId="38" applyNumberFormat="1" applyFont="1" applyBorder="1" applyAlignment="1">
      <alignment horizontal="center" vertical="center" wrapText="1"/>
    </xf>
    <xf numFmtId="2" fontId="83" fillId="0" borderId="9" xfId="38" applyNumberFormat="1" applyFont="1" applyFill="1" applyBorder="1" applyAlignment="1">
      <alignment horizontal="center" vertical="center" wrapText="1"/>
    </xf>
    <xf numFmtId="2" fontId="83" fillId="0" borderId="16" xfId="38" applyNumberFormat="1" applyFont="1" applyFill="1" applyBorder="1" applyAlignment="1">
      <alignment horizontal="center" vertical="center" wrapText="1"/>
    </xf>
    <xf numFmtId="2" fontId="83" fillId="0" borderId="6" xfId="38" applyNumberFormat="1" applyFont="1" applyFill="1" applyBorder="1" applyAlignment="1">
      <alignment horizontal="center" vertical="center" wrapText="1"/>
    </xf>
    <xf numFmtId="2" fontId="80" fillId="4" borderId="9" xfId="38" applyNumberFormat="1" applyFont="1" applyFill="1" applyBorder="1" applyAlignment="1">
      <alignment horizontal="center" vertical="center" wrapText="1"/>
    </xf>
    <xf numFmtId="2" fontId="80" fillId="4" borderId="16" xfId="38" applyNumberFormat="1" applyFont="1" applyFill="1" applyBorder="1" applyAlignment="1">
      <alignment horizontal="center" vertical="center" wrapText="1"/>
    </xf>
    <xf numFmtId="2" fontId="80" fillId="4" borderId="6" xfId="38" applyNumberFormat="1" applyFont="1" applyFill="1" applyBorder="1" applyAlignment="1">
      <alignment horizontal="center" vertical="center" wrapText="1"/>
    </xf>
    <xf numFmtId="167" fontId="80" fillId="0" borderId="9" xfId="38" applyNumberFormat="1" applyFont="1" applyFill="1" applyBorder="1" applyAlignment="1">
      <alignment horizontal="center" vertical="center" wrapText="1"/>
    </xf>
    <xf numFmtId="167" fontId="80" fillId="0" borderId="16" xfId="38" applyNumberFormat="1" applyFont="1" applyFill="1" applyBorder="1" applyAlignment="1">
      <alignment horizontal="center" vertical="center" wrapText="1"/>
    </xf>
    <xf numFmtId="167" fontId="80" fillId="0" borderId="6" xfId="38" applyNumberFormat="1" applyFont="1" applyFill="1" applyBorder="1" applyAlignment="1">
      <alignment horizontal="center" vertical="center" wrapText="1"/>
    </xf>
    <xf numFmtId="1" fontId="83" fillId="4" borderId="9" xfId="38" applyNumberFormat="1" applyFont="1" applyFill="1" applyBorder="1" applyAlignment="1">
      <alignment horizontal="center" vertical="center" wrapText="1"/>
    </xf>
    <xf numFmtId="1" fontId="83" fillId="4" borderId="16" xfId="38" applyNumberFormat="1" applyFont="1" applyFill="1" applyBorder="1" applyAlignment="1">
      <alignment horizontal="center" vertical="center" wrapText="1"/>
    </xf>
    <xf numFmtId="1" fontId="83" fillId="4" borderId="6" xfId="38" applyNumberFormat="1" applyFont="1" applyFill="1" applyBorder="1" applyAlignment="1">
      <alignment horizontal="center" vertical="center" wrapText="1"/>
    </xf>
    <xf numFmtId="1" fontId="80" fillId="4" borderId="9" xfId="38" applyNumberFormat="1" applyFont="1" applyFill="1" applyBorder="1" applyAlignment="1">
      <alignment horizontal="center" vertical="center" wrapText="1"/>
    </xf>
    <xf numFmtId="1" fontId="80" fillId="4" borderId="16" xfId="38" applyNumberFormat="1" applyFont="1" applyFill="1" applyBorder="1" applyAlignment="1">
      <alignment horizontal="center" vertical="center" wrapText="1"/>
    </xf>
    <xf numFmtId="1" fontId="80" fillId="4" borderId="6" xfId="38" applyNumberFormat="1" applyFont="1" applyFill="1" applyBorder="1" applyAlignment="1">
      <alignment horizontal="center" vertical="center" wrapText="1"/>
    </xf>
    <xf numFmtId="43" fontId="80" fillId="0" borderId="9" xfId="10" applyFont="1" applyBorder="1" applyAlignment="1">
      <alignment horizontal="center" vertical="center" wrapText="1"/>
    </xf>
    <xf numFmtId="43" fontId="80" fillId="0" borderId="16" xfId="10" applyFont="1" applyBorder="1" applyAlignment="1">
      <alignment horizontal="center" vertical="center" wrapText="1"/>
    </xf>
    <xf numFmtId="43" fontId="80" fillId="0" borderId="6" xfId="10" applyFont="1" applyBorder="1" applyAlignment="1">
      <alignment horizontal="center" vertical="center" wrapText="1"/>
    </xf>
    <xf numFmtId="0" fontId="87" fillId="10" borderId="9" xfId="0" applyFont="1" applyFill="1" applyBorder="1" applyAlignment="1">
      <alignment horizontal="center" vertical="center" wrapText="1"/>
    </xf>
    <xf numFmtId="0" fontId="87" fillId="10" borderId="16" xfId="0" applyFont="1" applyFill="1" applyBorder="1" applyAlignment="1">
      <alignment horizontal="center" vertical="center" wrapText="1"/>
    </xf>
    <xf numFmtId="0" fontId="87" fillId="10" borderId="6" xfId="0" applyFont="1" applyFill="1" applyBorder="1" applyAlignment="1">
      <alignment horizontal="center" vertical="center" wrapText="1"/>
    </xf>
    <xf numFmtId="9" fontId="83" fillId="4" borderId="9" xfId="38" applyNumberFormat="1" applyFont="1" applyFill="1" applyBorder="1" applyAlignment="1">
      <alignment horizontal="center" vertical="center" wrapText="1"/>
    </xf>
    <xf numFmtId="9" fontId="83" fillId="4" borderId="16" xfId="38" applyNumberFormat="1" applyFont="1" applyFill="1" applyBorder="1" applyAlignment="1">
      <alignment horizontal="center" vertical="center" wrapText="1"/>
    </xf>
    <xf numFmtId="9" fontId="83" fillId="4" borderId="6" xfId="38" applyNumberFormat="1" applyFont="1" applyFill="1" applyBorder="1" applyAlignment="1">
      <alignment horizontal="center" vertical="center" wrapText="1"/>
    </xf>
    <xf numFmtId="0" fontId="128" fillId="0" borderId="9" xfId="0" applyFont="1" applyFill="1" applyBorder="1" applyAlignment="1">
      <alignment horizontal="center" vertical="center" wrapText="1"/>
    </xf>
    <xf numFmtId="0" fontId="128" fillId="0" borderId="16" xfId="0" applyFont="1" applyFill="1" applyBorder="1" applyAlignment="1">
      <alignment horizontal="center" vertical="center" wrapText="1"/>
    </xf>
    <xf numFmtId="0" fontId="128" fillId="0" borderId="6" xfId="0" applyFont="1" applyFill="1" applyBorder="1" applyAlignment="1">
      <alignment horizontal="center" vertical="center" wrapText="1"/>
    </xf>
    <xf numFmtId="43" fontId="80" fillId="0" borderId="9" xfId="14" applyFont="1" applyBorder="1" applyAlignment="1">
      <alignment horizontal="center" vertical="center" wrapText="1"/>
    </xf>
    <xf numFmtId="43" fontId="80" fillId="0" borderId="16" xfId="14" applyFont="1" applyBorder="1" applyAlignment="1">
      <alignment horizontal="center" vertical="center" wrapText="1"/>
    </xf>
    <xf numFmtId="43" fontId="80" fillId="0" borderId="6" xfId="14" applyFont="1" applyBorder="1" applyAlignment="1">
      <alignment horizontal="center" vertical="center" wrapText="1"/>
    </xf>
    <xf numFmtId="0" fontId="128" fillId="0" borderId="9" xfId="0" applyFont="1" applyFill="1" applyBorder="1" applyAlignment="1">
      <alignment horizontal="left" vertical="center" wrapText="1"/>
    </xf>
    <xf numFmtId="0" fontId="128" fillId="0" borderId="16" xfId="0" applyFont="1" applyFill="1" applyBorder="1" applyAlignment="1">
      <alignment horizontal="left" vertical="center" wrapText="1"/>
    </xf>
    <xf numFmtId="0" fontId="128" fillId="0" borderId="6" xfId="0" applyFont="1" applyFill="1" applyBorder="1" applyAlignment="1">
      <alignment horizontal="left" vertical="center" wrapText="1"/>
    </xf>
    <xf numFmtId="0" fontId="84" fillId="0" borderId="9" xfId="20" applyFont="1" applyFill="1" applyBorder="1" applyAlignment="1" applyProtection="1">
      <alignment horizontal="center" vertical="center" wrapText="1"/>
      <protection locked="0"/>
    </xf>
    <xf numFmtId="0" fontId="84" fillId="0" borderId="6" xfId="20" applyFont="1" applyFill="1" applyBorder="1" applyAlignment="1" applyProtection="1">
      <alignment horizontal="center" vertical="center" wrapText="1"/>
      <protection locked="0"/>
    </xf>
    <xf numFmtId="0" fontId="84" fillId="0" borderId="10" xfId="20" applyFont="1" applyFill="1" applyBorder="1" applyAlignment="1" applyProtection="1">
      <alignment horizontal="center" vertical="center" wrapText="1"/>
      <protection locked="0"/>
    </xf>
    <xf numFmtId="0" fontId="84" fillId="0" borderId="21" xfId="20" applyFont="1" applyFill="1" applyBorder="1" applyAlignment="1" applyProtection="1">
      <alignment horizontal="center" vertical="center" wrapText="1"/>
      <protection locked="0"/>
    </xf>
    <xf numFmtId="0" fontId="84" fillId="0" borderId="9" xfId="20" applyFont="1" applyFill="1" applyBorder="1" applyAlignment="1" applyProtection="1">
      <alignment vertical="center" wrapText="1"/>
      <protection locked="0"/>
    </xf>
    <xf numFmtId="0" fontId="84" fillId="0" borderId="6" xfId="20" applyFont="1" applyFill="1" applyBorder="1" applyAlignment="1" applyProtection="1">
      <alignment vertical="center" wrapText="1"/>
      <protection locked="0"/>
    </xf>
    <xf numFmtId="0" fontId="86" fillId="0" borderId="9" xfId="20" applyFont="1" applyFill="1" applyBorder="1" applyAlignment="1" applyProtection="1">
      <alignment vertical="center" wrapText="1"/>
      <protection locked="0"/>
    </xf>
    <xf numFmtId="0" fontId="86" fillId="0" borderId="6" xfId="20" applyFont="1" applyFill="1" applyBorder="1" applyAlignment="1" applyProtection="1">
      <alignment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9" xfId="38" applyNumberFormat="1" applyFont="1" applyFill="1" applyBorder="1" applyAlignment="1" applyProtection="1">
      <alignment horizontal="center" vertical="center" wrapText="1"/>
      <protection locked="0"/>
    </xf>
    <xf numFmtId="0" fontId="80" fillId="0" borderId="6" xfId="38" applyNumberFormat="1" applyFont="1" applyFill="1" applyBorder="1" applyAlignment="1" applyProtection="1">
      <alignment horizontal="center" vertical="center" wrapText="1"/>
      <protection locked="0"/>
    </xf>
    <xf numFmtId="0" fontId="121" fillId="0" borderId="9" xfId="38" applyNumberFormat="1" applyFont="1" applyFill="1" applyBorder="1" applyAlignment="1" applyProtection="1">
      <alignment horizontal="center" vertical="center" wrapText="1"/>
      <protection locked="0"/>
    </xf>
    <xf numFmtId="0" fontId="121" fillId="0" borderId="6" xfId="38" applyNumberFormat="1" applyFont="1" applyFill="1" applyBorder="1" applyAlignment="1" applyProtection="1">
      <alignment horizontal="center" vertical="center" wrapText="1"/>
      <protection locked="0"/>
    </xf>
    <xf numFmtId="167" fontId="80" fillId="4" borderId="9" xfId="0" applyNumberFormat="1" applyFont="1" applyFill="1" applyBorder="1" applyAlignment="1">
      <alignment horizontal="center" vertical="center" wrapText="1"/>
    </xf>
    <xf numFmtId="167" fontId="80" fillId="4" borderId="6" xfId="0" applyNumberFormat="1" applyFont="1" applyFill="1" applyBorder="1" applyAlignment="1">
      <alignment horizontal="center" vertical="center" wrapText="1"/>
    </xf>
    <xf numFmtId="2" fontId="80" fillId="4" borderId="9" xfId="0" applyNumberFormat="1" applyFont="1" applyFill="1" applyBorder="1" applyAlignment="1">
      <alignment horizontal="center" vertical="center" wrapText="1"/>
    </xf>
    <xf numFmtId="2" fontId="80" fillId="4" borderId="6" xfId="0" applyNumberFormat="1" applyFont="1" applyFill="1" applyBorder="1" applyAlignment="1">
      <alignment horizontal="center" vertical="center" wrapText="1"/>
    </xf>
    <xf numFmtId="2" fontId="80" fillId="0" borderId="9" xfId="0" applyNumberFormat="1" applyFont="1" applyBorder="1" applyAlignment="1">
      <alignment horizontal="center" vertical="center" wrapText="1"/>
    </xf>
    <xf numFmtId="2" fontId="80" fillId="0" borderId="6" xfId="0" applyNumberFormat="1" applyFont="1" applyBorder="1" applyAlignment="1">
      <alignment horizontal="center" vertical="center" wrapText="1"/>
    </xf>
    <xf numFmtId="2" fontId="80" fillId="0" borderId="9" xfId="0" applyNumberFormat="1" applyFont="1" applyFill="1" applyBorder="1" applyAlignment="1">
      <alignment horizontal="center" vertical="center" wrapText="1"/>
    </xf>
    <xf numFmtId="2" fontId="80" fillId="0" borderId="6" xfId="0" applyNumberFormat="1" applyFont="1" applyFill="1" applyBorder="1" applyAlignment="1">
      <alignment horizontal="center" vertical="center" wrapText="1"/>
    </xf>
    <xf numFmtId="9" fontId="87" fillId="0" borderId="9" xfId="38" applyFont="1" applyFill="1" applyBorder="1" applyAlignment="1">
      <alignment horizontal="center" vertical="center" wrapText="1"/>
    </xf>
    <xf numFmtId="9" fontId="87" fillId="0" borderId="6" xfId="38" applyFont="1" applyFill="1" applyBorder="1" applyAlignment="1">
      <alignment horizontal="center" vertical="center" wrapText="1"/>
    </xf>
    <xf numFmtId="167" fontId="80" fillId="0" borderId="9" xfId="38" applyNumberFormat="1" applyFont="1" applyFill="1" applyBorder="1" applyAlignment="1" applyProtection="1">
      <alignment horizontal="center" vertical="center" wrapText="1"/>
      <protection locked="0"/>
    </xf>
    <xf numFmtId="167" fontId="80" fillId="0" borderId="6" xfId="38" applyNumberFormat="1" applyFont="1" applyFill="1" applyBorder="1" applyAlignment="1" applyProtection="1">
      <alignment horizontal="center" vertical="center" wrapText="1"/>
      <protection locked="0"/>
    </xf>
    <xf numFmtId="167" fontId="80" fillId="0" borderId="9" xfId="0" applyNumberFormat="1" applyFont="1" applyFill="1" applyBorder="1" applyAlignment="1">
      <alignment horizontal="center" vertical="center" wrapText="1"/>
    </xf>
    <xf numFmtId="167" fontId="80" fillId="0" borderId="6" xfId="0" applyNumberFormat="1" applyFont="1" applyFill="1" applyBorder="1" applyAlignment="1">
      <alignment horizontal="center" vertical="center" wrapText="1"/>
    </xf>
    <xf numFmtId="9" fontId="83" fillId="6" borderId="9" xfId="38" applyFont="1" applyFill="1" applyBorder="1" applyAlignment="1">
      <alignment horizontal="center" vertical="center" wrapText="1"/>
    </xf>
    <xf numFmtId="9" fontId="83" fillId="6" borderId="6" xfId="38" applyFont="1" applyFill="1" applyBorder="1" applyAlignment="1">
      <alignment horizontal="center" vertical="center" wrapText="1"/>
    </xf>
    <xf numFmtId="9" fontId="87" fillId="0" borderId="9" xfId="38" applyFont="1" applyFill="1" applyBorder="1" applyAlignment="1">
      <alignment horizontal="left" vertical="center" wrapText="1"/>
    </xf>
    <xf numFmtId="9" fontId="87" fillId="0" borderId="6" xfId="38" applyFont="1" applyFill="1" applyBorder="1" applyAlignment="1">
      <alignment horizontal="left" vertical="center" wrapText="1"/>
    </xf>
    <xf numFmtId="0" fontId="84" fillId="0" borderId="9"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vertical="center" wrapText="1"/>
      <protection locked="0"/>
    </xf>
    <xf numFmtId="0" fontId="84" fillId="0" borderId="16" xfId="0" applyNumberFormat="1" applyFont="1" applyFill="1" applyBorder="1" applyAlignment="1" applyProtection="1">
      <alignment vertical="center" wrapText="1"/>
      <protection locked="0"/>
    </xf>
    <xf numFmtId="0" fontId="84" fillId="0" borderId="6" xfId="0" applyNumberFormat="1" applyFont="1" applyFill="1" applyBorder="1" applyAlignment="1" applyProtection="1">
      <alignment vertical="center" wrapText="1"/>
      <protection locked="0"/>
    </xf>
    <xf numFmtId="167" fontId="80" fillId="0" borderId="2" xfId="0" applyNumberFormat="1" applyFont="1" applyFill="1" applyBorder="1" applyAlignment="1">
      <alignment horizontal="center" vertical="center" wrapText="1"/>
    </xf>
    <xf numFmtId="43" fontId="80" fillId="0" borderId="9" xfId="14" applyFont="1" applyFill="1" applyBorder="1" applyAlignment="1">
      <alignment horizontal="center" vertical="center" wrapText="1"/>
    </xf>
    <xf numFmtId="43" fontId="80" fillId="0" borderId="16" xfId="14" applyFont="1" applyFill="1" applyBorder="1" applyAlignment="1">
      <alignment horizontal="center" vertical="center" wrapText="1"/>
    </xf>
    <xf numFmtId="43" fontId="80" fillId="0" borderId="6" xfId="14" applyFont="1" applyFill="1" applyBorder="1" applyAlignment="1">
      <alignment horizontal="center" vertical="center" wrapText="1"/>
    </xf>
    <xf numFmtId="167" fontId="87" fillId="0" borderId="2" xfId="0" applyNumberFormat="1" applyFont="1" applyFill="1" applyBorder="1" applyAlignment="1">
      <alignment horizontal="center" vertical="center" wrapText="1"/>
    </xf>
    <xf numFmtId="2" fontId="80" fillId="0" borderId="9" xfId="14" applyNumberFormat="1" applyFont="1" applyFill="1" applyBorder="1" applyAlignment="1">
      <alignment horizontal="center" vertical="center" wrapText="1"/>
    </xf>
    <xf numFmtId="2" fontId="80" fillId="0" borderId="16" xfId="14" applyNumberFormat="1" applyFont="1" applyFill="1" applyBorder="1" applyAlignment="1">
      <alignment horizontal="center" vertical="center" wrapText="1"/>
    </xf>
    <xf numFmtId="2" fontId="80" fillId="0" borderId="6" xfId="14" applyNumberFormat="1" applyFont="1" applyFill="1" applyBorder="1" applyAlignment="1">
      <alignment horizontal="center" vertical="center" wrapText="1"/>
    </xf>
    <xf numFmtId="9" fontId="80" fillId="6" borderId="9" xfId="38" applyFont="1" applyFill="1" applyBorder="1" applyAlignment="1">
      <alignment horizontal="center" vertical="center" wrapText="1"/>
    </xf>
    <xf numFmtId="9" fontId="80" fillId="6" borderId="16" xfId="38" applyFont="1" applyFill="1" applyBorder="1" applyAlignment="1">
      <alignment horizontal="center" vertical="center" wrapText="1"/>
    </xf>
    <xf numFmtId="9" fontId="80" fillId="6" borderId="6" xfId="38" applyFont="1" applyFill="1" applyBorder="1" applyAlignment="1">
      <alignment horizontal="center" vertical="center" wrapText="1"/>
    </xf>
    <xf numFmtId="170" fontId="80" fillId="0" borderId="9" xfId="14" applyNumberFormat="1" applyFont="1" applyFill="1" applyBorder="1" applyAlignment="1">
      <alignment horizontal="center" vertical="center" wrapText="1"/>
    </xf>
    <xf numFmtId="170" fontId="80" fillId="0" borderId="16" xfId="14" applyNumberFormat="1" applyFont="1" applyFill="1" applyBorder="1" applyAlignment="1">
      <alignment horizontal="center" vertical="center" wrapText="1"/>
    </xf>
    <xf numFmtId="170" fontId="80" fillId="0" borderId="6" xfId="14" applyNumberFormat="1" applyFont="1" applyFill="1" applyBorder="1" applyAlignment="1">
      <alignment horizontal="center" vertical="center" wrapText="1"/>
    </xf>
    <xf numFmtId="9" fontId="83" fillId="6" borderId="16" xfId="38" applyFont="1" applyFill="1" applyBorder="1" applyAlignment="1">
      <alignment horizontal="center" vertical="center" wrapText="1"/>
    </xf>
    <xf numFmtId="167" fontId="87" fillId="0" borderId="2" xfId="0" applyNumberFormat="1" applyFont="1" applyFill="1" applyBorder="1" applyAlignment="1">
      <alignment horizontal="left" vertical="center" wrapText="1"/>
    </xf>
    <xf numFmtId="0" fontId="86" fillId="0" borderId="2" xfId="20" applyFont="1" applyFill="1" applyBorder="1" applyAlignment="1" applyProtection="1">
      <alignment horizontal="center" vertical="center" wrapText="1"/>
      <protection locked="0"/>
    </xf>
    <xf numFmtId="0" fontId="86" fillId="0" borderId="2" xfId="20" applyNumberFormat="1" applyFont="1" applyFill="1" applyBorder="1" applyAlignment="1" applyProtection="1">
      <alignment vertical="center" wrapText="1"/>
      <protection locked="0"/>
    </xf>
    <xf numFmtId="167" fontId="80" fillId="0" borderId="2" xfId="0" applyNumberFormat="1" applyFont="1" applyBorder="1" applyAlignment="1">
      <alignment horizontal="center" vertical="center" wrapText="1"/>
    </xf>
    <xf numFmtId="167" fontId="80" fillId="4" borderId="2" xfId="0" applyNumberFormat="1" applyFont="1" applyFill="1" applyBorder="1" applyAlignment="1">
      <alignment horizontal="center" vertical="center" wrapText="1"/>
    </xf>
    <xf numFmtId="167" fontId="87" fillId="0" borderId="2" xfId="0" applyNumberFormat="1" applyFont="1" applyBorder="1" applyAlignment="1">
      <alignment horizontal="center" vertical="center" wrapText="1"/>
    </xf>
    <xf numFmtId="2" fontId="80" fillId="0" borderId="2" xfId="0" applyNumberFormat="1" applyFont="1" applyBorder="1" applyAlignment="1">
      <alignment horizontal="center" vertical="center" wrapText="1"/>
    </xf>
    <xf numFmtId="167" fontId="80" fillId="0" borderId="9" xfId="14" applyNumberFormat="1" applyFont="1" applyFill="1" applyBorder="1" applyAlignment="1">
      <alignment horizontal="center" vertical="center" wrapText="1"/>
    </xf>
    <xf numFmtId="167" fontId="80" fillId="0" borderId="16" xfId="14" applyNumberFormat="1" applyFont="1" applyFill="1" applyBorder="1" applyAlignment="1">
      <alignment horizontal="center" vertical="center" wrapText="1"/>
    </xf>
    <xf numFmtId="167" fontId="80" fillId="0" borderId="6" xfId="14" applyNumberFormat="1" applyFont="1" applyFill="1" applyBorder="1" applyAlignment="1">
      <alignment horizontal="center" vertical="center" wrapText="1"/>
    </xf>
    <xf numFmtId="167" fontId="80" fillId="10" borderId="2" xfId="0" applyNumberFormat="1" applyFont="1" applyFill="1" applyBorder="1" applyAlignment="1">
      <alignment horizontal="center" vertical="center" wrapText="1"/>
    </xf>
    <xf numFmtId="43" fontId="80" fillId="6" borderId="9" xfId="14" applyFont="1" applyFill="1" applyBorder="1" applyAlignment="1">
      <alignment horizontal="center" vertical="center" wrapText="1"/>
    </xf>
    <xf numFmtId="43" fontId="80" fillId="6" borderId="16" xfId="14" applyFont="1" applyFill="1" applyBorder="1" applyAlignment="1">
      <alignment horizontal="center" vertical="center" wrapText="1"/>
    </xf>
    <xf numFmtId="43" fontId="80" fillId="6" borderId="6" xfId="14" applyFont="1" applyFill="1" applyBorder="1" applyAlignment="1">
      <alignment horizontal="center" vertical="center" wrapText="1"/>
    </xf>
    <xf numFmtId="180" fontId="80" fillId="6" borderId="9" xfId="14" applyNumberFormat="1" applyFont="1" applyFill="1" applyBorder="1" applyAlignment="1">
      <alignment horizontal="center" vertical="center" wrapText="1"/>
    </xf>
    <xf numFmtId="180" fontId="80" fillId="6" borderId="16" xfId="14" applyNumberFormat="1" applyFont="1" applyFill="1" applyBorder="1" applyAlignment="1">
      <alignment horizontal="center" vertical="center" wrapText="1"/>
    </xf>
    <xf numFmtId="180" fontId="80" fillId="6" borderId="6" xfId="14" applyNumberFormat="1" applyFont="1" applyFill="1" applyBorder="1" applyAlignment="1">
      <alignment horizontal="center" vertical="center" wrapText="1"/>
    </xf>
    <xf numFmtId="9" fontId="80" fillId="6" borderId="9" xfId="14" applyNumberFormat="1" applyFont="1" applyFill="1" applyBorder="1" applyAlignment="1">
      <alignment horizontal="center" vertical="center" wrapText="1"/>
    </xf>
    <xf numFmtId="167" fontId="87" fillId="10" borderId="2" xfId="0" applyNumberFormat="1" applyFont="1" applyFill="1" applyBorder="1" applyAlignment="1">
      <alignment horizontal="center" vertical="center" wrapText="1"/>
    </xf>
    <xf numFmtId="167" fontId="80" fillId="6" borderId="9" xfId="14" applyNumberFormat="1" applyFont="1" applyFill="1" applyBorder="1" applyAlignment="1">
      <alignment horizontal="center" vertical="center" wrapText="1"/>
    </xf>
    <xf numFmtId="167" fontId="80" fillId="6" borderId="16" xfId="14" applyNumberFormat="1" applyFont="1" applyFill="1" applyBorder="1" applyAlignment="1">
      <alignment horizontal="center" vertical="center" wrapText="1"/>
    </xf>
    <xf numFmtId="167" fontId="80" fillId="6" borderId="6" xfId="14" applyNumberFormat="1" applyFont="1" applyFill="1" applyBorder="1" applyAlignment="1">
      <alignment horizontal="center" vertical="center" wrapText="1"/>
    </xf>
    <xf numFmtId="0" fontId="86" fillId="0" borderId="9" xfId="24" applyNumberFormat="1" applyFont="1" applyBorder="1" applyAlignment="1">
      <alignment horizontal="center" vertical="center" wrapText="1"/>
    </xf>
    <xf numFmtId="0" fontId="86" fillId="0" borderId="16" xfId="24" applyNumberFormat="1" applyFont="1" applyBorder="1" applyAlignment="1">
      <alignment horizontal="center" vertical="center" wrapText="1"/>
    </xf>
    <xf numFmtId="0" fontId="86" fillId="0" borderId="6" xfId="24" applyNumberFormat="1" applyFont="1" applyBorder="1" applyAlignment="1">
      <alignment horizontal="center" vertical="center" wrapText="1"/>
    </xf>
    <xf numFmtId="0" fontId="84" fillId="0" borderId="9" xfId="24" applyNumberFormat="1" applyFont="1" applyBorder="1" applyAlignment="1">
      <alignment horizontal="center" vertical="center" wrapText="1"/>
    </xf>
    <xf numFmtId="0" fontId="84" fillId="0" borderId="16" xfId="24" applyNumberFormat="1" applyFont="1" applyBorder="1" applyAlignment="1">
      <alignment horizontal="center" vertical="center" wrapText="1"/>
    </xf>
    <xf numFmtId="0" fontId="84" fillId="0" borderId="6" xfId="24" applyNumberFormat="1" applyFont="1" applyBorder="1" applyAlignment="1">
      <alignment horizontal="center" vertical="center" wrapText="1"/>
    </xf>
    <xf numFmtId="0" fontId="86" fillId="0" borderId="9" xfId="20" applyFont="1" applyFill="1" applyBorder="1" applyAlignment="1" applyProtection="1">
      <alignment horizontal="center" vertical="center" wrapText="1"/>
      <protection locked="0"/>
    </xf>
    <xf numFmtId="0" fontId="86" fillId="0" borderId="16" xfId="20" applyFont="1" applyFill="1" applyBorder="1" applyAlignment="1" applyProtection="1">
      <alignment horizontal="center" vertical="center" wrapText="1"/>
      <protection locked="0"/>
    </xf>
    <xf numFmtId="0" fontId="86" fillId="0" borderId="6" xfId="20" applyFont="1" applyFill="1" applyBorder="1" applyAlignment="1" applyProtection="1">
      <alignment horizontal="center" vertical="center" wrapText="1"/>
      <protection locked="0"/>
    </xf>
    <xf numFmtId="0" fontId="86" fillId="0" borderId="9" xfId="20" applyNumberFormat="1" applyFont="1" applyFill="1" applyBorder="1" applyAlignment="1" applyProtection="1">
      <alignment horizontal="center" vertical="center" wrapText="1"/>
      <protection locked="0"/>
    </xf>
    <xf numFmtId="0" fontId="86" fillId="0" borderId="16" xfId="20" applyNumberFormat="1" applyFont="1" applyFill="1" applyBorder="1" applyAlignment="1" applyProtection="1">
      <alignment horizontal="center" vertical="center" wrapText="1"/>
      <protection locked="0"/>
    </xf>
    <xf numFmtId="0" fontId="86" fillId="0" borderId="6" xfId="20" applyNumberFormat="1" applyFont="1" applyFill="1" applyBorder="1" applyAlignment="1" applyProtection="1">
      <alignment horizontal="center" vertical="center" wrapText="1"/>
      <protection locked="0"/>
    </xf>
    <xf numFmtId="2" fontId="80" fillId="0" borderId="16" xfId="0" applyNumberFormat="1" applyFont="1" applyBorder="1" applyAlignment="1">
      <alignment horizontal="center" vertical="center" wrapText="1"/>
    </xf>
    <xf numFmtId="0" fontId="84" fillId="0" borderId="9" xfId="0" applyFont="1" applyFill="1" applyBorder="1" applyAlignment="1" applyProtection="1">
      <alignment horizontal="left" vertical="center" wrapText="1"/>
      <protection locked="0"/>
    </xf>
    <xf numFmtId="0" fontId="84" fillId="0" borderId="16" xfId="0" applyFont="1" applyFill="1" applyBorder="1" applyAlignment="1" applyProtection="1">
      <alignment horizontal="left" vertical="center" wrapText="1"/>
      <protection locked="0"/>
    </xf>
    <xf numFmtId="0" fontId="84" fillId="0" borderId="6" xfId="0" applyFont="1" applyFill="1" applyBorder="1" applyAlignment="1" applyProtection="1">
      <alignment horizontal="left" vertical="center" wrapText="1"/>
      <protection locked="0"/>
    </xf>
    <xf numFmtId="0" fontId="80" fillId="0" borderId="3" xfId="38" applyNumberFormat="1" applyFont="1" applyFill="1" applyBorder="1" applyAlignment="1" applyProtection="1">
      <alignment horizontal="center" vertical="center" wrapText="1"/>
      <protection locked="0"/>
    </xf>
    <xf numFmtId="0" fontId="80" fillId="0" borderId="4" xfId="38" applyNumberFormat="1" applyFont="1" applyFill="1" applyBorder="1" applyAlignment="1" applyProtection="1">
      <alignment horizontal="center" vertical="center" wrapText="1"/>
      <protection locked="0"/>
    </xf>
    <xf numFmtId="0" fontId="80" fillId="0" borderId="7" xfId="38" applyNumberFormat="1" applyFont="1" applyFill="1" applyBorder="1" applyAlignment="1" applyProtection="1">
      <alignment horizontal="center" vertical="center" wrapText="1"/>
      <protection locked="0"/>
    </xf>
    <xf numFmtId="0" fontId="64" fillId="0" borderId="0" xfId="0" applyFont="1" applyBorder="1" applyAlignment="1" applyProtection="1">
      <alignment horizontal="left" vertical="center" wrapText="1"/>
      <protection locked="0"/>
    </xf>
    <xf numFmtId="0" fontId="64" fillId="0" borderId="18" xfId="0" applyFont="1" applyBorder="1" applyAlignment="1" applyProtection="1">
      <alignment horizontal="center" vertical="center" wrapText="1"/>
      <protection locked="0"/>
    </xf>
    <xf numFmtId="0" fontId="88" fillId="0" borderId="0" xfId="0" applyFont="1" applyBorder="1" applyAlignment="1" applyProtection="1">
      <alignment horizontal="left" vertical="center" wrapText="1"/>
      <protection locked="0"/>
    </xf>
    <xf numFmtId="0" fontId="89" fillId="0" borderId="0" xfId="0" applyFont="1" applyBorder="1" applyAlignment="1" applyProtection="1">
      <alignment horizontal="left" vertical="center" wrapText="1"/>
      <protection locked="0"/>
    </xf>
    <xf numFmtId="17" fontId="3" fillId="33" borderId="7" xfId="0" applyNumberFormat="1" applyFont="1" applyFill="1" applyBorder="1" applyAlignment="1">
      <alignment horizontal="center" vertical="center" wrapText="1"/>
    </xf>
    <xf numFmtId="0" fontId="14" fillId="0" borderId="0" xfId="0" applyFont="1" applyBorder="1" applyAlignment="1" applyProtection="1">
      <alignment horizontal="left" vertical="top" wrapText="1"/>
      <protection locked="0"/>
    </xf>
    <xf numFmtId="0" fontId="14" fillId="0" borderId="0" xfId="0" applyFont="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0" fillId="0" borderId="0" xfId="0" applyFont="1" applyBorder="1" applyAlignment="1" applyProtection="1">
      <alignment horizontal="center" vertical="top" wrapText="1"/>
      <protection locked="0"/>
    </xf>
    <xf numFmtId="0" fontId="2" fillId="0" borderId="0"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18" fillId="0" borderId="3" xfId="0" applyFont="1" applyBorder="1" applyAlignment="1" applyProtection="1">
      <alignment horizontal="center" wrapText="1"/>
      <protection locked="0"/>
    </xf>
    <xf numFmtId="0" fontId="18" fillId="5" borderId="9" xfId="0" applyFont="1" applyFill="1" applyBorder="1" applyAlignment="1" applyProtection="1">
      <alignment horizontal="center" vertical="center" textRotation="90" wrapText="1"/>
      <protection locked="0"/>
    </xf>
    <xf numFmtId="0" fontId="18" fillId="5" borderId="6" xfId="0" applyFont="1" applyFill="1" applyBorder="1" applyAlignment="1" applyProtection="1">
      <alignment horizontal="center" vertical="center" textRotation="90" wrapText="1"/>
      <protection locked="0"/>
    </xf>
    <xf numFmtId="17" fontId="18" fillId="33" borderId="2" xfId="0" applyNumberFormat="1" applyFont="1" applyFill="1" applyBorder="1" applyAlignment="1">
      <alignment horizontal="center" vertical="center" wrapText="1"/>
    </xf>
    <xf numFmtId="0" fontId="18" fillId="33" borderId="2" xfId="0" applyFont="1" applyFill="1" applyBorder="1" applyAlignment="1">
      <alignment horizontal="center" vertical="center" wrapText="1"/>
    </xf>
    <xf numFmtId="17" fontId="18" fillId="16" borderId="2" xfId="0" applyNumberFormat="1" applyFont="1" applyFill="1" applyBorder="1" applyAlignment="1">
      <alignment horizontal="center" vertical="center" wrapText="1"/>
    </xf>
    <xf numFmtId="0" fontId="18" fillId="16" borderId="2" xfId="0" applyFont="1" applyFill="1" applyBorder="1" applyAlignment="1">
      <alignment horizontal="center" vertical="center" wrapText="1"/>
    </xf>
    <xf numFmtId="0" fontId="90" fillId="0" borderId="18" xfId="0" applyFont="1" applyBorder="1" applyAlignment="1" applyProtection="1">
      <alignment horizontal="center" vertical="center" wrapText="1"/>
      <protection locked="0"/>
    </xf>
    <xf numFmtId="0" fontId="47" fillId="0" borderId="0" xfId="0" applyFont="1" applyBorder="1" applyAlignment="1" applyProtection="1">
      <alignment horizontal="left" vertical="top" wrapText="1"/>
      <protection locked="0"/>
    </xf>
    <xf numFmtId="0" fontId="19" fillId="0" borderId="0" xfId="0" applyFont="1" applyBorder="1" applyAlignment="1" applyProtection="1">
      <alignment horizontal="left" vertical="center" wrapText="1"/>
      <protection locked="0"/>
    </xf>
    <xf numFmtId="0" fontId="20" fillId="0" borderId="0" xfId="0" applyFont="1" applyBorder="1" applyAlignment="1" applyProtection="1">
      <alignment horizontal="center" vertical="center"/>
      <protection locked="0"/>
    </xf>
    <xf numFmtId="0" fontId="2" fillId="0" borderId="17" xfId="0" applyFont="1" applyBorder="1" applyAlignment="1" applyProtection="1">
      <alignment horizontal="left" vertical="center" wrapText="1"/>
      <protection locked="0"/>
    </xf>
    <xf numFmtId="17" fontId="3" fillId="11" borderId="3" xfId="0" applyNumberFormat="1" applyFont="1" applyFill="1" applyBorder="1" applyAlignment="1">
      <alignment horizontal="center" vertical="center" wrapText="1"/>
    </xf>
    <xf numFmtId="0" fontId="8" fillId="6" borderId="9" xfId="0" applyNumberFormat="1" applyFont="1" applyFill="1" applyBorder="1" applyAlignment="1" applyProtection="1">
      <alignment horizontal="center" vertical="center" wrapText="1"/>
      <protection locked="0"/>
    </xf>
    <xf numFmtId="0" fontId="8" fillId="3" borderId="6" xfId="0" applyNumberFormat="1" applyFont="1" applyFill="1" applyBorder="1" applyAlignment="1" applyProtection="1">
      <alignment horizontal="center" vertical="center" wrapText="1"/>
      <protection locked="0"/>
    </xf>
    <xf numFmtId="17" fontId="16" fillId="20" borderId="2" xfId="0" applyNumberFormat="1" applyFont="1" applyFill="1" applyBorder="1" applyAlignment="1">
      <alignment horizontal="center" vertical="center" wrapText="1"/>
    </xf>
    <xf numFmtId="0" fontId="16" fillId="20" borderId="2" xfId="0" applyFont="1" applyFill="1" applyBorder="1" applyAlignment="1">
      <alignment horizontal="center" vertical="center" wrapText="1"/>
    </xf>
    <xf numFmtId="17" fontId="16" fillId="27" borderId="2" xfId="0" applyNumberFormat="1" applyFont="1" applyFill="1" applyBorder="1" applyAlignment="1">
      <alignment horizontal="center" vertical="center" wrapText="1"/>
    </xf>
    <xf numFmtId="0" fontId="16" fillId="27" borderId="2" xfId="0" applyFont="1" applyFill="1" applyBorder="1" applyAlignment="1">
      <alignment horizontal="center" vertical="center" wrapText="1"/>
    </xf>
    <xf numFmtId="17" fontId="16" fillId="32" borderId="2" xfId="0" applyNumberFormat="1" applyFont="1" applyFill="1" applyBorder="1" applyAlignment="1">
      <alignment horizontal="center" vertical="center" wrapText="1"/>
    </xf>
    <xf numFmtId="0" fontId="16" fillId="32" borderId="2" xfId="0" applyFont="1" applyFill="1" applyBorder="1" applyAlignment="1">
      <alignment horizontal="center" vertical="center" wrapText="1"/>
    </xf>
    <xf numFmtId="17" fontId="16" fillId="11" borderId="2" xfId="0" applyNumberFormat="1" applyFont="1" applyFill="1" applyBorder="1" applyAlignment="1">
      <alignment horizontal="center" vertical="center" wrapText="1"/>
    </xf>
    <xf numFmtId="0" fontId="16" fillId="11" borderId="2" xfId="0" applyFont="1" applyFill="1" applyBorder="1" applyAlignment="1">
      <alignment horizontal="center" vertical="center" wrapText="1"/>
    </xf>
    <xf numFmtId="17" fontId="16" fillId="31" borderId="2" xfId="0" applyNumberFormat="1" applyFont="1" applyFill="1" applyBorder="1" applyAlignment="1">
      <alignment horizontal="center" vertical="center" wrapText="1"/>
    </xf>
    <xf numFmtId="0" fontId="16" fillId="31" borderId="2" xfId="0" applyFont="1" applyFill="1" applyBorder="1" applyAlignment="1">
      <alignment horizontal="center" vertical="center" wrapText="1"/>
    </xf>
    <xf numFmtId="17" fontId="16" fillId="30" borderId="2" xfId="0" applyNumberFormat="1" applyFont="1" applyFill="1" applyBorder="1" applyAlignment="1">
      <alignment horizontal="center" vertical="center" wrapText="1"/>
    </xf>
    <xf numFmtId="0" fontId="16" fillId="30" borderId="2" xfId="0" applyFont="1" applyFill="1" applyBorder="1" applyAlignment="1">
      <alignment horizontal="center" vertical="center" wrapText="1"/>
    </xf>
    <xf numFmtId="17" fontId="16" fillId="33" borderId="2" xfId="0" applyNumberFormat="1" applyFont="1" applyFill="1" applyBorder="1" applyAlignment="1">
      <alignment horizontal="center" vertical="center" wrapText="1"/>
    </xf>
    <xf numFmtId="0" fontId="16" fillId="33" borderId="2" xfId="0" applyFont="1" applyFill="1" applyBorder="1" applyAlignment="1">
      <alignment horizontal="center" vertical="center" wrapText="1"/>
    </xf>
    <xf numFmtId="17" fontId="16" fillId="16" borderId="2" xfId="0" applyNumberFormat="1" applyFont="1" applyFill="1" applyBorder="1" applyAlignment="1">
      <alignment horizontal="center" vertical="center" wrapText="1"/>
    </xf>
    <xf numFmtId="0" fontId="16" fillId="16" borderId="2" xfId="0" applyFont="1" applyFill="1" applyBorder="1" applyAlignment="1">
      <alignment horizontal="center" vertical="center" wrapText="1"/>
    </xf>
    <xf numFmtId="0" fontId="8" fillId="5" borderId="2" xfId="0" applyFont="1" applyFill="1" applyBorder="1"/>
    <xf numFmtId="17" fontId="16" fillId="11" borderId="7" xfId="0" applyNumberFormat="1" applyFont="1" applyFill="1" applyBorder="1" applyAlignment="1">
      <alignment horizontal="center" vertical="center" wrapText="1"/>
    </xf>
    <xf numFmtId="0" fontId="56" fillId="0" borderId="0" xfId="0" applyFont="1" applyBorder="1" applyAlignment="1" applyProtection="1">
      <alignment horizontal="center" vertical="center" wrapText="1"/>
      <protection locked="0"/>
    </xf>
    <xf numFmtId="0" fontId="32" fillId="0" borderId="17" xfId="0" applyFont="1" applyBorder="1" applyAlignment="1" applyProtection="1">
      <alignment horizontal="center" vertical="center" wrapText="1"/>
      <protection locked="0"/>
    </xf>
    <xf numFmtId="0" fontId="32" fillId="0" borderId="0" xfId="0" applyFont="1" applyBorder="1" applyAlignment="1" applyProtection="1">
      <alignment horizontal="center" vertical="top" wrapText="1"/>
      <protection locked="0"/>
    </xf>
    <xf numFmtId="0" fontId="8" fillId="4" borderId="3" xfId="0" applyFont="1" applyFill="1" applyBorder="1" applyAlignment="1" applyProtection="1">
      <alignment horizontal="center" vertical="center" wrapText="1"/>
      <protection locked="0"/>
    </xf>
    <xf numFmtId="0" fontId="8" fillId="4" borderId="4" xfId="0" applyFont="1" applyFill="1" applyBorder="1" applyAlignment="1" applyProtection="1">
      <alignment horizontal="center" vertical="center" wrapText="1"/>
      <protection locked="0"/>
    </xf>
    <xf numFmtId="0" fontId="8" fillId="4" borderId="7" xfId="0" applyFont="1" applyFill="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2" fillId="4" borderId="3"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center" vertical="center" wrapText="1"/>
      <protection locked="0"/>
    </xf>
  </cellXfs>
  <cellStyles count="51">
    <cellStyle name="_MATRIZ_DEFINITIVA_PLANES_HOSPITAL_TUNAL" xfId="1"/>
    <cellStyle name="Categoría del Piloto de Datos" xfId="2"/>
    <cellStyle name="Comma 2" xfId="3"/>
    <cellStyle name="Estilo 1" xfId="4"/>
    <cellStyle name="Euro" xfId="5"/>
    <cellStyle name="Excel Built-in Normal" xfId="6"/>
    <cellStyle name="Millares" xfId="7" builtinId="3"/>
    <cellStyle name="Millares 2" xfId="8"/>
    <cellStyle name="Millares 2 2" xfId="9"/>
    <cellStyle name="Millares 2 2 2" xfId="10"/>
    <cellStyle name="Millares 2 3" xfId="11"/>
    <cellStyle name="Millares 3" xfId="12"/>
    <cellStyle name="Millares 3 2" xfId="13"/>
    <cellStyle name="Millares 4" xfId="14"/>
    <cellStyle name="Millares 5" xfId="15"/>
    <cellStyle name="Millres" xfId="16"/>
    <cellStyle name="Moneda" xfId="17" builtinId="4"/>
    <cellStyle name="Moneda 2" xfId="18"/>
    <cellStyle name="Normal" xfId="0" builtinId="0"/>
    <cellStyle name="Normal 2" xfId="19"/>
    <cellStyle name="Normal 2 2" xfId="20"/>
    <cellStyle name="Normal 2 2 2" xfId="21"/>
    <cellStyle name="Normal 2 3" xfId="22"/>
    <cellStyle name="Normal 3" xfId="23"/>
    <cellStyle name="Normal 3 2" xfId="24"/>
    <cellStyle name="Normal 3 3" xfId="25"/>
    <cellStyle name="Normal 3 4" xfId="26"/>
    <cellStyle name="Normal 3 5" xfId="27"/>
    <cellStyle name="Normal 4" xfId="28"/>
    <cellStyle name="Normal 4 2" xfId="29"/>
    <cellStyle name="Normal 4 3" xfId="30"/>
    <cellStyle name="Normal 6" xfId="31"/>
    <cellStyle name="Percent 2" xfId="32"/>
    <cellStyle name="Piloto de Datos Ángulo" xfId="33"/>
    <cellStyle name="Piloto de Datos Campo" xfId="34"/>
    <cellStyle name="Piloto de Datos Resultado" xfId="35"/>
    <cellStyle name="Piloto de Datos Título" xfId="36"/>
    <cellStyle name="Piloto de Datos Valor" xfId="37"/>
    <cellStyle name="Porcentaje" xfId="38" builtinId="5"/>
    <cellStyle name="Porcentaje 2" xfId="39"/>
    <cellStyle name="Porcentaje 2 2" xfId="40"/>
    <cellStyle name="Porcentaje 2 3" xfId="41"/>
    <cellStyle name="Porcentaje 3" xfId="42"/>
    <cellStyle name="Porcentaje 3 2" xfId="43"/>
    <cellStyle name="Porcentaje 4" xfId="44"/>
    <cellStyle name="Porcentual 2" xfId="45"/>
    <cellStyle name="Porcentual 2 2" xfId="46"/>
    <cellStyle name="Porcentual 3" xfId="47"/>
    <cellStyle name="Porcentual 4" xfId="48"/>
    <cellStyle name="Porcentual 4 2" xfId="49"/>
    <cellStyle name="Porcentual 5" xfId="50"/>
  </cellStyles>
  <dxfs count="3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61" Type="http://schemas.openxmlformats.org/officeDocument/2006/relationships/externalLink" Target="externalLinks/externalLink2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19050</xdr:colOff>
      <xdr:row>1</xdr:row>
      <xdr:rowOff>228600</xdr:rowOff>
    </xdr:to>
    <xdr:pic>
      <xdr:nvPicPr>
        <xdr:cNvPr id="160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06225"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93</xdr:col>
      <xdr:colOff>152400</xdr:colOff>
      <xdr:row>0</xdr:row>
      <xdr:rowOff>76200</xdr:rowOff>
    </xdr:from>
    <xdr:to>
      <xdr:col>94</xdr:col>
      <xdr:colOff>28575</xdr:colOff>
      <xdr:row>1</xdr:row>
      <xdr:rowOff>247650</xdr:rowOff>
    </xdr:to>
    <xdr:pic>
      <xdr:nvPicPr>
        <xdr:cNvPr id="2879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71100" y="76200"/>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19050</xdr:colOff>
      <xdr:row>1</xdr:row>
      <xdr:rowOff>228600</xdr:rowOff>
    </xdr:to>
    <xdr:pic>
      <xdr:nvPicPr>
        <xdr:cNvPr id="2982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400"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19050</xdr:colOff>
      <xdr:row>1</xdr:row>
      <xdr:rowOff>228600</xdr:rowOff>
    </xdr:to>
    <xdr:pic>
      <xdr:nvPicPr>
        <xdr:cNvPr id="31866"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15725"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28575</xdr:colOff>
      <xdr:row>1</xdr:row>
      <xdr:rowOff>361950</xdr:rowOff>
    </xdr:to>
    <xdr:pic>
      <xdr:nvPicPr>
        <xdr:cNvPr id="32885"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25450" y="57150"/>
          <a:ext cx="6381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19</xdr:col>
      <xdr:colOff>9525</xdr:colOff>
      <xdr:row>0</xdr:row>
      <xdr:rowOff>0</xdr:rowOff>
    </xdr:from>
    <xdr:to>
      <xdr:col>20</xdr:col>
      <xdr:colOff>276225</xdr:colOff>
      <xdr:row>3</xdr:row>
      <xdr:rowOff>38100</xdr:rowOff>
    </xdr:to>
    <xdr:pic>
      <xdr:nvPicPr>
        <xdr:cNvPr id="34015"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2325" y="0"/>
          <a:ext cx="6286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20</xdr:col>
      <xdr:colOff>295275</xdr:colOff>
      <xdr:row>1</xdr:row>
      <xdr:rowOff>228600</xdr:rowOff>
    </xdr:to>
    <xdr:pic>
      <xdr:nvPicPr>
        <xdr:cNvPr id="34958"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34950" y="57150"/>
          <a:ext cx="6286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20</xdr:col>
      <xdr:colOff>523875</xdr:colOff>
      <xdr:row>0</xdr:row>
      <xdr:rowOff>314325</xdr:rowOff>
    </xdr:from>
    <xdr:to>
      <xdr:col>21</xdr:col>
      <xdr:colOff>1095375</xdr:colOff>
      <xdr:row>1</xdr:row>
      <xdr:rowOff>542925</xdr:rowOff>
    </xdr:to>
    <xdr:pic>
      <xdr:nvPicPr>
        <xdr:cNvPr id="35968"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53050" y="314325"/>
          <a:ext cx="18192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19050</xdr:colOff>
      <xdr:row>1</xdr:row>
      <xdr:rowOff>228600</xdr:rowOff>
    </xdr:to>
    <xdr:pic>
      <xdr:nvPicPr>
        <xdr:cNvPr id="36977"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34700"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20</xdr:col>
      <xdr:colOff>190500</xdr:colOff>
      <xdr:row>2</xdr:row>
      <xdr:rowOff>0</xdr:rowOff>
    </xdr:to>
    <xdr:pic>
      <xdr:nvPicPr>
        <xdr:cNvPr id="4004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35125" y="57150"/>
          <a:ext cx="6286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9525</xdr:colOff>
      <xdr:row>1</xdr:row>
      <xdr:rowOff>228600</xdr:rowOff>
    </xdr:to>
    <xdr:pic>
      <xdr:nvPicPr>
        <xdr:cNvPr id="41026"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87725" y="57150"/>
          <a:ext cx="6286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66675</xdr:colOff>
      <xdr:row>0</xdr:row>
      <xdr:rowOff>66675</xdr:rowOff>
    </xdr:from>
    <xdr:to>
      <xdr:col>20</xdr:col>
      <xdr:colOff>409575</xdr:colOff>
      <xdr:row>1</xdr:row>
      <xdr:rowOff>228600</xdr:rowOff>
    </xdr:to>
    <xdr:pic>
      <xdr:nvPicPr>
        <xdr:cNvPr id="1658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11229975" y="66675"/>
          <a:ext cx="7239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20</xdr:col>
      <xdr:colOff>314325</xdr:colOff>
      <xdr:row>1</xdr:row>
      <xdr:rowOff>228600</xdr:rowOff>
    </xdr:to>
    <xdr:pic>
      <xdr:nvPicPr>
        <xdr:cNvPr id="43115"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67675"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20</xdr:col>
      <xdr:colOff>266700</xdr:colOff>
      <xdr:row>1</xdr:row>
      <xdr:rowOff>228600</xdr:rowOff>
    </xdr:to>
    <xdr:pic>
      <xdr:nvPicPr>
        <xdr:cNvPr id="44238"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77775"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19050</xdr:colOff>
      <xdr:row>1</xdr:row>
      <xdr:rowOff>228600</xdr:rowOff>
    </xdr:to>
    <xdr:pic>
      <xdr:nvPicPr>
        <xdr:cNvPr id="45156"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0"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180975</xdr:colOff>
      <xdr:row>0</xdr:row>
      <xdr:rowOff>85725</xdr:rowOff>
    </xdr:from>
    <xdr:to>
      <xdr:col>20</xdr:col>
      <xdr:colOff>228600</xdr:colOff>
      <xdr:row>1</xdr:row>
      <xdr:rowOff>200025</xdr:rowOff>
    </xdr:to>
    <xdr:pic>
      <xdr:nvPicPr>
        <xdr:cNvPr id="17560"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25550" y="85725"/>
          <a:ext cx="6286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66675</xdr:colOff>
      <xdr:row>0</xdr:row>
      <xdr:rowOff>19050</xdr:rowOff>
    </xdr:from>
    <xdr:to>
      <xdr:col>21</xdr:col>
      <xdr:colOff>209550</xdr:colOff>
      <xdr:row>1</xdr:row>
      <xdr:rowOff>247650</xdr:rowOff>
    </xdr:to>
    <xdr:pic>
      <xdr:nvPicPr>
        <xdr:cNvPr id="18570"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19050"/>
          <a:ext cx="10858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82</xdr:col>
      <xdr:colOff>266700</xdr:colOff>
      <xdr:row>10</xdr:row>
      <xdr:rowOff>971550</xdr:rowOff>
    </xdr:from>
    <xdr:to>
      <xdr:col>82</xdr:col>
      <xdr:colOff>4705350</xdr:colOff>
      <xdr:row>11</xdr:row>
      <xdr:rowOff>19050</xdr:rowOff>
    </xdr:to>
    <xdr:pic>
      <xdr:nvPicPr>
        <xdr:cNvPr id="18571" name="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021525" y="12382500"/>
          <a:ext cx="4438650" cy="414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20</xdr:col>
      <xdr:colOff>247650</xdr:colOff>
      <xdr:row>1</xdr:row>
      <xdr:rowOff>228600</xdr:rowOff>
    </xdr:to>
    <xdr:pic>
      <xdr:nvPicPr>
        <xdr:cNvPr id="2063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3525" y="57150"/>
          <a:ext cx="6191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47625</xdr:colOff>
      <xdr:row>1</xdr:row>
      <xdr:rowOff>228600</xdr:rowOff>
    </xdr:to>
    <xdr:pic>
      <xdr:nvPicPr>
        <xdr:cNvPr id="2165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4300"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20</xdr:col>
      <xdr:colOff>457200</xdr:colOff>
      <xdr:row>1</xdr:row>
      <xdr:rowOff>400050</xdr:rowOff>
    </xdr:to>
    <xdr:pic>
      <xdr:nvPicPr>
        <xdr:cNvPr id="23695"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18650" y="57150"/>
          <a:ext cx="14192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114300</xdr:colOff>
      <xdr:row>1</xdr:row>
      <xdr:rowOff>228600</xdr:rowOff>
    </xdr:to>
    <xdr:pic>
      <xdr:nvPicPr>
        <xdr:cNvPr id="2471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2075"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9525</xdr:colOff>
      <xdr:row>0</xdr:row>
      <xdr:rowOff>57150</xdr:rowOff>
    </xdr:from>
    <xdr:to>
      <xdr:col>21</xdr:col>
      <xdr:colOff>19050</xdr:colOff>
      <xdr:row>1</xdr:row>
      <xdr:rowOff>228600</xdr:rowOff>
    </xdr:to>
    <xdr:pic>
      <xdr:nvPicPr>
        <xdr:cNvPr id="2778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0" y="57150"/>
          <a:ext cx="638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pjquirog1\Documents\01%20PLANEACION\PLANES%20DE%20ACCION\2013\PLAN%20DE%20ACCION%20OAP%202013%20lorena%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04cc01\GrupoOperativoSIG\Users\pccampos1\Downloads\Metas%20plataforma%20estrategica%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langels1/AppData/Local/Microsoft/Windows/Temporary%20Internet%20Files/Content.Outlook/L0ARSVL1/Users/csramire1/Documents/SOFIA%20RAMIREZ/PLANEACION/ACURDOS%20GESTION%202013/FO-TH-01%20ACUERDO%20DE%20GESTION%20SRS%2005-03-20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cppintoa1\AppData\Local\Microsoft\Windows\Temporary%20Internet%20Files\Content.Outlook\LUBIBL84\PLAN%20DE%20ACCION%202013%20DTGJ.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dricoje1/AppData/Local/Microsoft/Windows/Temporary%20Internet%20Files/Content.Outlook/VBB1D9BD/Reporte%20Indicador%20Planes_Int_Sep_3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dricoje1/AppData/Local/Microsoft/Windows/Temporary%20Internet%20Files/Content.Outlook/VBB1D9BD/Indicador%20Planes_Int_Consolidado_20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lveland1/AppData/Local/Microsoft/Windows/Temporary%20Internet%20Files/Content.Outlook/OMNG2CN4/Users/pjquirog1/Documents/01%20PLANEACION/PLANES%20DE%20ACCION/2013/PLAN%20DE%20ACCION%20OAP%202013%20lorena%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kdurans1/SIG/2014/ACUEDOS%20DE%20GESTI&#211;N/FO-TH-01%20ACUERDO%20DE%20GESTION%20V_6%200%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rleonba1/AppData/Local/Microsoft/Windows/Temporary%20Internet%20Files/Content.Outlook/US3MDT13/INDICADORES%20OAC%20DICIEMBR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jhernan1/AppData/Local/Microsoft/Windows/Temporary%20Internet%20Files/Content.Outlook/6NNNT0R9/Indicador%20Planes_Int_Sep_3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jhernan1/AppData/Local/Microsoft/Windows/Temporary%20Internet%20Files/Content.Outlook/6NNNT0R9/Indicador%20Planes_Int_Dic_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b01nt01\Manuales\Documents%20and%20Settings\WILLIAM\DOCUMENTOS%20WILLIAM\Rafael%20Uribe\HOSPITAL%20RAFAEL%20URIBE\INDICADORES%20VSP\COMPONENTE3_VS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ogarcia3/AppData/Local/Microsoft/Windows/Temporary%20Internet%20Files/Content.Outlook/F6AB9ARS/PLAN%20DE%20ACCION%202014_SGGC.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prleonba1/AppData/Local/Microsoft/Windows/Temporary%20Internet%20Files/Content.Outlook/US3MDT13/INDICADORES%20SGGC%20DICIEMBR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Users\cwposada1\AppData\Local\Microsoft\Windows\Temporary%20Internet%20Files\Content.Outlook\69UE6ILW\Users\pjquirog1\Documents\01%20PLANEACION\PLANES%20DE%20ACCION\2013\PLAN%20DE%20ACCION%20OAP%202013%20lorena%20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Users\cwposada1\AppData\Local\Microsoft\Windows\Temporary%20Internet%20Files\Content.Outlook\69UE6ILW\10%20%20PLANEACI&#211;N\acuerdos%20de%20gesti&#243;n%20caracterizaci&#243;n%20y%20Plan%20de%20acci&#243;n\Copia%20de%20FO-TH-01%20ACUERDO%20DE%20GESTION%20V_6%200%20SGJ%20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pjquirog1\Documents\01%20PLANEACION\PLANES%20DE%20ACCION\2013\PLAN%20DE%20ACCION%20OAP%202013%20lorena%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prleonba1/AppData/Local/Microsoft/Windows/Temporary%20Internet%20Files/Content.Outlook/US3MDT13/INDICADORES%20STMSV%20DICIEMBRE.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mosorio1/Documents/MARTHA-DOC%20MOMENTO/BACKUP%20CD/2014/Plan%20de%20Accion-Acuerdos%20de%20gestion-indicadores/Actualizacion%20Plan%20de%20Acci&#243;n%20STPC%20%202013%20-%202016%20-%20FEB-28-2014%20(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pfvasque1/AppData/Local/Microsoft/Windows/Temporary%20Internet%20Files/Content.Outlook/FPT18LEM/FO-TH-01%20ACUERDO%20DE%20GESTION%20V_6.0%20(17-feb-20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prsolano1/AppData/Local/Microsoft/Windows/Temporary%20Internet%20Files/Content.Outlook/AXWJHXW9/FO-PL-035%20PLAN%20DE%20ACCION%202014%20%20V_4.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prsolano1/AppData/Local/Microsoft/Windows/Temporary%20Internet%20Files/Content.Outlook/AXWJHXW9/REPORTE%20MENSUAL%20INDICADORES%20%202014%20STT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tnavarr1/AppData/Local/Microsoft/Windows/Temporary%20Internet%20Files/Content.Outlook/4NKI92VJ/Reporte%20Indicador%20Planes_Int_Sep_3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prsolano1/AppData/Local/Microsoft/Windows/Temporary%20Internet%20Files/Content.Outlook/AXWJHXW9/Indicador%20Planes_Int_Dic_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pjquirog1\Documents\01%20PLANEACION\PLANES%20DE%20ACCION\2013\PLAN%20DE%20ACCION%20OAP%202013%20lorena%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1\rts\CONFIG~1\Temp\Copia%20de%20FO-TH-01%20ACUERDO%20DE%20GESTION%20V_6.0-20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rleonba1/AppData/Local/Microsoft/Windows/Temporary%20Internet%20Files/Content.Outlook/US3MDT13/INDICADORES%20DTD%20DICIEMB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jquirog1/Documents/01%20PLANEACION/PLANES%20DE%20ACCION/2013/PLAN%20DE%20ACCION%20OAP%202013%20lorena%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rleonba1/AppData/Local/Microsoft/Windows/Temporary%20Internet%20Files/Content.Outlook/US3MDT13/INDICADORES%20DTDP%20DICIEMBR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ntranet/Users/pjquirog1/AppData/Local/Microsoft/Windows/Temporary%20Internet%20Files/Content.Outlook/NYIZSGZC/FO-GAF-027%20FORMATO%20ACUERDO%20DE%20GESTION%20V%204.0_OA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Instrucciones"/>
      <sheetName val="Control"/>
      <sheetName val="param"/>
    </sheetNames>
    <sheetDataSet>
      <sheetData sheetId="0" refreshError="1"/>
      <sheetData sheetId="1" refreshError="1"/>
      <sheetData sheetId="2" refreshError="1"/>
      <sheetData sheetId="3" refreshError="1"/>
      <sheetData sheetId="4">
        <row r="2">
          <cell r="C2" t="str">
            <v>1.1. Cumplir con las metas del plan de desarrollo de la Bogotá Humana en lo que compete al IDU</v>
          </cell>
        </row>
        <row r="3">
          <cell r="C3" t="str">
            <v>1.2. Actualizar y divulgar el 100% de los convenios interinstitucionales e intersectoriales para el buen desarrollo de los proyectos de Movilidad Humana y suscribir nuevos convenios.</v>
          </cell>
        </row>
        <row r="4">
          <cell r="C4" t="str">
            <v>2.1. Realizar el 100% de la gestión y  coordinación interinstitucional para la ejecución de las obras.</v>
          </cell>
        </row>
        <row r="5">
          <cell r="C5" t="str">
            <v>2.2. Gestionar cuatro alianzas público privadas  dentro de la política de infraestructura, movilidad y Desarrollo Urbano.</v>
          </cell>
        </row>
        <row r="6">
          <cell r="C6" t="str">
            <v>2.3. Gestionar dos acuerdos de  cooperación internacional  que aporten a cumplimiento de las metas institucionales</v>
          </cell>
        </row>
        <row r="7">
          <cell r="C7" t="str">
            <v>2.4. Estructurar la propuesta de modificación de los acuerdos 180 de 2005 y 451 de 2010.</v>
          </cell>
        </row>
        <row r="8">
          <cell r="C8" t="str">
            <v>2.4. Estructurar la propuesta de modificación del Acuerdo 7 de 1987 - Estatuto de Valorización</v>
          </cell>
        </row>
        <row r="9">
          <cell r="C9" t="str">
            <v>2.4. Recuperar el 72% de la cartera vencida por concepto de valorización.</v>
          </cell>
        </row>
        <row r="10">
          <cell r="C10" t="str">
            <v>3.1. Diseñar e implementar un plan de gestión del conocimiento que permita capturar, organizar, transferir y difundir el conocimiento institucional.</v>
          </cell>
        </row>
        <row r="11">
          <cell r="C11" t="str">
            <v>3.2. Incorporar nuevas tecnologías, técnicas y/o  materiales a los procesos constructivos  al 100% de los proyectos de la Movilidad Humana.</v>
          </cell>
        </row>
        <row r="12">
          <cell r="C12" t="str">
            <v>3.3. Actualizar el 100% del inventario y diagnóstico de la malla vial, espacio publico y ciclorutas de competencia de la entidad.</v>
          </cell>
        </row>
        <row r="13">
          <cell r="C13" t="str">
            <v>3.4. Consolidar el Sistema de Información Geográfico del Instituto.</v>
          </cell>
        </row>
        <row r="14">
          <cell r="C14" t="str">
            <v>4.1. El 100% de los proyectos IDU contaran  con mecanismos de seguimiento y evaluación que permitan medir la satisfacción y percepción ciudadana frente al desarrollo de los mismos.</v>
          </cell>
        </row>
        <row r="15">
          <cell r="C15" t="str">
            <v>4.2. Mantener actualizados los portales de contratación (SECOP y CAV)de la información de gestión contractual adelantada por el IDU para la consulta de los ciudadanos.</v>
          </cell>
        </row>
        <row r="16">
          <cell r="C16" t="str">
            <v>4.3. Implementar un plan de intervención para mejorar el clima organizacional  y que promueva una cultura institucional en el marco del fortalecimiento de la entidad</v>
          </cell>
        </row>
        <row r="17">
          <cell r="C17" t="str">
            <v>4.4. Fortalecer la comunicación directa con la comunidad en el 100% de los contratos  de obra.</v>
          </cell>
        </row>
        <row r="18">
          <cell r="C18" t="str">
            <v>4.5. El 100% de los proyectos a cargo del IDU contaran con los medios y condiciones para promover procesos de participación ciudadana, gestión social y gestión ambiental en cada una de sus etapas.</v>
          </cell>
        </row>
        <row r="19">
          <cell r="C19" t="str">
            <v>4.6. Lograr el  90% de satisfacción  frente al servicio de atención al ciudadano en los puntos dispuestos por la entidad.</v>
          </cell>
        </row>
        <row r="20">
          <cell r="C20" t="str">
            <v>5.1. Mantener por encima del 90% la ejecución presupuestal (eficiencia)de la vigencia, pasivos exigibles y reservas.</v>
          </cell>
        </row>
        <row r="21">
          <cell r="C21" t="str">
            <v>5.2. Ejecutar el 100% de los proyectos institucionales de acuerdo con los cronogramas establecidos.</v>
          </cell>
        </row>
        <row r="22">
          <cell r="C22" t="str">
            <v>5.3. Realizar el seguimiento al 100% de los proyectos de inversión</v>
          </cell>
        </row>
        <row r="23">
          <cell r="C23" t="str">
            <v>5.4. Adelantar el 100% de las actuaciones de oficio o con base en las quejas e informes recibidos en relación con conductas presuntamente irregulares de los servidores públicos del IDU</v>
          </cell>
        </row>
        <row r="24">
          <cell r="C24" t="str">
            <v>5.5. Evaluar el 100% de los procesos y la gestión de las dependencias del IDU</v>
          </cell>
        </row>
        <row r="25">
          <cell r="C25" t="str">
            <v>5.6. Implementar, evaluar y auditar el 100% del Sistema Integrado de Gestión del IDU.</v>
          </cell>
        </row>
        <row r="26">
          <cell r="C26" t="str">
            <v>5.7. Mantener un nivel de éxito procesal del 82 % en términos del valor de pretensiones indexadas respecto de los procesos judiciales favorables al IDU.</v>
          </cell>
        </row>
        <row r="27">
          <cell r="C27" t="str">
            <v>5.8. Estructurar un proyecto técnico para la nueva sede del IDU.</v>
          </cell>
        </row>
        <row r="28">
          <cell r="C28" t="str">
            <v>5.9. Implementar un plan de modernización tecnológica del IDU.</v>
          </cell>
        </row>
        <row r="29">
          <cell r="C29" t="str">
            <v>5.1. Desarrollar una estrategia que articule la implementación de los subsistemas SGSI, SIGA y S&amp;SO.</v>
          </cell>
        </row>
        <row r="30">
          <cell r="C30" t="str">
            <v>5.11. Incrementar el uso de software libre para el desarrollo de las aplicaciones requeridas en la entidad y que sean viables bajo este tipo de  licenciamiento</v>
          </cell>
        </row>
        <row r="31">
          <cell r="C31" t="str">
            <v>5.12. Integrar el 100% de los sistemas de información administrativos y financieros de la entidad.</v>
          </cell>
        </row>
        <row r="32">
          <cell r="C32" t="str">
            <v>5.13. Estructurar técnicamente la propuesta para la ampliación de la planta de personal de acuerdo con las necesidades de la entidad y presentarla para su aprobación.</v>
          </cell>
        </row>
        <row r="33">
          <cell r="C33" t="str">
            <v>5.14. Implementar el sistema de estímulos que contribuya al mejoramiento de la calidad de vida laboral</v>
          </cell>
        </row>
        <row r="34">
          <cell r="C34" t="str">
            <v>5.15. Elaborar la propuesta de modificación de la estructura administrativa y de las funciones definidas en los Acuerdos 1 y 2 de 2009 y presentarla para su aprobación.</v>
          </cell>
        </row>
        <row r="35">
          <cell r="C35" t="str">
            <v>5.16. implementar el 100% de las actividades de formación y prevención dirigidas a los servidores y contratistas de la entidad sobre conductas que puedan constituir falta disciplinaria.</v>
          </cell>
        </row>
        <row r="36">
          <cell r="C36" t="str">
            <v>5.17. Mejorar y mantener la percepción favorable del 80% en la efectividad de la comunicación interna de la Entidad</v>
          </cell>
        </row>
        <row r="37">
          <cell r="C37" t="str">
            <v>5.18. Actualizar e Implementar un plan de comunicación interna y externa para la Entidad</v>
          </cell>
        </row>
        <row r="38">
          <cell r="C38" t="str">
            <v>5.19. Diseñar e implementar cuarenta campañas de comunicación a partir de las necesidades de comunicación surgidas en las áreas de la entidad</v>
          </cell>
        </row>
        <row r="39">
          <cell r="C39" t="str">
            <v>5.2. Implementar y evaluar el 100% del plan anticorrupción y atención al ciudadano, en el marco de las directrices nacionales y distritales.</v>
          </cell>
        </row>
        <row r="40">
          <cell r="C40" t="str">
            <v>5.21. Implementar el 100% del procedimiento de prevención de daño antijurídico</v>
          </cell>
        </row>
        <row r="41">
          <cell r="C41" t="str">
            <v>5.22. Construir la política, estrategia y manual de cooperación internacional para el IDU.</v>
          </cell>
        </row>
        <row r="42">
          <cell r="C42" t="str">
            <v>5.24. Cumplir la totalidad de los planes de mejoramiento establecidos por los entes de control internos y externos, en la vigencia correspondiente</v>
          </cell>
        </row>
        <row r="43">
          <cell r="C43" t="str">
            <v>5.25. Establecer y consolidar un Sistema de monitoreo y evaluación de la gestión del IDU</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vision"/>
      <sheetName val="metas mision"/>
      <sheetName val="metas"/>
      <sheetName val="mision-visión-objetivos"/>
      <sheetName val="Hoja3"/>
      <sheetName val="temas mision"/>
      <sheetName val="temas vision"/>
      <sheetName val="metas_vision"/>
      <sheetName val="metas_mision"/>
      <sheetName val="temas_mision"/>
      <sheetName val="temas_vision"/>
    </sheetNames>
    <sheetDataSet>
      <sheetData sheetId="0" refreshError="1"/>
      <sheetData sheetId="1" refreshError="1"/>
      <sheetData sheetId="2"/>
      <sheetData sheetId="3">
        <row r="21">
          <cell r="E21" t="str">
            <v>↑</v>
          </cell>
          <cell r="F21" t="str">
            <v>˄</v>
          </cell>
        </row>
        <row r="22">
          <cell r="E22" t="str">
            <v>-</v>
          </cell>
          <cell r="F22" t="str">
            <v>⃝</v>
          </cell>
        </row>
        <row r="23">
          <cell r="E23" t="str">
            <v>↓</v>
          </cell>
          <cell r="F23" t="str">
            <v>˅</v>
          </cell>
        </row>
      </sheetData>
      <sheetData sheetId="4" refreshError="1"/>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ciones"/>
      <sheetName val="Control"/>
      <sheetName val="Metas"/>
    </sheetNames>
    <sheetDataSet>
      <sheetData sheetId="0"/>
      <sheetData sheetId="1"/>
      <sheetData sheetId="2"/>
      <sheetData sheetId="3">
        <row r="4">
          <cell r="B4" t="str">
            <v>1.1 Cumplir con las metas del plan de desarrollo de la Bogotá Humana en lo que compete al IDU</v>
          </cell>
        </row>
        <row r="5">
          <cell r="B5" t="str">
            <v>1.2 Actualizar y divulgar el 100% de los convenios interinstitucionales e intersectoriales para el buen desarrollo de los proyectos de Movilidad Humana y suscribir nuevos convenios.</v>
          </cell>
        </row>
        <row r="6">
          <cell r="B6" t="str">
            <v>1.3 Realizar el 100% de la gestión y  coordinación interinstitucional para la ejecución de las obras.</v>
          </cell>
        </row>
        <row r="7">
          <cell r="B7" t="str">
            <v>2.1 Gestionar cuatro alianzas público privadas  dentro de la política de infraestructura, movilidad y Desarrollo Urbano.</v>
          </cell>
        </row>
        <row r="8">
          <cell r="B8" t="str">
            <v>2.2 Gestionar dos acuerdos de  cooperación internacional  que aporten a cumplimiento de las metas institucionales</v>
          </cell>
        </row>
        <row r="9">
          <cell r="B9" t="str">
            <v>2.3 Estructurar la propuesta de modificación de los acuerdos 180 de 2005 y 451 de 2010.</v>
          </cell>
        </row>
        <row r="10">
          <cell r="B10" t="str">
            <v>2.4 Estructurar la propuesta de modificación del Acuerdo 7 de 1987 - Estatuto de Valorización</v>
          </cell>
        </row>
        <row r="11">
          <cell r="B11" t="str">
            <v>2.5 Recuperar el 72% de la cartera vencida por concepto de valorización.</v>
          </cell>
        </row>
        <row r="12">
          <cell r="B12" t="str">
            <v>3.1 Diseñar e implementar un plan de gestión del conocimiento que permita capturar, organizar, transferir y difundir el conocimiento institucional.</v>
          </cell>
        </row>
        <row r="13">
          <cell r="B13" t="str">
            <v>3.2 Incorporar nuevas tecnologías, técnicas y/o  materiales a los procesos constructivos  al 100% de los proyectos de la Movilidad Humana.</v>
          </cell>
        </row>
        <row r="14">
          <cell r="B14" t="str">
            <v>3.3 Actualizar el 100% del inventario y diagnóstico de la malla vial, espacio publico y ciclorutas de competencia de la entidad.</v>
          </cell>
        </row>
        <row r="15">
          <cell r="B15" t="str">
            <v>3.4 Consolidar el Sistema de Información Geográfico del Instituto.</v>
          </cell>
        </row>
        <row r="16">
          <cell r="B16" t="str">
            <v>4.1 El 100% de los proyectos IDU contaran  con mecanismos de seguimiento y evaluación que permitan medir la satisfacción y percepción ciudadana frente al desarrollo de los mismos.</v>
          </cell>
        </row>
        <row r="17">
          <cell r="B17" t="str">
            <v>4.2 Mantener actualizados los portales de contratación (SECOP y CAV) de la información de gestión contractual adelantada por el IDU para la consulta de los ciudadanos.</v>
          </cell>
        </row>
        <row r="18">
          <cell r="B18" t="str">
            <v>4.3 Implementar un plan de intervención para mejorar el clima organizacional  y que promueva una cultura institucional en el marco del fortalecimiento de la entidad</v>
          </cell>
        </row>
        <row r="19">
          <cell r="B19" t="str">
            <v xml:space="preserve">4.4 Fortalecer la comunicación de la entidad con los ciudadanos. </v>
          </cell>
        </row>
        <row r="20">
          <cell r="B20" t="str">
            <v>4.5 El 100% de los proyectos a cargo del IDU contaran con los medios y condiciones para promover procesos de participación ciudadana, gestión social y gestión ambiental en cada una de sus etapas.</v>
          </cell>
        </row>
        <row r="21">
          <cell r="B21" t="str">
            <v>4.6 Lograr el  90% de satisfacción  frente al servicio de atención al ciudadano en los puntos dispuestos por la entidad.</v>
          </cell>
        </row>
        <row r="22">
          <cell r="B22" t="str">
            <v>5.1 Mantener por encima del 90% la ejecución presupuestal (eficiencia)de la vigencia, pasivos exigibles y reservas.</v>
          </cell>
        </row>
        <row r="23">
          <cell r="B23" t="str">
            <v>5.2 Ejecutar el 100% de los proyectos institucionales de acuerdo con los cronogramas establecidos.</v>
          </cell>
        </row>
        <row r="24">
          <cell r="B24" t="str">
            <v>5.3 Realizar el seguimiento al 100% de los proyectos de inversión</v>
          </cell>
        </row>
        <row r="25">
          <cell r="B25" t="str">
            <v>5.4 Construir la política, estrategia y manual de cooperación internacional para el IDU.</v>
          </cell>
        </row>
        <row r="26">
          <cell r="B26" t="str">
            <v>5.5 Adelantar el 100% de las actuaciones de oficio o con base en las quejas e informes recibidos en relación con conductas presuntamente irregulares de los servidores públicos del IDU</v>
          </cell>
        </row>
        <row r="27">
          <cell r="B27" t="str">
            <v>5.6 Evaluar el 100% de los procesos y la gestión de las dependencias del IDU</v>
          </cell>
        </row>
        <row r="28">
          <cell r="B28" t="str">
            <v>5.7 Establecer y consolidar un Sistema de monitoreo y evaluación de la gestión del IDU</v>
          </cell>
        </row>
        <row r="29">
          <cell r="B29" t="str">
            <v>5.8 Cumplir la totalidad de los planes de mejoramiento establecidos por los entes de control internos y externos, en la vigencia correspondiente</v>
          </cell>
        </row>
        <row r="30">
          <cell r="B30" t="str">
            <v>5.9 Implementar, evaluar y auditar el 100% del Sistema Integrado de Gestión del IDU.</v>
          </cell>
        </row>
        <row r="31">
          <cell r="B31" t="str">
            <v>5.10 Mantener un nivel de éxito procesal del 72 %  respecto de los procesos judiciales favorables al IDU</v>
          </cell>
        </row>
        <row r="32">
          <cell r="B32" t="str">
            <v xml:space="preserve"> 5.11 Implementar y articular un modelo de gerencia jurídica</v>
          </cell>
        </row>
        <row r="33">
          <cell r="B33" t="str">
            <v>5.12 Estructurar un proyecto técnico para la nueva sede del IDU.</v>
          </cell>
        </row>
        <row r="34">
          <cell r="B34" t="str">
            <v>5.13 Implementar un plan de modernización tecnológica del IDU.</v>
          </cell>
        </row>
        <row r="35">
          <cell r="B35" t="str">
            <v>5.14 Desarrollar una estrategia que articule la implementación de los subsistemas SGSI, SIGA y S&amp;SO.</v>
          </cell>
        </row>
        <row r="36">
          <cell r="B36" t="str">
            <v>5.15 Incrementar el uso de software libre para el desarrollo de las aplicaciones requeridas en la entidad y que sean viables bajo este tipo de  licenciamiento</v>
          </cell>
        </row>
        <row r="37">
          <cell r="B37" t="str">
            <v>5.16 Integrar el 100% de los sistemas de información administrativos y financieros de la entidad.</v>
          </cell>
        </row>
        <row r="38">
          <cell r="B38" t="str">
            <v>5.17 Estructurar técnicamente la propuesta para la ampliación de la planta de personal de acuerdo con las necesidades de la entidad y presentarla para su aprobación.</v>
          </cell>
        </row>
        <row r="39">
          <cell r="B39" t="str">
            <v>5.18 Implementar el sistema de estímulos que contribuya al mejoramiento de la calidad de vida laboral</v>
          </cell>
        </row>
        <row r="40">
          <cell r="B40" t="str">
            <v>5.19 Elaborar la propuesta de modificación de la estructura administrativa y de las funciones definidas en los Acuerdos 1 y 2 de 2009 y presentarla para su aprobación.</v>
          </cell>
        </row>
        <row r="41">
          <cell r="B41" t="str">
            <v>5.20 Implementar el 100% de las actividades de formación y prevención dirigidas a los servidores y contratistas de la entidad sobre conductas que puedan constituir falta disciplinaria.</v>
          </cell>
        </row>
        <row r="42">
          <cell r="B42" t="str">
            <v>5.21 Mejorar y fortalecer la percepción favorable del  80% en la efectividad de los canales de comunicación interna definidos en el plan de comunicaciones.</v>
          </cell>
        </row>
        <row r="43">
          <cell r="B43" t="str">
            <v>5.22 Implementar y evaluar el 100% del plan anticorrupción y atención al ciudadano, en el marco de las directrices nacionales y distritales.</v>
          </cell>
        </row>
        <row r="44">
          <cell r="B44" t="str">
            <v>5.23 Implementar el 100% del procedimiento de prevención de daño antijurídico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param"/>
      <sheetName val="Instrucciones"/>
      <sheetName val="Control"/>
      <sheetName val="Plan de Acción ejemplo"/>
      <sheetName val="Hoja2"/>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L-054"/>
      <sheetName val="Interno"/>
      <sheetName val="Consolidado Resultados"/>
    </sheetNames>
    <sheetDataSet>
      <sheetData sheetId="0"/>
      <sheetData sheetId="1"/>
      <sheetData sheetId="2">
        <row r="7">
          <cell r="C7" t="str">
            <v>NO APLICA EVALUACIÓN EN EL PERIODO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L-054"/>
      <sheetName val="Consolidado Resultados"/>
      <sheetName val="Interno"/>
    </sheetNames>
    <sheetDataSet>
      <sheetData sheetId="0"/>
      <sheetData sheetId="1">
        <row r="8">
          <cell r="C8" t="str">
            <v>NO APLICA EVALUACIÓN EN EL PERIODO</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Instrucciones"/>
      <sheetName val="Control"/>
      <sheetName val="param"/>
    </sheetNames>
    <sheetDataSet>
      <sheetData sheetId="0" refreshError="1"/>
      <sheetData sheetId="1" refreshError="1"/>
      <sheetData sheetId="2" refreshError="1"/>
      <sheetData sheetId="3" refreshError="1"/>
      <sheetData sheetId="4">
        <row r="2">
          <cell r="C2" t="str">
            <v>1.1. Cumplir con las metas del plan de desarrollo de la Bogotá Humana en lo que compete al IDU</v>
          </cell>
        </row>
        <row r="3">
          <cell r="C3" t="str">
            <v>1.2. Actualizar y divulgar el 100% de los convenios interinstitucionales e intersectoriales para el buen desarrollo de los proyectos de Movilidad Humana y suscribir nuevos convenios.</v>
          </cell>
        </row>
        <row r="4">
          <cell r="C4" t="str">
            <v>2.1. Realizar el 100% de la gestión y  coordinación interinstitucional para la ejecución de las obras.</v>
          </cell>
        </row>
        <row r="5">
          <cell r="C5" t="str">
            <v>2.2. Gestionar cuatro alianzas público privadas  dentro de la política de infraestructura, movilidad y Desarrollo Urbano.</v>
          </cell>
        </row>
        <row r="6">
          <cell r="C6" t="str">
            <v>2.3. Gestionar dos acuerdos de  cooperación internacional  que aporten a cumplimiento de las metas institucionales</v>
          </cell>
        </row>
        <row r="7">
          <cell r="C7" t="str">
            <v>2.4. Estructurar la propuesta de modificación de los acuerdos 180 de 2005 y 451 de 2010.</v>
          </cell>
        </row>
        <row r="8">
          <cell r="C8" t="str">
            <v>2.4. Estructurar la propuesta de modificación del Acuerdo 7 de 1987 - Estatuto de Valorización</v>
          </cell>
        </row>
        <row r="9">
          <cell r="C9" t="str">
            <v>2.4. Recuperar el 72% de la cartera vencida por concepto de valorización.</v>
          </cell>
        </row>
        <row r="10">
          <cell r="C10" t="str">
            <v>3.1. Diseñar e implementar un plan de gestión del conocimiento que permita capturar, organizar, transferir y difundir el conocimiento institucional.</v>
          </cell>
        </row>
        <row r="11">
          <cell r="C11" t="str">
            <v>3.2. Incorporar nuevas tecnologías, técnicas y/o  materiales a los procesos constructivos  al 100% de los proyectos de la Movilidad Humana.</v>
          </cell>
        </row>
        <row r="12">
          <cell r="C12" t="str">
            <v>3.3. Actualizar el 100% del inventario y diagnóstico de la malla vial, espacio publico y ciclorutas de competencia de la entidad.</v>
          </cell>
        </row>
        <row r="13">
          <cell r="C13" t="str">
            <v>3.4. Consolidar el Sistema de Información Geográfico del Instituto.</v>
          </cell>
        </row>
        <row r="14">
          <cell r="C14" t="str">
            <v>4.1. El 100% de los proyectos IDU contaran  con mecanismos de seguimiento y evaluación que permitan medir la satisfacción y percepción ciudadana frente al desarrollo de los mismos.</v>
          </cell>
        </row>
        <row r="15">
          <cell r="C15" t="str">
            <v>4.2. Mantener actualizados los portales de contratación (SECOP y CAV)de la información de gestión contractual adelantada por el IDU para la consulta de los ciudadanos.</v>
          </cell>
        </row>
        <row r="16">
          <cell r="C16" t="str">
            <v>4.3. Implementar un plan de intervención para mejorar el clima organizacional  y que promueva una cultura institucional en el marco del fortalecimiento de la entidad</v>
          </cell>
        </row>
        <row r="17">
          <cell r="C17" t="str">
            <v>4.4. Fortalecer la comunicación directa con la comunidad en el 100% de los contratos  de obra.</v>
          </cell>
        </row>
        <row r="18">
          <cell r="C18" t="str">
            <v>4.5. El 100% de los proyectos a cargo del IDU contaran con los medios y condiciones para promover procesos de participación ciudadana, gestión social y gestión ambiental en cada una de sus etapas.</v>
          </cell>
        </row>
        <row r="19">
          <cell r="C19" t="str">
            <v>4.6. Lograr el  90% de satisfacción  frente al servicio de atención al ciudadano en los puntos dispuestos por la entidad.</v>
          </cell>
        </row>
        <row r="20">
          <cell r="C20" t="str">
            <v>5.1. Mantener por encima del 90% la ejecución presupuestal (eficiencia)de la vigencia, pasivos exigibles y reservas.</v>
          </cell>
        </row>
        <row r="21">
          <cell r="C21" t="str">
            <v>5.2. Ejecutar el 100% de los proyectos institucionales de acuerdo con los cronogramas establecidos.</v>
          </cell>
        </row>
        <row r="22">
          <cell r="C22" t="str">
            <v>5.3. Realizar el seguimiento al 100% de los proyectos de inversión</v>
          </cell>
        </row>
        <row r="23">
          <cell r="C23" t="str">
            <v>5.4. Adelantar el 100% de las actuaciones de oficio o con base en las quejas e informes recibidos en relación con conductas presuntamente irregulares de los servidores públicos del IDU</v>
          </cell>
        </row>
        <row r="24">
          <cell r="C24" t="str">
            <v>5.5. Evaluar el 100% de los procesos y la gestión de las dependencias del IDU</v>
          </cell>
        </row>
        <row r="25">
          <cell r="C25" t="str">
            <v>5.6. Implementar, evaluar y auditar el 100% del Sistema Integrado de Gestión del IDU.</v>
          </cell>
        </row>
        <row r="26">
          <cell r="C26" t="str">
            <v>5.7. Mantener un nivel de éxito procesal del 82 % en términos del valor de pretensiones indexadas respecto de los procesos judiciales favorables al IDU.</v>
          </cell>
        </row>
        <row r="27">
          <cell r="C27" t="str">
            <v>5.8. Estructurar un proyecto técnico para la nueva sede del IDU.</v>
          </cell>
        </row>
        <row r="28">
          <cell r="C28" t="str">
            <v>5.9. Implementar un plan de modernización tecnológica del IDU.</v>
          </cell>
        </row>
        <row r="29">
          <cell r="C29" t="str">
            <v>5.1. Desarrollar una estrategia que articule la implementación de los subsistemas SGSI, SIGA y S&amp;SO.</v>
          </cell>
        </row>
        <row r="30">
          <cell r="C30" t="str">
            <v>5.11. Incrementar el uso de software libre para el desarrollo de las aplicaciones requeridas en la entidad y que sean viables bajo este tipo de  licenciamiento</v>
          </cell>
        </row>
        <row r="31">
          <cell r="C31" t="str">
            <v>5.12. Integrar el 100% de los sistemas de información administrativos y financieros de la entidad.</v>
          </cell>
        </row>
        <row r="32">
          <cell r="C32" t="str">
            <v>5.13. Estructurar técnicamente la propuesta para la ampliación de la planta de personal de acuerdo con las necesidades de la entidad y presentarla para su aprobación.</v>
          </cell>
        </row>
        <row r="33">
          <cell r="C33" t="str">
            <v>5.14. Implementar el sistema de estímulos que contribuya al mejoramiento de la calidad de vida laboral</v>
          </cell>
        </row>
        <row r="34">
          <cell r="C34" t="str">
            <v>5.15. Elaborar la propuesta de modificación de la estructura administrativa y de las funciones definidas en los Acuerdos 1 y 2 de 2009 y presentarla para su aprobación.</v>
          </cell>
        </row>
        <row r="35">
          <cell r="C35" t="str">
            <v>5.16. implementar el 100% de las actividades de formación y prevención dirigidas a los servidores y contratistas de la entidad sobre conductas que puedan constituir falta disciplinaria.</v>
          </cell>
        </row>
        <row r="36">
          <cell r="C36" t="str">
            <v>5.17. Mejorar y mantener la percepción favorable del 80% en la efectividad de la comunicación interna de la Entidad</v>
          </cell>
        </row>
        <row r="37">
          <cell r="C37" t="str">
            <v>5.18. Actualizar e Implementar un plan de comunicación interna y externa para la Entidad</v>
          </cell>
        </row>
        <row r="38">
          <cell r="C38" t="str">
            <v>5.19. Diseñar e implementar cuarenta campañas de comunicación a partir de las necesidades de comunicación surgidas en las áreas de la entidad</v>
          </cell>
        </row>
        <row r="39">
          <cell r="C39" t="str">
            <v>5.2. Implementar y evaluar el 100% del plan anticorrupción y atención al ciudadano, en el marco de las directrices nacionales y distritales.</v>
          </cell>
        </row>
        <row r="40">
          <cell r="C40" t="str">
            <v>5.21. Implementar el 100% del procedimiento de prevención de daño antijurídico</v>
          </cell>
        </row>
        <row r="41">
          <cell r="C41" t="str">
            <v>5.22. Construir la política, estrategia y manual de cooperación internacional para el IDU.</v>
          </cell>
        </row>
        <row r="42">
          <cell r="C42" t="str">
            <v>5.24. Cumplir la totalidad de los planes de mejoramiento establecidos por los entes de control internos y externos, en la vigencia correspondiente</v>
          </cell>
        </row>
        <row r="43">
          <cell r="C43" t="str">
            <v>5.25. Establecer y consolidar un Sistema de monitoreo y evaluación de la gestión del IDU</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ciones"/>
      <sheetName val="Control"/>
      <sheetName val="Metas"/>
    </sheetNames>
    <sheetDataSet>
      <sheetData sheetId="0" refreshError="1"/>
      <sheetData sheetId="1" refreshError="1"/>
      <sheetData sheetId="2" refreshError="1"/>
      <sheetData sheetId="3">
        <row r="4">
          <cell r="B4" t="str">
            <v>1.1 Cumplir con las metas del plan de desarrollo de la Bogotá Humana en lo que compete al IDU</v>
          </cell>
        </row>
        <row r="5">
          <cell r="B5" t="str">
            <v>1.2 Actualizar y divulgar el 100% de los convenios interinstitucionales e intersectoriales para el buen desarrollo de los proyectos de Movilidad Humana y suscribir nuevos convenios.</v>
          </cell>
        </row>
        <row r="6">
          <cell r="B6" t="str">
            <v>1.3 Realizar el 100% de la gestión y  coordinación interinstitucional para la ejecución de las obras.</v>
          </cell>
        </row>
        <row r="7">
          <cell r="B7" t="str">
            <v>2.1 Gestionar cuatro alianzas público privadas  dentro de la política de infraestructura, movilidad y Desarrollo Urbano.</v>
          </cell>
        </row>
        <row r="8">
          <cell r="B8" t="str">
            <v>2.2 Gestionar dos acuerdos de  cooperación internacional  que aporten a cumplimiento de las metas institucionales</v>
          </cell>
        </row>
        <row r="9">
          <cell r="B9" t="str">
            <v>2.3 Estructurar la propuesta de modificación de los acuerdos 180 de 2005 y 451 de 2010.</v>
          </cell>
        </row>
        <row r="10">
          <cell r="B10" t="str">
            <v>2.4 Estructurar la propuesta de modificación del Acuerdo 7 de 1987 - Estatuto de Valorización</v>
          </cell>
        </row>
        <row r="11">
          <cell r="B11" t="str">
            <v>2.5 Recuperar el 72% de la cartera vencida por concepto de valorización.</v>
          </cell>
        </row>
        <row r="12">
          <cell r="B12" t="str">
            <v>3.1 Diseñar e implementar un plan de gestión del conocimiento que permita capturar, organizar, transferir y difundir el conocimiento institucional.</v>
          </cell>
        </row>
        <row r="13">
          <cell r="B13" t="str">
            <v>3.2 Incorporar nuevas tecnologías, técnicas y/o  materiales a los procesos constructivos  al 100% de los proyectos de la Movilidad Humana.</v>
          </cell>
        </row>
        <row r="14">
          <cell r="B14" t="str">
            <v>3.3 Actualizar el 100% del inventario y diagnóstico de la malla vial, espacio publico y ciclorutas de competencia de la entidad.</v>
          </cell>
        </row>
        <row r="15">
          <cell r="B15" t="str">
            <v>3.4 Consolidar el Sistema de Información Geográfico del Instituto.</v>
          </cell>
        </row>
        <row r="16">
          <cell r="B16" t="str">
            <v>4.1 El 100% de los proyectos IDU contaran  con mecanismos de seguimiento y evaluación que permitan medir la satisfacción y percepción ciudadana frente al desarrollo de los mismos.</v>
          </cell>
        </row>
        <row r="17">
          <cell r="B17" t="str">
            <v>4.2 Mantener actualizados los portales de contratación (SECOP y CAV) de la información de gestión contractual adelantada por el IDU para la consulta de los ciudadanos.</v>
          </cell>
        </row>
        <row r="18">
          <cell r="B18" t="str">
            <v>4.3 Implementar un plan de intervención para mejorar el clima organizacional  y que promueva una cultura institucional en el marco del fortalecimiento de la entidad</v>
          </cell>
        </row>
        <row r="19">
          <cell r="B19" t="str">
            <v xml:space="preserve">4.4 Fortalecer la comunicación de la entidad con los ciudadanos. </v>
          </cell>
        </row>
        <row r="20">
          <cell r="B20" t="str">
            <v>4.5 El 100% de los proyectos a cargo del IDU contaran con los medios y condiciones para promover procesos de participación ciudadana, gestión social y gestión ambiental en cada una de sus etapas.</v>
          </cell>
        </row>
        <row r="21">
          <cell r="B21" t="str">
            <v>4.6 Lograr el  90% de satisfacción  frente al servicio de atención al ciudadano en los puntos dispuestos por la entidad.</v>
          </cell>
        </row>
        <row r="22">
          <cell r="B22" t="str">
            <v>5.1 Mantener por encima del 90% la ejecución presupuestal (eficiencia)de la vigencia, pasivos exigibles y reservas.</v>
          </cell>
        </row>
        <row r="23">
          <cell r="B23" t="str">
            <v>5.2 Ejecutar el 100% de los proyectos institucionales de acuerdo con los cronogramas establecidos.</v>
          </cell>
        </row>
        <row r="24">
          <cell r="B24" t="str">
            <v>5.3 Realizar el seguimiento al 100% de los proyectos de inversión</v>
          </cell>
        </row>
        <row r="25">
          <cell r="B25" t="str">
            <v>5.4 Construir la política, estrategia y manual de cooperación internacional para el IDU.</v>
          </cell>
        </row>
        <row r="26">
          <cell r="B26" t="str">
            <v>5.5 Adelantar el 100% de las actuaciones de oficio o con base en las quejas e informes recibidos en relación con conductas presuntamente irregulares de los servidores públicos del IDU</v>
          </cell>
        </row>
        <row r="27">
          <cell r="B27" t="str">
            <v>5.6 Evaluar el 100% de los procesos y la gestión de las dependencias del IDU</v>
          </cell>
        </row>
        <row r="28">
          <cell r="B28" t="str">
            <v>5.7 Establecer y consolidar un Sistema de monitoreo y evaluación de la gestión del IDU</v>
          </cell>
        </row>
        <row r="29">
          <cell r="B29" t="str">
            <v>5.8 Cumplir la totalidad de los planes de mejoramiento establecidos por los entes de control internos y externos, en la vigencia correspondiente</v>
          </cell>
        </row>
        <row r="30">
          <cell r="B30" t="str">
            <v>5.9 Implementar, evaluar y auditar el 100% del Sistema Integrado de Gestión del IDU.</v>
          </cell>
        </row>
        <row r="31">
          <cell r="B31" t="str">
            <v>5.10 Mantener un nivel de éxito procesal del 72 %  respecto de los procesos judiciales favorables al IDU</v>
          </cell>
        </row>
        <row r="32">
          <cell r="B32" t="str">
            <v xml:space="preserve"> 5.11 Implementar y articular un modelo de gerencia jurídica</v>
          </cell>
        </row>
        <row r="33">
          <cell r="B33" t="str">
            <v>5.12 Estructurar un proyecto técnico para la nueva sede del IDU.</v>
          </cell>
        </row>
        <row r="34">
          <cell r="B34" t="str">
            <v>5.13 Implementar un plan de modernización tecnológica del IDU.</v>
          </cell>
        </row>
        <row r="35">
          <cell r="B35" t="str">
            <v>5.14 Desarrollar una estrategia que articule la implementación de los subsistemas SGSI, SIGA y S&amp;SO.</v>
          </cell>
        </row>
        <row r="36">
          <cell r="B36" t="str">
            <v>5.15 Incrementar el uso de software libre para el desarrollo de las aplicaciones requeridas en la entidad y que sean viables bajo este tipo de  licenciamiento</v>
          </cell>
        </row>
        <row r="37">
          <cell r="B37" t="str">
            <v>5.16 Integrar el 100% de los sistemas de información administrativos y financieros de la entidad.</v>
          </cell>
        </row>
        <row r="38">
          <cell r="B38" t="str">
            <v>5.17 Estructurar técnicamente la propuesta para la ampliación de la planta de personal de acuerdo con las necesidades de la entidad y presentarla para su aprobación.</v>
          </cell>
        </row>
        <row r="39">
          <cell r="B39" t="str">
            <v>5.18 Implementar el sistema de estímulos que contribuya al mejoramiento de la calidad de vida laboral</v>
          </cell>
        </row>
        <row r="40">
          <cell r="B40" t="str">
            <v>5.19 Elaborar la propuesta de modificación de la estructura administrativa y de las funciones definidas en los Acuerdos 1 y 2 de 2009 y presentarla para su aprobación.</v>
          </cell>
        </row>
        <row r="41">
          <cell r="B41" t="str">
            <v>5.20 Implementar el 100% de las actividades de formación y prevención dirigidas a los servidores y contratistas de la entidad sobre conductas que puedan constituir falta disciplinaria.</v>
          </cell>
        </row>
        <row r="42">
          <cell r="B42" t="str">
            <v>5.21 Mejorar y fortalecer la percepción favorable del  80% en la efectividad de los canales de comunicación interna definidos en el plan de comunicaciones.</v>
          </cell>
        </row>
        <row r="43">
          <cell r="B43" t="str">
            <v>5.22 Implementar y evaluar el 100% del plan anticorrupción y atención al ciudadano, en el marco de las directrices nacionales y distritales.</v>
          </cell>
        </row>
        <row r="44">
          <cell r="B44" t="str">
            <v>5.23 Implementar el 100% del procedimiento de prevención de daño antijurídico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nsa"/>
      <sheetName val="externa"/>
      <sheetName val="Redes"/>
      <sheetName val="Com interna"/>
      <sheetName val="Encuesta"/>
      <sheetName val="Estrategias"/>
      <sheetName val="Pasivos"/>
      <sheetName val="Reservas"/>
      <sheetName val="Presupuesto"/>
      <sheetName val="Plan de mejoram.1"/>
      <sheetName val="Plan de mejoram. 2"/>
      <sheetName val="Consolidado"/>
    </sheetNames>
    <sheetDataSet>
      <sheetData sheetId="0">
        <row r="3">
          <cell r="C3">
            <v>21792</v>
          </cell>
        </row>
        <row r="23">
          <cell r="G23">
            <v>985</v>
          </cell>
        </row>
        <row r="24">
          <cell r="G24">
            <v>2945</v>
          </cell>
        </row>
        <row r="25">
          <cell r="G25">
            <v>4200</v>
          </cell>
        </row>
        <row r="26">
          <cell r="G26">
            <v>6429</v>
          </cell>
        </row>
      </sheetData>
      <sheetData sheetId="1">
        <row r="20">
          <cell r="S20">
            <v>1164</v>
          </cell>
        </row>
        <row r="25">
          <cell r="G25">
            <v>56</v>
          </cell>
        </row>
        <row r="26">
          <cell r="G26">
            <v>162</v>
          </cell>
        </row>
        <row r="27">
          <cell r="G27">
            <v>251</v>
          </cell>
        </row>
        <row r="28">
          <cell r="G28">
            <v>410</v>
          </cell>
        </row>
      </sheetData>
      <sheetData sheetId="2">
        <row r="2">
          <cell r="C2">
            <v>24526</v>
          </cell>
        </row>
        <row r="15">
          <cell r="G15">
            <v>1669</v>
          </cell>
          <cell r="H15">
            <v>3534</v>
          </cell>
          <cell r="I15">
            <v>5615</v>
          </cell>
          <cell r="J15">
            <v>7739</v>
          </cell>
        </row>
      </sheetData>
      <sheetData sheetId="3">
        <row r="2">
          <cell r="C2">
            <v>660</v>
          </cell>
        </row>
        <row r="24">
          <cell r="G24">
            <v>89</v>
          </cell>
          <cell r="H24">
            <v>213</v>
          </cell>
          <cell r="I24">
            <v>358</v>
          </cell>
          <cell r="J24">
            <v>480</v>
          </cell>
        </row>
      </sheetData>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L-054"/>
      <sheetName val="Consolidado Resultados"/>
      <sheetName val="Interno"/>
    </sheetNames>
    <sheetDataSet>
      <sheetData sheetId="0" refreshError="1"/>
      <sheetData sheetId="1">
        <row r="12">
          <cell r="C12" t="str">
            <v>0 %</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L-054"/>
      <sheetName val="Consolidado Resultados"/>
      <sheetName val="Interno"/>
    </sheetNames>
    <sheetDataSet>
      <sheetData sheetId="0"/>
      <sheetData sheetId="1">
        <row r="12">
          <cell r="C12" t="str">
            <v>100 %</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componente 3.1 VSP"/>
      <sheetName val="Facturacion RUU"/>
      <sheetName val="Facturacion AN"/>
      <sheetName val="Cuadro_semaforo"/>
    </sheetNames>
    <sheetDataSet>
      <sheetData sheetId="0"/>
      <sheetData sheetId="1"/>
      <sheetData sheetId="2"/>
      <sheetData sheetId="3">
        <row r="4">
          <cell r="C4">
            <v>75</v>
          </cell>
        </row>
        <row r="5">
          <cell r="C5">
            <v>85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param"/>
      <sheetName val="Instrucciones"/>
      <sheetName val="Control"/>
      <sheetName val="Plan de Acción ejemplo"/>
      <sheetName val="Hoja2"/>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E-01 CARACTERIZACIÓN"/>
      <sheetName val="Caracterización Reprogramada"/>
      <sheetName val="ENERO"/>
      <sheetName val="FEBRERO"/>
      <sheetName val="MARZO"/>
      <sheetName val="Abril"/>
      <sheetName val="Mayo"/>
      <sheetName val="JUNIO"/>
      <sheetName val="JULIO"/>
      <sheetName val="AGOSTO"/>
      <sheetName val="SEPTIEMBRE"/>
      <sheetName val="OCTUBRE"/>
      <sheetName val="NOVIEMBRE"/>
      <sheetName val="DICIEMBRE"/>
      <sheetName val="Instructivo"/>
      <sheetName val="HOJA DE 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Instrucciones"/>
      <sheetName val="Control"/>
      <sheetName val="param"/>
    </sheetNames>
    <sheetDataSet>
      <sheetData sheetId="0" refreshError="1"/>
      <sheetData sheetId="1" refreshError="1"/>
      <sheetData sheetId="2" refreshError="1"/>
      <sheetData sheetId="3" refreshError="1"/>
      <sheetData sheetId="4">
        <row r="2">
          <cell r="C2" t="str">
            <v>1.1. Cumplir con las metas del plan de desarrollo de la Bogotá Humana en lo que compete al IDU</v>
          </cell>
        </row>
        <row r="3">
          <cell r="C3" t="str">
            <v>1.2. Actualizar y divulgar el 100% de los convenios interinstitucionales e intersectoriales para el buen desarrollo de los proyectos de Movilidad Humana y suscribir nuevos convenios.</v>
          </cell>
        </row>
        <row r="4">
          <cell r="C4" t="str">
            <v>2.1. Realizar el 100% de la gestión y  coordinación interinstitucional para la ejecución de las obras.</v>
          </cell>
        </row>
        <row r="5">
          <cell r="C5" t="str">
            <v>2.2. Gestionar cuatro alianzas público privadas  dentro de la política de infraestructura, movilidad y Desarrollo Urbano.</v>
          </cell>
        </row>
        <row r="6">
          <cell r="C6" t="str">
            <v>2.3. Gestionar dos acuerdos de  cooperación internacional  que aporten a cumplimiento de las metas institucionales</v>
          </cell>
        </row>
        <row r="7">
          <cell r="C7" t="str">
            <v>2.4. Estructurar la propuesta de modificación de los acuerdos 180 de 2005 y 451 de 2010.</v>
          </cell>
        </row>
        <row r="8">
          <cell r="C8" t="str">
            <v>2.4. Estructurar la propuesta de modificación del Acuerdo 7 de 1987 - Estatuto de Valorización</v>
          </cell>
        </row>
        <row r="9">
          <cell r="C9" t="str">
            <v>2.4. Recuperar el 72% de la cartera vencida por concepto de valorización.</v>
          </cell>
        </row>
        <row r="10">
          <cell r="C10" t="str">
            <v>3.1. Diseñar e implementar un plan de gestión del conocimiento que permita capturar, organizar, transferir y difundir el conocimiento institucional.</v>
          </cell>
        </row>
        <row r="11">
          <cell r="C11" t="str">
            <v>3.2. Incorporar nuevas tecnologías, técnicas y/o  materiales a los procesos constructivos  al 100% de los proyectos de la Movilidad Humana.</v>
          </cell>
        </row>
        <row r="12">
          <cell r="C12" t="str">
            <v>3.3. Actualizar el 100% del inventario y diagnóstico de la malla vial, espacio publico y ciclorutas de competencia de la entidad.</v>
          </cell>
        </row>
        <row r="13">
          <cell r="C13" t="str">
            <v>3.4. Consolidar el Sistema de Información Geográfico del Instituto.</v>
          </cell>
        </row>
        <row r="14">
          <cell r="C14" t="str">
            <v>4.1. El 100% de los proyectos IDU contaran  con mecanismos de seguimiento y evaluación que permitan medir la satisfacción y percepción ciudadana frente al desarrollo de los mismos.</v>
          </cell>
        </row>
        <row r="15">
          <cell r="C15" t="str">
            <v>4.2. Mantener actualizados los portales de contratación (SECOP y CAV)de la información de gestión contractual adelantada por el IDU para la consulta de los ciudadanos.</v>
          </cell>
        </row>
        <row r="16">
          <cell r="C16" t="str">
            <v>4.3. Implementar un plan de intervención para mejorar el clima organizacional  y que promueva una cultura institucional en el marco del fortalecimiento de la entidad</v>
          </cell>
        </row>
        <row r="17">
          <cell r="C17" t="str">
            <v>4.4. Fortalecer la comunicación directa con la comunidad en el 100% de los contratos  de obra.</v>
          </cell>
        </row>
        <row r="18">
          <cell r="C18" t="str">
            <v>4.5. El 100% de los proyectos a cargo del IDU contaran con los medios y condiciones para promover procesos de participación ciudadana, gestión social y gestión ambiental en cada una de sus etapas.</v>
          </cell>
        </row>
        <row r="19">
          <cell r="C19" t="str">
            <v>4.6. Lograr el  90% de satisfacción  frente al servicio de atención al ciudadano en los puntos dispuestos por la entidad.</v>
          </cell>
        </row>
        <row r="20">
          <cell r="C20" t="str">
            <v>5.1. Mantener por encima del 90% la ejecución presupuestal (eficiencia)de la vigencia, pasivos exigibles y reservas.</v>
          </cell>
        </row>
        <row r="21">
          <cell r="C21" t="str">
            <v>5.2. Ejecutar el 100% de los proyectos institucionales de acuerdo con los cronogramas establecidos.</v>
          </cell>
        </row>
        <row r="22">
          <cell r="C22" t="str">
            <v>5.3. Realizar el seguimiento al 100% de los proyectos de inversión</v>
          </cell>
        </row>
        <row r="23">
          <cell r="C23" t="str">
            <v>5.4. Adelantar el 100% de las actuaciones de oficio o con base en las quejas e informes recibidos en relación con conductas presuntamente irregulares de los servidores públicos del IDU</v>
          </cell>
        </row>
        <row r="24">
          <cell r="C24" t="str">
            <v>5.5. Evaluar el 100% de los procesos y la gestión de las dependencias del IDU</v>
          </cell>
        </row>
        <row r="25">
          <cell r="C25" t="str">
            <v>5.6. Implementar, evaluar y auditar el 100% del Sistema Integrado de Gestión del IDU.</v>
          </cell>
        </row>
        <row r="26">
          <cell r="C26" t="str">
            <v>5.7. Mantener un nivel de éxito procesal del 82 % en términos del valor de pretensiones indexadas respecto de los procesos judiciales favorables al IDU.</v>
          </cell>
        </row>
        <row r="27">
          <cell r="C27" t="str">
            <v>5.8. Estructurar un proyecto técnico para la nueva sede del IDU.</v>
          </cell>
        </row>
        <row r="28">
          <cell r="C28" t="str">
            <v>5.9. Implementar un plan de modernización tecnológica del IDU.</v>
          </cell>
        </row>
        <row r="29">
          <cell r="C29" t="str">
            <v>5.1. Desarrollar una estrategia que articule la implementación de los subsistemas SGSI, SIGA y S&amp;SO.</v>
          </cell>
        </row>
        <row r="30">
          <cell r="C30" t="str">
            <v>5.11. Incrementar el uso de software libre para el desarrollo de las aplicaciones requeridas en la entidad y que sean viables bajo este tipo de  licenciamiento</v>
          </cell>
        </row>
        <row r="31">
          <cell r="C31" t="str">
            <v>5.12. Integrar el 100% de los sistemas de información administrativos y financieros de la entidad.</v>
          </cell>
        </row>
        <row r="32">
          <cell r="C32" t="str">
            <v>5.13. Estructurar técnicamente la propuesta para la ampliación de la planta de personal de acuerdo con las necesidades de la entidad y presentarla para su aprobación.</v>
          </cell>
        </row>
        <row r="33">
          <cell r="C33" t="str">
            <v>5.14. Implementar el sistema de estímulos que contribuya al mejoramiento de la calidad de vida laboral</v>
          </cell>
        </row>
        <row r="34">
          <cell r="C34" t="str">
            <v>5.15. Elaborar la propuesta de modificación de la estructura administrativa y de las funciones definidas en los Acuerdos 1 y 2 de 2009 y presentarla para su aprobación.</v>
          </cell>
        </row>
        <row r="35">
          <cell r="C35" t="str">
            <v>5.16. implementar el 100% de las actividades de formación y prevención dirigidas a los servidores y contratistas de la entidad sobre conductas que puedan constituir falta disciplinaria.</v>
          </cell>
        </row>
        <row r="36">
          <cell r="C36" t="str">
            <v>5.17. Mejorar y mantener la percepción favorable del 80% en la efectividad de la comunicación interna de la Entidad</v>
          </cell>
        </row>
        <row r="37">
          <cell r="C37" t="str">
            <v>5.18. Actualizar e Implementar un plan de comunicación interna y externa para la Entidad</v>
          </cell>
        </row>
        <row r="38">
          <cell r="C38" t="str">
            <v>5.19. Diseñar e implementar cuarenta campañas de comunicación a partir de las necesidades de comunicación surgidas en las áreas de la entidad</v>
          </cell>
        </row>
        <row r="39">
          <cell r="C39" t="str">
            <v>5.2. Implementar y evaluar el 100% del plan anticorrupción y atención al ciudadano, en el marco de las directrices nacionales y distritales.</v>
          </cell>
        </row>
        <row r="40">
          <cell r="C40" t="str">
            <v>5.21. Implementar el 100% del procedimiento de prevención de daño antijurídico</v>
          </cell>
        </row>
        <row r="41">
          <cell r="C41" t="str">
            <v>5.22. Construir la política, estrategia y manual de cooperación internacional para el IDU.</v>
          </cell>
        </row>
        <row r="42">
          <cell r="C42" t="str">
            <v>5.24. Cumplir la totalidad de los planes de mejoramiento establecidos por los entes de control internos y externos, en la vigencia correspondiente</v>
          </cell>
        </row>
        <row r="43">
          <cell r="C43" t="str">
            <v>5.25. Establecer y consolidar un Sistema de monitoreo y evaluación de la gestión del IDU</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ciones"/>
      <sheetName val="Control"/>
      <sheetName val="Metas"/>
      <sheetName val="Hoja1"/>
    </sheetNames>
    <sheetDataSet>
      <sheetData sheetId="0"/>
      <sheetData sheetId="1"/>
      <sheetData sheetId="2"/>
      <sheetData sheetId="3">
        <row r="4">
          <cell r="B4" t="str">
            <v>1.1 Cumplir con las metas del plan de desarrollo de la Bogotá Humana en lo que compete al IDU</v>
          </cell>
        </row>
        <row r="5">
          <cell r="B5" t="str">
            <v>1.2 Actualizar y divulgar el 100% de los convenios interinstitucionales e intersectoriales para el buen desarrollo de los proyectos de Movilidad Humana y suscribir nuevos convenios.</v>
          </cell>
        </row>
        <row r="6">
          <cell r="B6" t="str">
            <v>1.3 Realizar el 100% de la gestión y  coordinación interinstitucional para la ejecución de las obras.</v>
          </cell>
        </row>
        <row r="7">
          <cell r="B7" t="str">
            <v>2.1 Gestionar cuatro alianzas público privadas  dentro de la política de infraestructura, movilidad y Desarrollo Urbano.</v>
          </cell>
        </row>
        <row r="8">
          <cell r="B8" t="str">
            <v>2.2 Gestionar dos acuerdos de  cooperación internacional  que aporten a cumplimiento de las metas institucionales</v>
          </cell>
        </row>
        <row r="9">
          <cell r="B9" t="str">
            <v>2.3 Estructurar la propuesta de modificación de los acuerdos 180 de 2005 y 451 de 2010.</v>
          </cell>
        </row>
        <row r="10">
          <cell r="B10" t="str">
            <v>2.4 Estructurar la propuesta de modificación del Acuerdo 7 de 1987 - Estatuto de Valorización</v>
          </cell>
        </row>
        <row r="11">
          <cell r="B11" t="str">
            <v>2.5 Recuperar el 72% de la cartera vencida por concepto de valorización.</v>
          </cell>
        </row>
        <row r="12">
          <cell r="B12" t="str">
            <v>3.1 Diseñar e implementar un plan de gestión del conocimiento que permita capturar, organizar, transferir y difundir el conocimiento institucional.</v>
          </cell>
        </row>
        <row r="13">
          <cell r="B13" t="str">
            <v>3.2 Incorporar nuevas tecnologías, técnicas y/o  materiales a los procesos constructivos  al 100% de los proyectos de la Movilidad Humana.</v>
          </cell>
        </row>
        <row r="14">
          <cell r="B14" t="str">
            <v>3.3 Actualizar el 100% del inventario y diagnóstico de la malla vial, espacio publico y ciclorutas de competencia de la entidad.</v>
          </cell>
        </row>
        <row r="15">
          <cell r="B15" t="str">
            <v>3.4 Consolidar el Sistema de Información Geográfico del Instituto.</v>
          </cell>
        </row>
        <row r="16">
          <cell r="B16" t="str">
            <v>4.1 El 100% de los proyectos IDU contaran  con mecanismos de seguimiento y evaluación que permitan medir la satisfacción y percepción ciudadana frente al desarrollo de los mismos.</v>
          </cell>
        </row>
        <row r="17">
          <cell r="B17" t="str">
            <v>4.2 Mantener actualizados los portales de contratación (SECOP y CAV) de la información de gestión contractual adelantada por el IDU para la consulta de los ciudadanos.</v>
          </cell>
        </row>
        <row r="18">
          <cell r="B18" t="str">
            <v>4.3 Implementar un plan de intervención para mejorar el clima organizacional  y que promueva una cultura institucional en el marco del fortalecimiento de la entidad</v>
          </cell>
        </row>
        <row r="19">
          <cell r="B19" t="str">
            <v xml:space="preserve">4.4 Fortalecer la comunicación de la entidad con los ciudadanos. </v>
          </cell>
        </row>
        <row r="20">
          <cell r="B20" t="str">
            <v>4.5 El 100% de los proyectos a cargo del IDU contaran con los medios y condiciones para promover procesos de participación ciudadana, gestión social y gestión ambiental en cada una de sus etapas.</v>
          </cell>
        </row>
        <row r="21">
          <cell r="B21" t="str">
            <v>4.6 Lograr el  90% de satisfacción  frente al servicio de atención al ciudadano en los puntos dispuestos por la entidad.</v>
          </cell>
        </row>
        <row r="22">
          <cell r="B22" t="str">
            <v>5.1 Mantener por encima del 90% la ejecución presupuestal (eficiencia)de la vigencia, pasivos exigibles y reservas.</v>
          </cell>
        </row>
        <row r="23">
          <cell r="B23" t="str">
            <v>5.2 Ejecutar el 100% de los proyectos institucionales de acuerdo con los cronogramas establecidos.</v>
          </cell>
        </row>
        <row r="24">
          <cell r="B24" t="str">
            <v>5.3 Realizar el seguimiento al 100% de los proyectos de inversión</v>
          </cell>
        </row>
        <row r="25">
          <cell r="B25" t="str">
            <v>5.4 Construir la política, estrategia y manual de cooperación internacional para el IDU.</v>
          </cell>
        </row>
        <row r="26">
          <cell r="B26" t="str">
            <v>5.5 Adelantar el 100% de las actuaciones de oficio o con base en las quejas e informes recibidos en relación con conductas presuntamente irregulares de los servidores públicos del IDU</v>
          </cell>
        </row>
        <row r="27">
          <cell r="B27" t="str">
            <v>5.6 Evaluar el 100% de los procesos y la gestión de las dependencias del IDU</v>
          </cell>
        </row>
        <row r="28">
          <cell r="B28" t="str">
            <v>5.7 Establecer y consolidar un Sistema de monitoreo y evaluación de la gestión del IDU</v>
          </cell>
        </row>
        <row r="29">
          <cell r="B29" t="str">
            <v>5.8 Cumplir la totalidad de los planes de mejoramiento establecidos por los entes de control internos y externos, en la vigencia correspondiente</v>
          </cell>
        </row>
        <row r="30">
          <cell r="B30" t="str">
            <v>5.9 Implementar, evaluar y auditar el 100% del Sistema Integrado de Gestión del IDU.</v>
          </cell>
        </row>
        <row r="31">
          <cell r="B31" t="str">
            <v>5.10 Mantener un nivel de éxito procesal del 72 %  respecto de los procesos judiciales favorables al IDU</v>
          </cell>
        </row>
        <row r="32">
          <cell r="B32" t="str">
            <v xml:space="preserve"> 5.11 Implementar y articular un modelo de gerencia jurídica</v>
          </cell>
        </row>
        <row r="33">
          <cell r="B33" t="str">
            <v>5.12 Estructurar un proyecto técnico para la nueva sede del IDU.</v>
          </cell>
        </row>
        <row r="34">
          <cell r="B34" t="str">
            <v>5.13 Implementar un plan de modernización tecnológica del IDU.</v>
          </cell>
        </row>
        <row r="35">
          <cell r="B35" t="str">
            <v>5.14 Desarrollar una estrategia que articule la implementación de los subsistemas SGSI, SIGA y S&amp;SO.</v>
          </cell>
        </row>
        <row r="36">
          <cell r="B36" t="str">
            <v>5.15 Incrementar el uso de software libre para el desarrollo de las aplicaciones requeridas en la entidad y que sean viables bajo este tipo de  licenciamiento</v>
          </cell>
        </row>
        <row r="37">
          <cell r="B37" t="str">
            <v>5.16 Integrar el 100% de los sistemas de información administrativos y financieros de la entidad.</v>
          </cell>
        </row>
        <row r="38">
          <cell r="B38" t="str">
            <v>5.17 Estructurar técnicamente la propuesta para la ampliación de la planta de personal de acuerdo con las necesidades de la entidad y presentarla para su aprobación.</v>
          </cell>
        </row>
        <row r="39">
          <cell r="B39" t="str">
            <v>5.18 Implementar el sistema de estímulos que contribuya al mejoramiento de la calidad de vida laboral</v>
          </cell>
        </row>
        <row r="40">
          <cell r="B40" t="str">
            <v>5.19 Elaborar la propuesta de modificación de la estructura administrativa y de las funciones definidas en los Acuerdos 1 y 2 de 2009 y presentarla para su aprobación.</v>
          </cell>
        </row>
        <row r="41">
          <cell r="B41" t="str">
            <v>5.20 Implementar el 100% de las actividades de formación y prevención dirigidas a los servidores y contratistas de la entidad sobre conductas que puedan constituir falta disciplinaria.</v>
          </cell>
        </row>
        <row r="42">
          <cell r="B42" t="str">
            <v>5.21 Mejorar y fortalecer la percepción favorable del  80% en la efectividad de los canales de comunicación interna definidos en el plan de comunicaciones.</v>
          </cell>
        </row>
        <row r="43">
          <cell r="B43" t="str">
            <v>5.22 Implementar y evaluar el 100% del plan anticorrupción y atención al ciudadano, en el marco de las directrices nacionales y distritales.</v>
          </cell>
        </row>
        <row r="44">
          <cell r="B44" t="str">
            <v>5.23 Implementar el 100% del procedimiento de prevención de daño antijurídico</v>
          </cell>
        </row>
      </sheetData>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Instrucciones"/>
      <sheetName val="Control"/>
      <sheetName val="param"/>
    </sheetNames>
    <sheetDataSet>
      <sheetData sheetId="0" refreshError="1"/>
      <sheetData sheetId="1" refreshError="1"/>
      <sheetData sheetId="2" refreshError="1"/>
      <sheetData sheetId="3" refreshError="1"/>
      <sheetData sheetId="4">
        <row r="2">
          <cell r="C2" t="str">
            <v>1.1. Cumplir con las metas del plan de desarrollo de la Bogotá Humana en lo que compete al IDU</v>
          </cell>
        </row>
        <row r="3">
          <cell r="C3" t="str">
            <v>1.2. Actualizar y divulgar el 100% de los convenios interinstitucionales e intersectoriales para el buen desarrollo de los proyectos de Movilidad Humana y suscribir nuevos convenios.</v>
          </cell>
        </row>
        <row r="4">
          <cell r="C4" t="str">
            <v>2.1. Realizar el 100% de la gestión y  coordinación interinstitucional para la ejecución de las obras.</v>
          </cell>
        </row>
        <row r="5">
          <cell r="C5" t="str">
            <v>2.2. Gestionar cuatro alianzas público privadas  dentro de la política de infraestructura, movilidad y Desarrollo Urbano.</v>
          </cell>
        </row>
        <row r="6">
          <cell r="C6" t="str">
            <v>2.3. Gestionar dos acuerdos de  cooperación internacional  que aporten a cumplimiento de las metas institucionales</v>
          </cell>
        </row>
        <row r="7">
          <cell r="C7" t="str">
            <v>2.4. Estructurar la propuesta de modificación de los acuerdos 180 de 2005 y 451 de 2010.</v>
          </cell>
        </row>
        <row r="8">
          <cell r="C8" t="str">
            <v>2.4. Estructurar la propuesta de modificación del Acuerdo 7 de 1987 - Estatuto de Valorización</v>
          </cell>
        </row>
        <row r="9">
          <cell r="C9" t="str">
            <v>2.4. Recuperar el 72% de la cartera vencida por concepto de valorización.</v>
          </cell>
        </row>
        <row r="10">
          <cell r="C10" t="str">
            <v>3.1. Diseñar e implementar un plan de gestión del conocimiento que permita capturar, organizar, transferir y difundir el conocimiento institucional.</v>
          </cell>
        </row>
        <row r="11">
          <cell r="C11" t="str">
            <v>3.2. Incorporar nuevas tecnologías, técnicas y/o  materiales a los procesos constructivos  al 100% de los proyectos de la Movilidad Humana.</v>
          </cell>
        </row>
        <row r="12">
          <cell r="C12" t="str">
            <v>3.3. Actualizar el 100% del inventario y diagnóstico de la malla vial, espacio publico y ciclorutas de competencia de la entidad.</v>
          </cell>
        </row>
        <row r="13">
          <cell r="C13" t="str">
            <v>3.4. Consolidar el Sistema de Información Geográfico del Instituto.</v>
          </cell>
        </row>
        <row r="14">
          <cell r="C14" t="str">
            <v>4.1. El 100% de los proyectos IDU contaran  con mecanismos de seguimiento y evaluación que permitan medir la satisfacción y percepción ciudadana frente al desarrollo de los mismos.</v>
          </cell>
        </row>
        <row r="15">
          <cell r="C15" t="str">
            <v>4.2. Mantener actualizados los portales de contratación (SECOP y CAV)de la información de gestión contractual adelantada por el IDU para la consulta de los ciudadanos.</v>
          </cell>
        </row>
        <row r="16">
          <cell r="C16" t="str">
            <v>4.3. Implementar un plan de intervención para mejorar el clima organizacional  y que promueva una cultura institucional en el marco del fortalecimiento de la entidad</v>
          </cell>
        </row>
        <row r="17">
          <cell r="C17" t="str">
            <v>4.4. Fortalecer la comunicación directa con la comunidad en el 100% de los contratos  de obra.</v>
          </cell>
        </row>
        <row r="18">
          <cell r="C18" t="str">
            <v>4.5. El 100% de los proyectos a cargo del IDU contaran con los medios y condiciones para promover procesos de participación ciudadana, gestión social y gestión ambiental en cada una de sus etapas.</v>
          </cell>
        </row>
        <row r="19">
          <cell r="C19" t="str">
            <v>4.6. Lograr el  90% de satisfacción  frente al servicio de atención al ciudadano en los puntos dispuestos por la entidad.</v>
          </cell>
        </row>
        <row r="20">
          <cell r="C20" t="str">
            <v>5.1. Mantener por encima del 90% la ejecución presupuestal (eficiencia)de la vigencia, pasivos exigibles y reservas.</v>
          </cell>
        </row>
        <row r="21">
          <cell r="C21" t="str">
            <v>5.2. Ejecutar el 100% de los proyectos institucionales de acuerdo con los cronogramas establecidos.</v>
          </cell>
        </row>
        <row r="22">
          <cell r="C22" t="str">
            <v>5.3. Realizar el seguimiento al 100% de los proyectos de inversión</v>
          </cell>
        </row>
        <row r="23">
          <cell r="C23" t="str">
            <v>5.4. Adelantar el 100% de las actuaciones de oficio o con base en las quejas e informes recibidos en relación con conductas presuntamente irregulares de los servidores públicos del IDU</v>
          </cell>
        </row>
        <row r="24">
          <cell r="C24" t="str">
            <v>5.5. Evaluar el 100% de los procesos y la gestión de las dependencias del IDU</v>
          </cell>
        </row>
        <row r="25">
          <cell r="C25" t="str">
            <v>5.6. Implementar, evaluar y auditar el 100% del Sistema Integrado de Gestión del IDU.</v>
          </cell>
        </row>
        <row r="26">
          <cell r="C26" t="str">
            <v>5.7. Mantener un nivel de éxito procesal del 82 % en términos del valor de pretensiones indexadas respecto de los procesos judiciales favorables al IDU.</v>
          </cell>
        </row>
        <row r="27">
          <cell r="C27" t="str">
            <v>5.8. Estructurar un proyecto técnico para la nueva sede del IDU.</v>
          </cell>
        </row>
        <row r="28">
          <cell r="C28" t="str">
            <v>5.9. Implementar un plan de modernización tecnológica del IDU.</v>
          </cell>
        </row>
        <row r="29">
          <cell r="C29" t="str">
            <v>5.1. Desarrollar una estrategia que articule la implementación de los subsistemas SGSI, SIGA y S&amp;SO.</v>
          </cell>
        </row>
        <row r="30">
          <cell r="C30" t="str">
            <v>5.11. Incrementar el uso de software libre para el desarrollo de las aplicaciones requeridas en la entidad y que sean viables bajo este tipo de  licenciamiento</v>
          </cell>
        </row>
        <row r="31">
          <cell r="C31" t="str">
            <v>5.12. Integrar el 100% de los sistemas de información administrativos y financieros de la entidad.</v>
          </cell>
        </row>
        <row r="32">
          <cell r="C32" t="str">
            <v>5.13. Estructurar técnicamente la propuesta para la ampliación de la planta de personal de acuerdo con las necesidades de la entidad y presentarla para su aprobación.</v>
          </cell>
        </row>
        <row r="33">
          <cell r="C33" t="str">
            <v>5.14. Implementar el sistema de estímulos que contribuya al mejoramiento de la calidad de vida laboral</v>
          </cell>
        </row>
        <row r="34">
          <cell r="C34" t="str">
            <v>5.15. Elaborar la propuesta de modificación de la estructura administrativa y de las funciones definidas en los Acuerdos 1 y 2 de 2009 y presentarla para su aprobación.</v>
          </cell>
        </row>
        <row r="35">
          <cell r="C35" t="str">
            <v>5.16. implementar el 100% de las actividades de formación y prevención dirigidas a los servidores y contratistas de la entidad sobre conductas que puedan constituir falta disciplinaria.</v>
          </cell>
        </row>
        <row r="36">
          <cell r="C36" t="str">
            <v>5.17. Mejorar y mantener la percepción favorable del 80% en la efectividad de la comunicación interna de la Entidad</v>
          </cell>
        </row>
        <row r="37">
          <cell r="C37" t="str">
            <v>5.18. Actualizar e Implementar un plan de comunicación interna y externa para la Entidad</v>
          </cell>
        </row>
        <row r="38">
          <cell r="C38" t="str">
            <v>5.19. Diseñar e implementar cuarenta campañas de comunicación a partir de las necesidades de comunicación surgidas en las áreas de la entidad</v>
          </cell>
        </row>
        <row r="39">
          <cell r="C39" t="str">
            <v>5.2. Implementar y evaluar el 100% del plan anticorrupción y atención al ciudadano, en el marco de las directrices nacionales y distritales.</v>
          </cell>
        </row>
        <row r="40">
          <cell r="C40" t="str">
            <v>5.21. Implementar el 100% del procedimiento de prevención de daño antijurídico</v>
          </cell>
        </row>
        <row r="41">
          <cell r="C41" t="str">
            <v>5.22. Construir la política, estrategia y manual de cooperación internacional para el IDU.</v>
          </cell>
        </row>
        <row r="42">
          <cell r="C42" t="str">
            <v>5.24. Cumplir la totalidad de los planes de mejoramiento establecidos por los entes de control internos y externos, en la vigencia correspondiente</v>
          </cell>
        </row>
        <row r="43">
          <cell r="C43" t="str">
            <v>5.25. Establecer y consolidar un Sistema de monitoreo y evaluación de la gestión del IDU</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E-01"/>
      <sheetName val="Instructivo"/>
      <sheetName val="HOJA DE CONTROL"/>
      <sheetName val="Iniciados"/>
      <sheetName val="terminados"/>
      <sheetName val="Liquidados"/>
      <sheetName val="Indicadores"/>
    </sheetNames>
    <sheetDataSet>
      <sheetData sheetId="0"/>
      <sheetData sheetId="1"/>
      <sheetData sheetId="2"/>
      <sheetData sheetId="3">
        <row r="18">
          <cell r="D18">
            <v>0.73333333333333328</v>
          </cell>
          <cell r="E18">
            <v>0.26666666666666666</v>
          </cell>
          <cell r="F18">
            <v>0</v>
          </cell>
          <cell r="G18">
            <v>0</v>
          </cell>
          <cell r="H18">
            <v>0</v>
          </cell>
          <cell r="I18">
            <v>0</v>
          </cell>
          <cell r="J18">
            <v>0</v>
          </cell>
          <cell r="K18">
            <v>0</v>
          </cell>
          <cell r="L18">
            <v>0</v>
          </cell>
          <cell r="M18">
            <v>0</v>
          </cell>
          <cell r="N18">
            <v>0</v>
          </cell>
          <cell r="O18">
            <v>0</v>
          </cell>
        </row>
      </sheetData>
      <sheetData sheetId="4">
        <row r="30">
          <cell r="D30">
            <v>0</v>
          </cell>
          <cell r="E30">
            <v>0.27272727272727271</v>
          </cell>
          <cell r="F30">
            <v>9.0909090909090912E-2</v>
          </cell>
          <cell r="G30">
            <v>9.0909090909090912E-2</v>
          </cell>
          <cell r="H30">
            <v>0</v>
          </cell>
          <cell r="I30">
            <v>0</v>
          </cell>
          <cell r="J30">
            <v>4.5454545454545456E-2</v>
          </cell>
          <cell r="K30">
            <v>4.5454545454545456E-2</v>
          </cell>
          <cell r="L30">
            <v>9.0909090909090912E-2</v>
          </cell>
          <cell r="M30">
            <v>0.18181818181818182</v>
          </cell>
          <cell r="N30">
            <v>9.0909090909090912E-2</v>
          </cell>
          <cell r="O30">
            <v>9.0909090909090912E-2</v>
          </cell>
        </row>
      </sheetData>
      <sheetData sheetId="5">
        <row r="53">
          <cell r="D53">
            <v>0</v>
          </cell>
          <cell r="E53">
            <v>0</v>
          </cell>
          <cell r="F53">
            <v>0.23809523809523808</v>
          </cell>
          <cell r="G53">
            <v>0</v>
          </cell>
          <cell r="H53">
            <v>9.5238095238095233E-2</v>
          </cell>
          <cell r="I53">
            <v>9.5238095238095233E-2</v>
          </cell>
          <cell r="J53">
            <v>0.19047619047619047</v>
          </cell>
          <cell r="K53">
            <v>0</v>
          </cell>
          <cell r="L53">
            <v>0.2857142857142857</v>
          </cell>
          <cell r="M53">
            <v>0</v>
          </cell>
          <cell r="N53">
            <v>0</v>
          </cell>
          <cell r="O53">
            <v>9.5238095238095233E-2</v>
          </cell>
        </row>
      </sheetData>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param"/>
      <sheetName val="Instrucciones"/>
      <sheetName val="Control"/>
      <sheetName val="Plan de Acción ejemplo"/>
      <sheetName val="Hoja2"/>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ciones"/>
      <sheetName val="Control"/>
      <sheetName val="Metas"/>
    </sheetNames>
    <sheetDataSet>
      <sheetData sheetId="0" refreshError="1"/>
      <sheetData sheetId="1" refreshError="1"/>
      <sheetData sheetId="2" refreshError="1"/>
      <sheetData sheetId="3">
        <row r="4">
          <cell r="B4" t="str">
            <v>1.1 Cumplir con las metas del plan de desarrollo de la Bogotá Humana en lo que compete al IDU</v>
          </cell>
        </row>
        <row r="5">
          <cell r="B5" t="str">
            <v>1.2 Actualizar y divulgar el 100% de los convenios interinstitucionales e intersectoriales para el buen desarrollo de los proyectos de Movilidad Humana y suscribir nuevos convenios.</v>
          </cell>
        </row>
        <row r="6">
          <cell r="B6" t="str">
            <v>1.3 Realizar el 100% de la gestión y  coordinación interinstitucional para la ejecución de las obras.</v>
          </cell>
        </row>
        <row r="7">
          <cell r="B7" t="str">
            <v>2.1 Gestionar cuatro alianzas público privadas  dentro de la política de infraestructura, movilidad y Desarrollo Urbano.</v>
          </cell>
        </row>
        <row r="8">
          <cell r="B8" t="str">
            <v>2.2 Gestionar dos acuerdos de  cooperación internacional  que aporten a cumplimiento de las metas institucionales</v>
          </cell>
        </row>
        <row r="9">
          <cell r="B9" t="str">
            <v>2.3 Estructurar la propuesta de modificación de los acuerdos 180 de 2005 y 451 de 2010.</v>
          </cell>
        </row>
        <row r="10">
          <cell r="B10" t="str">
            <v>2.4 Estructurar la propuesta de modificación del Acuerdo 7 de 1987 - Estatuto de Valorización</v>
          </cell>
        </row>
        <row r="11">
          <cell r="B11" t="str">
            <v>2.5 Recuperar el 72% de la cartera vencida por concepto de valorización.</v>
          </cell>
        </row>
        <row r="12">
          <cell r="B12" t="str">
            <v>3.1 Diseñar e implementar un plan de gestión del conocimiento que permita capturar, organizar, transferir y difundir el conocimiento institucional.</v>
          </cell>
        </row>
        <row r="13">
          <cell r="B13" t="str">
            <v>3.2 Incorporar nuevas tecnologías, técnicas y/o  materiales a los procesos constructivos  al 100% de los proyectos de la Movilidad Humana.</v>
          </cell>
        </row>
        <row r="14">
          <cell r="B14" t="str">
            <v>3.3 Actualizar el 100% del inventario y diagnóstico de la malla vial, espacio publico y ciclorutas de competencia de la entidad.</v>
          </cell>
        </row>
        <row r="15">
          <cell r="B15" t="str">
            <v>3.4 Consolidar el Sistema de Información Geográfico del Instituto.</v>
          </cell>
        </row>
        <row r="16">
          <cell r="B16" t="str">
            <v>4.1 El 100% de los proyectos IDU contaran  con mecanismos de seguimiento y evaluación que permitan medir la satisfacción y percepción ciudadana frente al desarrollo de los mismos.</v>
          </cell>
        </row>
        <row r="17">
          <cell r="B17" t="str">
            <v>4.2 Mantener actualizados los portales de contratación (SECOP y CAV) de la información de gestión contractual adelantada por el IDU para la consulta de los ciudadanos.</v>
          </cell>
        </row>
        <row r="18">
          <cell r="B18" t="str">
            <v>4.3 Implementar un plan de intervención para mejorar el clima organizacional  y que promueva una cultura institucional en el marco del fortalecimiento de la entidad</v>
          </cell>
        </row>
        <row r="19">
          <cell r="B19" t="str">
            <v xml:space="preserve">4.4 Fortalecer la comunicación de la entidad con los ciudadanos. </v>
          </cell>
        </row>
        <row r="20">
          <cell r="B20" t="str">
            <v>4.5 El 100% de los proyectos a cargo del IDU contaran con los medios y condiciones para promover procesos de participación ciudadana, gestión social y gestión ambiental en cada una de sus etapas.</v>
          </cell>
        </row>
        <row r="21">
          <cell r="B21" t="str">
            <v>4.6 Lograr el  90% de satisfacción  frente al servicio de atención al ciudadano en los puntos dispuestos por la entidad.</v>
          </cell>
        </row>
        <row r="22">
          <cell r="B22" t="str">
            <v>5.1 Mantener por encima del 90% la ejecución presupuestal (eficiencia)de la vigencia, pasivos exigibles y reservas.</v>
          </cell>
        </row>
        <row r="23">
          <cell r="B23" t="str">
            <v>5.2 Ejecutar el 100% de los proyectos institucionales de acuerdo con los cronogramas establecidos.</v>
          </cell>
        </row>
        <row r="24">
          <cell r="B24" t="str">
            <v>5.3 Realizar el seguimiento al 100% de los proyectos de inversión</v>
          </cell>
        </row>
        <row r="25">
          <cell r="B25" t="str">
            <v>5.4 Construir la política, estrategia y manual de cooperación internacional para el IDU.</v>
          </cell>
        </row>
        <row r="26">
          <cell r="B26" t="str">
            <v>5.5 Adelantar el 100% de las actuaciones de oficio o con base en las quejas e informes recibidos en relación con conductas presuntamente irregulares de los servidores públicos del IDU</v>
          </cell>
        </row>
        <row r="27">
          <cell r="B27" t="str">
            <v>5.6 Evaluar el 100% de los procesos y la gestión de las dependencias del IDU</v>
          </cell>
        </row>
        <row r="28">
          <cell r="B28" t="str">
            <v>5.7 Establecer y consolidar un Sistema de monitoreo y evaluación de la gestión del IDU</v>
          </cell>
        </row>
        <row r="29">
          <cell r="B29" t="str">
            <v>5.8 Cumplir la totalidad de los planes de mejoramiento establecidos por los entes de control internos y externos, en la vigencia correspondiente</v>
          </cell>
        </row>
        <row r="30">
          <cell r="B30" t="str">
            <v>5.9 Implementar, evaluar y auditar el 100% del Sistema Integrado de Gestión del IDU.</v>
          </cell>
        </row>
        <row r="31">
          <cell r="B31" t="str">
            <v>5.10 Mantener un nivel de éxito procesal del 72 %  respecto de los procesos judiciales favorables al IDU</v>
          </cell>
        </row>
        <row r="32">
          <cell r="B32" t="str">
            <v xml:space="preserve"> 5.11 Implementar y articular un modelo de gerencia jurídica</v>
          </cell>
        </row>
        <row r="33">
          <cell r="B33" t="str">
            <v>5.12 Estructurar un proyecto técnico para la nueva sede del IDU.</v>
          </cell>
        </row>
        <row r="34">
          <cell r="B34" t="str">
            <v>5.13 Implementar un plan de modernización tecnológica del IDU.</v>
          </cell>
        </row>
        <row r="35">
          <cell r="B35" t="str">
            <v>5.14 Desarrollar una estrategia que articule la implementación de los subsistemas SGSI, SIGA y S&amp;SO.</v>
          </cell>
        </row>
        <row r="36">
          <cell r="B36" t="str">
            <v>5.15 Incrementar el uso de software libre para el desarrollo de las aplicaciones requeridas en la entidad y que sean viables bajo este tipo de  licenciamiento</v>
          </cell>
        </row>
        <row r="37">
          <cell r="B37" t="str">
            <v>5.16 Integrar el 100% de los sistemas de información administrativos y financieros de la entidad.</v>
          </cell>
        </row>
        <row r="38">
          <cell r="B38" t="str">
            <v>5.17 Estructurar técnicamente la propuesta para la ampliación de la planta de personal de acuerdo con las necesidades de la entidad y presentarla para su aprobación.</v>
          </cell>
        </row>
        <row r="39">
          <cell r="B39" t="str">
            <v>5.18 Implementar el sistema de estímulos que contribuya al mejoramiento de la calidad de vida laboral</v>
          </cell>
        </row>
        <row r="40">
          <cell r="B40" t="str">
            <v>5.19 Elaborar la propuesta de modificación de la estructura administrativa y de las funciones definidas en los Acuerdos 1 y 2 de 2009 y presentarla para su aprobación.</v>
          </cell>
        </row>
        <row r="41">
          <cell r="B41" t="str">
            <v>5.20 Implementar el 100% de las actividades de formación y prevención dirigidas a los servidores y contratistas de la entidad sobre conductas que puedan constituir falta disciplinaria.</v>
          </cell>
        </row>
        <row r="42">
          <cell r="B42" t="str">
            <v>5.21 Mejorar y fortalecer la percepción favorable del  80% en la efectividad de los canales de comunicación interna definidos en el plan de comunicaciones.</v>
          </cell>
        </row>
        <row r="43">
          <cell r="B43" t="str">
            <v>5.22 Implementar y evaluar el 100% del plan anticorrupción y atención al ciudadano, en el marco de las directrices nacionales y distritales.</v>
          </cell>
        </row>
        <row r="44">
          <cell r="B44" t="str">
            <v>5.23 Implementar el 100% del procedimiento de prevención de daño antijurídico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param"/>
      <sheetName val="Instrucciones"/>
      <sheetName val="Control"/>
      <sheetName val="Plan de Acción ejemplo"/>
      <sheetName val="Hoja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L-054"/>
      <sheetName val="Instructivo"/>
      <sheetName val="Formato"/>
    </sheetNames>
    <sheetDataSet>
      <sheetData sheetId="0">
        <row r="10">
          <cell r="W10">
            <v>4</v>
          </cell>
          <cell r="X10">
            <v>4</v>
          </cell>
          <cell r="Z10">
            <v>1</v>
          </cell>
        </row>
        <row r="11">
          <cell r="W11">
            <v>1101</v>
          </cell>
          <cell r="X11">
            <v>1115</v>
          </cell>
          <cell r="Z11">
            <v>1</v>
          </cell>
        </row>
        <row r="12">
          <cell r="X12">
            <v>1115</v>
          </cell>
          <cell r="Z12">
            <v>0.98</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L-054"/>
      <sheetName val="Consolidado Resultados"/>
      <sheetName val="Interno"/>
    </sheetNames>
    <sheetDataSet>
      <sheetData sheetId="0" refreshError="1"/>
      <sheetData sheetId="1">
        <row r="13">
          <cell r="C13" t="str">
            <v>100 %</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Instrucciones"/>
      <sheetName val="Control"/>
      <sheetName val="param"/>
    </sheetNames>
    <sheetDataSet>
      <sheetData sheetId="0" refreshError="1"/>
      <sheetData sheetId="1" refreshError="1"/>
      <sheetData sheetId="2" refreshError="1"/>
      <sheetData sheetId="3" refreshError="1"/>
      <sheetData sheetId="4">
        <row r="2">
          <cell r="C2" t="str">
            <v>1.1. Cumplir con las metas del plan de desarrollo de la Bogotá Humana en lo que compete al IDU</v>
          </cell>
        </row>
        <row r="3">
          <cell r="C3" t="str">
            <v>1.2. Actualizar y divulgar el 100% de los convenios interinstitucionales e intersectoriales para el buen desarrollo de los proyectos de Movilidad Humana y suscribir nuevos convenios.</v>
          </cell>
        </row>
        <row r="4">
          <cell r="C4" t="str">
            <v>2.1. Realizar el 100% de la gestión y  coordinación interinstitucional para la ejecución de las obras.</v>
          </cell>
        </row>
        <row r="5">
          <cell r="C5" t="str">
            <v>2.2. Gestionar cuatro alianzas público privadas  dentro de la política de infraestructura, movilidad y Desarrollo Urbano.</v>
          </cell>
        </row>
        <row r="6">
          <cell r="C6" t="str">
            <v>2.3. Gestionar dos acuerdos de  cooperación internacional  que aporten a cumplimiento de las metas institucionales</v>
          </cell>
        </row>
        <row r="7">
          <cell r="C7" t="str">
            <v>2.4. Estructurar la propuesta de modificación de los acuerdos 180 de 2005 y 451 de 2010.</v>
          </cell>
        </row>
        <row r="8">
          <cell r="C8" t="str">
            <v>2.4. Estructurar la propuesta de modificación del Acuerdo 7 de 1987 - Estatuto de Valorización</v>
          </cell>
        </row>
        <row r="9">
          <cell r="C9" t="str">
            <v>2.4. Recuperar el 72% de la cartera vencida por concepto de valorización.</v>
          </cell>
        </row>
        <row r="10">
          <cell r="C10" t="str">
            <v>3.1. Diseñar e implementar un plan de gestión del conocimiento que permita capturar, organizar, transferir y difundir el conocimiento institucional.</v>
          </cell>
        </row>
        <row r="11">
          <cell r="C11" t="str">
            <v>3.2. Incorporar nuevas tecnologías, técnicas y/o  materiales a los procesos constructivos  al 100% de los proyectos de la Movilidad Humana.</v>
          </cell>
        </row>
        <row r="12">
          <cell r="C12" t="str">
            <v>3.3. Actualizar el 100% del inventario y diagnóstico de la malla vial, espacio publico y ciclorutas de competencia de la entidad.</v>
          </cell>
        </row>
        <row r="13">
          <cell r="C13" t="str">
            <v>3.4. Consolidar el Sistema de Información Geográfico del Instituto.</v>
          </cell>
        </row>
        <row r="14">
          <cell r="C14" t="str">
            <v>4.1. El 100% de los proyectos IDU contaran  con mecanismos de seguimiento y evaluación que permitan medir la satisfacción y percepción ciudadana frente al desarrollo de los mismos.</v>
          </cell>
        </row>
        <row r="15">
          <cell r="C15" t="str">
            <v>4.2. Mantener actualizados los portales de contratación (SECOP y CAV)de la información de gestión contractual adelantada por el IDU para la consulta de los ciudadanos.</v>
          </cell>
        </row>
        <row r="16">
          <cell r="C16" t="str">
            <v>4.3. Implementar un plan de intervención para mejorar el clima organizacional  y que promueva una cultura institucional en el marco del fortalecimiento de la entidad</v>
          </cell>
        </row>
        <row r="17">
          <cell r="C17" t="str">
            <v>4.4. Fortalecer la comunicación directa con la comunidad en el 100% de los contratos  de obra.</v>
          </cell>
        </row>
        <row r="18">
          <cell r="C18" t="str">
            <v>4.5. El 100% de los proyectos a cargo del IDU contaran con los medios y condiciones para promover procesos de participación ciudadana, gestión social y gestión ambiental en cada una de sus etapas.</v>
          </cell>
        </row>
        <row r="19">
          <cell r="C19" t="str">
            <v>4.6. Lograr el  90% de satisfacción  frente al servicio de atención al ciudadano en los puntos dispuestos por la entidad.</v>
          </cell>
        </row>
        <row r="20">
          <cell r="C20" t="str">
            <v>5.1. Mantener por encima del 90% la ejecución presupuestal (eficiencia)de la vigencia, pasivos exigibles y reservas.</v>
          </cell>
        </row>
        <row r="21">
          <cell r="C21" t="str">
            <v>5.2. Ejecutar el 100% de los proyectos institucionales de acuerdo con los cronogramas establecidos.</v>
          </cell>
        </row>
        <row r="22">
          <cell r="C22" t="str">
            <v>5.3. Realizar el seguimiento al 100% de los proyectos de inversión</v>
          </cell>
        </row>
        <row r="23">
          <cell r="C23" t="str">
            <v>5.4. Adelantar el 100% de las actuaciones de oficio o con base en las quejas e informes recibidos en relación con conductas presuntamente irregulares de los servidores públicos del IDU</v>
          </cell>
        </row>
        <row r="24">
          <cell r="C24" t="str">
            <v>5.5. Evaluar el 100% de los procesos y la gestión de las dependencias del IDU</v>
          </cell>
        </row>
        <row r="25">
          <cell r="C25" t="str">
            <v>5.6. Implementar, evaluar y auditar el 100% del Sistema Integrado de Gestión del IDU.</v>
          </cell>
        </row>
        <row r="26">
          <cell r="C26" t="str">
            <v>5.7. Mantener un nivel de éxito procesal del 82 % en términos del valor de pretensiones indexadas respecto de los procesos judiciales favorables al IDU.</v>
          </cell>
        </row>
        <row r="27">
          <cell r="C27" t="str">
            <v>5.8. Estructurar un proyecto técnico para la nueva sede del IDU.</v>
          </cell>
        </row>
        <row r="28">
          <cell r="C28" t="str">
            <v>5.9. Implementar un plan de modernización tecnológica del IDU.</v>
          </cell>
        </row>
        <row r="29">
          <cell r="C29" t="str">
            <v>5.1. Desarrollar una estrategia que articule la implementación de los subsistemas SGSI, SIGA y S&amp;SO.</v>
          </cell>
        </row>
        <row r="30">
          <cell r="C30" t="str">
            <v>5.11. Incrementar el uso de software libre para el desarrollo de las aplicaciones requeridas en la entidad y que sean viables bajo este tipo de  licenciamiento</v>
          </cell>
        </row>
        <row r="31">
          <cell r="C31" t="str">
            <v>5.12. Integrar el 100% de los sistemas de información administrativos y financieros de la entidad.</v>
          </cell>
        </row>
        <row r="32">
          <cell r="C32" t="str">
            <v>5.13. Estructurar técnicamente la propuesta para la ampliación de la planta de personal de acuerdo con las necesidades de la entidad y presentarla para su aprobación.</v>
          </cell>
        </row>
        <row r="33">
          <cell r="C33" t="str">
            <v>5.14. Implementar el sistema de estímulos que contribuya al mejoramiento de la calidad de vida laboral</v>
          </cell>
        </row>
        <row r="34">
          <cell r="C34" t="str">
            <v>5.15. Elaborar la propuesta de modificación de la estructura administrativa y de las funciones definidas en los Acuerdos 1 y 2 de 2009 y presentarla para su aprobación.</v>
          </cell>
        </row>
        <row r="35">
          <cell r="C35" t="str">
            <v>5.16. implementar el 100% de las actividades de formación y prevención dirigidas a los servidores y contratistas de la entidad sobre conductas que puedan constituir falta disciplinaria.</v>
          </cell>
        </row>
        <row r="36">
          <cell r="C36" t="str">
            <v>5.17. Mejorar y mantener la percepción favorable del 80% en la efectividad de la comunicación interna de la Entidad</v>
          </cell>
        </row>
        <row r="37">
          <cell r="C37" t="str">
            <v>5.18. Actualizar e Implementar un plan de comunicación interna y externa para la Entidad</v>
          </cell>
        </row>
        <row r="38">
          <cell r="C38" t="str">
            <v>5.19. Diseñar e implementar cuarenta campañas de comunicación a partir de las necesidades de comunicación surgidas en las áreas de la entidad</v>
          </cell>
        </row>
        <row r="39">
          <cell r="C39" t="str">
            <v>5.2. Implementar y evaluar el 100% del plan anticorrupción y atención al ciudadano, en el marco de las directrices nacionales y distritales.</v>
          </cell>
        </row>
        <row r="40">
          <cell r="C40" t="str">
            <v>5.21. Implementar el 100% del procedimiento de prevención de daño antijurídico</v>
          </cell>
        </row>
        <row r="41">
          <cell r="C41" t="str">
            <v>5.22. Construir la política, estrategia y manual de cooperación internacional para el IDU.</v>
          </cell>
        </row>
        <row r="42">
          <cell r="C42" t="str">
            <v>5.24. Cumplir la totalidad de los planes de mejoramiento establecidos por los entes de control internos y externos, en la vigencia correspondiente</v>
          </cell>
        </row>
        <row r="43">
          <cell r="C43" t="str">
            <v>5.25. Establecer y consolidar un Sistema de monitoreo y evaluación de la gestión del IDU</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ciones"/>
      <sheetName val="Control"/>
      <sheetName val="Metas"/>
    </sheetNames>
    <sheetDataSet>
      <sheetData sheetId="0"/>
      <sheetData sheetId="1"/>
      <sheetData sheetId="2"/>
      <sheetData sheetId="3">
        <row r="4">
          <cell r="B4" t="str">
            <v>1.1 Cumplir con las metas del plan de desarrollo de la Bogotá Humana en lo que compete al IDU</v>
          </cell>
        </row>
        <row r="5">
          <cell r="B5" t="str">
            <v>1.2 Actualizar y divulgar el 100% de los convenios interinstitucionales e intersectoriales para el buen desarrollo de los proyectos de Movilidad Humana y suscribir nuevos convenios.</v>
          </cell>
        </row>
        <row r="6">
          <cell r="B6" t="str">
            <v>1.3 Realizar el 100% de la gestión y  coordinación interinstitucional para la ejecución de las obras.</v>
          </cell>
        </row>
        <row r="7">
          <cell r="B7" t="str">
            <v>2.1 Gestionar cuatro alianzas público privadas  dentro de la política de infraestructura, movilidad y Desarrollo Urbano.</v>
          </cell>
        </row>
        <row r="8">
          <cell r="B8" t="str">
            <v>2.2 Gestionar dos acuerdos de  cooperación internacional  que aporten a cumplimiento de las metas institucionales</v>
          </cell>
        </row>
        <row r="9">
          <cell r="B9" t="str">
            <v>2.3 Estructurar la propuesta de modificación de los acuerdos 180 de 2005 y 451 de 2010.</v>
          </cell>
        </row>
        <row r="10">
          <cell r="B10" t="str">
            <v>2.4 Estructurar la propuesta de modificación del Acuerdo 7 de 1987 - Estatuto de Valorización</v>
          </cell>
        </row>
        <row r="11">
          <cell r="B11" t="str">
            <v>2.5 Recuperar el 72% de la cartera vencida por concepto de valorización.</v>
          </cell>
        </row>
        <row r="12">
          <cell r="B12" t="str">
            <v>3.1 Diseñar e implementar un plan de gestión del conocimiento que permita capturar, organizar, transferir y difundir el conocimiento institucional.</v>
          </cell>
        </row>
        <row r="13">
          <cell r="B13" t="str">
            <v>3.2 Incorporar nuevas tecnologías, técnicas y/o  materiales a los procesos constructivos  al 100% de los proyectos de la Movilidad Humana.</v>
          </cell>
        </row>
        <row r="14">
          <cell r="B14" t="str">
            <v>3.3 Actualizar el 100% del inventario y diagnóstico de la malla vial, espacio publico y ciclorutas de competencia de la entidad.</v>
          </cell>
        </row>
        <row r="15">
          <cell r="B15" t="str">
            <v>3.4 Consolidar el Sistema de Información Geográfico del Instituto.</v>
          </cell>
        </row>
        <row r="16">
          <cell r="B16" t="str">
            <v>4.1 El 100% de los proyectos IDU contaran  con mecanismos de seguimiento y evaluación que permitan medir la satisfacción y percepción ciudadana frente al desarrollo de los mismos.</v>
          </cell>
        </row>
        <row r="17">
          <cell r="B17" t="str">
            <v>4.2 Mantener actualizados los portales de contratación (SECOP y CAV) de la información de gestión contractual adelantada por el IDU para la consulta de los ciudadanos.</v>
          </cell>
        </row>
        <row r="18">
          <cell r="B18" t="str">
            <v>4.3 Implementar un plan de intervención para mejorar el clima organizacional  y que promueva una cultura institucional en el marco del fortalecimiento de la entidad</v>
          </cell>
        </row>
        <row r="19">
          <cell r="B19" t="str">
            <v xml:space="preserve">4.4 Fortalecer la comunicación de la entidad con los ciudadanos. </v>
          </cell>
        </row>
        <row r="20">
          <cell r="B20" t="str">
            <v>4.5 El 100% de los proyectos a cargo del IDU contaran con los medios y condiciones para promover procesos de participación ciudadana, gestión social y gestión ambiental en cada una de sus etapas.</v>
          </cell>
        </row>
        <row r="21">
          <cell r="B21" t="str">
            <v>4.6 Lograr el  90% de satisfacción  frente al servicio de atención al ciudadano en los puntos dispuestos por la entidad.</v>
          </cell>
        </row>
        <row r="22">
          <cell r="B22" t="str">
            <v>5.1 Mantener por encima del 90% la ejecución presupuestal (eficiencia)de la vigencia, pasivos exigibles y reservas.</v>
          </cell>
        </row>
        <row r="23">
          <cell r="B23" t="str">
            <v>5.2 Ejecutar el 100% de los proyectos institucionales de acuerdo con los cronogramas establecidos.</v>
          </cell>
        </row>
        <row r="24">
          <cell r="B24" t="str">
            <v>5.3 Realizar el seguimiento al 100% de los proyectos de inversión</v>
          </cell>
        </row>
        <row r="25">
          <cell r="B25" t="str">
            <v>5.4 Construir la política, estrategia y manual de cooperación internacional para el IDU.</v>
          </cell>
        </row>
        <row r="26">
          <cell r="B26" t="str">
            <v>5.5 Adelantar el 100% de las actuaciones de oficio o con base en las quejas e informes recibidos en relación con conductas presuntamente irregulares de los servidores públicos del IDU</v>
          </cell>
        </row>
        <row r="27">
          <cell r="B27" t="str">
            <v>5.6 Evaluar el 100% de los procesos y la gestión de las dependencias del IDU</v>
          </cell>
        </row>
        <row r="28">
          <cell r="B28" t="str">
            <v>5.7 Establecer y consolidar un Sistema de monitoreo y evaluación de la gestión del IDU</v>
          </cell>
        </row>
        <row r="29">
          <cell r="B29" t="str">
            <v>5.8 Cumplir la totalidad de los planes de mejoramiento establecidos por los entes de control internos y externos, en la vigencia correspondiente</v>
          </cell>
        </row>
        <row r="30">
          <cell r="B30" t="str">
            <v>5.9 Implementar, evaluar y auditar el 100% del Sistema Integrado de Gestión del IDU.</v>
          </cell>
        </row>
        <row r="31">
          <cell r="B31" t="str">
            <v>5.10 Mantener un nivel de éxito procesal del 72 %  respecto de los procesos judiciales favorables al IDU</v>
          </cell>
        </row>
        <row r="32">
          <cell r="B32" t="str">
            <v xml:space="preserve"> 5.11 Implementar y articular un modelo de gerencia jurídica</v>
          </cell>
        </row>
        <row r="33">
          <cell r="B33" t="str">
            <v>5.12 Estructurar un proyecto técnico para la nueva sede del IDU.</v>
          </cell>
        </row>
        <row r="34">
          <cell r="B34" t="str">
            <v>5.13 Implementar un plan de modernización tecnológica del IDU.</v>
          </cell>
        </row>
        <row r="35">
          <cell r="B35" t="str">
            <v>5.14 Desarrollar una estrategia que articule la implementación de los subsistemas SGSI, SIGA y S&amp;SO.</v>
          </cell>
        </row>
        <row r="36">
          <cell r="B36" t="str">
            <v>5.15 Incrementar el uso de software libre para el desarrollo de las aplicaciones requeridas en la entidad y que sean viables bajo este tipo de  licenciamiento</v>
          </cell>
        </row>
        <row r="37">
          <cell r="B37" t="str">
            <v>5.16 Integrar el 100% de los sistemas de información administrativos y financieros de la entidad.</v>
          </cell>
        </row>
        <row r="38">
          <cell r="B38" t="str">
            <v>5.17 Estructurar técnicamente la propuesta para la ampliación de la planta de personal de acuerdo con las necesidades de la entidad y presentarla para su aprobación.</v>
          </cell>
        </row>
        <row r="39">
          <cell r="B39" t="str">
            <v>5.18 Implementar el sistema de estímulos que contribuya al mejoramiento de la calidad de vida laboral</v>
          </cell>
        </row>
        <row r="40">
          <cell r="B40" t="str">
            <v>5.19 Elaborar la propuesta de modificación de la estructura administrativa y de las funciones definidas en los Acuerdos 1 y 2 de 2009 y presentarla para su aprobación.</v>
          </cell>
        </row>
        <row r="41">
          <cell r="B41" t="str">
            <v>5.20 Implementar el 100% de las actividades de formación y prevención dirigidas a los servidores y contratistas de la entidad sobre conductas que puedan constituir falta disciplinaria.</v>
          </cell>
        </row>
        <row r="42">
          <cell r="B42" t="str">
            <v>5.21 Mejorar y fortalecer la percepción favorable del  80% en la efectividad de los canales de comunicación interna definidos en el plan de comunicaciones.</v>
          </cell>
        </row>
        <row r="43">
          <cell r="B43" t="str">
            <v>5.22 Implementar y evaluar el 100% del plan anticorrupción y atención al ciudadano, en el marco de las directrices nacionales y distritales.</v>
          </cell>
        </row>
        <row r="44">
          <cell r="B44" t="str">
            <v>5.23 Implementar el 100% del procedimiento de prevención de daño antijurídico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FO-PE-01"/>
      <sheetName val="AJUSTE JULI"/>
      <sheetName val="Instructivo"/>
      <sheetName val="HOJA DE CONTROL"/>
    </sheetNames>
    <sheetDataSet>
      <sheetData sheetId="0">
        <row r="7">
          <cell r="C7">
            <v>0</v>
          </cell>
          <cell r="D7">
            <v>0</v>
          </cell>
          <cell r="J7">
            <v>1</v>
          </cell>
          <cell r="O7">
            <v>0</v>
          </cell>
          <cell r="P7">
            <v>0</v>
          </cell>
        </row>
        <row r="8">
          <cell r="C8">
            <v>7.407407407407407E-2</v>
          </cell>
          <cell r="D8">
            <v>8</v>
          </cell>
          <cell r="I8">
            <v>7.1428571428571425E-2</v>
          </cell>
          <cell r="J8">
            <v>4</v>
          </cell>
          <cell r="O8">
            <v>0</v>
          </cell>
          <cell r="P8">
            <v>0</v>
          </cell>
        </row>
        <row r="9">
          <cell r="C9">
            <v>0.14814814814814814</v>
          </cell>
          <cell r="D9">
            <v>16</v>
          </cell>
          <cell r="I9">
            <v>3.5714285714285712E-2</v>
          </cell>
          <cell r="J9">
            <v>2</v>
          </cell>
          <cell r="O9">
            <v>0</v>
          </cell>
          <cell r="P9">
            <v>0</v>
          </cell>
        </row>
        <row r="10">
          <cell r="C10">
            <v>0.16666666666666666</v>
          </cell>
          <cell r="D10">
            <v>2</v>
          </cell>
          <cell r="I10">
            <v>1.7857142857142856E-2</v>
          </cell>
          <cell r="J10">
            <v>1</v>
          </cell>
          <cell r="O10">
            <v>9.0909090909090912E-2</v>
          </cell>
          <cell r="P10">
            <v>0</v>
          </cell>
        </row>
        <row r="11">
          <cell r="C11">
            <v>0.20370370370370369</v>
          </cell>
          <cell r="D11">
            <v>8</v>
          </cell>
          <cell r="I11">
            <v>0</v>
          </cell>
          <cell r="J11">
            <v>0</v>
          </cell>
          <cell r="O11">
            <v>0</v>
          </cell>
        </row>
        <row r="12">
          <cell r="C12">
            <v>3.7037037037037035E-2</v>
          </cell>
          <cell r="D12">
            <v>14</v>
          </cell>
          <cell r="I12">
            <v>0</v>
          </cell>
          <cell r="J12">
            <v>0</v>
          </cell>
          <cell r="O12">
            <v>0</v>
          </cell>
          <cell r="P12">
            <v>1</v>
          </cell>
        </row>
        <row r="13">
          <cell r="C13">
            <v>5.5555555555555552E-2</v>
          </cell>
          <cell r="D13">
            <v>4</v>
          </cell>
          <cell r="I13">
            <v>0.17857142857142858</v>
          </cell>
          <cell r="J13">
            <v>0</v>
          </cell>
          <cell r="O13">
            <v>0.18181818181818182</v>
          </cell>
          <cell r="P13">
            <v>0</v>
          </cell>
        </row>
        <row r="14">
          <cell r="C14">
            <v>0.12962962962962962</v>
          </cell>
          <cell r="D14">
            <v>17</v>
          </cell>
          <cell r="I14">
            <v>3.5714285714285712E-2</v>
          </cell>
          <cell r="J14">
            <v>0</v>
          </cell>
          <cell r="O14">
            <v>9.0909090909090912E-2</v>
          </cell>
        </row>
        <row r="15">
          <cell r="C15">
            <v>7.407407407407407E-2</v>
          </cell>
          <cell r="D15">
            <v>9</v>
          </cell>
          <cell r="I15">
            <v>0.21428571428571427</v>
          </cell>
          <cell r="J15">
            <v>0</v>
          </cell>
          <cell r="O15">
            <v>0.36363636363636365</v>
          </cell>
          <cell r="P15">
            <v>1</v>
          </cell>
        </row>
        <row r="16">
          <cell r="C16">
            <v>3.7037037037037035E-2</v>
          </cell>
          <cell r="D16">
            <v>14</v>
          </cell>
          <cell r="I16">
            <v>0.39285714285714285</v>
          </cell>
          <cell r="J16">
            <v>6</v>
          </cell>
          <cell r="O16">
            <v>0.18181818181818182</v>
          </cell>
        </row>
        <row r="17">
          <cell r="C17">
            <v>3.7037037037037035E-2</v>
          </cell>
          <cell r="D17">
            <v>2</v>
          </cell>
          <cell r="I17">
            <v>0</v>
          </cell>
          <cell r="J17">
            <v>0</v>
          </cell>
          <cell r="O17">
            <v>0</v>
          </cell>
          <cell r="P17">
            <v>0</v>
          </cell>
        </row>
        <row r="18">
          <cell r="C18">
            <v>3.7037037037037035E-2</v>
          </cell>
          <cell r="D18">
            <v>1</v>
          </cell>
          <cell r="I18">
            <v>3.5714285714285712E-2</v>
          </cell>
          <cell r="J18">
            <v>18</v>
          </cell>
          <cell r="O18">
            <v>9.0909090909090912E-2</v>
          </cell>
          <cell r="P18">
            <v>2</v>
          </cell>
        </row>
        <row r="19">
          <cell r="C19">
            <v>1</v>
          </cell>
          <cell r="D19">
            <v>95</v>
          </cell>
          <cell r="I19">
            <v>1</v>
          </cell>
          <cell r="J19">
            <v>32</v>
          </cell>
          <cell r="O19">
            <v>1</v>
          </cell>
          <cell r="P19">
            <v>4</v>
          </cell>
        </row>
        <row r="24">
          <cell r="C24">
            <v>0</v>
          </cell>
          <cell r="D24">
            <v>0</v>
          </cell>
          <cell r="I24">
            <v>0</v>
          </cell>
          <cell r="J24">
            <v>0</v>
          </cell>
          <cell r="O24">
            <v>0</v>
          </cell>
          <cell r="P24">
            <v>0</v>
          </cell>
        </row>
        <row r="25">
          <cell r="C25">
            <v>0</v>
          </cell>
          <cell r="D25">
            <v>0</v>
          </cell>
          <cell r="I25">
            <v>0</v>
          </cell>
          <cell r="J25">
            <v>0</v>
          </cell>
          <cell r="O25">
            <v>0</v>
          </cell>
          <cell r="P25">
            <v>0</v>
          </cell>
        </row>
        <row r="26">
          <cell r="C26">
            <v>0</v>
          </cell>
          <cell r="D26">
            <v>0</v>
          </cell>
          <cell r="I26">
            <v>0</v>
          </cell>
          <cell r="J26">
            <v>0</v>
          </cell>
          <cell r="O26">
            <v>0</v>
          </cell>
          <cell r="P26">
            <v>0</v>
          </cell>
        </row>
        <row r="27">
          <cell r="C27">
            <v>0</v>
          </cell>
          <cell r="D27">
            <v>0</v>
          </cell>
          <cell r="I27">
            <v>0</v>
          </cell>
          <cell r="J27">
            <v>0</v>
          </cell>
          <cell r="O27">
            <v>0</v>
          </cell>
          <cell r="P27">
            <v>0</v>
          </cell>
        </row>
        <row r="28">
          <cell r="C28">
            <v>0</v>
          </cell>
          <cell r="D28">
            <v>0</v>
          </cell>
          <cell r="I28">
            <v>0</v>
          </cell>
          <cell r="J28">
            <v>0</v>
          </cell>
          <cell r="O28">
            <v>0</v>
          </cell>
          <cell r="P28">
            <v>0</v>
          </cell>
        </row>
        <row r="29">
          <cell r="C29">
            <v>0</v>
          </cell>
          <cell r="D29">
            <v>0</v>
          </cell>
          <cell r="I29">
            <v>0</v>
          </cell>
          <cell r="J29">
            <v>0</v>
          </cell>
          <cell r="O29">
            <v>0</v>
          </cell>
          <cell r="P29">
            <v>0</v>
          </cell>
        </row>
        <row r="30">
          <cell r="C30">
            <v>0</v>
          </cell>
          <cell r="D30">
            <v>0</v>
          </cell>
          <cell r="I30">
            <v>0</v>
          </cell>
          <cell r="J30">
            <v>0</v>
          </cell>
          <cell r="O30">
            <v>0</v>
          </cell>
          <cell r="P30">
            <v>0</v>
          </cell>
        </row>
        <row r="31">
          <cell r="C31">
            <v>1</v>
          </cell>
          <cell r="D31">
            <v>0</v>
          </cell>
          <cell r="I31">
            <v>0</v>
          </cell>
          <cell r="J31">
            <v>0</v>
          </cell>
          <cell r="O31">
            <v>0</v>
          </cell>
          <cell r="P31">
            <v>0</v>
          </cell>
        </row>
        <row r="32">
          <cell r="C32">
            <v>0</v>
          </cell>
          <cell r="I32">
            <v>0</v>
          </cell>
          <cell r="O32">
            <v>0</v>
          </cell>
        </row>
        <row r="33">
          <cell r="C33">
            <v>0</v>
          </cell>
          <cell r="I33">
            <v>0.33333333333333331</v>
          </cell>
          <cell r="O33">
            <v>0</v>
          </cell>
        </row>
        <row r="34">
          <cell r="C34">
            <v>0</v>
          </cell>
          <cell r="I34">
            <v>0.33333333333333331</v>
          </cell>
          <cell r="O34">
            <v>0</v>
          </cell>
        </row>
        <row r="35">
          <cell r="C35">
            <v>0</v>
          </cell>
          <cell r="I35">
            <v>0.33333333333333331</v>
          </cell>
          <cell r="O35">
            <v>1</v>
          </cell>
          <cell r="P35">
            <v>0.55000000000000004</v>
          </cell>
        </row>
        <row r="36">
          <cell r="C36">
            <v>1</v>
          </cell>
          <cell r="D36">
            <v>0</v>
          </cell>
          <cell r="I36">
            <v>1</v>
          </cell>
          <cell r="J36">
            <v>0</v>
          </cell>
          <cell r="O36">
            <v>1</v>
          </cell>
          <cell r="P36">
            <v>0.55000000000000004</v>
          </cell>
        </row>
        <row r="41">
          <cell r="C41">
            <v>0</v>
          </cell>
          <cell r="D41">
            <v>0</v>
          </cell>
          <cell r="I41">
            <v>0</v>
          </cell>
          <cell r="J41">
            <v>0</v>
          </cell>
        </row>
        <row r="42">
          <cell r="C42">
            <v>0</v>
          </cell>
          <cell r="D42">
            <v>0</v>
          </cell>
          <cell r="I42">
            <v>0</v>
          </cell>
          <cell r="J42">
            <v>0</v>
          </cell>
        </row>
        <row r="43">
          <cell r="C43">
            <v>0</v>
          </cell>
          <cell r="D43">
            <v>0</v>
          </cell>
          <cell r="I43">
            <v>0</v>
          </cell>
          <cell r="J43">
            <v>0</v>
          </cell>
        </row>
        <row r="44">
          <cell r="C44">
            <v>0</v>
          </cell>
          <cell r="D44">
            <v>0</v>
          </cell>
          <cell r="I44">
            <v>0</v>
          </cell>
          <cell r="J44">
            <v>0</v>
          </cell>
        </row>
        <row r="45">
          <cell r="C45">
            <v>0</v>
          </cell>
          <cell r="I45">
            <v>0</v>
          </cell>
          <cell r="J45">
            <v>0</v>
          </cell>
        </row>
        <row r="46">
          <cell r="C46">
            <v>0</v>
          </cell>
          <cell r="I46">
            <v>0</v>
          </cell>
          <cell r="J46">
            <v>0</v>
          </cell>
        </row>
        <row r="47">
          <cell r="C47">
            <v>0</v>
          </cell>
          <cell r="I47">
            <v>0</v>
          </cell>
          <cell r="J47">
            <v>0</v>
          </cell>
        </row>
        <row r="48">
          <cell r="C48">
            <v>0</v>
          </cell>
          <cell r="D48">
            <v>0</v>
          </cell>
          <cell r="I48">
            <v>0</v>
          </cell>
          <cell r="J48">
            <v>0</v>
          </cell>
        </row>
        <row r="49">
          <cell r="C49">
            <v>0</v>
          </cell>
          <cell r="I49">
            <v>0</v>
          </cell>
        </row>
        <row r="50">
          <cell r="C50">
            <v>0</v>
          </cell>
          <cell r="I50">
            <v>0</v>
          </cell>
        </row>
        <row r="51">
          <cell r="C51">
            <v>0</v>
          </cell>
          <cell r="I51">
            <v>0</v>
          </cell>
        </row>
        <row r="52">
          <cell r="C52">
            <v>1</v>
          </cell>
          <cell r="D52">
            <v>0.96</v>
          </cell>
          <cell r="I52">
            <v>1</v>
          </cell>
          <cell r="J52">
            <v>0.8</v>
          </cell>
        </row>
        <row r="53">
          <cell r="C53">
            <v>1</v>
          </cell>
          <cell r="D53">
            <v>0.96</v>
          </cell>
          <cell r="I53">
            <v>1</v>
          </cell>
          <cell r="J53">
            <v>0.8</v>
          </cell>
        </row>
        <row r="61">
          <cell r="C61">
            <v>0</v>
          </cell>
        </row>
        <row r="62">
          <cell r="C62">
            <v>0</v>
          </cell>
        </row>
        <row r="64">
          <cell r="C64">
            <v>0</v>
          </cell>
          <cell r="I64">
            <v>0</v>
          </cell>
          <cell r="O64">
            <v>0</v>
          </cell>
        </row>
        <row r="65">
          <cell r="C65">
            <v>1</v>
          </cell>
          <cell r="I65">
            <v>1</v>
          </cell>
          <cell r="J65">
            <v>1</v>
          </cell>
          <cell r="O65">
            <v>1</v>
          </cell>
          <cell r="P65">
            <v>0</v>
          </cell>
        </row>
        <row r="66">
          <cell r="C66">
            <v>0</v>
          </cell>
          <cell r="I66">
            <v>0</v>
          </cell>
          <cell r="O66">
            <v>0</v>
          </cell>
        </row>
        <row r="67">
          <cell r="C67">
            <v>0</v>
          </cell>
          <cell r="I67">
            <v>0</v>
          </cell>
          <cell r="O67">
            <v>1</v>
          </cell>
          <cell r="P67">
            <v>0</v>
          </cell>
        </row>
        <row r="68">
          <cell r="C68">
            <v>1</v>
          </cell>
          <cell r="D68">
            <v>0.65</v>
          </cell>
          <cell r="I68">
            <v>0</v>
          </cell>
          <cell r="O68">
            <v>0</v>
          </cell>
        </row>
        <row r="69">
          <cell r="C69">
            <v>0</v>
          </cell>
          <cell r="I69">
            <v>0</v>
          </cell>
          <cell r="O69">
            <v>1</v>
          </cell>
          <cell r="P69">
            <v>1</v>
          </cell>
        </row>
        <row r="70">
          <cell r="C70">
            <v>0</v>
          </cell>
          <cell r="I70">
            <v>0</v>
          </cell>
          <cell r="O70">
            <v>0</v>
          </cell>
        </row>
        <row r="71">
          <cell r="C71">
            <v>1</v>
          </cell>
          <cell r="D71">
            <v>1.0699999999999987</v>
          </cell>
          <cell r="I71">
            <v>1</v>
          </cell>
          <cell r="J71">
            <v>1</v>
          </cell>
          <cell r="O71">
            <v>1</v>
          </cell>
          <cell r="P71">
            <v>1</v>
          </cell>
        </row>
        <row r="72">
          <cell r="C72">
            <v>1</v>
          </cell>
          <cell r="D72">
            <v>0.92999999999999972</v>
          </cell>
          <cell r="I72">
            <v>1</v>
          </cell>
          <cell r="J72">
            <v>0.66666666666666663</v>
          </cell>
          <cell r="O72">
            <v>1</v>
          </cell>
          <cell r="P72">
            <v>0.5</v>
          </cell>
        </row>
        <row r="77">
          <cell r="C77">
            <v>0</v>
          </cell>
          <cell r="E77">
            <v>0</v>
          </cell>
          <cell r="I77">
            <v>0.05</v>
          </cell>
          <cell r="K77">
            <v>4.627765097251426E-2</v>
          </cell>
          <cell r="O77">
            <v>0</v>
          </cell>
          <cell r="Q77">
            <v>0</v>
          </cell>
        </row>
        <row r="78">
          <cell r="C78">
            <v>0</v>
          </cell>
          <cell r="E78">
            <v>6.4617876826509671E-3</v>
          </cell>
          <cell r="I78">
            <v>0.04</v>
          </cell>
          <cell r="K78">
            <v>4.5126008249142681E-2</v>
          </cell>
          <cell r="O78">
            <v>0</v>
          </cell>
          <cell r="Q78">
            <v>0</v>
          </cell>
        </row>
        <row r="79">
          <cell r="C79">
            <v>0.01</v>
          </cell>
          <cell r="E79">
            <v>3.6472971750237317E-2</v>
          </cell>
          <cell r="I79">
            <v>0.01</v>
          </cell>
          <cell r="K79">
            <v>6.0423516195983818E-3</v>
          </cell>
          <cell r="O79">
            <v>0</v>
          </cell>
          <cell r="Q79">
            <v>0</v>
          </cell>
        </row>
        <row r="80">
          <cell r="C80">
            <v>0.08</v>
          </cell>
          <cell r="E80">
            <v>5.8466421792567162E-2</v>
          </cell>
          <cell r="I80">
            <v>0.01</v>
          </cell>
          <cell r="K80">
            <v>6.4340105766120996E-3</v>
          </cell>
          <cell r="O80">
            <v>0</v>
          </cell>
          <cell r="Q80">
            <v>0</v>
          </cell>
        </row>
        <row r="81">
          <cell r="C81">
            <v>0.08</v>
          </cell>
          <cell r="E81">
            <v>4.2148322201736421E-2</v>
          </cell>
          <cell r="I81">
            <v>0.17</v>
          </cell>
          <cell r="K81">
            <v>5.4909465981453276E-3</v>
          </cell>
          <cell r="O81">
            <v>0</v>
          </cell>
          <cell r="Q81">
            <v>0</v>
          </cell>
        </row>
        <row r="82">
          <cell r="C82">
            <v>0.08</v>
          </cell>
          <cell r="E82">
            <v>5.5002907437346399E-2</v>
          </cell>
          <cell r="I82">
            <v>0.14000000000000001</v>
          </cell>
          <cell r="K82">
            <v>0.15842712990509392</v>
          </cell>
          <cell r="O82">
            <v>0</v>
          </cell>
          <cell r="Q82">
            <v>0</v>
          </cell>
        </row>
        <row r="83">
          <cell r="C83">
            <v>0.08</v>
          </cell>
          <cell r="E83">
            <v>0</v>
          </cell>
          <cell r="I83">
            <v>0.11</v>
          </cell>
          <cell r="K83">
            <v>8.1241050127392623E-3</v>
          </cell>
          <cell r="O83">
            <v>0</v>
          </cell>
          <cell r="Q83">
            <v>1.9823726994765346E-2</v>
          </cell>
        </row>
        <row r="84">
          <cell r="C84">
            <v>0.08</v>
          </cell>
          <cell r="E84">
            <v>0</v>
          </cell>
          <cell r="I84">
            <v>0.1</v>
          </cell>
          <cell r="K84">
            <v>4.546856638395038E-2</v>
          </cell>
          <cell r="O84">
            <v>0.05</v>
          </cell>
          <cell r="Q84">
            <v>6.6328430731426025E-3</v>
          </cell>
        </row>
        <row r="85">
          <cell r="C85">
            <v>0.08</v>
          </cell>
          <cell r="E85">
            <v>6.9553670006774052E-2</v>
          </cell>
          <cell r="I85">
            <v>0.08</v>
          </cell>
          <cell r="K85">
            <v>0.16469086811651046</v>
          </cell>
          <cell r="O85">
            <v>0.09</v>
          </cell>
          <cell r="Q85">
            <v>0.18638051721118404</v>
          </cell>
        </row>
        <row r="86">
          <cell r="C86">
            <v>0.08</v>
          </cell>
          <cell r="E86">
            <v>3.5053652544482908E-2</v>
          </cell>
          <cell r="I86">
            <v>0.05</v>
          </cell>
          <cell r="K86">
            <v>7.4871904450070541E-3</v>
          </cell>
          <cell r="O86">
            <v>0.25</v>
          </cell>
          <cell r="Q86">
            <v>0.20886621972215891</v>
          </cell>
        </row>
        <row r="87">
          <cell r="C87">
            <v>0.08</v>
          </cell>
          <cell r="E87">
            <v>4.8982511075414431E-2</v>
          </cell>
          <cell r="I87">
            <v>0.02</v>
          </cell>
          <cell r="K87">
            <v>7.6240511935143696E-2</v>
          </cell>
          <cell r="O87">
            <v>0.27</v>
          </cell>
          <cell r="Q87">
            <v>5.528705407901733E-2</v>
          </cell>
        </row>
        <row r="88">
          <cell r="C88">
            <v>0.35</v>
          </cell>
          <cell r="E88">
            <v>2.3340967213039691E-2</v>
          </cell>
          <cell r="I88">
            <v>0.22</v>
          </cell>
          <cell r="K88">
            <v>0.2636421351902728</v>
          </cell>
          <cell r="O88">
            <v>0.34</v>
          </cell>
          <cell r="Q88">
            <v>0.30065395105119841</v>
          </cell>
        </row>
        <row r="89">
          <cell r="C89">
            <v>1</v>
          </cell>
          <cell r="E89">
            <v>0.37548321170424936</v>
          </cell>
          <cell r="I89">
            <v>1</v>
          </cell>
          <cell r="K89">
            <v>0.83345147500473027</v>
          </cell>
          <cell r="O89">
            <v>1</v>
          </cell>
          <cell r="Q89">
            <v>0.77764431213146668</v>
          </cell>
        </row>
        <row r="94">
          <cell r="C94">
            <v>1</v>
          </cell>
          <cell r="D94">
            <v>1</v>
          </cell>
        </row>
        <row r="95">
          <cell r="C95">
            <v>1</v>
          </cell>
          <cell r="D95">
            <v>0.55000000000000004</v>
          </cell>
        </row>
        <row r="96">
          <cell r="C96">
            <v>1</v>
          </cell>
          <cell r="D96">
            <v>0.05</v>
          </cell>
        </row>
        <row r="97">
          <cell r="C97">
            <v>1</v>
          </cell>
          <cell r="D97">
            <v>0.4</v>
          </cell>
        </row>
        <row r="98">
          <cell r="C98">
            <v>1</v>
          </cell>
          <cell r="D98">
            <v>0.25</v>
          </cell>
          <cell r="I98">
            <v>0</v>
          </cell>
        </row>
        <row r="99">
          <cell r="C99">
            <v>0.8</v>
          </cell>
          <cell r="D99">
            <v>0.45</v>
          </cell>
          <cell r="I99">
            <v>1</v>
          </cell>
        </row>
        <row r="100">
          <cell r="C100">
            <v>1</v>
          </cell>
          <cell r="D100">
            <v>0.15</v>
          </cell>
          <cell r="I100">
            <v>0</v>
          </cell>
        </row>
        <row r="101">
          <cell r="C101">
            <v>1</v>
          </cell>
          <cell r="D101">
            <v>0.45</v>
          </cell>
          <cell r="I101">
            <v>0</v>
          </cell>
        </row>
        <row r="102">
          <cell r="C102">
            <v>1</v>
          </cell>
          <cell r="D102">
            <v>0.55000000000000004</v>
          </cell>
          <cell r="I102">
            <v>1</v>
          </cell>
          <cell r="J102">
            <v>0.93</v>
          </cell>
        </row>
        <row r="103">
          <cell r="C103">
            <v>1</v>
          </cell>
          <cell r="D103">
            <v>0.05</v>
          </cell>
          <cell r="I103">
            <v>0</v>
          </cell>
        </row>
        <row r="104">
          <cell r="C104">
            <v>1</v>
          </cell>
          <cell r="D104">
            <v>0.4</v>
          </cell>
          <cell r="I104">
            <v>0</v>
          </cell>
        </row>
        <row r="105">
          <cell r="C105">
            <v>1</v>
          </cell>
          <cell r="D105">
            <v>0.3</v>
          </cell>
          <cell r="I105">
            <v>1</v>
          </cell>
          <cell r="J105">
            <v>0.99</v>
          </cell>
        </row>
        <row r="106">
          <cell r="C106">
            <v>1</v>
          </cell>
          <cell r="D106">
            <v>0.38333333333333336</v>
          </cell>
          <cell r="I106">
            <v>1</v>
          </cell>
          <cell r="J106">
            <v>0.98</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Instrucciones"/>
      <sheetName val="Control"/>
      <sheetName val="param"/>
    </sheetNames>
    <sheetDataSet>
      <sheetData sheetId="0" refreshError="1"/>
      <sheetData sheetId="1" refreshError="1"/>
      <sheetData sheetId="2" refreshError="1"/>
      <sheetData sheetId="3" refreshError="1"/>
      <sheetData sheetId="4">
        <row r="2">
          <cell r="C2" t="str">
            <v>1.1. Cumplir con las metas del plan de desarrollo de la Bogotá Humana en lo que compete al IDU</v>
          </cell>
        </row>
        <row r="3">
          <cell r="C3" t="str">
            <v>1.2. Actualizar y divulgar el 100% de los convenios interinstitucionales e intersectoriales para el buen desarrollo de los proyectos de Movilidad Humana y suscribir nuevos convenios.</v>
          </cell>
        </row>
        <row r="4">
          <cell r="C4" t="str">
            <v>2.1. Realizar el 100% de la gestión y  coordinación interinstitucional para la ejecución de las obras.</v>
          </cell>
        </row>
        <row r="5">
          <cell r="C5" t="str">
            <v>2.2. Gestionar cuatro alianzas público privadas  dentro de la política de infraestructura, movilidad y Desarrollo Urbano.</v>
          </cell>
        </row>
        <row r="6">
          <cell r="C6" t="str">
            <v>2.3. Gestionar dos acuerdos de  cooperación internacional  que aporten a cumplimiento de las metas institucionales</v>
          </cell>
        </row>
        <row r="7">
          <cell r="C7" t="str">
            <v>2.4. Estructurar la propuesta de modificación de los acuerdos 180 de 2005 y 451 de 2010.</v>
          </cell>
        </row>
        <row r="8">
          <cell r="C8" t="str">
            <v>2.4. Estructurar la propuesta de modificación del Acuerdo 7 de 1987 - Estatuto de Valorización</v>
          </cell>
        </row>
        <row r="9">
          <cell r="C9" t="str">
            <v>2.4. Recuperar el 72% de la cartera vencida por concepto de valorización.</v>
          </cell>
        </row>
        <row r="10">
          <cell r="C10" t="str">
            <v>3.1. Diseñar e implementar un plan de gestión del conocimiento que permita capturar, organizar, transferir y difundir el conocimiento institucional.</v>
          </cell>
        </row>
        <row r="11">
          <cell r="C11" t="str">
            <v>3.2. Incorporar nuevas tecnologías, técnicas y/o  materiales a los procesos constructivos  al 100% de los proyectos de la Movilidad Humana.</v>
          </cell>
        </row>
        <row r="12">
          <cell r="C12" t="str">
            <v>3.3. Actualizar el 100% del inventario y diagnóstico de la malla vial, espacio publico y ciclorutas de competencia de la entidad.</v>
          </cell>
        </row>
        <row r="13">
          <cell r="C13" t="str">
            <v>3.4. Consolidar el Sistema de Información Geográfico del Instituto.</v>
          </cell>
        </row>
        <row r="14">
          <cell r="C14" t="str">
            <v>4.1. El 100% de los proyectos IDU contaran  con mecanismos de seguimiento y evaluación que permitan medir la satisfacción y percepción ciudadana frente al desarrollo de los mismos.</v>
          </cell>
        </row>
        <row r="15">
          <cell r="C15" t="str">
            <v>4.2. Mantener actualizados los portales de contratación (SECOP y CAV)de la información de gestión contractual adelantada por el IDU para la consulta de los ciudadanos.</v>
          </cell>
        </row>
        <row r="16">
          <cell r="C16" t="str">
            <v>4.3. Implementar un plan de intervención para mejorar el clima organizacional  y que promueva una cultura institucional en el marco del fortalecimiento de la entidad</v>
          </cell>
        </row>
        <row r="17">
          <cell r="C17" t="str">
            <v>4.4. Fortalecer la comunicación directa con la comunidad en el 100% de los contratos  de obra.</v>
          </cell>
        </row>
        <row r="18">
          <cell r="C18" t="str">
            <v>4.5. El 100% de los proyectos a cargo del IDU contaran con los medios y condiciones para promover procesos de participación ciudadana, gestión social y gestión ambiental en cada una de sus etapas.</v>
          </cell>
        </row>
        <row r="19">
          <cell r="C19" t="str">
            <v>4.6. Lograr el  90% de satisfacción  frente al servicio de atención al ciudadano en los puntos dispuestos por la entidad.</v>
          </cell>
        </row>
        <row r="20">
          <cell r="C20" t="str">
            <v>5.1. Mantener por encima del 90% la ejecución presupuestal (eficiencia)de la vigencia, pasivos exigibles y reservas.</v>
          </cell>
        </row>
        <row r="21">
          <cell r="C21" t="str">
            <v>5.2. Ejecutar el 100% de los proyectos institucionales de acuerdo con los cronogramas establecidos.</v>
          </cell>
        </row>
        <row r="22">
          <cell r="C22" t="str">
            <v>5.3. Realizar el seguimiento al 100% de los proyectos de inversión</v>
          </cell>
        </row>
        <row r="23">
          <cell r="C23" t="str">
            <v>5.4. Adelantar el 100% de las actuaciones de oficio o con base en las quejas e informes recibidos en relación con conductas presuntamente irregulares de los servidores públicos del IDU</v>
          </cell>
        </row>
        <row r="24">
          <cell r="C24" t="str">
            <v>5.5. Evaluar el 100% de los procesos y la gestión de las dependencias del IDU</v>
          </cell>
        </row>
        <row r="25">
          <cell r="C25" t="str">
            <v>5.6. Implementar, evaluar y auditar el 100% del Sistema Integrado de Gestión del IDU.</v>
          </cell>
        </row>
        <row r="26">
          <cell r="C26" t="str">
            <v>5.7. Mantener un nivel de éxito procesal del 82 % en términos del valor de pretensiones indexadas respecto de los procesos judiciales favorables al IDU.</v>
          </cell>
        </row>
        <row r="27">
          <cell r="C27" t="str">
            <v>5.8. Estructurar un proyecto técnico para la nueva sede del IDU.</v>
          </cell>
        </row>
        <row r="28">
          <cell r="C28" t="str">
            <v>5.9. Implementar un plan de modernización tecnológica del IDU.</v>
          </cell>
        </row>
        <row r="29">
          <cell r="C29" t="str">
            <v>5.1. Desarrollar una estrategia que articule la implementación de los subsistemas SGSI, SIGA y S&amp;SO.</v>
          </cell>
        </row>
        <row r="30">
          <cell r="C30" t="str">
            <v>5.11. Incrementar el uso de software libre para el desarrollo de las aplicaciones requeridas en la entidad y que sean viables bajo este tipo de  licenciamiento</v>
          </cell>
        </row>
        <row r="31">
          <cell r="C31" t="str">
            <v>5.12. Integrar el 100% de los sistemas de información administrativos y financieros de la entidad.</v>
          </cell>
        </row>
        <row r="32">
          <cell r="C32" t="str">
            <v>5.13. Estructurar técnicamente la propuesta para la ampliación de la planta de personal de acuerdo con las necesidades de la entidad y presentarla para su aprobación.</v>
          </cell>
        </row>
        <row r="33">
          <cell r="C33" t="str">
            <v>5.14. Implementar el sistema de estímulos que contribuya al mejoramiento de la calidad de vida laboral</v>
          </cell>
        </row>
        <row r="34">
          <cell r="C34" t="str">
            <v>5.15. Elaborar la propuesta de modificación de la estructura administrativa y de las funciones definidas en los Acuerdos 1 y 2 de 2009 y presentarla para su aprobación.</v>
          </cell>
        </row>
        <row r="35">
          <cell r="C35" t="str">
            <v>5.16. implementar el 100% de las actividades de formación y prevención dirigidas a los servidores y contratistas de la entidad sobre conductas que puedan constituir falta disciplinaria.</v>
          </cell>
        </row>
        <row r="36">
          <cell r="C36" t="str">
            <v>5.17. Mejorar y mantener la percepción favorable del 80% en la efectividad de la comunicación interna de la Entidad</v>
          </cell>
        </row>
        <row r="37">
          <cell r="C37" t="str">
            <v>5.18. Actualizar e Implementar un plan de comunicación interna y externa para la Entidad</v>
          </cell>
        </row>
        <row r="38">
          <cell r="C38" t="str">
            <v>5.19. Diseñar e implementar cuarenta campañas de comunicación a partir de las necesidades de comunicación surgidas en las áreas de la entidad</v>
          </cell>
        </row>
        <row r="39">
          <cell r="C39" t="str">
            <v>5.2. Implementar y evaluar el 100% del plan anticorrupción y atención al ciudadano, en el marco de las directrices nacionales y distritales.</v>
          </cell>
        </row>
        <row r="40">
          <cell r="C40" t="str">
            <v>5.21. Implementar el 100% del procedimiento de prevención de daño antijurídico</v>
          </cell>
        </row>
        <row r="41">
          <cell r="C41" t="str">
            <v>5.22. Construir la política, estrategia y manual de cooperación internacional para el IDU.</v>
          </cell>
        </row>
        <row r="42">
          <cell r="C42" t="str">
            <v>5.24. Cumplir la totalidad de los planes de mejoramiento establecidos por los entes de control internos y externos, en la vigencia correspondiente</v>
          </cell>
        </row>
        <row r="43">
          <cell r="C43" t="str">
            <v>5.25. Establecer y consolidar un Sistema de monitoreo y evaluación de la gestión del IDU</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
      <sheetName val="Hoja1"/>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erdo de Gestión"/>
      <sheetName val="instrucciones"/>
      <sheetName val="parametros"/>
      <sheetName val="Hoja de Control"/>
    </sheetNames>
    <sheetDataSet>
      <sheetData sheetId="0"/>
      <sheetData sheetId="1"/>
      <sheetData sheetId="2">
        <row r="6">
          <cell r="C6" t="str">
            <v>MARÍA DEL PILAR BAHAMÓN FALLA</v>
          </cell>
          <cell r="D6" t="str">
            <v xml:space="preserve">DIRECCIÓN GENERAL </v>
          </cell>
        </row>
        <row r="7">
          <cell r="C7" t="str">
            <v>JEANNETH ROCÍO GÓMEZ RODRÍGUEZ</v>
          </cell>
          <cell r="D7" t="str">
            <v xml:space="preserve">OFICINA ASESORA DE PLANEACIÓN </v>
          </cell>
          <cell r="G7" t="str">
            <v>1.1.1. PROYECTOS (Concesiones)</v>
          </cell>
        </row>
        <row r="8">
          <cell r="B8" t="str">
            <v>x</v>
          </cell>
          <cell r="C8" t="str">
            <v>WALTER TARCICIO ACOSTA BARRETO</v>
          </cell>
          <cell r="D8" t="str">
            <v>OFICINA DE ATENCIÓN AL CIUDADANO</v>
          </cell>
          <cell r="G8" t="str">
            <v>1.1.2. TRANSFERENCIAS</v>
          </cell>
        </row>
        <row r="9">
          <cell r="C9" t="str">
            <v>CLAUDIA MARCELA CORTES MAHECHA</v>
          </cell>
          <cell r="D9" t="str">
            <v>OFICINA ASESORA DE COMUNICACIONES</v>
          </cell>
          <cell r="G9" t="str">
            <v>1.1.3. VALORIZACIÓN</v>
          </cell>
        </row>
        <row r="10">
          <cell r="C10" t="str">
            <v>WILSON DAZA GÓMEZ</v>
          </cell>
          <cell r="D10" t="str">
            <v>OFICINA DE CONTROL DISCIPLINARIO</v>
          </cell>
          <cell r="G10" t="str">
            <v>1.1.4. CONVENIOS Y ALIANZAS</v>
          </cell>
        </row>
        <row r="11">
          <cell r="C11" t="str">
            <v>GLORIA ACONCHA GARCÍA</v>
          </cell>
          <cell r="D11" t="str">
            <v>OFICINA DE CONTROL INTERNO</v>
          </cell>
          <cell r="G11" t="str">
            <v>1.2.1. GESTIÓN DEL TALENTO HUMANO</v>
          </cell>
        </row>
        <row r="12">
          <cell r="C12" t="str">
            <v>GABRIEL AMADO PARDO</v>
          </cell>
          <cell r="D12" t="str">
            <v>SUBDIRECCIÓN GENERAL DE DESARROLLO URBANO</v>
          </cell>
          <cell r="G12" t="str">
            <v>1.2.2. GESTIÓN DE RECURSOS INVERSIÓN (CAPACIDAD INSTALADA)</v>
          </cell>
        </row>
        <row r="13">
          <cell r="C13" t="str">
            <v>CARLOS ALBERTO JAIME AGUIRRE (E)</v>
          </cell>
          <cell r="D13" t="str">
            <v>SUBDIRECCIÓN GENERAL DE INFRAESTRUCTURA</v>
          </cell>
          <cell r="G13" t="str">
            <v>1.2.3. GESTIÓN DE INSUMOS</v>
          </cell>
        </row>
        <row r="14">
          <cell r="C14" t="str">
            <v>CAMILO JOSÉ ARBELAEZ CASAS</v>
          </cell>
          <cell r="D14" t="str">
            <v xml:space="preserve">SUBDIRECCIÓN GENERAL JURIDICA
</v>
          </cell>
          <cell r="G14" t="str">
            <v xml:space="preserve">1.2.4. GESTIÓN GASTOS GENERALES </v>
          </cell>
        </row>
        <row r="15">
          <cell r="C15" t="str">
            <v xml:space="preserve">WILDE ALEXANDER CORONADO MOLANO  </v>
          </cell>
          <cell r="D15" t="str">
            <v>SUBDIRECCIÓN GENERAL DE GESTIÓN CORPORATIVA</v>
          </cell>
          <cell r="G15" t="str">
            <v>2.1.1. SISTEMAS INTEGRADOS DE GESTIÓN Y CONTROL</v>
          </cell>
        </row>
        <row r="16">
          <cell r="C16" t="str">
            <v xml:space="preserve">LIBARDO ALFONSO CELIS YARURO (E)
</v>
          </cell>
          <cell r="D16" t="str">
            <v>DIRECCIÓN TÉCNICA ESTRATEGICA</v>
          </cell>
          <cell r="G16" t="str">
            <v>2.1.2. TECNOLOGÍA DE LA INFORMACIÓN Y TELECOMUNICACIONES (TICS)</v>
          </cell>
        </row>
        <row r="17">
          <cell r="C17" t="str">
            <v>ROSA ELVIA ARGAEZ PRADA</v>
          </cell>
          <cell r="D17" t="str">
            <v>DIRECCIÓN TÉCNICA DE PROYECTOS</v>
          </cell>
          <cell r="G17" t="str">
            <v>2.2.1. DESARROLLO ESTRATÉGICO DEL MODELO ( planes y programas, modelo de operación y estructura de funcionamiento)</v>
          </cell>
        </row>
        <row r="18">
          <cell r="C18" t="str">
            <v>RAFAEL HERNÁN DAZA CASTAÑEDA</v>
          </cell>
          <cell r="D18" t="str">
            <v>DIRECCIÓN TÉCNICA DE DISEÑO DE PROYECTOS</v>
          </cell>
          <cell r="G18" t="str">
            <v>2.2.2. IMPLEMENTACIÓN Y GESTIÓNDEL MODELO (proyectos)</v>
          </cell>
        </row>
        <row r="19">
          <cell r="C19" t="str">
            <v>MARTHA MERCEDES CASTRILLON SIMMONDS</v>
          </cell>
          <cell r="D19" t="str">
            <v>DIRECCIÓN TÉCNICA DE PREDIO</v>
          </cell>
          <cell r="G19" t="str">
            <v>2.2.3. EVALUACIÓN Y CONTROL DEL MODELO ( Evaluación de la implementación, auditorías de funcionamiento y desarrollo de sistemas de control del modelo).</v>
          </cell>
        </row>
        <row r="20">
          <cell r="C20" t="str">
            <v>GLORIA INÉS CARDONA BOTERO (E)</v>
          </cell>
          <cell r="D20" t="str">
            <v>DIRECCIÓN TÉCNICA DE CONSTRUCCIONES</v>
          </cell>
          <cell r="G20" t="str">
            <v>3.1.1. INVESTIGACIÓN Y DESARROLLO</v>
          </cell>
        </row>
        <row r="21">
          <cell r="C21" t="str">
            <v>CARLOS ALBERTO JAIME AGUIRRE (E)</v>
          </cell>
          <cell r="D21" t="str">
            <v>DIRECCIÓN TÉCNICA DE MANTENIMIENTO</v>
          </cell>
          <cell r="G21" t="str">
            <v>3.1.2. MECANISMOS DE COMPETITIVIDAD CONTINUA</v>
          </cell>
        </row>
        <row r="22">
          <cell r="C22" t="str">
            <v>JULIO CESAR PINZÓN REYES</v>
          </cell>
          <cell r="D22" t="str">
            <v>DIRECCIÓN TÉCNICA DE ADMINISTRACION DE INFRAESTRUCTURA</v>
          </cell>
          <cell r="G22" t="str">
            <v xml:space="preserve">3.1.3. PARTICIPACIÓN TRANSECTORIAL </v>
          </cell>
        </row>
        <row r="23">
          <cell r="C23" t="str">
            <v>WILMAR DARÍO GONZÁLEZ BURITICA</v>
          </cell>
          <cell r="D23" t="str">
            <v>DIRECCIÓN TÉCNICA DE PROCESOS SELECTIVOS</v>
          </cell>
          <cell r="G23" t="str">
            <v>3.2.1. FORTALECIMIENTO DE MECANISMOS DE PARTICIPACIÓN SOCIAL Y COMUNITARIA ( Cultura ciudadana)</v>
          </cell>
        </row>
        <row r="24">
          <cell r="C24" t="str">
            <v>ADRIANA LUCIA JIMÉNEZ RODRÍGUEZ</v>
          </cell>
          <cell r="D24" t="str">
            <v>DIRECCIÓN TÉCNICA DE GESTIÓN CONTRACTUAL</v>
          </cell>
          <cell r="G24" t="str">
            <v>3.2.2. ASEGURAR EL FUNCIONAMIENTO DE LOS CANALES DE COMUNICACIÓN EXTERNOS</v>
          </cell>
        </row>
        <row r="25">
          <cell r="C25" t="str">
            <v>MIRIAM LIZARAZO AROCHA</v>
          </cell>
          <cell r="D25" t="str">
            <v>DIRECCIÓN TÉCNICA DE GESTIÓN JUDICIAL</v>
          </cell>
          <cell r="G25" t="str">
            <v>3.3.1. ASEGURAR EL FUNCIONAMIENTO DE LOS CANALES DE COMUNICACIÓN INTERNO</v>
          </cell>
        </row>
        <row r="26">
          <cell r="C26" t="str">
            <v>MARTHA LUCIA CIPAGAUTA CORREA</v>
          </cell>
          <cell r="D26" t="str">
            <v>DIRECCIÓN TÉCNICA ADMINISTRATIVA Y FINANCIERA</v>
          </cell>
          <cell r="G26" t="str">
            <v xml:space="preserve">3.3.2. CRECIMIENTO Y DESARROLLO DEL TALENTO HUMANO </v>
          </cell>
        </row>
        <row r="27">
          <cell r="C27" t="str">
            <v>JUAN CARLOS PEÑA MEDINA</v>
          </cell>
          <cell r="D27" t="str">
            <v>DIRECCIÓN TÉCNICA DE APOYO A LA VALORIZACIÓN</v>
          </cell>
        </row>
        <row r="28">
          <cell r="C28" t="str">
            <v>JUAN CARLOS RUIZ ARIAS</v>
          </cell>
          <cell r="D28" t="str">
            <v>SUBDIRECCIÓN TÉCNICA DE EJECUCIÓN SUBSISTEMA VIAL</v>
          </cell>
        </row>
        <row r="29">
          <cell r="C29" t="str">
            <v>NORMAN RICARDO SÁNCHEZ DUEÑAS ( E )</v>
          </cell>
          <cell r="D29" t="str">
            <v>SUBDIRECCIÓN TÉCNICA DE EJECUCIÓN SUBSISTEMA TRANSPORTE</v>
          </cell>
        </row>
        <row r="30">
          <cell r="C30" t="str">
            <v>LUIS GABRIEL TALERO REINA ( E )</v>
          </cell>
          <cell r="D30" t="str">
            <v>SUBDIRECCIÓN TÉCNICA DE MANTENIMIENTO SUBSISTEMA VIAL</v>
          </cell>
        </row>
        <row r="31">
          <cell r="C31" t="str">
            <v>JOSÉ NAPOLEÓN POSADA VIANA</v>
          </cell>
          <cell r="D31" t="str">
            <v>SUBDIRECCIÓN TÉCNICA DE MANTENIMIENTO SUBSISTEMA TRANSPORTE</v>
          </cell>
        </row>
        <row r="32">
          <cell r="C32" t="str">
            <v>JAIME BOBADILLA ROMERO</v>
          </cell>
          <cell r="D32" t="str">
            <v>SUBDIRECCIÓN TÉCNICA DE RECURSOS HUMANOS</v>
          </cell>
        </row>
        <row r="33">
          <cell r="C33" t="str">
            <v>LUISA FERNANDA LÓPEZ CAMACHO</v>
          </cell>
          <cell r="D33" t="str">
            <v>SUBDIRECCIÓN TÉCNICA DE RECURSOS FÍSICOS</v>
          </cell>
        </row>
        <row r="34">
          <cell r="C34" t="str">
            <v>CARLOS MAURICIO CORREDOR VERA</v>
          </cell>
          <cell r="D34" t="str">
            <v>SUBDIRECCIÓN TÉCNICA DE RECURSOS TECNOLÓGICOS</v>
          </cell>
        </row>
        <row r="35">
          <cell r="C35" t="str">
            <v>GLORIA SMITH ORTIZ RAMÍREZ</v>
          </cell>
          <cell r="D35" t="str">
            <v>SUBDIRECCIÓN TÉCNICA DE TESORERIA Y RECAUDO</v>
          </cell>
        </row>
        <row r="36">
          <cell r="C36" t="str">
            <v>MARIA IMELDA GONZÁLEZ GUEVARA</v>
          </cell>
          <cell r="D36" t="str">
            <v>SUBDIRECCIÓN TÉCNICA DE PRESUPUESTO Y CONTABILIDAD</v>
          </cell>
        </row>
        <row r="37">
          <cell r="C37" t="str">
            <v>MANUEL JOSÉ RAMÍREZ GIRALDO</v>
          </cell>
          <cell r="D37" t="str">
            <v>SUBDIRECCIÓN TÉCNICA DE OPERACIONES</v>
          </cell>
        </row>
        <row r="38">
          <cell r="C38" t="str">
            <v>CARLOS FRANCISCO RAMÍREZ CÁRDENAS</v>
          </cell>
          <cell r="D38" t="str">
            <v>SUBDIRECCIÓN TÉCNICA DE JURIDICA Y EJECUCIONES FISCALES</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26"/>
  </sheetPr>
  <dimension ref="A1:CW30"/>
  <sheetViews>
    <sheetView showGridLines="0" tabSelected="1" view="pageBreakPreview" zoomScale="80" zoomScaleNormal="100" zoomScaleSheetLayoutView="80" workbookViewId="0">
      <pane xSplit="1" ySplit="7" topLeftCell="B8" activePane="bottomRight" state="frozen"/>
      <selection pane="topRight" activeCell="B1" sqref="B1"/>
      <selection pane="bottomLeft" activeCell="A8" sqref="A8"/>
      <selection pane="bottomRight" activeCell="B1" sqref="B1:N1"/>
    </sheetView>
  </sheetViews>
  <sheetFormatPr baseColWidth="10" defaultRowHeight="12.75"/>
  <cols>
    <col min="1" max="1" width="1.140625" style="1" customWidth="1"/>
    <col min="2" max="2" width="17.5703125" style="1" customWidth="1"/>
    <col min="3" max="3" width="5.42578125" style="2" hidden="1" customWidth="1"/>
    <col min="4" max="4" width="26.85546875" style="1" customWidth="1"/>
    <col min="5" max="5" width="14.7109375" style="1" customWidth="1"/>
    <col min="6" max="6" width="18" style="1" customWidth="1"/>
    <col min="7" max="7" width="9.28515625" style="1" customWidth="1"/>
    <col min="8" max="8" width="18.7109375" style="1" customWidth="1"/>
    <col min="9" max="9" width="16.7109375" style="1" customWidth="1"/>
    <col min="10" max="10" width="10" style="1" customWidth="1"/>
    <col min="11" max="22" width="4.7109375" style="1" customWidth="1"/>
    <col min="23" max="23" width="9.5703125" style="1" hidden="1" customWidth="1"/>
    <col min="24" max="24" width="9.28515625" style="15" customWidth="1"/>
    <col min="25" max="25" width="11" style="15" customWidth="1"/>
    <col min="26" max="27" width="8.140625" style="15" customWidth="1"/>
    <col min="28" max="28" width="11.5703125" style="15" customWidth="1"/>
    <col min="29" max="29" width="55.42578125" style="15" customWidth="1"/>
    <col min="30" max="30" width="9.28515625" style="15" customWidth="1"/>
    <col min="31" max="31" width="11" style="15" customWidth="1"/>
    <col min="32" max="33" width="8.140625" style="15" customWidth="1"/>
    <col min="34" max="34" width="11.5703125" style="15" customWidth="1"/>
    <col min="35" max="35" width="55.42578125" style="15" customWidth="1"/>
    <col min="36" max="36" width="9.28515625" style="15" customWidth="1"/>
    <col min="37" max="37" width="11" style="15" customWidth="1"/>
    <col min="38" max="39" width="8.140625" style="15" customWidth="1"/>
    <col min="40" max="40" width="11.5703125" style="15" customWidth="1"/>
    <col min="41" max="41" width="55.42578125" style="15" customWidth="1"/>
    <col min="42" max="42" width="9.28515625" style="15" customWidth="1"/>
    <col min="43" max="43" width="11" style="15" customWidth="1"/>
    <col min="44" max="45" width="8.140625" style="15" customWidth="1"/>
    <col min="46" max="46" width="11.5703125" style="15" customWidth="1"/>
    <col min="47" max="47" width="55.42578125" style="15" customWidth="1"/>
    <col min="48" max="48" width="9.28515625" style="15" customWidth="1"/>
    <col min="49" max="49" width="11" style="15" customWidth="1"/>
    <col min="50" max="51" width="8.140625" style="15" customWidth="1"/>
    <col min="52" max="52" width="11.5703125" style="15" customWidth="1"/>
    <col min="53" max="53" width="55.42578125" style="15" customWidth="1"/>
    <col min="54" max="54" width="9.85546875" style="15" bestFit="1" customWidth="1"/>
    <col min="55" max="55" width="11" style="15" customWidth="1"/>
    <col min="56" max="57" width="8.140625" style="15" customWidth="1"/>
    <col min="58" max="58" width="11.5703125" style="15" customWidth="1"/>
    <col min="59" max="59" width="55.42578125" style="15" customWidth="1"/>
    <col min="60" max="60" width="9.28515625" style="15" customWidth="1"/>
    <col min="61" max="61" width="11" style="15" customWidth="1"/>
    <col min="62" max="63" width="8.140625" style="15" customWidth="1"/>
    <col min="64" max="64" width="11.5703125" style="15" customWidth="1"/>
    <col min="65" max="65" width="55.42578125" style="15" customWidth="1"/>
    <col min="66" max="66" width="9.28515625" style="15" customWidth="1"/>
    <col min="67" max="67" width="11" style="15" customWidth="1"/>
    <col min="68" max="69" width="8.140625" style="15" customWidth="1"/>
    <col min="70" max="70" width="11.5703125" style="15" customWidth="1"/>
    <col min="71" max="71" width="55.42578125" style="15" customWidth="1"/>
    <col min="72" max="72" width="9.28515625" style="15" customWidth="1"/>
    <col min="73" max="73" width="11" style="15" customWidth="1"/>
    <col min="74" max="75" width="8.140625" style="15" customWidth="1"/>
    <col min="76" max="76" width="11.5703125" style="15" customWidth="1"/>
    <col min="77" max="77" width="55.42578125" style="15" customWidth="1"/>
    <col min="78" max="78" width="9.28515625" style="15" customWidth="1"/>
    <col min="79" max="79" width="11" style="15" customWidth="1"/>
    <col min="80" max="81" width="8.140625" style="15" customWidth="1"/>
    <col min="82" max="82" width="11.5703125" style="15" customWidth="1"/>
    <col min="83" max="83" width="55.42578125" style="15" customWidth="1"/>
    <col min="84" max="84" width="9.28515625" style="15" customWidth="1"/>
    <col min="85" max="85" width="11" style="15" customWidth="1"/>
    <col min="86" max="87" width="8.140625" style="15" customWidth="1"/>
    <col min="88" max="88" width="11.5703125" style="15" customWidth="1"/>
    <col min="89" max="89" width="55.42578125" style="15" customWidth="1"/>
    <col min="90" max="90" width="9.28515625" style="15" bestFit="1" customWidth="1"/>
    <col min="91" max="91" width="11" style="15" customWidth="1"/>
    <col min="92" max="93" width="8.140625" style="15" customWidth="1"/>
    <col min="94" max="94" width="11.5703125" style="15" customWidth="1"/>
    <col min="95" max="95" width="55.42578125" style="15" customWidth="1"/>
    <col min="96" max="96" width="9.28515625" style="15" bestFit="1" customWidth="1"/>
    <col min="97" max="97" width="11" style="15" customWidth="1"/>
    <col min="98" max="98" width="8.140625" style="15" customWidth="1"/>
    <col min="99" max="99" width="9.140625" style="15" customWidth="1"/>
    <col min="100" max="100" width="12.85546875" style="15" customWidth="1"/>
    <col min="101" max="101" width="55.42578125" style="15" customWidth="1"/>
    <col min="102" max="16384" width="11.42578125" style="1"/>
  </cols>
  <sheetData>
    <row r="1" spans="1:101"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1"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row>
    <row r="3" spans="1:101" ht="5.25" customHeight="1"/>
    <row r="4" spans="1:101" ht="19.5" customHeight="1">
      <c r="B4" s="49" t="s">
        <v>18</v>
      </c>
      <c r="C4" s="1979" t="s">
        <v>2216</v>
      </c>
      <c r="D4" s="1979"/>
      <c r="E4" s="1979"/>
      <c r="F4" s="1979"/>
      <c r="G4" s="1979"/>
      <c r="H4" s="1979"/>
      <c r="I4" s="1979"/>
      <c r="J4" s="1979"/>
      <c r="K4" s="1996" t="s">
        <v>21</v>
      </c>
      <c r="L4" s="1996"/>
      <c r="M4" s="1996"/>
      <c r="N4" s="1999"/>
      <c r="O4" s="2000"/>
      <c r="P4" s="2000"/>
      <c r="Q4" s="2000"/>
      <c r="R4" s="2000"/>
      <c r="S4" s="2000"/>
      <c r="T4" s="2000"/>
      <c r="U4" s="2000"/>
      <c r="V4" s="2001"/>
      <c r="W4" s="45"/>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6" customHeight="1">
      <c r="A5" s="45"/>
      <c r="B5" s="45"/>
      <c r="C5" s="44"/>
      <c r="D5" s="45"/>
      <c r="E5" s="45"/>
      <c r="F5" s="45"/>
      <c r="G5" s="45"/>
      <c r="H5" s="45"/>
      <c r="I5" s="45"/>
      <c r="J5" s="45"/>
      <c r="K5" s="45"/>
      <c r="L5" s="45"/>
      <c r="M5" s="45"/>
      <c r="N5" s="45"/>
      <c r="O5" s="45"/>
      <c r="P5" s="45"/>
      <c r="Q5" s="45"/>
      <c r="R5" s="45"/>
      <c r="S5" s="45"/>
      <c r="T5" s="45"/>
      <c r="U5" s="45"/>
      <c r="V5" s="45"/>
      <c r="W5" s="45"/>
    </row>
    <row r="6" spans="1:101"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1"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5" t="s">
        <v>65</v>
      </c>
      <c r="X7" s="56" t="s">
        <v>31</v>
      </c>
      <c r="Y7" s="56" t="s">
        <v>32</v>
      </c>
      <c r="Z7" s="57" t="s">
        <v>33</v>
      </c>
      <c r="AA7" s="56" t="s">
        <v>34</v>
      </c>
      <c r="AB7" s="19" t="s">
        <v>35</v>
      </c>
      <c r="AC7" s="57" t="s">
        <v>36</v>
      </c>
      <c r="AD7" s="56" t="s">
        <v>31</v>
      </c>
      <c r="AE7" s="56" t="s">
        <v>32</v>
      </c>
      <c r="AF7" s="57" t="s">
        <v>33</v>
      </c>
      <c r="AG7" s="56" t="s">
        <v>34</v>
      </c>
      <c r="AH7" s="19" t="s">
        <v>35</v>
      </c>
      <c r="AI7" s="57" t="s">
        <v>36</v>
      </c>
      <c r="AJ7" s="56" t="s">
        <v>31</v>
      </c>
      <c r="AK7" s="56" t="s">
        <v>32</v>
      </c>
      <c r="AL7" s="57" t="s">
        <v>33</v>
      </c>
      <c r="AM7" s="56" t="s">
        <v>34</v>
      </c>
      <c r="AN7" s="19" t="s">
        <v>35</v>
      </c>
      <c r="AO7" s="57" t="s">
        <v>36</v>
      </c>
      <c r="AP7" s="56" t="s">
        <v>31</v>
      </c>
      <c r="AQ7" s="56" t="s">
        <v>32</v>
      </c>
      <c r="AR7" s="57" t="s">
        <v>33</v>
      </c>
      <c r="AS7" s="56" t="s">
        <v>34</v>
      </c>
      <c r="AT7" s="19" t="s">
        <v>35</v>
      </c>
      <c r="AU7" s="57" t="s">
        <v>36</v>
      </c>
      <c r="AV7" s="56" t="s">
        <v>31</v>
      </c>
      <c r="AW7" s="56" t="s">
        <v>32</v>
      </c>
      <c r="AX7" s="57" t="s">
        <v>33</v>
      </c>
      <c r="AY7" s="56" t="s">
        <v>34</v>
      </c>
      <c r="AZ7" s="19" t="s">
        <v>35</v>
      </c>
      <c r="BA7" s="57" t="s">
        <v>36</v>
      </c>
      <c r="BB7" s="56" t="s">
        <v>31</v>
      </c>
      <c r="BC7" s="56" t="s">
        <v>32</v>
      </c>
      <c r="BD7" s="57" t="s">
        <v>33</v>
      </c>
      <c r="BE7" s="56" t="s">
        <v>34</v>
      </c>
      <c r="BF7" s="19" t="s">
        <v>35</v>
      </c>
      <c r="BG7" s="57" t="s">
        <v>36</v>
      </c>
      <c r="BH7" s="56" t="s">
        <v>31</v>
      </c>
      <c r="BI7" s="56" t="s">
        <v>32</v>
      </c>
      <c r="BJ7" s="57" t="s">
        <v>33</v>
      </c>
      <c r="BK7" s="56" t="s">
        <v>34</v>
      </c>
      <c r="BL7" s="19" t="s">
        <v>35</v>
      </c>
      <c r="BM7" s="57" t="s">
        <v>36</v>
      </c>
      <c r="BN7" s="56" t="s">
        <v>31</v>
      </c>
      <c r="BO7" s="56" t="s">
        <v>32</v>
      </c>
      <c r="BP7" s="57" t="s">
        <v>33</v>
      </c>
      <c r="BQ7" s="56" t="s">
        <v>34</v>
      </c>
      <c r="BR7" s="19" t="s">
        <v>35</v>
      </c>
      <c r="BS7" s="57" t="s">
        <v>36</v>
      </c>
      <c r="BT7" s="56" t="s">
        <v>31</v>
      </c>
      <c r="BU7" s="56" t="s">
        <v>32</v>
      </c>
      <c r="BV7" s="57" t="s">
        <v>33</v>
      </c>
      <c r="BW7" s="56" t="s">
        <v>34</v>
      </c>
      <c r="BX7" s="19" t="s">
        <v>35</v>
      </c>
      <c r="BY7" s="57" t="s">
        <v>36</v>
      </c>
      <c r="BZ7" s="56" t="s">
        <v>31</v>
      </c>
      <c r="CA7" s="56" t="s">
        <v>32</v>
      </c>
      <c r="CB7" s="57" t="s">
        <v>33</v>
      </c>
      <c r="CC7" s="56" t="s">
        <v>34</v>
      </c>
      <c r="CD7" s="19" t="s">
        <v>35</v>
      </c>
      <c r="CE7" s="57" t="s">
        <v>36</v>
      </c>
      <c r="CF7" s="56" t="s">
        <v>31</v>
      </c>
      <c r="CG7" s="56" t="s">
        <v>32</v>
      </c>
      <c r="CH7" s="57" t="s">
        <v>33</v>
      </c>
      <c r="CI7" s="56" t="s">
        <v>34</v>
      </c>
      <c r="CJ7" s="19" t="s">
        <v>35</v>
      </c>
      <c r="CK7" s="57" t="s">
        <v>36</v>
      </c>
      <c r="CL7" s="56" t="s">
        <v>31</v>
      </c>
      <c r="CM7" s="56" t="s">
        <v>32</v>
      </c>
      <c r="CN7" s="57" t="s">
        <v>33</v>
      </c>
      <c r="CO7" s="56" t="s">
        <v>34</v>
      </c>
      <c r="CP7" s="19" t="s">
        <v>35</v>
      </c>
      <c r="CQ7" s="57" t="s">
        <v>36</v>
      </c>
      <c r="CR7" s="56" t="s">
        <v>31</v>
      </c>
      <c r="CS7" s="56" t="s">
        <v>32</v>
      </c>
      <c r="CT7" s="57" t="s">
        <v>33</v>
      </c>
      <c r="CU7" s="56" t="s">
        <v>34</v>
      </c>
      <c r="CV7" s="19" t="s">
        <v>35</v>
      </c>
      <c r="CW7" s="57" t="s">
        <v>36</v>
      </c>
    </row>
    <row r="8" spans="1:101" s="70" customFormat="1" ht="108" customHeight="1">
      <c r="B8" s="9" t="s">
        <v>94</v>
      </c>
      <c r="C8" s="9"/>
      <c r="D8" s="71" t="s">
        <v>95</v>
      </c>
      <c r="E8" s="9" t="s">
        <v>96</v>
      </c>
      <c r="F8" s="59" t="s">
        <v>97</v>
      </c>
      <c r="G8" s="9" t="s">
        <v>98</v>
      </c>
      <c r="H8" s="72" t="s">
        <v>99</v>
      </c>
      <c r="I8" s="73" t="s">
        <v>100</v>
      </c>
      <c r="J8" s="9" t="s">
        <v>101</v>
      </c>
      <c r="K8" s="7"/>
      <c r="L8" s="7"/>
      <c r="M8" s="12">
        <v>0.25</v>
      </c>
      <c r="N8" s="7"/>
      <c r="O8" s="7"/>
      <c r="P8" s="74">
        <v>0.25</v>
      </c>
      <c r="Q8" s="74"/>
      <c r="R8" s="74"/>
      <c r="S8" s="74">
        <v>0.25</v>
      </c>
      <c r="T8" s="74"/>
      <c r="U8" s="74"/>
      <c r="V8" s="74">
        <v>0.25</v>
      </c>
      <c r="W8" s="75"/>
      <c r="X8" s="68"/>
      <c r="Y8" s="68"/>
      <c r="Z8" s="69" t="str">
        <f t="shared" ref="Z8:Z14" si="0">IF(Y8=0," ",X8/Y8)</f>
        <v xml:space="preserve"> </v>
      </c>
      <c r="AA8" s="58"/>
      <c r="AB8" s="58" t="str">
        <f t="shared" ref="AB8:AB14" si="1">IF(Y8=0," ",Z8/AA8)</f>
        <v xml:space="preserve"> </v>
      </c>
      <c r="AC8" s="65" t="s">
        <v>124</v>
      </c>
      <c r="AD8" s="68"/>
      <c r="AE8" s="68"/>
      <c r="AF8" s="69" t="str">
        <f t="shared" ref="AF8:AF14" si="2">IF(AE8=0," ",AD8/AE8)</f>
        <v xml:space="preserve"> </v>
      </c>
      <c r="AG8" s="58"/>
      <c r="AH8" s="58" t="str">
        <f t="shared" ref="AH8:AH14" si="3">IF(AE8=0," ",AF8/AG8)</f>
        <v xml:space="preserve"> </v>
      </c>
      <c r="AI8" s="65" t="s">
        <v>124</v>
      </c>
      <c r="AJ8" s="68">
        <v>1</v>
      </c>
      <c r="AK8" s="68">
        <v>1</v>
      </c>
      <c r="AL8" s="69">
        <v>0.25</v>
      </c>
      <c r="AM8" s="58">
        <v>0.25</v>
      </c>
      <c r="AN8" s="58">
        <f>IF(AK8=0," ",AL8/AM8)</f>
        <v>1</v>
      </c>
      <c r="AO8" s="65" t="s">
        <v>131</v>
      </c>
      <c r="AP8" s="68"/>
      <c r="AQ8" s="68"/>
      <c r="AR8" s="69" t="str">
        <f t="shared" ref="AR8:AR14" si="4">IF(AQ8=0," ",AP8/AQ8)</f>
        <v xml:space="preserve"> </v>
      </c>
      <c r="AS8" s="58"/>
      <c r="AT8" s="58" t="str">
        <f t="shared" ref="AT8:AT14" si="5">IF(AQ8=0," ",AR8/AS8)</f>
        <v xml:space="preserve"> </v>
      </c>
      <c r="AU8" s="65" t="s">
        <v>124</v>
      </c>
      <c r="AV8" s="68"/>
      <c r="AW8" s="68"/>
      <c r="AX8" s="69" t="str">
        <f t="shared" ref="AX8:AX14" si="6">IF(AW8=0," ",AV8/AW8)</f>
        <v xml:space="preserve"> </v>
      </c>
      <c r="AY8" s="58"/>
      <c r="AZ8" s="58" t="str">
        <f t="shared" ref="AZ8:AZ14" si="7">IF(AW8=0," ",AX8/AY8)</f>
        <v xml:space="preserve"> </v>
      </c>
      <c r="BA8" s="65" t="s">
        <v>124</v>
      </c>
      <c r="BB8" s="111">
        <v>1</v>
      </c>
      <c r="BC8" s="111">
        <v>1</v>
      </c>
      <c r="BD8" s="69">
        <v>0.25</v>
      </c>
      <c r="BE8" s="112">
        <v>0.25</v>
      </c>
      <c r="BF8" s="112">
        <f>IF(BC8=0," ",BD8/BE8)</f>
        <v>1</v>
      </c>
      <c r="BG8" s="107" t="s">
        <v>131</v>
      </c>
      <c r="BH8" s="68"/>
      <c r="BI8" s="68"/>
      <c r="BJ8" s="69" t="str">
        <f t="shared" ref="BJ8:BJ14" si="8">IF(BI8=0," ",BH8/BI8)</f>
        <v xml:space="preserve"> </v>
      </c>
      <c r="BK8" s="58"/>
      <c r="BL8" s="58" t="str">
        <f t="shared" ref="BL8:BL14" si="9">IF(BI8=0," ",BJ8/BK8)</f>
        <v xml:space="preserve"> </v>
      </c>
      <c r="BM8" s="65" t="s">
        <v>124</v>
      </c>
      <c r="BN8" s="68"/>
      <c r="BO8" s="68"/>
      <c r="BP8" s="69" t="str">
        <f t="shared" ref="BP8:BP14" si="10">IF(BO8=0," ",BN8/BO8)</f>
        <v xml:space="preserve"> </v>
      </c>
      <c r="BQ8" s="58"/>
      <c r="BR8" s="58" t="str">
        <f t="shared" ref="BR8:BR14" si="11">IF(BO8=0," ",BP8/BQ8)</f>
        <v xml:space="preserve"> </v>
      </c>
      <c r="BS8" s="65" t="s">
        <v>124</v>
      </c>
      <c r="BT8" s="68">
        <v>1</v>
      </c>
      <c r="BU8" s="68">
        <v>1</v>
      </c>
      <c r="BV8" s="69">
        <v>0.25</v>
      </c>
      <c r="BW8" s="58">
        <v>0.25</v>
      </c>
      <c r="BX8" s="58">
        <f>IF(BU8=0," ",BV8/BW8)</f>
        <v>1</v>
      </c>
      <c r="BY8" s="65" t="s">
        <v>131</v>
      </c>
      <c r="BZ8" s="68"/>
      <c r="CA8" s="68"/>
      <c r="CB8" s="69" t="str">
        <f t="shared" ref="CB8:CB14" si="12">IF(CA8=0," ",BZ8/CA8)</f>
        <v xml:space="preserve"> </v>
      </c>
      <c r="CC8" s="58"/>
      <c r="CD8" s="58" t="str">
        <f t="shared" ref="CD8:CD14" si="13">IF(CA8=0," ",CB8/CC8)</f>
        <v xml:space="preserve"> </v>
      </c>
      <c r="CE8" s="65" t="s">
        <v>124</v>
      </c>
      <c r="CF8" s="68"/>
      <c r="CG8" s="68"/>
      <c r="CH8" s="69" t="str">
        <f t="shared" ref="CH8:CH14" si="14">IF(CG8=0," ",CF8/CG8)</f>
        <v xml:space="preserve"> </v>
      </c>
      <c r="CI8" s="58"/>
      <c r="CJ8" s="58" t="str">
        <f t="shared" ref="CJ8:CJ14" si="15">IF(CG8=0," ",CH8/CI8)</f>
        <v xml:space="preserve"> </v>
      </c>
      <c r="CK8" s="115" t="s">
        <v>124</v>
      </c>
      <c r="CL8" s="68">
        <v>1</v>
      </c>
      <c r="CM8" s="68">
        <v>1</v>
      </c>
      <c r="CN8" s="69">
        <v>0.25</v>
      </c>
      <c r="CO8" s="58">
        <v>0.25</v>
      </c>
      <c r="CP8" s="99">
        <f t="shared" ref="CP8:CP14" si="16">IF(CM8=0," ",CN8/CO8)</f>
        <v>1</v>
      </c>
      <c r="CQ8" s="65" t="s">
        <v>131</v>
      </c>
      <c r="CR8" s="68">
        <v>100</v>
      </c>
      <c r="CS8" s="68">
        <v>100</v>
      </c>
      <c r="CT8" s="69">
        <f t="shared" ref="CT8:CT14" si="17">IF(CS8=0," ",CR8/CS8)</f>
        <v>1</v>
      </c>
      <c r="CU8" s="58">
        <v>1</v>
      </c>
      <c r="CV8" s="58">
        <f t="shared" ref="CV8:CV18" si="18">IF(CS8=0," ",CT8/CU8)</f>
        <v>1</v>
      </c>
      <c r="CW8" s="65" t="s">
        <v>166</v>
      </c>
    </row>
    <row r="9" spans="1:101" s="70" customFormat="1" ht="89.25" customHeight="1">
      <c r="B9" s="9" t="s">
        <v>73</v>
      </c>
      <c r="C9" s="9"/>
      <c r="D9" s="76" t="s">
        <v>102</v>
      </c>
      <c r="E9" s="9" t="s">
        <v>103</v>
      </c>
      <c r="F9" s="59" t="s">
        <v>97</v>
      </c>
      <c r="G9" s="73" t="s">
        <v>98</v>
      </c>
      <c r="H9" s="77" t="s">
        <v>99</v>
      </c>
      <c r="I9" s="73" t="s">
        <v>104</v>
      </c>
      <c r="J9" s="73" t="s">
        <v>101</v>
      </c>
      <c r="K9" s="7"/>
      <c r="L9" s="7"/>
      <c r="M9" s="12">
        <v>0.25</v>
      </c>
      <c r="N9" s="7"/>
      <c r="O9" s="7"/>
      <c r="P9" s="74">
        <v>0.25</v>
      </c>
      <c r="Q9" s="74"/>
      <c r="R9" s="74"/>
      <c r="S9" s="74">
        <v>0.25</v>
      </c>
      <c r="T9" s="74"/>
      <c r="U9" s="74"/>
      <c r="V9" s="74">
        <v>0.25</v>
      </c>
      <c r="W9" s="75"/>
      <c r="X9" s="68"/>
      <c r="Y9" s="68"/>
      <c r="Z9" s="69" t="str">
        <f t="shared" si="0"/>
        <v xml:space="preserve"> </v>
      </c>
      <c r="AA9" s="58"/>
      <c r="AB9" s="58" t="str">
        <f t="shared" si="1"/>
        <v xml:space="preserve"> </v>
      </c>
      <c r="AC9" s="65" t="s">
        <v>124</v>
      </c>
      <c r="AD9" s="68"/>
      <c r="AE9" s="68"/>
      <c r="AF9" s="69" t="str">
        <f t="shared" si="2"/>
        <v xml:space="preserve"> </v>
      </c>
      <c r="AG9" s="58"/>
      <c r="AH9" s="58" t="str">
        <f t="shared" si="3"/>
        <v xml:space="preserve"> </v>
      </c>
      <c r="AI9" s="65" t="s">
        <v>124</v>
      </c>
      <c r="AJ9" s="68">
        <v>1</v>
      </c>
      <c r="AK9" s="68">
        <v>1</v>
      </c>
      <c r="AL9" s="69">
        <v>0.25</v>
      </c>
      <c r="AM9" s="58">
        <v>0.25</v>
      </c>
      <c r="AN9" s="58">
        <f t="shared" ref="AN9:AN14" si="19">IF(AK9=0," ",AL9/AM9)</f>
        <v>1</v>
      </c>
      <c r="AO9" s="65" t="s">
        <v>132</v>
      </c>
      <c r="AP9" s="68"/>
      <c r="AQ9" s="68"/>
      <c r="AR9" s="69" t="str">
        <f t="shared" si="4"/>
        <v xml:space="preserve"> </v>
      </c>
      <c r="AS9" s="58"/>
      <c r="AT9" s="58" t="str">
        <f t="shared" si="5"/>
        <v xml:space="preserve"> </v>
      </c>
      <c r="AU9" s="65" t="s">
        <v>124</v>
      </c>
      <c r="AV9" s="68"/>
      <c r="AW9" s="68"/>
      <c r="AX9" s="69" t="str">
        <f t="shared" si="6"/>
        <v xml:space="preserve"> </v>
      </c>
      <c r="AY9" s="58"/>
      <c r="AZ9" s="58" t="str">
        <f t="shared" si="7"/>
        <v xml:space="preserve"> </v>
      </c>
      <c r="BA9" s="65" t="s">
        <v>124</v>
      </c>
      <c r="BB9" s="111">
        <v>1</v>
      </c>
      <c r="BC9" s="111">
        <v>1</v>
      </c>
      <c r="BD9" s="69">
        <v>0.25</v>
      </c>
      <c r="BE9" s="112">
        <v>0.25</v>
      </c>
      <c r="BF9" s="112">
        <f t="shared" ref="BF9:BF14" si="20">IF(BC9=0," ",BD9/BE9)</f>
        <v>1</v>
      </c>
      <c r="BG9" s="107" t="s">
        <v>132</v>
      </c>
      <c r="BH9" s="68"/>
      <c r="BI9" s="68"/>
      <c r="BJ9" s="69" t="str">
        <f t="shared" si="8"/>
        <v xml:space="preserve"> </v>
      </c>
      <c r="BK9" s="58"/>
      <c r="BL9" s="58" t="str">
        <f t="shared" si="9"/>
        <v xml:space="preserve"> </v>
      </c>
      <c r="BM9" s="65" t="s">
        <v>124</v>
      </c>
      <c r="BN9" s="68"/>
      <c r="BO9" s="68"/>
      <c r="BP9" s="69" t="str">
        <f t="shared" si="10"/>
        <v xml:space="preserve"> </v>
      </c>
      <c r="BQ9" s="58"/>
      <c r="BR9" s="58" t="str">
        <f t="shared" si="11"/>
        <v xml:space="preserve"> </v>
      </c>
      <c r="BS9" s="65" t="s">
        <v>124</v>
      </c>
      <c r="BT9" s="68">
        <v>1</v>
      </c>
      <c r="BU9" s="68">
        <v>1</v>
      </c>
      <c r="BV9" s="69">
        <v>0.25</v>
      </c>
      <c r="BW9" s="58">
        <v>0.25</v>
      </c>
      <c r="BX9" s="58">
        <f t="shared" ref="BX9:BX14" si="21">IF(BU9=0," ",BV9/BW9)</f>
        <v>1</v>
      </c>
      <c r="BY9" s="65" t="s">
        <v>132</v>
      </c>
      <c r="BZ9" s="68"/>
      <c r="CA9" s="68"/>
      <c r="CB9" s="69" t="str">
        <f t="shared" si="12"/>
        <v xml:space="preserve"> </v>
      </c>
      <c r="CC9" s="58"/>
      <c r="CD9" s="58" t="str">
        <f t="shared" si="13"/>
        <v xml:space="preserve"> </v>
      </c>
      <c r="CE9" s="65" t="s">
        <v>124</v>
      </c>
      <c r="CF9" s="68"/>
      <c r="CG9" s="68"/>
      <c r="CH9" s="69" t="str">
        <f t="shared" si="14"/>
        <v xml:space="preserve"> </v>
      </c>
      <c r="CI9" s="58"/>
      <c r="CJ9" s="58" t="str">
        <f t="shared" si="15"/>
        <v xml:space="preserve"> </v>
      </c>
      <c r="CK9" s="115" t="s">
        <v>124</v>
      </c>
      <c r="CL9" s="68">
        <v>1</v>
      </c>
      <c r="CM9" s="68">
        <v>1</v>
      </c>
      <c r="CN9" s="69">
        <v>0.25</v>
      </c>
      <c r="CO9" s="58">
        <v>0.25</v>
      </c>
      <c r="CP9" s="99">
        <f t="shared" si="16"/>
        <v>1</v>
      </c>
      <c r="CQ9" s="65" t="s">
        <v>131</v>
      </c>
      <c r="CR9" s="68">
        <v>100</v>
      </c>
      <c r="CS9" s="68">
        <v>100</v>
      </c>
      <c r="CT9" s="69">
        <f t="shared" si="17"/>
        <v>1</v>
      </c>
      <c r="CU9" s="58">
        <v>1</v>
      </c>
      <c r="CV9" s="58">
        <f t="shared" si="18"/>
        <v>1</v>
      </c>
      <c r="CW9" s="65" t="s">
        <v>166</v>
      </c>
    </row>
    <row r="10" spans="1:101" s="70" customFormat="1" ht="122.25" customHeight="1">
      <c r="B10" s="9" t="s">
        <v>105</v>
      </c>
      <c r="C10" s="9"/>
      <c r="D10" s="76" t="s">
        <v>106</v>
      </c>
      <c r="E10" s="73" t="s">
        <v>107</v>
      </c>
      <c r="F10" s="59" t="s">
        <v>97</v>
      </c>
      <c r="G10" s="73" t="s">
        <v>98</v>
      </c>
      <c r="H10" s="77" t="s">
        <v>108</v>
      </c>
      <c r="I10" s="73" t="s">
        <v>109</v>
      </c>
      <c r="J10" s="73" t="s">
        <v>101</v>
      </c>
      <c r="K10" s="7"/>
      <c r="L10" s="7"/>
      <c r="M10" s="12">
        <v>0.25</v>
      </c>
      <c r="N10" s="7"/>
      <c r="O10" s="7"/>
      <c r="P10" s="74">
        <v>0.25</v>
      </c>
      <c r="Q10" s="74"/>
      <c r="R10" s="74"/>
      <c r="S10" s="74">
        <v>0.25</v>
      </c>
      <c r="T10" s="74"/>
      <c r="U10" s="74"/>
      <c r="V10" s="74">
        <v>0.25</v>
      </c>
      <c r="W10" s="75"/>
      <c r="X10" s="68"/>
      <c r="Y10" s="68"/>
      <c r="Z10" s="69" t="str">
        <f t="shared" si="0"/>
        <v xml:space="preserve"> </v>
      </c>
      <c r="AA10" s="58"/>
      <c r="AB10" s="58" t="str">
        <f t="shared" si="1"/>
        <v xml:space="preserve"> </v>
      </c>
      <c r="AC10" s="65" t="s">
        <v>124</v>
      </c>
      <c r="AD10" s="68"/>
      <c r="AE10" s="68"/>
      <c r="AF10" s="69" t="str">
        <f t="shared" si="2"/>
        <v xml:space="preserve"> </v>
      </c>
      <c r="AG10" s="58"/>
      <c r="AH10" s="58" t="str">
        <f t="shared" si="3"/>
        <v xml:space="preserve"> </v>
      </c>
      <c r="AI10" s="65" t="s">
        <v>124</v>
      </c>
      <c r="AJ10" s="68">
        <v>1</v>
      </c>
      <c r="AK10" s="68">
        <v>1</v>
      </c>
      <c r="AL10" s="69">
        <v>0.25</v>
      </c>
      <c r="AM10" s="58">
        <v>0.25</v>
      </c>
      <c r="AN10" s="58">
        <f t="shared" si="19"/>
        <v>1</v>
      </c>
      <c r="AO10" s="65" t="s">
        <v>133</v>
      </c>
      <c r="AP10" s="68"/>
      <c r="AQ10" s="68"/>
      <c r="AR10" s="69" t="str">
        <f t="shared" si="4"/>
        <v xml:space="preserve"> </v>
      </c>
      <c r="AS10" s="58"/>
      <c r="AT10" s="58" t="str">
        <f t="shared" si="5"/>
        <v xml:space="preserve"> </v>
      </c>
      <c r="AU10" s="65" t="s">
        <v>124</v>
      </c>
      <c r="AV10" s="68"/>
      <c r="AW10" s="68"/>
      <c r="AX10" s="69" t="str">
        <f t="shared" si="6"/>
        <v xml:space="preserve"> </v>
      </c>
      <c r="AY10" s="58"/>
      <c r="AZ10" s="58" t="str">
        <f t="shared" si="7"/>
        <v xml:space="preserve"> </v>
      </c>
      <c r="BA10" s="65" t="s">
        <v>124</v>
      </c>
      <c r="BB10" s="111">
        <v>1</v>
      </c>
      <c r="BC10" s="111">
        <v>1</v>
      </c>
      <c r="BD10" s="69">
        <v>0.25</v>
      </c>
      <c r="BE10" s="112">
        <v>0.25</v>
      </c>
      <c r="BF10" s="112">
        <f t="shared" si="20"/>
        <v>1</v>
      </c>
      <c r="BG10" s="107" t="s">
        <v>133</v>
      </c>
      <c r="BH10" s="68"/>
      <c r="BI10" s="68"/>
      <c r="BJ10" s="69" t="str">
        <f t="shared" si="8"/>
        <v xml:space="preserve"> </v>
      </c>
      <c r="BK10" s="58"/>
      <c r="BL10" s="58" t="str">
        <f t="shared" si="9"/>
        <v xml:space="preserve"> </v>
      </c>
      <c r="BM10" s="65" t="s">
        <v>124</v>
      </c>
      <c r="BN10" s="68"/>
      <c r="BO10" s="68"/>
      <c r="BP10" s="69" t="str">
        <f t="shared" si="10"/>
        <v xml:space="preserve"> </v>
      </c>
      <c r="BQ10" s="58"/>
      <c r="BR10" s="58" t="str">
        <f t="shared" si="11"/>
        <v xml:space="preserve"> </v>
      </c>
      <c r="BS10" s="65" t="s">
        <v>124</v>
      </c>
      <c r="BT10" s="68">
        <v>1</v>
      </c>
      <c r="BU10" s="68">
        <v>1</v>
      </c>
      <c r="BV10" s="69">
        <v>0.25</v>
      </c>
      <c r="BW10" s="58">
        <v>0.25</v>
      </c>
      <c r="BX10" s="58">
        <f t="shared" si="21"/>
        <v>1</v>
      </c>
      <c r="BY10" s="65" t="s">
        <v>133</v>
      </c>
      <c r="BZ10" s="68"/>
      <c r="CA10" s="68"/>
      <c r="CB10" s="69" t="str">
        <f t="shared" si="12"/>
        <v xml:space="preserve"> </v>
      </c>
      <c r="CC10" s="58"/>
      <c r="CD10" s="58" t="str">
        <f t="shared" si="13"/>
        <v xml:space="preserve"> </v>
      </c>
      <c r="CE10" s="65" t="s">
        <v>124</v>
      </c>
      <c r="CF10" s="68"/>
      <c r="CG10" s="68"/>
      <c r="CH10" s="69" t="str">
        <f t="shared" si="14"/>
        <v xml:space="preserve"> </v>
      </c>
      <c r="CI10" s="58"/>
      <c r="CJ10" s="58" t="str">
        <f t="shared" si="15"/>
        <v xml:space="preserve"> </v>
      </c>
      <c r="CK10" s="115" t="s">
        <v>124</v>
      </c>
      <c r="CL10" s="68">
        <v>1</v>
      </c>
      <c r="CM10" s="68">
        <v>1</v>
      </c>
      <c r="CN10" s="69">
        <v>0.25</v>
      </c>
      <c r="CO10" s="58">
        <v>0.25</v>
      </c>
      <c r="CP10" s="99">
        <f t="shared" si="16"/>
        <v>1</v>
      </c>
      <c r="CQ10" s="65" t="s">
        <v>131</v>
      </c>
      <c r="CR10" s="68">
        <v>100</v>
      </c>
      <c r="CS10" s="68">
        <v>100</v>
      </c>
      <c r="CT10" s="69">
        <f t="shared" si="17"/>
        <v>1</v>
      </c>
      <c r="CU10" s="58">
        <v>1</v>
      </c>
      <c r="CV10" s="58">
        <f t="shared" si="18"/>
        <v>1</v>
      </c>
      <c r="CW10" s="65" t="s">
        <v>166</v>
      </c>
    </row>
    <row r="11" spans="1:101" s="70" customFormat="1" ht="132.75" customHeight="1">
      <c r="B11" s="9" t="s">
        <v>105</v>
      </c>
      <c r="C11" s="9"/>
      <c r="D11" s="76" t="s">
        <v>110</v>
      </c>
      <c r="E11" s="73" t="s">
        <v>111</v>
      </c>
      <c r="F11" s="59" t="s">
        <v>97</v>
      </c>
      <c r="G11" s="73" t="s">
        <v>98</v>
      </c>
      <c r="H11" s="77" t="s">
        <v>99</v>
      </c>
      <c r="I11" s="73" t="s">
        <v>112</v>
      </c>
      <c r="J11" s="73" t="s">
        <v>101</v>
      </c>
      <c r="K11" s="7"/>
      <c r="L11" s="7"/>
      <c r="M11" s="12">
        <v>0.25</v>
      </c>
      <c r="N11" s="7"/>
      <c r="O11" s="7"/>
      <c r="P11" s="74">
        <v>0.25</v>
      </c>
      <c r="Q11" s="74"/>
      <c r="R11" s="74"/>
      <c r="S11" s="74">
        <v>0.25</v>
      </c>
      <c r="T11" s="74"/>
      <c r="U11" s="74"/>
      <c r="V11" s="74">
        <v>0.25</v>
      </c>
      <c r="W11" s="75"/>
      <c r="X11" s="68"/>
      <c r="Y11" s="68"/>
      <c r="Z11" s="69" t="str">
        <f t="shared" si="0"/>
        <v xml:space="preserve"> </v>
      </c>
      <c r="AA11" s="58"/>
      <c r="AB11" s="58" t="str">
        <f t="shared" si="1"/>
        <v xml:space="preserve"> </v>
      </c>
      <c r="AC11" s="65" t="s">
        <v>124</v>
      </c>
      <c r="AD11" s="68"/>
      <c r="AE11" s="68"/>
      <c r="AF11" s="69" t="str">
        <f t="shared" si="2"/>
        <v xml:space="preserve"> </v>
      </c>
      <c r="AG11" s="58"/>
      <c r="AH11" s="58" t="str">
        <f t="shared" si="3"/>
        <v xml:space="preserve"> </v>
      </c>
      <c r="AI11" s="65" t="s">
        <v>124</v>
      </c>
      <c r="AJ11" s="68">
        <v>1</v>
      </c>
      <c r="AK11" s="68">
        <v>1</v>
      </c>
      <c r="AL11" s="69">
        <v>0.25</v>
      </c>
      <c r="AM11" s="58">
        <v>0.25</v>
      </c>
      <c r="AN11" s="58">
        <f t="shared" si="19"/>
        <v>1</v>
      </c>
      <c r="AO11" s="65" t="s">
        <v>134</v>
      </c>
      <c r="AP11" s="68"/>
      <c r="AQ11" s="68"/>
      <c r="AR11" s="69" t="str">
        <f t="shared" si="4"/>
        <v xml:space="preserve"> </v>
      </c>
      <c r="AS11" s="58"/>
      <c r="AT11" s="58" t="str">
        <f t="shared" si="5"/>
        <v xml:space="preserve"> </v>
      </c>
      <c r="AU11" s="65" t="s">
        <v>124</v>
      </c>
      <c r="AV11" s="68"/>
      <c r="AW11" s="68"/>
      <c r="AX11" s="69" t="str">
        <f t="shared" si="6"/>
        <v xml:space="preserve"> </v>
      </c>
      <c r="AY11" s="58"/>
      <c r="AZ11" s="58" t="str">
        <f t="shared" si="7"/>
        <v xml:space="preserve"> </v>
      </c>
      <c r="BA11" s="65" t="s">
        <v>124</v>
      </c>
      <c r="BB11" s="111">
        <v>1</v>
      </c>
      <c r="BC11" s="111">
        <v>1</v>
      </c>
      <c r="BD11" s="69">
        <v>0.25</v>
      </c>
      <c r="BE11" s="112">
        <v>0.25</v>
      </c>
      <c r="BF11" s="112">
        <f t="shared" si="20"/>
        <v>1</v>
      </c>
      <c r="BG11" s="107" t="s">
        <v>134</v>
      </c>
      <c r="BH11" s="68"/>
      <c r="BI11" s="68"/>
      <c r="BJ11" s="69" t="str">
        <f t="shared" si="8"/>
        <v xml:space="preserve"> </v>
      </c>
      <c r="BK11" s="58"/>
      <c r="BL11" s="58" t="str">
        <f t="shared" si="9"/>
        <v xml:space="preserve"> </v>
      </c>
      <c r="BM11" s="65" t="s">
        <v>124</v>
      </c>
      <c r="BN11" s="68"/>
      <c r="BO11" s="68"/>
      <c r="BP11" s="69" t="str">
        <f t="shared" si="10"/>
        <v xml:space="preserve"> </v>
      </c>
      <c r="BQ11" s="58"/>
      <c r="BR11" s="58" t="str">
        <f t="shared" si="11"/>
        <v xml:space="preserve"> </v>
      </c>
      <c r="BS11" s="65" t="s">
        <v>124</v>
      </c>
      <c r="BT11" s="68">
        <v>1</v>
      </c>
      <c r="BU11" s="68">
        <v>1</v>
      </c>
      <c r="BV11" s="69">
        <v>0.25</v>
      </c>
      <c r="BW11" s="58">
        <v>0.25</v>
      </c>
      <c r="BX11" s="58">
        <f t="shared" si="21"/>
        <v>1</v>
      </c>
      <c r="BY11" s="65" t="s">
        <v>134</v>
      </c>
      <c r="BZ11" s="68"/>
      <c r="CA11" s="68"/>
      <c r="CB11" s="69" t="str">
        <f t="shared" si="12"/>
        <v xml:space="preserve"> </v>
      </c>
      <c r="CC11" s="58"/>
      <c r="CD11" s="58" t="str">
        <f t="shared" si="13"/>
        <v xml:space="preserve"> </v>
      </c>
      <c r="CE11" s="65" t="s">
        <v>124</v>
      </c>
      <c r="CF11" s="68"/>
      <c r="CG11" s="68"/>
      <c r="CH11" s="69" t="str">
        <f t="shared" si="14"/>
        <v xml:space="preserve"> </v>
      </c>
      <c r="CI11" s="58"/>
      <c r="CJ11" s="58" t="str">
        <f t="shared" si="15"/>
        <v xml:space="preserve"> </v>
      </c>
      <c r="CK11" s="115" t="s">
        <v>124</v>
      </c>
      <c r="CL11" s="68">
        <v>1</v>
      </c>
      <c r="CM11" s="68">
        <v>1</v>
      </c>
      <c r="CN11" s="69">
        <v>0.25</v>
      </c>
      <c r="CO11" s="58">
        <v>0.25</v>
      </c>
      <c r="CP11" s="99">
        <f t="shared" si="16"/>
        <v>1</v>
      </c>
      <c r="CQ11" s="65" t="s">
        <v>131</v>
      </c>
      <c r="CR11" s="68">
        <v>100</v>
      </c>
      <c r="CS11" s="68">
        <v>100</v>
      </c>
      <c r="CT11" s="69">
        <f t="shared" si="17"/>
        <v>1</v>
      </c>
      <c r="CU11" s="58">
        <v>1</v>
      </c>
      <c r="CV11" s="58">
        <f t="shared" si="18"/>
        <v>1</v>
      </c>
      <c r="CW11" s="65" t="s">
        <v>166</v>
      </c>
    </row>
    <row r="12" spans="1:101" s="70" customFormat="1" ht="87" customHeight="1">
      <c r="B12" s="9" t="s">
        <v>113</v>
      </c>
      <c r="C12" s="9"/>
      <c r="D12" s="71" t="s">
        <v>114</v>
      </c>
      <c r="E12" s="73" t="s">
        <v>115</v>
      </c>
      <c r="F12" s="59" t="s">
        <v>97</v>
      </c>
      <c r="G12" s="9" t="s">
        <v>98</v>
      </c>
      <c r="H12" s="72" t="s">
        <v>99</v>
      </c>
      <c r="I12" s="9" t="s">
        <v>116</v>
      </c>
      <c r="J12" s="9" t="s">
        <v>101</v>
      </c>
      <c r="K12" s="7"/>
      <c r="L12" s="7"/>
      <c r="M12" s="12">
        <v>0.25</v>
      </c>
      <c r="N12" s="7"/>
      <c r="O12" s="7"/>
      <c r="P12" s="74">
        <v>0.25</v>
      </c>
      <c r="Q12" s="74"/>
      <c r="R12" s="74"/>
      <c r="S12" s="74">
        <v>0.25</v>
      </c>
      <c r="T12" s="74"/>
      <c r="U12" s="74"/>
      <c r="V12" s="74">
        <v>0.25</v>
      </c>
      <c r="W12" s="75"/>
      <c r="X12" s="68"/>
      <c r="Y12" s="68"/>
      <c r="Z12" s="69"/>
      <c r="AA12" s="58"/>
      <c r="AB12" s="58"/>
      <c r="AC12" s="65" t="s">
        <v>124</v>
      </c>
      <c r="AD12" s="68"/>
      <c r="AE12" s="68"/>
      <c r="AF12" s="69"/>
      <c r="AG12" s="58"/>
      <c r="AH12" s="58"/>
      <c r="AI12" s="65" t="s">
        <v>124</v>
      </c>
      <c r="AJ12" s="68">
        <v>1</v>
      </c>
      <c r="AK12" s="68">
        <v>1</v>
      </c>
      <c r="AL12" s="69">
        <v>0.25</v>
      </c>
      <c r="AM12" s="58">
        <v>0.25</v>
      </c>
      <c r="AN12" s="58">
        <f t="shared" si="19"/>
        <v>1</v>
      </c>
      <c r="AO12" s="65" t="s">
        <v>135</v>
      </c>
      <c r="AP12" s="68"/>
      <c r="AQ12" s="68"/>
      <c r="AR12" s="69"/>
      <c r="AS12" s="58"/>
      <c r="AT12" s="58"/>
      <c r="AU12" s="65" t="s">
        <v>124</v>
      </c>
      <c r="AV12" s="68"/>
      <c r="AW12" s="68"/>
      <c r="AX12" s="69"/>
      <c r="AY12" s="58"/>
      <c r="AZ12" s="58"/>
      <c r="BA12" s="65" t="s">
        <v>124</v>
      </c>
      <c r="BB12" s="111">
        <v>1</v>
      </c>
      <c r="BC12" s="111">
        <v>1</v>
      </c>
      <c r="BD12" s="69">
        <v>0.25</v>
      </c>
      <c r="BE12" s="112">
        <v>0.25</v>
      </c>
      <c r="BF12" s="112">
        <f t="shared" si="20"/>
        <v>1</v>
      </c>
      <c r="BG12" s="107" t="s">
        <v>135</v>
      </c>
      <c r="BH12" s="68"/>
      <c r="BI12" s="68"/>
      <c r="BJ12" s="69"/>
      <c r="BK12" s="58"/>
      <c r="BL12" s="58"/>
      <c r="BM12" s="65" t="s">
        <v>124</v>
      </c>
      <c r="BN12" s="68"/>
      <c r="BO12" s="68"/>
      <c r="BP12" s="69"/>
      <c r="BQ12" s="58"/>
      <c r="BR12" s="58"/>
      <c r="BS12" s="65" t="s">
        <v>124</v>
      </c>
      <c r="BT12" s="68">
        <v>1</v>
      </c>
      <c r="BU12" s="68">
        <v>1</v>
      </c>
      <c r="BV12" s="69">
        <v>0.25</v>
      </c>
      <c r="BW12" s="58">
        <v>0.25</v>
      </c>
      <c r="BX12" s="58">
        <f t="shared" si="21"/>
        <v>1</v>
      </c>
      <c r="BY12" s="65" t="s">
        <v>135</v>
      </c>
      <c r="BZ12" s="68"/>
      <c r="CA12" s="68"/>
      <c r="CB12" s="69"/>
      <c r="CC12" s="58"/>
      <c r="CD12" s="58"/>
      <c r="CE12" s="65" t="s">
        <v>124</v>
      </c>
      <c r="CF12" s="68"/>
      <c r="CG12" s="68"/>
      <c r="CH12" s="69"/>
      <c r="CI12" s="58"/>
      <c r="CJ12" s="58"/>
      <c r="CK12" s="115" t="s">
        <v>124</v>
      </c>
      <c r="CL12" s="68">
        <v>1</v>
      </c>
      <c r="CM12" s="68">
        <v>1</v>
      </c>
      <c r="CN12" s="69">
        <v>0.25</v>
      </c>
      <c r="CO12" s="58">
        <v>0.25</v>
      </c>
      <c r="CP12" s="99">
        <f t="shared" si="16"/>
        <v>1</v>
      </c>
      <c r="CQ12" s="65" t="s">
        <v>131</v>
      </c>
      <c r="CR12" s="68">
        <v>100</v>
      </c>
      <c r="CS12" s="68">
        <v>100</v>
      </c>
      <c r="CT12" s="69">
        <f t="shared" si="17"/>
        <v>1</v>
      </c>
      <c r="CU12" s="58">
        <v>1</v>
      </c>
      <c r="CV12" s="58">
        <f t="shared" si="18"/>
        <v>1</v>
      </c>
      <c r="CW12" s="65" t="s">
        <v>166</v>
      </c>
    </row>
    <row r="13" spans="1:101" s="70" customFormat="1" ht="95.25" customHeight="1">
      <c r="B13" s="9" t="s">
        <v>113</v>
      </c>
      <c r="C13" s="9"/>
      <c r="D13" s="71" t="s">
        <v>117</v>
      </c>
      <c r="E13" s="73" t="s">
        <v>118</v>
      </c>
      <c r="F13" s="59" t="s">
        <v>97</v>
      </c>
      <c r="G13" s="9" t="s">
        <v>98</v>
      </c>
      <c r="H13" s="72" t="s">
        <v>154</v>
      </c>
      <c r="I13" s="9" t="s">
        <v>119</v>
      </c>
      <c r="J13" s="9" t="s">
        <v>120</v>
      </c>
      <c r="K13" s="7"/>
      <c r="L13" s="7"/>
      <c r="M13" s="12">
        <v>0.25</v>
      </c>
      <c r="N13" s="7"/>
      <c r="O13" s="7"/>
      <c r="P13" s="74">
        <v>0.25</v>
      </c>
      <c r="Q13" s="74"/>
      <c r="R13" s="74"/>
      <c r="S13" s="74">
        <v>0.25</v>
      </c>
      <c r="T13" s="74"/>
      <c r="U13" s="74"/>
      <c r="V13" s="74">
        <v>0.25</v>
      </c>
      <c r="W13" s="75"/>
      <c r="X13" s="68"/>
      <c r="Y13" s="68"/>
      <c r="Z13" s="69" t="str">
        <f t="shared" si="0"/>
        <v xml:space="preserve"> </v>
      </c>
      <c r="AA13" s="58"/>
      <c r="AB13" s="58" t="str">
        <f t="shared" si="1"/>
        <v xml:space="preserve"> </v>
      </c>
      <c r="AC13" s="65" t="s">
        <v>124</v>
      </c>
      <c r="AD13" s="68"/>
      <c r="AE13" s="68"/>
      <c r="AF13" s="69" t="str">
        <f t="shared" si="2"/>
        <v xml:space="preserve"> </v>
      </c>
      <c r="AG13" s="58"/>
      <c r="AH13" s="58" t="str">
        <f t="shared" si="3"/>
        <v xml:space="preserve"> </v>
      </c>
      <c r="AI13" s="65" t="s">
        <v>124</v>
      </c>
      <c r="AJ13" s="68">
        <v>1</v>
      </c>
      <c r="AK13" s="68">
        <v>1</v>
      </c>
      <c r="AL13" s="69">
        <v>0.25</v>
      </c>
      <c r="AM13" s="58">
        <v>0.25</v>
      </c>
      <c r="AN13" s="58">
        <f t="shared" si="19"/>
        <v>1</v>
      </c>
      <c r="AO13" s="65" t="s">
        <v>136</v>
      </c>
      <c r="AP13" s="68"/>
      <c r="AQ13" s="68"/>
      <c r="AR13" s="69" t="str">
        <f t="shared" si="4"/>
        <v xml:space="preserve"> </v>
      </c>
      <c r="AS13" s="58"/>
      <c r="AT13" s="58" t="str">
        <f t="shared" si="5"/>
        <v xml:space="preserve"> </v>
      </c>
      <c r="AU13" s="65" t="s">
        <v>124</v>
      </c>
      <c r="AV13" s="68"/>
      <c r="AW13" s="68"/>
      <c r="AX13" s="69" t="str">
        <f t="shared" si="6"/>
        <v xml:space="preserve"> </v>
      </c>
      <c r="AY13" s="58"/>
      <c r="AZ13" s="58" t="str">
        <f t="shared" si="7"/>
        <v xml:space="preserve"> </v>
      </c>
      <c r="BA13" s="65" t="s">
        <v>124</v>
      </c>
      <c r="BB13" s="111">
        <v>1</v>
      </c>
      <c r="BC13" s="111">
        <v>1</v>
      </c>
      <c r="BD13" s="69">
        <v>0.25</v>
      </c>
      <c r="BE13" s="112">
        <v>0.25</v>
      </c>
      <c r="BF13" s="112">
        <f t="shared" si="20"/>
        <v>1</v>
      </c>
      <c r="BG13" s="107" t="s">
        <v>136</v>
      </c>
      <c r="BH13" s="68"/>
      <c r="BI13" s="68"/>
      <c r="BJ13" s="69" t="str">
        <f t="shared" si="8"/>
        <v xml:space="preserve"> </v>
      </c>
      <c r="BK13" s="58"/>
      <c r="BL13" s="58" t="str">
        <f t="shared" si="9"/>
        <v xml:space="preserve"> </v>
      </c>
      <c r="BM13" s="65" t="s">
        <v>124</v>
      </c>
      <c r="BN13" s="68"/>
      <c r="BO13" s="68"/>
      <c r="BP13" s="69" t="str">
        <f t="shared" si="10"/>
        <v xml:space="preserve"> </v>
      </c>
      <c r="BQ13" s="58"/>
      <c r="BR13" s="58" t="str">
        <f t="shared" si="11"/>
        <v xml:space="preserve"> </v>
      </c>
      <c r="BS13" s="65" t="s">
        <v>124</v>
      </c>
      <c r="BT13" s="68">
        <v>1</v>
      </c>
      <c r="BU13" s="68">
        <v>1</v>
      </c>
      <c r="BV13" s="69">
        <v>0.25</v>
      </c>
      <c r="BW13" s="58">
        <v>0.25</v>
      </c>
      <c r="BX13" s="58">
        <f t="shared" si="21"/>
        <v>1</v>
      </c>
      <c r="BY13" s="65" t="s">
        <v>136</v>
      </c>
      <c r="BZ13" s="68"/>
      <c r="CA13" s="68"/>
      <c r="CB13" s="69" t="str">
        <f t="shared" si="12"/>
        <v xml:space="preserve"> </v>
      </c>
      <c r="CC13" s="58"/>
      <c r="CD13" s="58" t="str">
        <f t="shared" si="13"/>
        <v xml:space="preserve"> </v>
      </c>
      <c r="CE13" s="65" t="s">
        <v>124</v>
      </c>
      <c r="CF13" s="68"/>
      <c r="CG13" s="68"/>
      <c r="CH13" s="69" t="str">
        <f t="shared" si="14"/>
        <v xml:space="preserve"> </v>
      </c>
      <c r="CI13" s="58"/>
      <c r="CJ13" s="58" t="str">
        <f t="shared" si="15"/>
        <v xml:space="preserve"> </v>
      </c>
      <c r="CK13" s="115" t="s">
        <v>124</v>
      </c>
      <c r="CL13" s="68">
        <v>1</v>
      </c>
      <c r="CM13" s="68">
        <v>1</v>
      </c>
      <c r="CN13" s="69">
        <v>0.25</v>
      </c>
      <c r="CO13" s="58">
        <v>0.25</v>
      </c>
      <c r="CP13" s="99">
        <f t="shared" si="16"/>
        <v>1</v>
      </c>
      <c r="CQ13" s="65" t="s">
        <v>131</v>
      </c>
      <c r="CR13" s="68">
        <v>100</v>
      </c>
      <c r="CS13" s="68">
        <v>100</v>
      </c>
      <c r="CT13" s="69">
        <f t="shared" si="17"/>
        <v>1</v>
      </c>
      <c r="CU13" s="58">
        <v>1</v>
      </c>
      <c r="CV13" s="58">
        <f t="shared" si="18"/>
        <v>1</v>
      </c>
      <c r="CW13" s="65" t="s">
        <v>166</v>
      </c>
    </row>
    <row r="14" spans="1:101" s="70" customFormat="1" ht="84" customHeight="1">
      <c r="B14" s="9" t="s">
        <v>73</v>
      </c>
      <c r="C14" s="9"/>
      <c r="D14" s="71" t="s">
        <v>121</v>
      </c>
      <c r="E14" s="9" t="s">
        <v>122</v>
      </c>
      <c r="F14" s="59" t="s">
        <v>97</v>
      </c>
      <c r="G14" s="9" t="s">
        <v>98</v>
      </c>
      <c r="H14" s="72" t="s">
        <v>99</v>
      </c>
      <c r="I14" s="9" t="s">
        <v>123</v>
      </c>
      <c r="J14" s="9" t="s">
        <v>120</v>
      </c>
      <c r="K14" s="7"/>
      <c r="L14" s="7"/>
      <c r="M14" s="12">
        <v>0.25</v>
      </c>
      <c r="N14" s="7"/>
      <c r="O14" s="7"/>
      <c r="P14" s="74">
        <v>0.25</v>
      </c>
      <c r="Q14" s="74"/>
      <c r="R14" s="74"/>
      <c r="S14" s="74">
        <v>0.25</v>
      </c>
      <c r="T14" s="74"/>
      <c r="U14" s="74"/>
      <c r="V14" s="74">
        <v>0.25</v>
      </c>
      <c r="W14" s="75"/>
      <c r="X14" s="68"/>
      <c r="Y14" s="68"/>
      <c r="Z14" s="69" t="str">
        <f t="shared" si="0"/>
        <v xml:space="preserve"> </v>
      </c>
      <c r="AA14" s="58"/>
      <c r="AB14" s="58" t="str">
        <f t="shared" si="1"/>
        <v xml:space="preserve"> </v>
      </c>
      <c r="AC14" s="65" t="s">
        <v>124</v>
      </c>
      <c r="AD14" s="68"/>
      <c r="AE14" s="68"/>
      <c r="AF14" s="69" t="str">
        <f t="shared" si="2"/>
        <v xml:space="preserve"> </v>
      </c>
      <c r="AG14" s="58"/>
      <c r="AH14" s="58" t="str">
        <f t="shared" si="3"/>
        <v xml:space="preserve"> </v>
      </c>
      <c r="AI14" s="65" t="s">
        <v>124</v>
      </c>
      <c r="AJ14" s="68">
        <v>1</v>
      </c>
      <c r="AK14" s="68">
        <v>1</v>
      </c>
      <c r="AL14" s="69">
        <v>0.25</v>
      </c>
      <c r="AM14" s="58">
        <v>0.25</v>
      </c>
      <c r="AN14" s="58">
        <f t="shared" si="19"/>
        <v>1</v>
      </c>
      <c r="AO14" s="65" t="s">
        <v>137</v>
      </c>
      <c r="AP14" s="68"/>
      <c r="AQ14" s="68"/>
      <c r="AR14" s="69" t="str">
        <f t="shared" si="4"/>
        <v xml:space="preserve"> </v>
      </c>
      <c r="AS14" s="58"/>
      <c r="AT14" s="58" t="str">
        <f t="shared" si="5"/>
        <v xml:space="preserve"> </v>
      </c>
      <c r="AU14" s="65" t="s">
        <v>124</v>
      </c>
      <c r="AV14" s="68"/>
      <c r="AW14" s="68"/>
      <c r="AX14" s="69" t="str">
        <f t="shared" si="6"/>
        <v xml:space="preserve"> </v>
      </c>
      <c r="AY14" s="58"/>
      <c r="AZ14" s="58" t="str">
        <f t="shared" si="7"/>
        <v xml:space="preserve"> </v>
      </c>
      <c r="BA14" s="65" t="s">
        <v>124</v>
      </c>
      <c r="BB14" s="111">
        <v>1</v>
      </c>
      <c r="BC14" s="111">
        <v>1</v>
      </c>
      <c r="BD14" s="69">
        <v>0.25</v>
      </c>
      <c r="BE14" s="112">
        <v>0.25</v>
      </c>
      <c r="BF14" s="112">
        <f t="shared" si="20"/>
        <v>1</v>
      </c>
      <c r="BG14" s="107" t="s">
        <v>137</v>
      </c>
      <c r="BH14" s="68"/>
      <c r="BI14" s="68"/>
      <c r="BJ14" s="69" t="str">
        <f t="shared" si="8"/>
        <v xml:space="preserve"> </v>
      </c>
      <c r="BK14" s="58"/>
      <c r="BL14" s="58" t="str">
        <f t="shared" si="9"/>
        <v xml:space="preserve"> </v>
      </c>
      <c r="BM14" s="65" t="s">
        <v>124</v>
      </c>
      <c r="BN14" s="68"/>
      <c r="BO14" s="68"/>
      <c r="BP14" s="69" t="str">
        <f t="shared" si="10"/>
        <v xml:space="preserve"> </v>
      </c>
      <c r="BQ14" s="58"/>
      <c r="BR14" s="58" t="str">
        <f t="shared" si="11"/>
        <v xml:space="preserve"> </v>
      </c>
      <c r="BS14" s="65" t="s">
        <v>124</v>
      </c>
      <c r="BT14" s="68">
        <v>1</v>
      </c>
      <c r="BU14" s="68">
        <v>1</v>
      </c>
      <c r="BV14" s="69">
        <v>0.25</v>
      </c>
      <c r="BW14" s="58">
        <v>0.25</v>
      </c>
      <c r="BX14" s="58">
        <f t="shared" si="21"/>
        <v>1</v>
      </c>
      <c r="BY14" s="65" t="s">
        <v>137</v>
      </c>
      <c r="BZ14" s="68"/>
      <c r="CA14" s="68"/>
      <c r="CB14" s="69" t="str">
        <f t="shared" si="12"/>
        <v xml:space="preserve"> </v>
      </c>
      <c r="CC14" s="58"/>
      <c r="CD14" s="58" t="str">
        <f t="shared" si="13"/>
        <v xml:space="preserve"> </v>
      </c>
      <c r="CE14" s="65" t="s">
        <v>124</v>
      </c>
      <c r="CF14" s="68"/>
      <c r="CG14" s="68"/>
      <c r="CH14" s="69" t="str">
        <f t="shared" si="14"/>
        <v xml:space="preserve"> </v>
      </c>
      <c r="CI14" s="58"/>
      <c r="CJ14" s="58" t="str">
        <f t="shared" si="15"/>
        <v xml:space="preserve"> </v>
      </c>
      <c r="CK14" s="115" t="s">
        <v>124</v>
      </c>
      <c r="CL14" s="68">
        <v>1</v>
      </c>
      <c r="CM14" s="68">
        <v>1</v>
      </c>
      <c r="CN14" s="69">
        <v>0.25</v>
      </c>
      <c r="CO14" s="58">
        <v>0.25</v>
      </c>
      <c r="CP14" s="58">
        <f t="shared" si="16"/>
        <v>1</v>
      </c>
      <c r="CQ14" s="65" t="s">
        <v>131</v>
      </c>
      <c r="CR14" s="68">
        <v>100</v>
      </c>
      <c r="CS14" s="68">
        <v>100</v>
      </c>
      <c r="CT14" s="69">
        <f t="shared" si="17"/>
        <v>1</v>
      </c>
      <c r="CU14" s="58">
        <v>1</v>
      </c>
      <c r="CV14" s="58">
        <f t="shared" si="18"/>
        <v>1</v>
      </c>
      <c r="CW14" s="65" t="s">
        <v>166</v>
      </c>
    </row>
    <row r="15" spans="1:101" s="70" customFormat="1" ht="14.25" customHeight="1">
      <c r="B15" s="75"/>
      <c r="C15" s="78"/>
      <c r="D15" s="79"/>
      <c r="E15" s="79"/>
      <c r="F15" s="80"/>
      <c r="G15" s="80"/>
      <c r="H15" s="79" t="s">
        <v>49</v>
      </c>
      <c r="I15" s="80"/>
      <c r="J15" s="80"/>
      <c r="K15" s="81"/>
      <c r="L15" s="81"/>
      <c r="M15" s="82"/>
      <c r="N15" s="81"/>
      <c r="O15" s="81"/>
      <c r="P15" s="83"/>
      <c r="Q15" s="83"/>
      <c r="R15" s="83"/>
      <c r="S15" s="83"/>
      <c r="T15" s="83"/>
      <c r="U15" s="83"/>
      <c r="V15" s="83"/>
      <c r="W15" s="80"/>
      <c r="X15" s="68"/>
      <c r="Y15" s="68"/>
      <c r="Z15" s="69"/>
      <c r="AA15" s="58"/>
      <c r="AB15" s="58"/>
      <c r="AC15" s="8"/>
      <c r="AD15" s="8"/>
      <c r="AE15" s="68"/>
      <c r="AF15" s="68"/>
      <c r="AG15" s="69"/>
      <c r="AH15" s="58"/>
      <c r="AI15" s="58"/>
      <c r="AJ15" s="8"/>
      <c r="AK15" s="68"/>
      <c r="AL15" s="68"/>
      <c r="AM15" s="69"/>
      <c r="AN15" s="58"/>
      <c r="AO15" s="58"/>
      <c r="AP15" s="68"/>
      <c r="AQ15" s="68"/>
      <c r="AR15" s="69"/>
      <c r="AS15" s="58"/>
      <c r="AT15" s="58"/>
      <c r="AU15" s="65"/>
      <c r="AV15" s="8"/>
      <c r="AW15" s="68"/>
      <c r="AX15" s="68"/>
      <c r="AY15" s="69"/>
      <c r="AZ15" s="58"/>
      <c r="BA15" s="58"/>
      <c r="BB15" s="111"/>
      <c r="BC15" s="111"/>
      <c r="BD15" s="69"/>
      <c r="BE15" s="112"/>
      <c r="BF15" s="112"/>
      <c r="BG15" s="107"/>
      <c r="BH15" s="8"/>
      <c r="BI15" s="68"/>
      <c r="BJ15" s="68"/>
      <c r="BK15" s="69"/>
      <c r="BL15" s="58"/>
      <c r="BM15" s="58"/>
      <c r="BN15" s="68"/>
      <c r="BO15" s="68"/>
      <c r="BP15" s="69"/>
      <c r="BQ15" s="58"/>
      <c r="BR15" s="58"/>
      <c r="BS15" s="65"/>
      <c r="BT15" s="8"/>
      <c r="BU15" s="68"/>
      <c r="BV15" s="68"/>
      <c r="BW15" s="69"/>
      <c r="BX15" s="58"/>
      <c r="BY15" s="58"/>
      <c r="BZ15" s="68"/>
      <c r="CA15" s="68"/>
      <c r="CB15" s="69"/>
      <c r="CC15" s="58"/>
      <c r="CD15" s="58"/>
      <c r="CE15" s="65"/>
      <c r="CF15" s="8"/>
      <c r="CG15" s="68"/>
      <c r="CH15" s="68"/>
      <c r="CI15" s="69"/>
      <c r="CJ15" s="58"/>
      <c r="CK15" s="112"/>
      <c r="CL15" s="68"/>
      <c r="CM15" s="68"/>
      <c r="CN15" s="69"/>
      <c r="CO15" s="58"/>
      <c r="CP15" s="58"/>
      <c r="CQ15" s="65"/>
      <c r="CR15" s="8"/>
      <c r="CS15" s="68"/>
      <c r="CT15" s="68"/>
      <c r="CU15" s="69"/>
      <c r="CV15" s="58" t="str">
        <f t="shared" si="18"/>
        <v xml:space="preserve"> </v>
      </c>
      <c r="CW15" s="58"/>
    </row>
    <row r="16" spans="1:101" s="70" customFormat="1" ht="103.5" customHeight="1">
      <c r="B16" s="9" t="s">
        <v>55</v>
      </c>
      <c r="C16" s="9" t="s">
        <v>89</v>
      </c>
      <c r="D16" s="9" t="s">
        <v>56</v>
      </c>
      <c r="E16" s="9" t="s">
        <v>57</v>
      </c>
      <c r="F16" s="84" t="s">
        <v>58</v>
      </c>
      <c r="G16" s="9" t="s">
        <v>53</v>
      </c>
      <c r="H16" s="84" t="s">
        <v>59</v>
      </c>
      <c r="I16" s="9" t="s">
        <v>60</v>
      </c>
      <c r="J16" s="9" t="s">
        <v>54</v>
      </c>
      <c r="K16" s="85"/>
      <c r="L16" s="85"/>
      <c r="M16" s="60">
        <v>1</v>
      </c>
      <c r="N16" s="85"/>
      <c r="O16" s="85"/>
      <c r="P16" s="60">
        <v>1</v>
      </c>
      <c r="Q16" s="60"/>
      <c r="R16" s="85"/>
      <c r="S16" s="60">
        <v>1</v>
      </c>
      <c r="T16" s="60"/>
      <c r="U16" s="85"/>
      <c r="V16" s="60">
        <v>1</v>
      </c>
      <c r="W16" s="86" t="s">
        <v>79</v>
      </c>
      <c r="X16" s="68"/>
      <c r="Y16" s="68"/>
      <c r="Z16" s="69" t="str">
        <f>IF(Y16=0," ",X16/Y16)</f>
        <v xml:space="preserve"> </v>
      </c>
      <c r="AA16" s="58"/>
      <c r="AB16" s="58" t="str">
        <f t="shared" ref="AB16:AB21" si="22">IF(Y16=0," ",Z16/AA16)</f>
        <v xml:space="preserve"> </v>
      </c>
      <c r="AC16" s="65" t="s">
        <v>124</v>
      </c>
      <c r="AD16" s="68"/>
      <c r="AE16" s="68"/>
      <c r="AF16" s="69" t="str">
        <f>IF(AE16=0," ",AD16/AE16)</f>
        <v xml:space="preserve"> </v>
      </c>
      <c r="AG16" s="58"/>
      <c r="AH16" s="58" t="str">
        <f t="shared" ref="AH16:AH21" si="23">IF(AE16=0," ",AF16/AG16)</f>
        <v xml:space="preserve"> </v>
      </c>
      <c r="AI16" s="65" t="s">
        <v>124</v>
      </c>
      <c r="AJ16" s="68"/>
      <c r="AK16" s="68"/>
      <c r="AL16" s="69" t="str">
        <f>IF(AK16=0," ",AJ16/AK16)</f>
        <v xml:space="preserve"> </v>
      </c>
      <c r="AM16" s="58"/>
      <c r="AN16" s="58" t="str">
        <f>IF(AK16=0," ",AL16/AM16)</f>
        <v xml:space="preserve"> </v>
      </c>
      <c r="AO16" s="102" t="s">
        <v>138</v>
      </c>
      <c r="AP16" s="68"/>
      <c r="AQ16" s="68"/>
      <c r="AR16" s="69" t="str">
        <f>IF(AQ16=0," ",AP16/AQ16)</f>
        <v xml:space="preserve"> </v>
      </c>
      <c r="AS16" s="58"/>
      <c r="AT16" s="58" t="str">
        <f t="shared" ref="AT16:AT21" si="24">IF(AQ16=0," ",AR16/AS16)</f>
        <v xml:space="preserve"> </v>
      </c>
      <c r="AU16" s="65" t="s">
        <v>124</v>
      </c>
      <c r="AV16" s="68"/>
      <c r="AW16" s="68"/>
      <c r="AX16" s="69" t="str">
        <f>IF(AW16=0," ",AV16/AW16)</f>
        <v xml:space="preserve"> </v>
      </c>
      <c r="AY16" s="58"/>
      <c r="AZ16" s="58" t="str">
        <f t="shared" ref="AZ16:AZ21" si="25">IF(AW16=0," ",AX16/AY16)</f>
        <v xml:space="preserve"> </v>
      </c>
      <c r="BA16" s="65" t="s">
        <v>124</v>
      </c>
      <c r="BB16" s="111">
        <v>1</v>
      </c>
      <c r="BC16" s="111">
        <v>1</v>
      </c>
      <c r="BD16" s="69">
        <f>IF(BC16=0," ",BB16/BC16)</f>
        <v>1</v>
      </c>
      <c r="BE16" s="112">
        <v>1</v>
      </c>
      <c r="BF16" s="112">
        <f t="shared" ref="BF16:BF21" si="26">IF(BC16=0," ",BD16/BE16)</f>
        <v>1</v>
      </c>
      <c r="BG16" s="108" t="s">
        <v>140</v>
      </c>
      <c r="BH16" s="68"/>
      <c r="BI16" s="68"/>
      <c r="BJ16" s="69" t="str">
        <f t="shared" ref="BJ16:BJ21" si="27">IF(BI16=0," ",BH16/BI16)</f>
        <v xml:space="preserve"> </v>
      </c>
      <c r="BK16" s="58"/>
      <c r="BL16" s="58" t="str">
        <f t="shared" ref="BL16:BL21" si="28">IF(BI16=0," ",BJ16/BK16)</f>
        <v xml:space="preserve"> </v>
      </c>
      <c r="BM16" s="65" t="s">
        <v>124</v>
      </c>
      <c r="BN16" s="68"/>
      <c r="BO16" s="68"/>
      <c r="BP16" s="69" t="str">
        <f t="shared" ref="BP16:BP21" si="29">IF(BO16=0," ",BN16/BO16)</f>
        <v xml:space="preserve"> </v>
      </c>
      <c r="BQ16" s="58"/>
      <c r="BR16" s="58" t="str">
        <f t="shared" ref="BR16:BR21" si="30">IF(BO16=0," ",BP16/BQ16)</f>
        <v xml:space="preserve"> </v>
      </c>
      <c r="BS16" s="65" t="s">
        <v>124</v>
      </c>
      <c r="BT16" s="111"/>
      <c r="BU16" s="111"/>
      <c r="BV16" s="69" t="str">
        <f>IF(BU16=0," ",BT16/BU16)</f>
        <v xml:space="preserve"> </v>
      </c>
      <c r="BW16" s="112"/>
      <c r="BX16" s="58" t="s">
        <v>54</v>
      </c>
      <c r="BY16" s="102" t="s">
        <v>140</v>
      </c>
      <c r="BZ16" s="68"/>
      <c r="CA16" s="68"/>
      <c r="CB16" s="69" t="str">
        <f t="shared" ref="CB16:CB21" si="31">IF(CA16=0," ",BZ16/CA16)</f>
        <v xml:space="preserve"> </v>
      </c>
      <c r="CC16" s="58"/>
      <c r="CD16" s="58" t="str">
        <f>IF(CA16=0," ",CB16/CC16)</f>
        <v xml:space="preserve"> </v>
      </c>
      <c r="CE16" s="65" t="s">
        <v>124</v>
      </c>
      <c r="CF16" s="68"/>
      <c r="CG16" s="68"/>
      <c r="CH16" s="69" t="str">
        <f>IF(CG16=0," ",CF16/CG16)</f>
        <v xml:space="preserve"> </v>
      </c>
      <c r="CI16" s="58"/>
      <c r="CJ16" s="58" t="str">
        <f t="shared" ref="CJ16:CJ21" si="32">IF(CG16=0," ",CH16/CI16)</f>
        <v xml:space="preserve"> </v>
      </c>
      <c r="CK16" s="115" t="s">
        <v>124</v>
      </c>
      <c r="CL16" s="68"/>
      <c r="CM16" s="68"/>
      <c r="CN16" s="69"/>
      <c r="CO16" s="58"/>
      <c r="CP16" s="58" t="s">
        <v>54</v>
      </c>
      <c r="CQ16" s="65" t="s">
        <v>140</v>
      </c>
      <c r="CR16" s="68"/>
      <c r="CS16" s="68"/>
      <c r="CT16" s="69" t="str">
        <f>IF(CS16=0," ",CR16/CS16)</f>
        <v xml:space="preserve"> </v>
      </c>
      <c r="CU16" s="58"/>
      <c r="CV16" s="58" t="s">
        <v>54</v>
      </c>
      <c r="CW16" s="65" t="s">
        <v>140</v>
      </c>
    </row>
    <row r="17" spans="2:101" s="70" customFormat="1" ht="112.5" customHeight="1">
      <c r="B17" s="9" t="s">
        <v>55</v>
      </c>
      <c r="C17" s="9" t="s">
        <v>88</v>
      </c>
      <c r="D17" s="9" t="s">
        <v>61</v>
      </c>
      <c r="E17" s="9" t="s">
        <v>57</v>
      </c>
      <c r="F17" s="84" t="s">
        <v>62</v>
      </c>
      <c r="G17" s="9" t="s">
        <v>53</v>
      </c>
      <c r="H17" s="9" t="s">
        <v>63</v>
      </c>
      <c r="I17" s="9" t="s">
        <v>64</v>
      </c>
      <c r="J17" s="9" t="s">
        <v>54</v>
      </c>
      <c r="K17" s="87"/>
      <c r="L17" s="88">
        <v>1</v>
      </c>
      <c r="M17" s="88"/>
      <c r="N17" s="88">
        <v>1</v>
      </c>
      <c r="O17" s="87"/>
      <c r="P17" s="60">
        <v>1</v>
      </c>
      <c r="Q17" s="89"/>
      <c r="R17" s="60">
        <v>1</v>
      </c>
      <c r="S17" s="89"/>
      <c r="T17" s="60">
        <v>1</v>
      </c>
      <c r="U17" s="90"/>
      <c r="V17" s="60">
        <v>1</v>
      </c>
      <c r="W17" s="91" t="s">
        <v>79</v>
      </c>
      <c r="X17" s="68"/>
      <c r="Y17" s="68"/>
      <c r="Z17" s="69" t="str">
        <f>IF(Y17=0," ",X17/Y17)</f>
        <v xml:space="preserve"> </v>
      </c>
      <c r="AA17" s="58"/>
      <c r="AB17" s="58" t="str">
        <f t="shared" si="22"/>
        <v xml:space="preserve"> </v>
      </c>
      <c r="AC17" s="92" t="s">
        <v>130</v>
      </c>
      <c r="AD17" s="68"/>
      <c r="AE17" s="68"/>
      <c r="AF17" s="69" t="str">
        <f>IF(AE17=0," ",AD17/AE17)</f>
        <v xml:space="preserve"> </v>
      </c>
      <c r="AG17" s="58"/>
      <c r="AH17" s="58" t="str">
        <f t="shared" si="23"/>
        <v xml:space="preserve"> </v>
      </c>
      <c r="AI17" s="92" t="s">
        <v>130</v>
      </c>
      <c r="AJ17" s="68"/>
      <c r="AK17" s="68"/>
      <c r="AL17" s="69" t="str">
        <f>IF(AK17=0," ",AJ17/AK17)</f>
        <v xml:space="preserve"> </v>
      </c>
      <c r="AM17" s="58"/>
      <c r="AN17" s="58" t="str">
        <f>IF(AK17=0," ",AL17/AM17)</f>
        <v xml:space="preserve"> </v>
      </c>
      <c r="AO17" s="92" t="s">
        <v>130</v>
      </c>
      <c r="AP17" s="68"/>
      <c r="AQ17" s="68"/>
      <c r="AR17" s="69" t="str">
        <f>IF(AQ17=0," ",AP17/AQ17)</f>
        <v xml:space="preserve"> </v>
      </c>
      <c r="AS17" s="58"/>
      <c r="AT17" s="58" t="str">
        <f t="shared" si="24"/>
        <v xml:space="preserve"> </v>
      </c>
      <c r="AU17" s="92" t="s">
        <v>130</v>
      </c>
      <c r="AV17" s="68"/>
      <c r="AW17" s="68"/>
      <c r="AX17" s="69" t="str">
        <f>IF(AW17=0," ",AV17/AW17)</f>
        <v xml:space="preserve"> </v>
      </c>
      <c r="AY17" s="58"/>
      <c r="AZ17" s="58" t="str">
        <f t="shared" si="25"/>
        <v xml:space="preserve"> </v>
      </c>
      <c r="BA17" s="65" t="s">
        <v>148</v>
      </c>
      <c r="BB17" s="111"/>
      <c r="BC17" s="111"/>
      <c r="BD17" s="69" t="str">
        <f>IF(BC17=0," ",BB17/BC17)</f>
        <v xml:space="preserve"> </v>
      </c>
      <c r="BE17" s="112"/>
      <c r="BF17" s="112" t="str">
        <f t="shared" si="26"/>
        <v xml:space="preserve"> </v>
      </c>
      <c r="BG17" s="109" t="s">
        <v>130</v>
      </c>
      <c r="BH17" s="68"/>
      <c r="BI17" s="68"/>
      <c r="BJ17" s="69" t="str">
        <f t="shared" si="27"/>
        <v xml:space="preserve"> </v>
      </c>
      <c r="BK17" s="58"/>
      <c r="BL17" s="58" t="str">
        <f t="shared" si="28"/>
        <v xml:space="preserve"> </v>
      </c>
      <c r="BM17" s="65" t="s">
        <v>124</v>
      </c>
      <c r="BN17" s="68"/>
      <c r="BO17" s="68"/>
      <c r="BP17" s="69" t="str">
        <f t="shared" si="29"/>
        <v xml:space="preserve"> </v>
      </c>
      <c r="BQ17" s="58"/>
      <c r="BR17" s="58" t="str">
        <f t="shared" si="30"/>
        <v xml:space="preserve"> </v>
      </c>
      <c r="BS17" s="65" t="s">
        <v>148</v>
      </c>
      <c r="BT17" s="68"/>
      <c r="BU17" s="68"/>
      <c r="BV17" s="69" t="str">
        <f>IF(BU17=0," ",BT17/BU17)</f>
        <v xml:space="preserve"> </v>
      </c>
      <c r="BW17" s="58"/>
      <c r="BX17" s="58" t="s">
        <v>54</v>
      </c>
      <c r="BY17" s="65" t="s">
        <v>124</v>
      </c>
      <c r="BZ17" s="68"/>
      <c r="CA17" s="68"/>
      <c r="CB17" s="69" t="str">
        <f t="shared" si="31"/>
        <v xml:space="preserve"> </v>
      </c>
      <c r="CC17" s="58"/>
      <c r="CD17" s="58" t="s">
        <v>54</v>
      </c>
      <c r="CE17" s="65" t="s">
        <v>130</v>
      </c>
      <c r="CF17" s="68"/>
      <c r="CG17" s="68"/>
      <c r="CH17" s="69" t="str">
        <f>IF(CG17=0," ",CF17/CG17)</f>
        <v xml:space="preserve"> </v>
      </c>
      <c r="CI17" s="58"/>
      <c r="CJ17" s="58" t="str">
        <f t="shared" si="32"/>
        <v xml:space="preserve"> </v>
      </c>
      <c r="CK17" s="115" t="s">
        <v>130</v>
      </c>
      <c r="CL17" s="68"/>
      <c r="CM17" s="68"/>
      <c r="CN17" s="69" t="str">
        <f>IF(CM17=0," ",CL17/CM17)</f>
        <v xml:space="preserve"> </v>
      </c>
      <c r="CO17" s="58"/>
      <c r="CP17" s="58" t="s">
        <v>54</v>
      </c>
      <c r="CQ17" s="65" t="s">
        <v>162</v>
      </c>
      <c r="CR17" s="68"/>
      <c r="CS17" s="68"/>
      <c r="CT17" s="69" t="str">
        <f>IF(CS17=0," ",CR17/CS17)</f>
        <v xml:space="preserve"> </v>
      </c>
      <c r="CU17" s="58"/>
      <c r="CV17" s="58" t="s">
        <v>54</v>
      </c>
      <c r="CW17" s="65" t="s">
        <v>140</v>
      </c>
    </row>
    <row r="18" spans="2:101" s="70" customFormat="1" ht="70.5" customHeight="1">
      <c r="B18" s="59" t="s">
        <v>67</v>
      </c>
      <c r="C18" s="9" t="s">
        <v>90</v>
      </c>
      <c r="D18" s="9" t="s">
        <v>93</v>
      </c>
      <c r="E18" s="9" t="s">
        <v>68</v>
      </c>
      <c r="F18" s="9" t="s">
        <v>69</v>
      </c>
      <c r="G18" s="9" t="s">
        <v>53</v>
      </c>
      <c r="H18" s="9" t="s">
        <v>70</v>
      </c>
      <c r="I18" s="9" t="s">
        <v>71</v>
      </c>
      <c r="J18" s="9" t="s">
        <v>54</v>
      </c>
      <c r="K18" s="93"/>
      <c r="L18" s="94"/>
      <c r="M18" s="94"/>
      <c r="N18" s="94"/>
      <c r="O18" s="94"/>
      <c r="P18" s="95">
        <v>0.45</v>
      </c>
      <c r="Q18" s="94"/>
      <c r="R18" s="94"/>
      <c r="S18" s="94"/>
      <c r="T18" s="94"/>
      <c r="U18" s="94"/>
      <c r="V18" s="95">
        <v>0.9</v>
      </c>
      <c r="W18" s="61" t="s">
        <v>72</v>
      </c>
      <c r="X18" s="68"/>
      <c r="Y18" s="68"/>
      <c r="Z18" s="69" t="str">
        <f>IF(Y18=0," ",X18/Y18)</f>
        <v xml:space="preserve"> </v>
      </c>
      <c r="AA18" s="58"/>
      <c r="AB18" s="58" t="str">
        <f t="shared" si="22"/>
        <v xml:space="preserve"> </v>
      </c>
      <c r="AC18" s="65" t="s">
        <v>124</v>
      </c>
      <c r="AD18" s="68"/>
      <c r="AE18" s="68"/>
      <c r="AF18" s="69" t="str">
        <f>IF(AE18=0," ",AD18/AE18)</f>
        <v xml:space="preserve"> </v>
      </c>
      <c r="AG18" s="58"/>
      <c r="AH18" s="58" t="str">
        <f t="shared" si="23"/>
        <v xml:space="preserve"> </v>
      </c>
      <c r="AI18" s="65" t="s">
        <v>124</v>
      </c>
      <c r="AJ18" s="68"/>
      <c r="AK18" s="68"/>
      <c r="AL18" s="69" t="str">
        <f>IF(AK18=0," ",AJ18/AK18)</f>
        <v xml:space="preserve"> </v>
      </c>
      <c r="AM18" s="58"/>
      <c r="AN18" s="58" t="str">
        <f>IF(AK18=0," ",AL18/AM18)</f>
        <v xml:space="preserve"> </v>
      </c>
      <c r="AO18" s="65" t="s">
        <v>124</v>
      </c>
      <c r="AP18" s="68"/>
      <c r="AQ18" s="68"/>
      <c r="AR18" s="69" t="str">
        <f>IF(AQ18=0," ",AP18/AQ18)</f>
        <v xml:space="preserve"> </v>
      </c>
      <c r="AS18" s="58"/>
      <c r="AT18" s="58" t="str">
        <f t="shared" si="24"/>
        <v xml:space="preserve"> </v>
      </c>
      <c r="AU18" s="65" t="s">
        <v>124</v>
      </c>
      <c r="AV18" s="68"/>
      <c r="AW18" s="68"/>
      <c r="AX18" s="69" t="str">
        <f>IF(AW18=0," ",AV18/AW18)</f>
        <v xml:space="preserve"> </v>
      </c>
      <c r="AY18" s="58"/>
      <c r="AZ18" s="58" t="str">
        <f t="shared" si="25"/>
        <v xml:space="preserve"> </v>
      </c>
      <c r="BA18" s="65" t="s">
        <v>124</v>
      </c>
      <c r="BB18" s="111">
        <v>67.86</v>
      </c>
      <c r="BC18" s="111">
        <v>100</v>
      </c>
      <c r="BD18" s="69">
        <f>IF(BC18=0," ",BB18/BC18)</f>
        <v>0.67859999999999998</v>
      </c>
      <c r="BE18" s="112">
        <v>0.67859999999999998</v>
      </c>
      <c r="BF18" s="112">
        <f t="shared" si="26"/>
        <v>1</v>
      </c>
      <c r="BG18" s="107" t="s">
        <v>147</v>
      </c>
      <c r="BH18" s="68"/>
      <c r="BI18" s="68"/>
      <c r="BJ18" s="69" t="str">
        <f t="shared" si="27"/>
        <v xml:space="preserve"> </v>
      </c>
      <c r="BK18" s="58"/>
      <c r="BL18" s="58" t="str">
        <f t="shared" si="28"/>
        <v xml:space="preserve"> </v>
      </c>
      <c r="BM18" s="65" t="s">
        <v>124</v>
      </c>
      <c r="BN18" s="68"/>
      <c r="BO18" s="68"/>
      <c r="BP18" s="69" t="str">
        <f t="shared" si="29"/>
        <v xml:space="preserve"> </v>
      </c>
      <c r="BQ18" s="58"/>
      <c r="BR18" s="58" t="str">
        <f t="shared" si="30"/>
        <v xml:space="preserve"> </v>
      </c>
      <c r="BS18" s="65" t="s">
        <v>124</v>
      </c>
      <c r="BT18" s="68">
        <v>88</v>
      </c>
      <c r="BU18" s="68">
        <v>100</v>
      </c>
      <c r="BV18" s="69">
        <v>0.877</v>
      </c>
      <c r="BW18" s="58">
        <v>0.88</v>
      </c>
      <c r="BX18" s="58">
        <f>IF(BU18=0," ",BV18/BW18)</f>
        <v>0.99659090909090908</v>
      </c>
      <c r="BY18" s="65" t="s">
        <v>150</v>
      </c>
      <c r="BZ18" s="68"/>
      <c r="CA18" s="68"/>
      <c r="CB18" s="69" t="str">
        <f t="shared" si="31"/>
        <v xml:space="preserve"> </v>
      </c>
      <c r="CC18" s="58"/>
      <c r="CD18" s="58" t="str">
        <f>IF(CA18=0," ",CB18/CC18)</f>
        <v xml:space="preserve"> </v>
      </c>
      <c r="CE18" s="65" t="s">
        <v>124</v>
      </c>
      <c r="CF18" s="68"/>
      <c r="CG18" s="68"/>
      <c r="CH18" s="69" t="str">
        <f>IF(CG18=0," ",CF18/CG18)</f>
        <v xml:space="preserve"> </v>
      </c>
      <c r="CI18" s="58"/>
      <c r="CJ18" s="58" t="str">
        <f t="shared" si="32"/>
        <v xml:space="preserve"> </v>
      </c>
      <c r="CK18" s="115" t="s">
        <v>124</v>
      </c>
      <c r="CL18" s="68">
        <v>90</v>
      </c>
      <c r="CM18" s="68">
        <v>100</v>
      </c>
      <c r="CN18" s="69">
        <v>0.98329999999999995</v>
      </c>
      <c r="CO18" s="58">
        <v>1</v>
      </c>
      <c r="CP18" s="58">
        <f>IF(CM18=0," ",CN18/CO18)</f>
        <v>0.98329999999999995</v>
      </c>
      <c r="CQ18" s="115" t="s">
        <v>163</v>
      </c>
      <c r="CR18" s="68">
        <v>98.33</v>
      </c>
      <c r="CS18" s="68">
        <v>90</v>
      </c>
      <c r="CT18" s="69">
        <v>0.98329999999999995</v>
      </c>
      <c r="CU18" s="58">
        <v>1</v>
      </c>
      <c r="CV18" s="58">
        <f t="shared" si="18"/>
        <v>0.98329999999999995</v>
      </c>
      <c r="CW18" s="116" t="s">
        <v>170</v>
      </c>
    </row>
    <row r="19" spans="2:101" s="121" customFormat="1" ht="76.5" customHeight="1" thickBot="1">
      <c r="B19" s="9" t="s">
        <v>155</v>
      </c>
      <c r="C19" s="9" t="s">
        <v>156</v>
      </c>
      <c r="D19" s="96" t="s">
        <v>157</v>
      </c>
      <c r="E19" s="96" t="s">
        <v>158</v>
      </c>
      <c r="F19" s="9" t="s">
        <v>159</v>
      </c>
      <c r="G19" s="9" t="s">
        <v>53</v>
      </c>
      <c r="H19" s="96" t="s">
        <v>160</v>
      </c>
      <c r="I19" s="9" t="s">
        <v>161</v>
      </c>
      <c r="J19" s="9" t="s">
        <v>54</v>
      </c>
      <c r="K19" s="85"/>
      <c r="L19" s="85"/>
      <c r="M19" s="60"/>
      <c r="N19" s="85"/>
      <c r="O19" s="85"/>
      <c r="P19" s="85"/>
      <c r="Q19" s="118"/>
      <c r="R19" s="118"/>
      <c r="S19" s="85"/>
      <c r="T19" s="118"/>
      <c r="U19" s="118"/>
      <c r="V19" s="60">
        <v>1</v>
      </c>
      <c r="W19" s="97" t="s">
        <v>79</v>
      </c>
      <c r="X19" s="68"/>
      <c r="Y19" s="68"/>
      <c r="Z19" s="99" t="str">
        <f>IF(Y19=0," ",X19/Y19)</f>
        <v xml:space="preserve"> </v>
      </c>
      <c r="AA19" s="58"/>
      <c r="AB19" s="58" t="str">
        <f t="shared" si="22"/>
        <v xml:space="preserve"> </v>
      </c>
      <c r="AC19" s="65"/>
      <c r="AD19" s="68"/>
      <c r="AE19" s="68"/>
      <c r="AF19" s="99" t="str">
        <f>IF(AE19=0," ",AD19/AE19)</f>
        <v xml:space="preserve"> </v>
      </c>
      <c r="AG19" s="58"/>
      <c r="AH19" s="58" t="str">
        <f t="shared" si="23"/>
        <v xml:space="preserve"> </v>
      </c>
      <c r="AI19" s="65"/>
      <c r="AJ19" s="68"/>
      <c r="AK19" s="68"/>
      <c r="AL19" s="99" t="str">
        <f>IF(AK19=0," ",AJ19/AK19)</f>
        <v xml:space="preserve"> </v>
      </c>
      <c r="AM19" s="58"/>
      <c r="AN19" s="58" t="str">
        <f>IF(AK19=0," ",AL19/AM19)</f>
        <v xml:space="preserve"> </v>
      </c>
      <c r="AO19" s="65"/>
      <c r="AP19" s="68"/>
      <c r="AQ19" s="68"/>
      <c r="AR19" s="99" t="str">
        <f>IF(AQ19=0," ",AP19/AQ19)</f>
        <v xml:space="preserve"> </v>
      </c>
      <c r="AS19" s="58"/>
      <c r="AT19" s="58" t="str">
        <f t="shared" si="24"/>
        <v xml:space="preserve"> </v>
      </c>
      <c r="AU19" s="65"/>
      <c r="AV19" s="68"/>
      <c r="AW19" s="68"/>
      <c r="AX19" s="99" t="str">
        <f>IF(AW19=0," ",AV19/AW19)</f>
        <v xml:space="preserve"> </v>
      </c>
      <c r="AY19" s="58"/>
      <c r="AZ19" s="58" t="str">
        <f t="shared" si="25"/>
        <v xml:space="preserve"> </v>
      </c>
      <c r="BA19" s="65"/>
      <c r="BB19" s="68"/>
      <c r="BC19" s="68"/>
      <c r="BD19" s="99" t="str">
        <f>IF(BC19=0," ",BB19/BC19)</f>
        <v xml:space="preserve"> </v>
      </c>
      <c r="BE19" s="58"/>
      <c r="BF19" s="58" t="str">
        <f t="shared" si="26"/>
        <v xml:space="preserve"> </v>
      </c>
      <c r="BG19" s="65"/>
      <c r="BH19" s="68"/>
      <c r="BI19" s="68"/>
      <c r="BJ19" s="99" t="str">
        <f t="shared" si="27"/>
        <v xml:space="preserve"> </v>
      </c>
      <c r="BK19" s="58"/>
      <c r="BL19" s="58" t="str">
        <f t="shared" si="28"/>
        <v xml:space="preserve"> </v>
      </c>
      <c r="BM19" s="65"/>
      <c r="BN19" s="68"/>
      <c r="BO19" s="68"/>
      <c r="BP19" s="99" t="str">
        <f t="shared" si="29"/>
        <v xml:space="preserve"> </v>
      </c>
      <c r="BQ19" s="58"/>
      <c r="BR19" s="58" t="str">
        <f t="shared" si="30"/>
        <v xml:space="preserve"> </v>
      </c>
      <c r="BS19" s="65"/>
      <c r="BT19" s="68"/>
      <c r="BU19" s="68"/>
      <c r="BV19" s="99" t="str">
        <f>IF(BU19=0," ",BT19/BU19)</f>
        <v xml:space="preserve"> </v>
      </c>
      <c r="BW19" s="58"/>
      <c r="BX19" s="58" t="str">
        <f>IF(BU19=0," ",BV19/BW19)</f>
        <v xml:space="preserve"> </v>
      </c>
      <c r="BY19" s="65"/>
      <c r="BZ19" s="68"/>
      <c r="CA19" s="68"/>
      <c r="CB19" s="99" t="str">
        <f t="shared" si="31"/>
        <v xml:space="preserve"> </v>
      </c>
      <c r="CC19" s="58"/>
      <c r="CD19" s="58" t="str">
        <f>IF(CA19=0," ",CB19/CC19)</f>
        <v xml:space="preserve"> </v>
      </c>
      <c r="CE19" s="65"/>
      <c r="CF19" s="68"/>
      <c r="CG19" s="68"/>
      <c r="CH19" s="99" t="str">
        <f>IF(CG19=0," ",CF19/CG19)</f>
        <v xml:space="preserve"> </v>
      </c>
      <c r="CI19" s="58"/>
      <c r="CJ19" s="58" t="str">
        <f t="shared" si="32"/>
        <v xml:space="preserve"> </v>
      </c>
      <c r="CK19" s="65"/>
      <c r="CL19" s="119">
        <v>135</v>
      </c>
      <c r="CM19" s="119">
        <v>146</v>
      </c>
      <c r="CN19" s="99">
        <f>IF(CM19=0," ",CL19/CM19)</f>
        <v>0.92465753424657537</v>
      </c>
      <c r="CO19" s="58">
        <v>1</v>
      </c>
      <c r="CP19" s="58">
        <f>IF(CM19=0," ",CN19/CO19)</f>
        <v>0.92465753424657537</v>
      </c>
      <c r="CQ19" s="120" t="s">
        <v>164</v>
      </c>
      <c r="CR19" s="117">
        <v>135</v>
      </c>
      <c r="CS19" s="117">
        <v>146</v>
      </c>
      <c r="CT19" s="69">
        <f>IF(CS19=0," ",CR19/CS19)</f>
        <v>0.92465753424657537</v>
      </c>
      <c r="CU19" s="58">
        <v>1</v>
      </c>
      <c r="CV19" s="24">
        <f>IF(CS19=0," ",CT19/CU19)</f>
        <v>0.92465753424657537</v>
      </c>
      <c r="CW19" s="116" t="s">
        <v>167</v>
      </c>
    </row>
    <row r="20" spans="2:101" s="70" customFormat="1" ht="93.75" customHeight="1">
      <c r="B20" s="59" t="s">
        <v>73</v>
      </c>
      <c r="C20" s="9" t="s">
        <v>91</v>
      </c>
      <c r="D20" s="9" t="s">
        <v>74</v>
      </c>
      <c r="E20" s="9" t="s">
        <v>75</v>
      </c>
      <c r="F20" s="9" t="s">
        <v>76</v>
      </c>
      <c r="G20" s="9" t="s">
        <v>53</v>
      </c>
      <c r="H20" s="9" t="s">
        <v>77</v>
      </c>
      <c r="I20" s="9" t="s">
        <v>78</v>
      </c>
      <c r="J20" s="9" t="s">
        <v>54</v>
      </c>
      <c r="K20" s="60">
        <v>0.8</v>
      </c>
      <c r="L20" s="60">
        <v>0.8</v>
      </c>
      <c r="M20" s="60">
        <v>0.8</v>
      </c>
      <c r="N20" s="60">
        <v>0.8</v>
      </c>
      <c r="O20" s="60">
        <v>0.8</v>
      </c>
      <c r="P20" s="60">
        <v>0.8</v>
      </c>
      <c r="Q20" s="60">
        <v>0.8</v>
      </c>
      <c r="R20" s="60">
        <v>0.8</v>
      </c>
      <c r="S20" s="60">
        <v>0.8</v>
      </c>
      <c r="T20" s="60">
        <v>0.8</v>
      </c>
      <c r="U20" s="60">
        <v>0.8</v>
      </c>
      <c r="V20" s="60">
        <v>0.8</v>
      </c>
      <c r="W20" s="61" t="s">
        <v>80</v>
      </c>
      <c r="X20" s="62">
        <v>35</v>
      </c>
      <c r="Y20" s="63">
        <v>100</v>
      </c>
      <c r="Z20" s="62">
        <f>X20</f>
        <v>35</v>
      </c>
      <c r="AA20" s="64">
        <v>100</v>
      </c>
      <c r="AB20" s="58">
        <f t="shared" si="22"/>
        <v>0.35</v>
      </c>
      <c r="AC20" s="65" t="s">
        <v>129</v>
      </c>
      <c r="AD20" s="62">
        <v>80</v>
      </c>
      <c r="AE20" s="63">
        <v>100</v>
      </c>
      <c r="AF20" s="62">
        <f>AD20</f>
        <v>80</v>
      </c>
      <c r="AG20" s="64">
        <v>100</v>
      </c>
      <c r="AH20" s="58">
        <f t="shared" si="23"/>
        <v>0.8</v>
      </c>
      <c r="AI20" s="65" t="s">
        <v>128</v>
      </c>
      <c r="AJ20" s="66">
        <v>90</v>
      </c>
      <c r="AK20" s="67">
        <v>100</v>
      </c>
      <c r="AL20" s="66">
        <v>90</v>
      </c>
      <c r="AM20" s="67">
        <v>100</v>
      </c>
      <c r="AN20" s="58">
        <f>IF(AK20=0," ",AL20/AM20)</f>
        <v>0.9</v>
      </c>
      <c r="AO20" s="65" t="s">
        <v>127</v>
      </c>
      <c r="AP20" s="66">
        <v>90</v>
      </c>
      <c r="AQ20" s="67">
        <v>100</v>
      </c>
      <c r="AR20" s="66">
        <v>90</v>
      </c>
      <c r="AS20" s="67">
        <v>100</v>
      </c>
      <c r="AT20" s="58">
        <f t="shared" si="24"/>
        <v>0.9</v>
      </c>
      <c r="AU20" s="65" t="s">
        <v>126</v>
      </c>
      <c r="AV20" s="103">
        <v>85</v>
      </c>
      <c r="AW20" s="104">
        <v>100</v>
      </c>
      <c r="AX20" s="103">
        <v>85</v>
      </c>
      <c r="AY20" s="67">
        <v>100</v>
      </c>
      <c r="AZ20" s="105">
        <f t="shared" si="25"/>
        <v>0.85</v>
      </c>
      <c r="BA20" s="65" t="s">
        <v>139</v>
      </c>
      <c r="BB20" s="111">
        <v>75</v>
      </c>
      <c r="BC20" s="111">
        <v>100</v>
      </c>
      <c r="BD20" s="69">
        <f>IF(BC20=0," ",BB20/BC20)</f>
        <v>0.75</v>
      </c>
      <c r="BE20" s="112">
        <v>1</v>
      </c>
      <c r="BF20" s="112">
        <f t="shared" si="26"/>
        <v>0.75</v>
      </c>
      <c r="BG20" s="106" t="s">
        <v>141</v>
      </c>
      <c r="BH20" s="68">
        <v>100</v>
      </c>
      <c r="BI20" s="68">
        <v>100</v>
      </c>
      <c r="BJ20" s="69">
        <f t="shared" si="27"/>
        <v>1</v>
      </c>
      <c r="BK20" s="58">
        <v>1</v>
      </c>
      <c r="BL20" s="58">
        <f t="shared" si="28"/>
        <v>1</v>
      </c>
      <c r="BM20" s="107" t="s">
        <v>144</v>
      </c>
      <c r="BN20" s="68">
        <v>100</v>
      </c>
      <c r="BO20" s="68">
        <v>100</v>
      </c>
      <c r="BP20" s="69">
        <f t="shared" si="29"/>
        <v>1</v>
      </c>
      <c r="BQ20" s="58">
        <v>1</v>
      </c>
      <c r="BR20" s="58">
        <f t="shared" si="30"/>
        <v>1</v>
      </c>
      <c r="BS20" s="107" t="s">
        <v>146</v>
      </c>
      <c r="BT20" s="68">
        <v>100</v>
      </c>
      <c r="BU20" s="68">
        <v>100</v>
      </c>
      <c r="BV20" s="69">
        <f>IF(BU20=0," ",BT20/BU20)</f>
        <v>1</v>
      </c>
      <c r="BW20" s="58">
        <v>1</v>
      </c>
      <c r="BX20" s="58">
        <f>IF(BU20=0," ",BV20/BW20)</f>
        <v>1</v>
      </c>
      <c r="BY20" s="65" t="s">
        <v>149</v>
      </c>
      <c r="BZ20" s="68">
        <v>100</v>
      </c>
      <c r="CA20" s="68">
        <v>100</v>
      </c>
      <c r="CB20" s="69">
        <f t="shared" si="31"/>
        <v>1</v>
      </c>
      <c r="CC20" s="58">
        <v>1</v>
      </c>
      <c r="CD20" s="58">
        <f>IF(CA20=0," ",CB20/CC20)</f>
        <v>1</v>
      </c>
      <c r="CE20" s="65" t="s">
        <v>152</v>
      </c>
      <c r="CF20" s="68">
        <v>100</v>
      </c>
      <c r="CG20" s="68">
        <v>100</v>
      </c>
      <c r="CH20" s="69">
        <v>0.9375</v>
      </c>
      <c r="CI20" s="58">
        <v>1</v>
      </c>
      <c r="CJ20" s="58">
        <f t="shared" si="32"/>
        <v>0.9375</v>
      </c>
      <c r="CK20" s="115" t="s">
        <v>153</v>
      </c>
      <c r="CL20" s="68">
        <v>100</v>
      </c>
      <c r="CM20" s="68">
        <v>100</v>
      </c>
      <c r="CN20" s="69">
        <v>0.94</v>
      </c>
      <c r="CO20" s="58">
        <v>1</v>
      </c>
      <c r="CP20" s="58">
        <f>IF(CM20=0," ",CN20/CO20)</f>
        <v>0.94</v>
      </c>
      <c r="CQ20" s="65" t="s">
        <v>165</v>
      </c>
      <c r="CR20" s="68">
        <v>94</v>
      </c>
      <c r="CS20" s="68">
        <v>80</v>
      </c>
      <c r="CT20" s="69">
        <v>1</v>
      </c>
      <c r="CU20" s="58">
        <v>1</v>
      </c>
      <c r="CV20" s="58">
        <f>IF(CS20=0," ",CT20/CU20)</f>
        <v>1</v>
      </c>
      <c r="CW20" s="65" t="s">
        <v>166</v>
      </c>
    </row>
    <row r="21" spans="2:101" s="70" customFormat="1" ht="133.5" customHeight="1">
      <c r="B21" s="59" t="s">
        <v>81</v>
      </c>
      <c r="C21" s="9" t="s">
        <v>92</v>
      </c>
      <c r="D21" s="96" t="s">
        <v>83</v>
      </c>
      <c r="E21" s="9" t="s">
        <v>84</v>
      </c>
      <c r="F21" s="84" t="s">
        <v>82</v>
      </c>
      <c r="G21" s="9" t="s">
        <v>66</v>
      </c>
      <c r="H21" s="9" t="s">
        <v>86</v>
      </c>
      <c r="I21" s="9" t="s">
        <v>85</v>
      </c>
      <c r="J21" s="9" t="s">
        <v>54</v>
      </c>
      <c r="K21" s="60"/>
      <c r="L21" s="60"/>
      <c r="M21" s="60">
        <v>1</v>
      </c>
      <c r="N21" s="60"/>
      <c r="O21" s="60"/>
      <c r="P21" s="60">
        <v>1</v>
      </c>
      <c r="Q21" s="60"/>
      <c r="R21" s="60"/>
      <c r="S21" s="60">
        <v>1</v>
      </c>
      <c r="T21" s="60"/>
      <c r="U21" s="60"/>
      <c r="V21" s="60">
        <v>1</v>
      </c>
      <c r="W21" s="97" t="s">
        <v>79</v>
      </c>
      <c r="X21" s="68"/>
      <c r="Y21" s="68"/>
      <c r="Z21" s="69" t="str">
        <f>IF(Y21=0," ",X21/Y21)</f>
        <v xml:space="preserve"> </v>
      </c>
      <c r="AA21" s="58"/>
      <c r="AB21" s="58" t="str">
        <f t="shared" si="22"/>
        <v xml:space="preserve"> </v>
      </c>
      <c r="AC21" s="65" t="s">
        <v>124</v>
      </c>
      <c r="AD21" s="68"/>
      <c r="AE21" s="68"/>
      <c r="AF21" s="69" t="str">
        <f>IF(AE21=0," ",AD21/AE21)</f>
        <v xml:space="preserve"> </v>
      </c>
      <c r="AG21" s="58"/>
      <c r="AH21" s="58" t="str">
        <f t="shared" si="23"/>
        <v xml:space="preserve"> </v>
      </c>
      <c r="AI21" s="65" t="s">
        <v>124</v>
      </c>
      <c r="AJ21" s="98">
        <v>16</v>
      </c>
      <c r="AK21" s="98">
        <v>16</v>
      </c>
      <c r="AL21" s="99">
        <f>AJ21/AK21</f>
        <v>1</v>
      </c>
      <c r="AM21" s="100">
        <v>1</v>
      </c>
      <c r="AN21" s="58">
        <f>AL21/AM21</f>
        <v>1</v>
      </c>
      <c r="AO21" s="101" t="s">
        <v>125</v>
      </c>
      <c r="AP21" s="68"/>
      <c r="AQ21" s="68"/>
      <c r="AR21" s="69" t="str">
        <f>IF(AQ21=0," ",AP21/AQ21)</f>
        <v xml:space="preserve"> </v>
      </c>
      <c r="AS21" s="58"/>
      <c r="AT21" s="58" t="str">
        <f t="shared" si="24"/>
        <v xml:space="preserve"> </v>
      </c>
      <c r="AU21" s="65" t="s">
        <v>124</v>
      </c>
      <c r="AV21" s="68"/>
      <c r="AW21" s="68"/>
      <c r="AX21" s="69" t="str">
        <f>IF(AW21=0," ",AV21/AW21)</f>
        <v xml:space="preserve"> </v>
      </c>
      <c r="AY21" s="58"/>
      <c r="AZ21" s="58" t="str">
        <f t="shared" si="25"/>
        <v xml:space="preserve"> </v>
      </c>
      <c r="BA21" s="65" t="s">
        <v>124</v>
      </c>
      <c r="BB21" s="113">
        <v>15</v>
      </c>
      <c r="BC21" s="114">
        <v>15</v>
      </c>
      <c r="BD21" s="69">
        <f>BB21/BC21</f>
        <v>1</v>
      </c>
      <c r="BE21" s="69">
        <v>1</v>
      </c>
      <c r="BF21" s="112">
        <f t="shared" si="26"/>
        <v>1</v>
      </c>
      <c r="BG21" s="110" t="s">
        <v>142</v>
      </c>
      <c r="BH21" s="68"/>
      <c r="BI21" s="68"/>
      <c r="BJ21" s="69" t="str">
        <f t="shared" si="27"/>
        <v xml:space="preserve"> </v>
      </c>
      <c r="BK21" s="58"/>
      <c r="BL21" s="58" t="str">
        <f t="shared" si="28"/>
        <v xml:space="preserve"> </v>
      </c>
      <c r="BM21" s="65" t="s">
        <v>124</v>
      </c>
      <c r="BN21" s="68"/>
      <c r="BO21" s="68"/>
      <c r="BP21" s="69" t="str">
        <f t="shared" si="29"/>
        <v xml:space="preserve"> </v>
      </c>
      <c r="BQ21" s="58"/>
      <c r="BR21" s="58" t="str">
        <f t="shared" si="30"/>
        <v xml:space="preserve"> </v>
      </c>
      <c r="BS21" s="65" t="s">
        <v>124</v>
      </c>
      <c r="BT21" s="68">
        <v>16</v>
      </c>
      <c r="BU21" s="68">
        <v>16</v>
      </c>
      <c r="BV21" s="69">
        <v>1</v>
      </c>
      <c r="BW21" s="58">
        <v>1</v>
      </c>
      <c r="BX21" s="58">
        <f>IF(BU21=0," ",BV21/BW21)</f>
        <v>1</v>
      </c>
      <c r="BY21" s="65" t="s">
        <v>151</v>
      </c>
      <c r="BZ21" s="68"/>
      <c r="CA21" s="68"/>
      <c r="CB21" s="69" t="str">
        <f t="shared" si="31"/>
        <v xml:space="preserve"> </v>
      </c>
      <c r="CC21" s="58"/>
      <c r="CD21" s="58" t="str">
        <f>IF(CA21=0," ",CB21/CC21)</f>
        <v xml:space="preserve"> </v>
      </c>
      <c r="CE21" s="65" t="s">
        <v>124</v>
      </c>
      <c r="CF21" s="68"/>
      <c r="CG21" s="68"/>
      <c r="CH21" s="69" t="str">
        <f>IF(CG21=0," ",CF21/CG21)</f>
        <v xml:space="preserve"> </v>
      </c>
      <c r="CI21" s="58"/>
      <c r="CJ21" s="58" t="str">
        <f t="shared" si="32"/>
        <v xml:space="preserve"> </v>
      </c>
      <c r="CK21" s="115" t="s">
        <v>124</v>
      </c>
      <c r="CL21" s="57">
        <v>19</v>
      </c>
      <c r="CM21" s="57">
        <v>22</v>
      </c>
      <c r="CN21" s="122">
        <f>CL21/CM21</f>
        <v>0.86363636363636365</v>
      </c>
      <c r="CO21" s="122">
        <v>1</v>
      </c>
      <c r="CP21" s="24">
        <f>IF(CM21=0," ",CN21/CO21)</f>
        <v>0.86363636363636365</v>
      </c>
      <c r="CQ21" s="123" t="s">
        <v>168</v>
      </c>
      <c r="CR21" s="99">
        <v>0.97</v>
      </c>
      <c r="CS21" s="99">
        <v>1</v>
      </c>
      <c r="CT21" s="99">
        <f>CR21/CS21</f>
        <v>0.97</v>
      </c>
      <c r="CU21" s="99">
        <v>1</v>
      </c>
      <c r="CV21" s="58">
        <f>IF(CS21=0," ",CT21/CU21)</f>
        <v>0.97</v>
      </c>
      <c r="CW21" s="116" t="s">
        <v>169</v>
      </c>
    </row>
    <row r="22" spans="2:101" ht="15.75" customHeight="1">
      <c r="B22" s="1973" t="s">
        <v>17</v>
      </c>
      <c r="C22" s="1973"/>
      <c r="D22" s="1973"/>
      <c r="E22" s="1973"/>
      <c r="F22" s="5"/>
      <c r="G22" s="5"/>
      <c r="H22" s="5"/>
      <c r="I22" s="5"/>
      <c r="J22" s="5"/>
      <c r="K22" s="6"/>
      <c r="L22" s="6"/>
      <c r="M22" s="6"/>
      <c r="N22" s="6"/>
      <c r="O22" s="6"/>
      <c r="P22" s="6"/>
      <c r="Q22" s="6"/>
      <c r="R22" s="6"/>
      <c r="S22" s="6"/>
      <c r="T22" s="6"/>
      <c r="U22" s="6"/>
      <c r="V22" s="6"/>
    </row>
    <row r="24" spans="2:101">
      <c r="E24" s="1971"/>
      <c r="F24" s="1971"/>
      <c r="G24" s="1971"/>
      <c r="H24" s="1971"/>
      <c r="K24" s="15" t="s">
        <v>28</v>
      </c>
    </row>
    <row r="25" spans="2:101">
      <c r="E25" s="1972" t="s">
        <v>143</v>
      </c>
      <c r="F25" s="1973"/>
      <c r="G25" s="1973"/>
      <c r="H25" s="1973"/>
    </row>
    <row r="26" spans="2:101" ht="26.25" customHeight="1">
      <c r="E26" s="1974" t="s">
        <v>145</v>
      </c>
      <c r="F26" s="1975"/>
      <c r="G26" s="1975"/>
      <c r="H26" s="1975"/>
    </row>
    <row r="27" spans="2:101">
      <c r="C27" s="1"/>
      <c r="E27" s="45"/>
      <c r="F27" s="45"/>
      <c r="G27" s="45"/>
      <c r="H27" s="45"/>
      <c r="N27" s="15"/>
      <c r="O27" s="15"/>
      <c r="P27" s="15"/>
      <c r="Q27" s="15"/>
      <c r="R27" s="15"/>
      <c r="S27" s="15"/>
      <c r="T27" s="15"/>
      <c r="U27" s="15"/>
      <c r="V27" s="15"/>
      <c r="W27" s="15"/>
      <c r="CN27" s="1"/>
      <c r="CO27" s="1"/>
      <c r="CP27" s="1"/>
      <c r="CQ27" s="1"/>
      <c r="CR27" s="1"/>
      <c r="CS27" s="1"/>
      <c r="CT27" s="1"/>
      <c r="CU27" s="1"/>
      <c r="CV27" s="1"/>
      <c r="CW27" s="1"/>
    </row>
    <row r="28" spans="2:101" ht="19.5" customHeight="1">
      <c r="C28" s="1"/>
      <c r="N28" s="15"/>
      <c r="O28" s="15"/>
      <c r="P28" s="15"/>
      <c r="Q28" s="15"/>
      <c r="R28" s="15"/>
      <c r="S28" s="15"/>
      <c r="T28" s="15"/>
      <c r="U28" s="15"/>
      <c r="V28" s="15"/>
      <c r="W28" s="15"/>
      <c r="CN28" s="1"/>
      <c r="CO28" s="1"/>
      <c r="CP28" s="1"/>
      <c r="CQ28" s="1"/>
      <c r="CR28" s="1"/>
      <c r="CS28" s="1"/>
      <c r="CT28" s="1"/>
      <c r="CU28" s="1"/>
      <c r="CV28" s="1"/>
      <c r="CW28" s="1"/>
    </row>
    <row r="29" spans="2:101" ht="12.75" customHeight="1">
      <c r="C29" s="1"/>
      <c r="N29" s="15"/>
      <c r="O29" s="15"/>
      <c r="P29" s="15"/>
      <c r="Q29" s="15"/>
      <c r="R29" s="15"/>
      <c r="S29" s="15"/>
      <c r="T29" s="15"/>
      <c r="U29" s="15"/>
      <c r="V29" s="15"/>
      <c r="W29" s="15"/>
      <c r="CN29" s="1"/>
      <c r="CO29" s="1"/>
      <c r="CP29" s="1"/>
      <c r="CQ29" s="1"/>
      <c r="CR29" s="1"/>
      <c r="CS29" s="1"/>
      <c r="CT29" s="1"/>
      <c r="CU29" s="1"/>
      <c r="CV29" s="1"/>
      <c r="CW29" s="1"/>
    </row>
    <row r="30" spans="2:101" ht="12.75" customHeight="1">
      <c r="C30" s="1"/>
      <c r="N30" s="15"/>
      <c r="O30" s="15"/>
      <c r="P30" s="15"/>
      <c r="Q30" s="15"/>
      <c r="R30" s="15"/>
      <c r="S30" s="15"/>
      <c r="T30" s="15"/>
      <c r="U30" s="15"/>
      <c r="V30" s="15"/>
      <c r="W30" s="15"/>
      <c r="CN30" s="1"/>
      <c r="CO30" s="1"/>
      <c r="CP30" s="1"/>
      <c r="CQ30" s="1"/>
      <c r="CR30" s="1"/>
      <c r="CS30" s="1"/>
      <c r="CT30" s="1"/>
      <c r="CU30" s="1"/>
      <c r="CV30" s="1"/>
      <c r="CW30" s="1"/>
    </row>
  </sheetData>
  <mergeCells count="49">
    <mergeCell ref="CR4:CW4"/>
    <mergeCell ref="N4:V4"/>
    <mergeCell ref="BH4:BM4"/>
    <mergeCell ref="BN4:BS4"/>
    <mergeCell ref="BT4:BY4"/>
    <mergeCell ref="BZ4:CE4"/>
    <mergeCell ref="CF4:CK4"/>
    <mergeCell ref="CL4:CQ4"/>
    <mergeCell ref="X4:AC4"/>
    <mergeCell ref="AD4:AI4"/>
    <mergeCell ref="B1:N1"/>
    <mergeCell ref="H6:H7"/>
    <mergeCell ref="AJ4:AO4"/>
    <mergeCell ref="AP4:AU4"/>
    <mergeCell ref="AV4:BA4"/>
    <mergeCell ref="BB4:BG4"/>
    <mergeCell ref="B6:B7"/>
    <mergeCell ref="K4:M4"/>
    <mergeCell ref="AV6:BA6"/>
    <mergeCell ref="BB6:BG6"/>
    <mergeCell ref="O1:R1"/>
    <mergeCell ref="D2:N2"/>
    <mergeCell ref="CL6:CQ6"/>
    <mergeCell ref="CR6:CW6"/>
    <mergeCell ref="X6:AC6"/>
    <mergeCell ref="AD6:AI6"/>
    <mergeCell ref="AJ6:AO6"/>
    <mergeCell ref="AP6:AU6"/>
    <mergeCell ref="F6:F7"/>
    <mergeCell ref="G6:G7"/>
    <mergeCell ref="E24:H24"/>
    <mergeCell ref="E25:H25"/>
    <mergeCell ref="E26:H26"/>
    <mergeCell ref="B22:E22"/>
    <mergeCell ref="BZ6:CE6"/>
    <mergeCell ref="O2:R2"/>
    <mergeCell ref="C4:J4"/>
    <mergeCell ref="A2:B2"/>
    <mergeCell ref="E6:E7"/>
    <mergeCell ref="S1:V2"/>
    <mergeCell ref="CF6:CK6"/>
    <mergeCell ref="BN6:BS6"/>
    <mergeCell ref="BT6:BY6"/>
    <mergeCell ref="D6:D7"/>
    <mergeCell ref="C6:C7"/>
    <mergeCell ref="BH6:BM6"/>
    <mergeCell ref="K6:V6"/>
    <mergeCell ref="J6:J7"/>
    <mergeCell ref="I6:I7"/>
  </mergeCells>
  <phoneticPr fontId="7" type="noConversion"/>
  <conditionalFormatting sqref="AB11:AB12 AB16:AB18 AN16:AN18 AT16:AT18 BF16:BF18 BL16:BL18 BR16:BR18 CD16:CD18 CJ16:CJ18 CP16:CP18 AH16:AH18 AZ16:AZ18 BX16:BX18 BX20:BX21 AZ20:AZ21 AH20:AH21 CP20 CJ20:CJ21 CD20:CD21 BR20:BR21 BL20:BL21 AT20:AT21 AN20 AB20:AB21 CV20:CV21 BF20:BF21">
    <cfRule type="colorScale" priority="238">
      <colorScale>
        <cfvo type="num" val="0.69"/>
        <cfvo type="num" val="0.8"/>
        <cfvo type="num" val="0.9"/>
        <color rgb="FFF8696B"/>
        <color rgb="FFFFEB84"/>
        <color rgb="FF63BE7B"/>
      </colorScale>
    </cfRule>
  </conditionalFormatting>
  <conditionalFormatting sqref="AH11:AH12">
    <cfRule type="colorScale" priority="177">
      <colorScale>
        <cfvo type="num" val="0.69"/>
        <cfvo type="num" val="0.8"/>
        <cfvo type="num" val="0.9"/>
        <color rgb="FFF8696B"/>
        <color rgb="FFFFEB84"/>
        <color rgb="FF63BE7B"/>
      </colorScale>
    </cfRule>
  </conditionalFormatting>
  <conditionalFormatting sqref="AT11:AT12">
    <cfRule type="colorScale" priority="175">
      <colorScale>
        <cfvo type="num" val="0.69"/>
        <cfvo type="num" val="0.8"/>
        <cfvo type="num" val="0.9"/>
        <color rgb="FFF8696B"/>
        <color rgb="FFFFEB84"/>
        <color rgb="FF63BE7B"/>
      </colorScale>
    </cfRule>
  </conditionalFormatting>
  <conditionalFormatting sqref="AZ11:AZ12">
    <cfRule type="colorScale" priority="174">
      <colorScale>
        <cfvo type="num" val="0.69"/>
        <cfvo type="num" val="0.8"/>
        <cfvo type="num" val="0.9"/>
        <color rgb="FFF8696B"/>
        <color rgb="FFFFEB84"/>
        <color rgb="FF63BE7B"/>
      </colorScale>
    </cfRule>
  </conditionalFormatting>
  <conditionalFormatting sqref="BL11:BL12">
    <cfRule type="colorScale" priority="172">
      <colorScale>
        <cfvo type="num" val="0.69"/>
        <cfvo type="num" val="0.8"/>
        <cfvo type="num" val="0.9"/>
        <color rgb="FFF8696B"/>
        <color rgb="FFFFEB84"/>
        <color rgb="FF63BE7B"/>
      </colorScale>
    </cfRule>
  </conditionalFormatting>
  <conditionalFormatting sqref="BR11:BR12">
    <cfRule type="colorScale" priority="171">
      <colorScale>
        <cfvo type="num" val="0.69"/>
        <cfvo type="num" val="0.8"/>
        <cfvo type="num" val="0.9"/>
        <color rgb="FFF8696B"/>
        <color rgb="FFFFEB84"/>
        <color rgb="FF63BE7B"/>
      </colorScale>
    </cfRule>
  </conditionalFormatting>
  <conditionalFormatting sqref="CD11:CD12">
    <cfRule type="colorScale" priority="169">
      <colorScale>
        <cfvo type="num" val="0.69"/>
        <cfvo type="num" val="0.8"/>
        <cfvo type="num" val="0.9"/>
        <color rgb="FFF8696B"/>
        <color rgb="FFFFEB84"/>
        <color rgb="FF63BE7B"/>
      </colorScale>
    </cfRule>
  </conditionalFormatting>
  <conditionalFormatting sqref="CJ11:CJ12">
    <cfRule type="colorScale" priority="168">
      <colorScale>
        <cfvo type="num" val="0.69"/>
        <cfvo type="num" val="0.8"/>
        <cfvo type="num" val="0.9"/>
        <color rgb="FFF8696B"/>
        <color rgb="FFFFEB84"/>
        <color rgb="FF63BE7B"/>
      </colorScale>
    </cfRule>
  </conditionalFormatting>
  <conditionalFormatting sqref="CP11:CP13">
    <cfRule type="colorScale" priority="167">
      <colorScale>
        <cfvo type="num" val="0.69"/>
        <cfvo type="num" val="0.8"/>
        <cfvo type="num" val="0.9"/>
        <color rgb="FFF8696B"/>
        <color rgb="FFFFEB84"/>
        <color rgb="FF63BE7B"/>
      </colorScale>
    </cfRule>
  </conditionalFormatting>
  <conditionalFormatting sqref="CV11:CV15 CV18">
    <cfRule type="colorScale" priority="166">
      <colorScale>
        <cfvo type="num" val="0.69"/>
        <cfvo type="num" val="0.8"/>
        <cfvo type="num" val="0.9"/>
        <color rgb="FFF8696B"/>
        <color rgb="FFFFEB84"/>
        <color rgb="FF63BE7B"/>
      </colorScale>
    </cfRule>
  </conditionalFormatting>
  <conditionalFormatting sqref="AB13">
    <cfRule type="colorScale" priority="165">
      <colorScale>
        <cfvo type="num" val="0.69"/>
        <cfvo type="num" val="0.8"/>
        <cfvo type="num" val="0.9"/>
        <color rgb="FFF8696B"/>
        <color rgb="FFFFEB84"/>
        <color rgb="FF63BE7B"/>
      </colorScale>
    </cfRule>
  </conditionalFormatting>
  <conditionalFormatting sqref="AH13">
    <cfRule type="colorScale" priority="164">
      <colorScale>
        <cfvo type="num" val="0.69"/>
        <cfvo type="num" val="0.8"/>
        <cfvo type="num" val="0.9"/>
        <color rgb="FFF8696B"/>
        <color rgb="FFFFEB84"/>
        <color rgb="FF63BE7B"/>
      </colorScale>
    </cfRule>
  </conditionalFormatting>
  <conditionalFormatting sqref="AT13">
    <cfRule type="colorScale" priority="162">
      <colorScale>
        <cfvo type="num" val="0.69"/>
        <cfvo type="num" val="0.8"/>
        <cfvo type="num" val="0.9"/>
        <color rgb="FFF8696B"/>
        <color rgb="FFFFEB84"/>
        <color rgb="FF63BE7B"/>
      </colorScale>
    </cfRule>
  </conditionalFormatting>
  <conditionalFormatting sqref="AZ13">
    <cfRule type="colorScale" priority="161">
      <colorScale>
        <cfvo type="num" val="0.69"/>
        <cfvo type="num" val="0.8"/>
        <cfvo type="num" val="0.9"/>
        <color rgb="FFF8696B"/>
        <color rgb="FFFFEB84"/>
        <color rgb="FF63BE7B"/>
      </colorScale>
    </cfRule>
  </conditionalFormatting>
  <conditionalFormatting sqref="BL13">
    <cfRule type="colorScale" priority="159">
      <colorScale>
        <cfvo type="num" val="0.69"/>
        <cfvo type="num" val="0.8"/>
        <cfvo type="num" val="0.9"/>
        <color rgb="FFF8696B"/>
        <color rgb="FFFFEB84"/>
        <color rgb="FF63BE7B"/>
      </colorScale>
    </cfRule>
  </conditionalFormatting>
  <conditionalFormatting sqref="BR13">
    <cfRule type="colorScale" priority="158">
      <colorScale>
        <cfvo type="num" val="0.69"/>
        <cfvo type="num" val="0.8"/>
        <cfvo type="num" val="0.9"/>
        <color rgb="FFF8696B"/>
        <color rgb="FFFFEB84"/>
        <color rgb="FF63BE7B"/>
      </colorScale>
    </cfRule>
  </conditionalFormatting>
  <conditionalFormatting sqref="CD13">
    <cfRule type="colorScale" priority="156">
      <colorScale>
        <cfvo type="num" val="0.69"/>
        <cfvo type="num" val="0.8"/>
        <cfvo type="num" val="0.9"/>
        <color rgb="FFF8696B"/>
        <color rgb="FFFFEB84"/>
        <color rgb="FF63BE7B"/>
      </colorScale>
    </cfRule>
  </conditionalFormatting>
  <conditionalFormatting sqref="CJ13">
    <cfRule type="colorScale" priority="155">
      <colorScale>
        <cfvo type="num" val="0.69"/>
        <cfvo type="num" val="0.8"/>
        <cfvo type="num" val="0.9"/>
        <color rgb="FFF8696B"/>
        <color rgb="FFFFEB84"/>
        <color rgb="FF63BE7B"/>
      </colorScale>
    </cfRule>
  </conditionalFormatting>
  <conditionalFormatting sqref="AB14">
    <cfRule type="colorScale" priority="139">
      <colorScale>
        <cfvo type="num" val="0.69"/>
        <cfvo type="num" val="0.8"/>
        <cfvo type="num" val="0.9"/>
        <color rgb="FFF8696B"/>
        <color rgb="FFFFEB84"/>
        <color rgb="FF63BE7B"/>
      </colorScale>
    </cfRule>
  </conditionalFormatting>
  <conditionalFormatting sqref="AH14">
    <cfRule type="colorScale" priority="138">
      <colorScale>
        <cfvo type="num" val="0.69"/>
        <cfvo type="num" val="0.8"/>
        <cfvo type="num" val="0.9"/>
        <color rgb="FFF8696B"/>
        <color rgb="FFFFEB84"/>
        <color rgb="FF63BE7B"/>
      </colorScale>
    </cfRule>
  </conditionalFormatting>
  <conditionalFormatting sqref="AT14">
    <cfRule type="colorScale" priority="136">
      <colorScale>
        <cfvo type="num" val="0.69"/>
        <cfvo type="num" val="0.8"/>
        <cfvo type="num" val="0.9"/>
        <color rgb="FFF8696B"/>
        <color rgb="FFFFEB84"/>
        <color rgb="FF63BE7B"/>
      </colorScale>
    </cfRule>
  </conditionalFormatting>
  <conditionalFormatting sqref="AZ14">
    <cfRule type="colorScale" priority="135">
      <colorScale>
        <cfvo type="num" val="0.69"/>
        <cfvo type="num" val="0.8"/>
        <cfvo type="num" val="0.9"/>
        <color rgb="FFF8696B"/>
        <color rgb="FFFFEB84"/>
        <color rgb="FF63BE7B"/>
      </colorScale>
    </cfRule>
  </conditionalFormatting>
  <conditionalFormatting sqref="BL14">
    <cfRule type="colorScale" priority="133">
      <colorScale>
        <cfvo type="num" val="0.69"/>
        <cfvo type="num" val="0.8"/>
        <cfvo type="num" val="0.9"/>
        <color rgb="FFF8696B"/>
        <color rgb="FFFFEB84"/>
        <color rgb="FF63BE7B"/>
      </colorScale>
    </cfRule>
  </conditionalFormatting>
  <conditionalFormatting sqref="BR14">
    <cfRule type="colorScale" priority="132">
      <colorScale>
        <cfvo type="num" val="0.69"/>
        <cfvo type="num" val="0.8"/>
        <cfvo type="num" val="0.9"/>
        <color rgb="FFF8696B"/>
        <color rgb="FFFFEB84"/>
        <color rgb="FF63BE7B"/>
      </colorScale>
    </cfRule>
  </conditionalFormatting>
  <conditionalFormatting sqref="CD14">
    <cfRule type="colorScale" priority="130">
      <colorScale>
        <cfvo type="num" val="0.69"/>
        <cfvo type="num" val="0.8"/>
        <cfvo type="num" val="0.9"/>
        <color rgb="FFF8696B"/>
        <color rgb="FFFFEB84"/>
        <color rgb="FF63BE7B"/>
      </colorScale>
    </cfRule>
  </conditionalFormatting>
  <conditionalFormatting sqref="CJ14">
    <cfRule type="colorScale" priority="129">
      <colorScale>
        <cfvo type="num" val="0.69"/>
        <cfvo type="num" val="0.8"/>
        <cfvo type="num" val="0.9"/>
        <color rgb="FFF8696B"/>
        <color rgb="FFFFEB84"/>
        <color rgb="FF63BE7B"/>
      </colorScale>
    </cfRule>
  </conditionalFormatting>
  <conditionalFormatting sqref="CP14">
    <cfRule type="colorScale" priority="128">
      <colorScale>
        <cfvo type="num" val="0.69"/>
        <cfvo type="num" val="0.8"/>
        <cfvo type="num" val="0.9"/>
        <color rgb="FFF8696B"/>
        <color rgb="FFFFEB84"/>
        <color rgb="FF63BE7B"/>
      </colorScale>
    </cfRule>
  </conditionalFormatting>
  <conditionalFormatting sqref="AB15">
    <cfRule type="colorScale" priority="126">
      <colorScale>
        <cfvo type="num" val="0.69"/>
        <cfvo type="num" val="0.8"/>
        <cfvo type="num" val="0.9"/>
        <color rgb="FFF8696B"/>
        <color rgb="FFFFEB84"/>
        <color rgb="FF63BE7B"/>
      </colorScale>
    </cfRule>
  </conditionalFormatting>
  <conditionalFormatting sqref="AT15">
    <cfRule type="colorScale" priority="123">
      <colorScale>
        <cfvo type="num" val="0.69"/>
        <cfvo type="num" val="0.8"/>
        <cfvo type="num" val="0.9"/>
        <color rgb="FFF8696B"/>
        <color rgb="FFFFEB84"/>
        <color rgb="FF63BE7B"/>
      </colorScale>
    </cfRule>
  </conditionalFormatting>
  <conditionalFormatting sqref="BF15">
    <cfRule type="colorScale" priority="121">
      <colorScale>
        <cfvo type="num" val="0.69"/>
        <cfvo type="num" val="0.8"/>
        <cfvo type="num" val="0.9"/>
        <color rgb="FFF8696B"/>
        <color rgb="FFFFEB84"/>
        <color rgb="FF63BE7B"/>
      </colorScale>
    </cfRule>
  </conditionalFormatting>
  <conditionalFormatting sqref="BR15">
    <cfRule type="colorScale" priority="119">
      <colorScale>
        <cfvo type="num" val="0.69"/>
        <cfvo type="num" val="0.8"/>
        <cfvo type="num" val="0.9"/>
        <color rgb="FFF8696B"/>
        <color rgb="FFFFEB84"/>
        <color rgb="FF63BE7B"/>
      </colorScale>
    </cfRule>
  </conditionalFormatting>
  <conditionalFormatting sqref="CD15">
    <cfRule type="colorScale" priority="117">
      <colorScale>
        <cfvo type="num" val="0.69"/>
        <cfvo type="num" val="0.8"/>
        <cfvo type="num" val="0.9"/>
        <color rgb="FFF8696B"/>
        <color rgb="FFFFEB84"/>
        <color rgb="FF63BE7B"/>
      </colorScale>
    </cfRule>
  </conditionalFormatting>
  <conditionalFormatting sqref="CP15">
    <cfRule type="colorScale" priority="115">
      <colorScale>
        <cfvo type="num" val="0.69"/>
        <cfvo type="num" val="0.8"/>
        <cfvo type="num" val="0.9"/>
        <color rgb="FFF8696B"/>
        <color rgb="FFFFEB84"/>
        <color rgb="FF63BE7B"/>
      </colorScale>
    </cfRule>
  </conditionalFormatting>
  <conditionalFormatting sqref="AI15">
    <cfRule type="colorScale" priority="99">
      <colorScale>
        <cfvo type="num" val="0.69"/>
        <cfvo type="num" val="0.8"/>
        <cfvo type="num" val="0.9"/>
        <color rgb="FFF8696B"/>
        <color rgb="FFFFEB84"/>
        <color rgb="FF63BE7B"/>
      </colorScale>
    </cfRule>
  </conditionalFormatting>
  <conditionalFormatting sqref="AO15">
    <cfRule type="colorScale" priority="98">
      <colorScale>
        <cfvo type="num" val="0.69"/>
        <cfvo type="num" val="0.8"/>
        <cfvo type="num" val="0.9"/>
        <color rgb="FFF8696B"/>
        <color rgb="FFFFEB84"/>
        <color rgb="FF63BE7B"/>
      </colorScale>
    </cfRule>
  </conditionalFormatting>
  <conditionalFormatting sqref="BA15">
    <cfRule type="colorScale" priority="97">
      <colorScale>
        <cfvo type="num" val="0.69"/>
        <cfvo type="num" val="0.8"/>
        <cfvo type="num" val="0.9"/>
        <color rgb="FFF8696B"/>
        <color rgb="FFFFEB84"/>
        <color rgb="FF63BE7B"/>
      </colorScale>
    </cfRule>
  </conditionalFormatting>
  <conditionalFormatting sqref="BM15">
    <cfRule type="colorScale" priority="96">
      <colorScale>
        <cfvo type="num" val="0.69"/>
        <cfvo type="num" val="0.8"/>
        <cfvo type="num" val="0.9"/>
        <color rgb="FFF8696B"/>
        <color rgb="FFFFEB84"/>
        <color rgb="FF63BE7B"/>
      </colorScale>
    </cfRule>
  </conditionalFormatting>
  <conditionalFormatting sqref="BY15">
    <cfRule type="colorScale" priority="95">
      <colorScale>
        <cfvo type="num" val="0.69"/>
        <cfvo type="num" val="0.8"/>
        <cfvo type="num" val="0.9"/>
        <color rgb="FFF8696B"/>
        <color rgb="FFFFEB84"/>
        <color rgb="FF63BE7B"/>
      </colorScale>
    </cfRule>
  </conditionalFormatting>
  <conditionalFormatting sqref="CK15">
    <cfRule type="colorScale" priority="94">
      <colorScale>
        <cfvo type="num" val="0.69"/>
        <cfvo type="num" val="0.8"/>
        <cfvo type="num" val="0.9"/>
        <color rgb="FFF8696B"/>
        <color rgb="FFFFEB84"/>
        <color rgb="FF63BE7B"/>
      </colorScale>
    </cfRule>
  </conditionalFormatting>
  <conditionalFormatting sqref="CW15">
    <cfRule type="colorScale" priority="93">
      <colorScale>
        <cfvo type="num" val="0.69"/>
        <cfvo type="num" val="0.8"/>
        <cfvo type="num" val="0.9"/>
        <color rgb="FFF8696B"/>
        <color rgb="FFFFEB84"/>
        <color rgb="FF63BE7B"/>
      </colorScale>
    </cfRule>
  </conditionalFormatting>
  <conditionalFormatting sqref="AB8">
    <cfRule type="colorScale" priority="79">
      <colorScale>
        <cfvo type="num" val="0.69"/>
        <cfvo type="num" val="0.8"/>
        <cfvo type="num" val="0.9"/>
        <color rgb="FFF8696B"/>
        <color rgb="FFFFEB84"/>
        <color rgb="FF63BE7B"/>
      </colorScale>
    </cfRule>
  </conditionalFormatting>
  <conditionalFormatting sqref="AH8">
    <cfRule type="colorScale" priority="78">
      <colorScale>
        <cfvo type="num" val="0.69"/>
        <cfvo type="num" val="0.8"/>
        <cfvo type="num" val="0.9"/>
        <color rgb="FFF8696B"/>
        <color rgb="FFFFEB84"/>
        <color rgb="FF63BE7B"/>
      </colorScale>
    </cfRule>
  </conditionalFormatting>
  <conditionalFormatting sqref="AN8">
    <cfRule type="colorScale" priority="77">
      <colorScale>
        <cfvo type="num" val="0.69"/>
        <cfvo type="num" val="0.8"/>
        <cfvo type="num" val="0.9"/>
        <color rgb="FFF8696B"/>
        <color rgb="FFFFEB84"/>
        <color rgb="FF63BE7B"/>
      </colorScale>
    </cfRule>
  </conditionalFormatting>
  <conditionalFormatting sqref="AT8">
    <cfRule type="colorScale" priority="76">
      <colorScale>
        <cfvo type="num" val="0.69"/>
        <cfvo type="num" val="0.8"/>
        <cfvo type="num" val="0.9"/>
        <color rgb="FFF8696B"/>
        <color rgb="FFFFEB84"/>
        <color rgb="FF63BE7B"/>
      </colorScale>
    </cfRule>
  </conditionalFormatting>
  <conditionalFormatting sqref="AZ8">
    <cfRule type="colorScale" priority="75">
      <colorScale>
        <cfvo type="num" val="0.69"/>
        <cfvo type="num" val="0.8"/>
        <cfvo type="num" val="0.9"/>
        <color rgb="FFF8696B"/>
        <color rgb="FFFFEB84"/>
        <color rgb="FF63BE7B"/>
      </colorScale>
    </cfRule>
  </conditionalFormatting>
  <conditionalFormatting sqref="BL8">
    <cfRule type="colorScale" priority="73">
      <colorScale>
        <cfvo type="num" val="0.69"/>
        <cfvo type="num" val="0.8"/>
        <cfvo type="num" val="0.9"/>
        <color rgb="FFF8696B"/>
        <color rgb="FFFFEB84"/>
        <color rgb="FF63BE7B"/>
      </colorScale>
    </cfRule>
  </conditionalFormatting>
  <conditionalFormatting sqref="BR8">
    <cfRule type="colorScale" priority="72">
      <colorScale>
        <cfvo type="num" val="0.69"/>
        <cfvo type="num" val="0.8"/>
        <cfvo type="num" val="0.9"/>
        <color rgb="FFF8696B"/>
        <color rgb="FFFFEB84"/>
        <color rgb="FF63BE7B"/>
      </colorScale>
    </cfRule>
  </conditionalFormatting>
  <conditionalFormatting sqref="CD8">
    <cfRule type="colorScale" priority="70">
      <colorScale>
        <cfvo type="num" val="0.69"/>
        <cfvo type="num" val="0.8"/>
        <cfvo type="num" val="0.9"/>
        <color rgb="FFF8696B"/>
        <color rgb="FFFFEB84"/>
        <color rgb="FF63BE7B"/>
      </colorScale>
    </cfRule>
  </conditionalFormatting>
  <conditionalFormatting sqref="CJ8">
    <cfRule type="colorScale" priority="69">
      <colorScale>
        <cfvo type="num" val="0.69"/>
        <cfvo type="num" val="0.8"/>
        <cfvo type="num" val="0.9"/>
        <color rgb="FFF8696B"/>
        <color rgb="FFFFEB84"/>
        <color rgb="FF63BE7B"/>
      </colorScale>
    </cfRule>
  </conditionalFormatting>
  <conditionalFormatting sqref="CP8">
    <cfRule type="colorScale" priority="68">
      <colorScale>
        <cfvo type="num" val="0.69"/>
        <cfvo type="num" val="0.8"/>
        <cfvo type="num" val="0.9"/>
        <color rgb="FFF8696B"/>
        <color rgb="FFFFEB84"/>
        <color rgb="FF63BE7B"/>
      </colorScale>
    </cfRule>
  </conditionalFormatting>
  <conditionalFormatting sqref="CV8">
    <cfRule type="colorScale" priority="67">
      <colorScale>
        <cfvo type="num" val="0.69"/>
        <cfvo type="num" val="0.8"/>
        <cfvo type="num" val="0.9"/>
        <color rgb="FFF8696B"/>
        <color rgb="FFFFEB84"/>
        <color rgb="FF63BE7B"/>
      </colorScale>
    </cfRule>
  </conditionalFormatting>
  <conditionalFormatting sqref="AB9">
    <cfRule type="colorScale" priority="66">
      <colorScale>
        <cfvo type="num" val="0.69"/>
        <cfvo type="num" val="0.8"/>
        <cfvo type="num" val="0.9"/>
        <color rgb="FFF8696B"/>
        <color rgb="FFFFEB84"/>
        <color rgb="FF63BE7B"/>
      </colorScale>
    </cfRule>
  </conditionalFormatting>
  <conditionalFormatting sqref="AH9">
    <cfRule type="colorScale" priority="65">
      <colorScale>
        <cfvo type="num" val="0.69"/>
        <cfvo type="num" val="0.8"/>
        <cfvo type="num" val="0.9"/>
        <color rgb="FFF8696B"/>
        <color rgb="FFFFEB84"/>
        <color rgb="FF63BE7B"/>
      </colorScale>
    </cfRule>
  </conditionalFormatting>
  <conditionalFormatting sqref="AT9">
    <cfRule type="colorScale" priority="63">
      <colorScale>
        <cfvo type="num" val="0.69"/>
        <cfvo type="num" val="0.8"/>
        <cfvo type="num" val="0.9"/>
        <color rgb="FFF8696B"/>
        <color rgb="FFFFEB84"/>
        <color rgb="FF63BE7B"/>
      </colorScale>
    </cfRule>
  </conditionalFormatting>
  <conditionalFormatting sqref="AZ9">
    <cfRule type="colorScale" priority="62">
      <colorScale>
        <cfvo type="num" val="0.69"/>
        <cfvo type="num" val="0.8"/>
        <cfvo type="num" val="0.9"/>
        <color rgb="FFF8696B"/>
        <color rgb="FFFFEB84"/>
        <color rgb="FF63BE7B"/>
      </colorScale>
    </cfRule>
  </conditionalFormatting>
  <conditionalFormatting sqref="BL9">
    <cfRule type="colorScale" priority="60">
      <colorScale>
        <cfvo type="num" val="0.69"/>
        <cfvo type="num" val="0.8"/>
        <cfvo type="num" val="0.9"/>
        <color rgb="FFF8696B"/>
        <color rgb="FFFFEB84"/>
        <color rgb="FF63BE7B"/>
      </colorScale>
    </cfRule>
  </conditionalFormatting>
  <conditionalFormatting sqref="BR9">
    <cfRule type="colorScale" priority="59">
      <colorScale>
        <cfvo type="num" val="0.69"/>
        <cfvo type="num" val="0.8"/>
        <cfvo type="num" val="0.9"/>
        <color rgb="FFF8696B"/>
        <color rgb="FFFFEB84"/>
        <color rgb="FF63BE7B"/>
      </colorScale>
    </cfRule>
  </conditionalFormatting>
  <conditionalFormatting sqref="CD9">
    <cfRule type="colorScale" priority="57">
      <colorScale>
        <cfvo type="num" val="0.69"/>
        <cfvo type="num" val="0.8"/>
        <cfvo type="num" val="0.9"/>
        <color rgb="FFF8696B"/>
        <color rgb="FFFFEB84"/>
        <color rgb="FF63BE7B"/>
      </colorScale>
    </cfRule>
  </conditionalFormatting>
  <conditionalFormatting sqref="CJ9">
    <cfRule type="colorScale" priority="56">
      <colorScale>
        <cfvo type="num" val="0.69"/>
        <cfvo type="num" val="0.8"/>
        <cfvo type="num" val="0.9"/>
        <color rgb="FFF8696B"/>
        <color rgb="FFFFEB84"/>
        <color rgb="FF63BE7B"/>
      </colorScale>
    </cfRule>
  </conditionalFormatting>
  <conditionalFormatting sqref="CP9">
    <cfRule type="colorScale" priority="55">
      <colorScale>
        <cfvo type="num" val="0.69"/>
        <cfvo type="num" val="0.8"/>
        <cfvo type="num" val="0.9"/>
        <color rgb="FFF8696B"/>
        <color rgb="FFFFEB84"/>
        <color rgb="FF63BE7B"/>
      </colorScale>
    </cfRule>
  </conditionalFormatting>
  <conditionalFormatting sqref="CV9">
    <cfRule type="colorScale" priority="54">
      <colorScale>
        <cfvo type="num" val="0.69"/>
        <cfvo type="num" val="0.8"/>
        <cfvo type="num" val="0.9"/>
        <color rgb="FFF8696B"/>
        <color rgb="FFFFEB84"/>
        <color rgb="FF63BE7B"/>
      </colorScale>
    </cfRule>
  </conditionalFormatting>
  <conditionalFormatting sqref="AB10">
    <cfRule type="colorScale" priority="53">
      <colorScale>
        <cfvo type="num" val="0.69"/>
        <cfvo type="num" val="0.8"/>
        <cfvo type="num" val="0.9"/>
        <color rgb="FFF8696B"/>
        <color rgb="FFFFEB84"/>
        <color rgb="FF63BE7B"/>
      </colorScale>
    </cfRule>
  </conditionalFormatting>
  <conditionalFormatting sqref="AH10">
    <cfRule type="colorScale" priority="52">
      <colorScale>
        <cfvo type="num" val="0.69"/>
        <cfvo type="num" val="0.8"/>
        <cfvo type="num" val="0.9"/>
        <color rgb="FFF8696B"/>
        <color rgb="FFFFEB84"/>
        <color rgb="FF63BE7B"/>
      </colorScale>
    </cfRule>
  </conditionalFormatting>
  <conditionalFormatting sqref="AT10">
    <cfRule type="colorScale" priority="50">
      <colorScale>
        <cfvo type="num" val="0.69"/>
        <cfvo type="num" val="0.8"/>
        <cfvo type="num" val="0.9"/>
        <color rgb="FFF8696B"/>
        <color rgb="FFFFEB84"/>
        <color rgb="FF63BE7B"/>
      </colorScale>
    </cfRule>
  </conditionalFormatting>
  <conditionalFormatting sqref="AZ10">
    <cfRule type="colorScale" priority="49">
      <colorScale>
        <cfvo type="num" val="0.69"/>
        <cfvo type="num" val="0.8"/>
        <cfvo type="num" val="0.9"/>
        <color rgb="FFF8696B"/>
        <color rgb="FFFFEB84"/>
        <color rgb="FF63BE7B"/>
      </colorScale>
    </cfRule>
  </conditionalFormatting>
  <conditionalFormatting sqref="BL10">
    <cfRule type="colorScale" priority="47">
      <colorScale>
        <cfvo type="num" val="0.69"/>
        <cfvo type="num" val="0.8"/>
        <cfvo type="num" val="0.9"/>
        <color rgb="FFF8696B"/>
        <color rgb="FFFFEB84"/>
        <color rgb="FF63BE7B"/>
      </colorScale>
    </cfRule>
  </conditionalFormatting>
  <conditionalFormatting sqref="BR10">
    <cfRule type="colorScale" priority="46">
      <colorScale>
        <cfvo type="num" val="0.69"/>
        <cfvo type="num" val="0.8"/>
        <cfvo type="num" val="0.9"/>
        <color rgb="FFF8696B"/>
        <color rgb="FFFFEB84"/>
        <color rgb="FF63BE7B"/>
      </colorScale>
    </cfRule>
  </conditionalFormatting>
  <conditionalFormatting sqref="CD10">
    <cfRule type="colorScale" priority="44">
      <colorScale>
        <cfvo type="num" val="0.69"/>
        <cfvo type="num" val="0.8"/>
        <cfvo type="num" val="0.9"/>
        <color rgb="FFF8696B"/>
        <color rgb="FFFFEB84"/>
        <color rgb="FF63BE7B"/>
      </colorScale>
    </cfRule>
  </conditionalFormatting>
  <conditionalFormatting sqref="CJ10">
    <cfRule type="colorScale" priority="43">
      <colorScale>
        <cfvo type="num" val="0.69"/>
        <cfvo type="num" val="0.8"/>
        <cfvo type="num" val="0.9"/>
        <color rgb="FFF8696B"/>
        <color rgb="FFFFEB84"/>
        <color rgb="FF63BE7B"/>
      </colorScale>
    </cfRule>
  </conditionalFormatting>
  <conditionalFormatting sqref="CP10">
    <cfRule type="colorScale" priority="42">
      <colorScale>
        <cfvo type="num" val="0.69"/>
        <cfvo type="num" val="0.8"/>
        <cfvo type="num" val="0.9"/>
        <color rgb="FFF8696B"/>
        <color rgb="FFFFEB84"/>
        <color rgb="FF63BE7B"/>
      </colorScale>
    </cfRule>
  </conditionalFormatting>
  <conditionalFormatting sqref="CV10">
    <cfRule type="colorScale" priority="41">
      <colorScale>
        <cfvo type="num" val="0.69"/>
        <cfvo type="num" val="0.8"/>
        <cfvo type="num" val="0.9"/>
        <color rgb="FFF8696B"/>
        <color rgb="FFFFEB84"/>
        <color rgb="FF63BE7B"/>
      </colorScale>
    </cfRule>
  </conditionalFormatting>
  <conditionalFormatting sqref="AN9">
    <cfRule type="colorScale" priority="40">
      <colorScale>
        <cfvo type="num" val="0.69"/>
        <cfvo type="num" val="0.8"/>
        <cfvo type="num" val="0.9"/>
        <color rgb="FFF8696B"/>
        <color rgb="FFFFEB84"/>
        <color rgb="FF63BE7B"/>
      </colorScale>
    </cfRule>
  </conditionalFormatting>
  <conditionalFormatting sqref="AN10">
    <cfRule type="colorScale" priority="39">
      <colorScale>
        <cfvo type="num" val="0.69"/>
        <cfvo type="num" val="0.8"/>
        <cfvo type="num" val="0.9"/>
        <color rgb="FFF8696B"/>
        <color rgb="FFFFEB84"/>
        <color rgb="FF63BE7B"/>
      </colorScale>
    </cfRule>
  </conditionalFormatting>
  <conditionalFormatting sqref="AN11">
    <cfRule type="colorScale" priority="38">
      <colorScale>
        <cfvo type="num" val="0.69"/>
        <cfvo type="num" val="0.8"/>
        <cfvo type="num" val="0.9"/>
        <color rgb="FFF8696B"/>
        <color rgb="FFFFEB84"/>
        <color rgb="FF63BE7B"/>
      </colorScale>
    </cfRule>
  </conditionalFormatting>
  <conditionalFormatting sqref="AN12">
    <cfRule type="colorScale" priority="37">
      <colorScale>
        <cfvo type="num" val="0.69"/>
        <cfvo type="num" val="0.8"/>
        <cfvo type="num" val="0.9"/>
        <color rgb="FFF8696B"/>
        <color rgb="FFFFEB84"/>
        <color rgb="FF63BE7B"/>
      </colorScale>
    </cfRule>
  </conditionalFormatting>
  <conditionalFormatting sqref="AN13">
    <cfRule type="colorScale" priority="36">
      <colorScale>
        <cfvo type="num" val="0.69"/>
        <cfvo type="num" val="0.8"/>
        <cfvo type="num" val="0.9"/>
        <color rgb="FFF8696B"/>
        <color rgb="FFFFEB84"/>
        <color rgb="FF63BE7B"/>
      </colorScale>
    </cfRule>
  </conditionalFormatting>
  <conditionalFormatting sqref="AN14">
    <cfRule type="colorScale" priority="35">
      <colorScale>
        <cfvo type="num" val="0.69"/>
        <cfvo type="num" val="0.8"/>
        <cfvo type="num" val="0.9"/>
        <color rgb="FFF8696B"/>
        <color rgb="FFFFEB84"/>
        <color rgb="FF63BE7B"/>
      </colorScale>
    </cfRule>
  </conditionalFormatting>
  <conditionalFormatting sqref="AN21">
    <cfRule type="colorScale" priority="34">
      <colorScale>
        <cfvo type="num" val="0.69"/>
        <cfvo type="num" val="0.8"/>
        <cfvo type="num" val="0.9"/>
        <color rgb="FFF8696B"/>
        <color rgb="FFFFEB84"/>
        <color rgb="FF63BE7B"/>
      </colorScale>
    </cfRule>
  </conditionalFormatting>
  <conditionalFormatting sqref="BF8">
    <cfRule type="colorScale" priority="33">
      <colorScale>
        <cfvo type="num" val="0.69"/>
        <cfvo type="num" val="0.8"/>
        <cfvo type="num" val="0.9"/>
        <color rgb="FFF8696B"/>
        <color rgb="FFFFEB84"/>
        <color rgb="FF63BE7B"/>
      </colorScale>
    </cfRule>
  </conditionalFormatting>
  <conditionalFormatting sqref="BF9">
    <cfRule type="colorScale" priority="32">
      <colorScale>
        <cfvo type="num" val="0.69"/>
        <cfvo type="num" val="0.8"/>
        <cfvo type="num" val="0.9"/>
        <color rgb="FFF8696B"/>
        <color rgb="FFFFEB84"/>
        <color rgb="FF63BE7B"/>
      </colorScale>
    </cfRule>
  </conditionalFormatting>
  <conditionalFormatting sqref="BF10">
    <cfRule type="colorScale" priority="31">
      <colorScale>
        <cfvo type="num" val="0.69"/>
        <cfvo type="num" val="0.8"/>
        <cfvo type="num" val="0.9"/>
        <color rgb="FFF8696B"/>
        <color rgb="FFFFEB84"/>
        <color rgb="FF63BE7B"/>
      </colorScale>
    </cfRule>
  </conditionalFormatting>
  <conditionalFormatting sqref="BF11">
    <cfRule type="colorScale" priority="30">
      <colorScale>
        <cfvo type="num" val="0.69"/>
        <cfvo type="num" val="0.8"/>
        <cfvo type="num" val="0.9"/>
        <color rgb="FFF8696B"/>
        <color rgb="FFFFEB84"/>
        <color rgb="FF63BE7B"/>
      </colorScale>
    </cfRule>
  </conditionalFormatting>
  <conditionalFormatting sqref="BF12">
    <cfRule type="colorScale" priority="29">
      <colorScale>
        <cfvo type="num" val="0.69"/>
        <cfvo type="num" val="0.8"/>
        <cfvo type="num" val="0.9"/>
        <color rgb="FFF8696B"/>
        <color rgb="FFFFEB84"/>
        <color rgb="FF63BE7B"/>
      </colorScale>
    </cfRule>
  </conditionalFormatting>
  <conditionalFormatting sqref="BF13">
    <cfRule type="colorScale" priority="28">
      <colorScale>
        <cfvo type="num" val="0.69"/>
        <cfvo type="num" val="0.8"/>
        <cfvo type="num" val="0.9"/>
        <color rgb="FFF8696B"/>
        <color rgb="FFFFEB84"/>
        <color rgb="FF63BE7B"/>
      </colorScale>
    </cfRule>
  </conditionalFormatting>
  <conditionalFormatting sqref="BF14">
    <cfRule type="colorScale" priority="27">
      <colorScale>
        <cfvo type="num" val="0.69"/>
        <cfvo type="num" val="0.8"/>
        <cfvo type="num" val="0.9"/>
        <color rgb="FFF8696B"/>
        <color rgb="FFFFEB84"/>
        <color rgb="FF63BE7B"/>
      </colorScale>
    </cfRule>
  </conditionalFormatting>
  <conditionalFormatting sqref="BX8">
    <cfRule type="colorScale" priority="26">
      <colorScale>
        <cfvo type="num" val="0.69"/>
        <cfvo type="num" val="0.8"/>
        <cfvo type="num" val="0.9"/>
        <color rgb="FFF8696B"/>
        <color rgb="FFFFEB84"/>
        <color rgb="FF63BE7B"/>
      </colorScale>
    </cfRule>
  </conditionalFormatting>
  <conditionalFormatting sqref="BX9">
    <cfRule type="colorScale" priority="25">
      <colorScale>
        <cfvo type="num" val="0.69"/>
        <cfvo type="num" val="0.8"/>
        <cfvo type="num" val="0.9"/>
        <color rgb="FFF8696B"/>
        <color rgb="FFFFEB84"/>
        <color rgb="FF63BE7B"/>
      </colorScale>
    </cfRule>
  </conditionalFormatting>
  <conditionalFormatting sqref="BX10">
    <cfRule type="colorScale" priority="24">
      <colorScale>
        <cfvo type="num" val="0.69"/>
        <cfvo type="num" val="0.8"/>
        <cfvo type="num" val="0.9"/>
        <color rgb="FFF8696B"/>
        <color rgb="FFFFEB84"/>
        <color rgb="FF63BE7B"/>
      </colorScale>
    </cfRule>
  </conditionalFormatting>
  <conditionalFormatting sqref="BX11">
    <cfRule type="colorScale" priority="23">
      <colorScale>
        <cfvo type="num" val="0.69"/>
        <cfvo type="num" val="0.8"/>
        <cfvo type="num" val="0.9"/>
        <color rgb="FFF8696B"/>
        <color rgb="FFFFEB84"/>
        <color rgb="FF63BE7B"/>
      </colorScale>
    </cfRule>
  </conditionalFormatting>
  <conditionalFormatting sqref="BX12">
    <cfRule type="colorScale" priority="22">
      <colorScale>
        <cfvo type="num" val="0.69"/>
        <cfvo type="num" val="0.8"/>
        <cfvo type="num" val="0.9"/>
        <color rgb="FFF8696B"/>
        <color rgb="FFFFEB84"/>
        <color rgb="FF63BE7B"/>
      </colorScale>
    </cfRule>
  </conditionalFormatting>
  <conditionalFormatting sqref="BX13">
    <cfRule type="colorScale" priority="21">
      <colorScale>
        <cfvo type="num" val="0.69"/>
        <cfvo type="num" val="0.8"/>
        <cfvo type="num" val="0.9"/>
        <color rgb="FFF8696B"/>
        <color rgb="FFFFEB84"/>
        <color rgb="FF63BE7B"/>
      </colorScale>
    </cfRule>
  </conditionalFormatting>
  <conditionalFormatting sqref="BX14">
    <cfRule type="colorScale" priority="20">
      <colorScale>
        <cfvo type="num" val="0.69"/>
        <cfvo type="num" val="0.8"/>
        <cfvo type="num" val="0.9"/>
        <color rgb="FFF8696B"/>
        <color rgb="FFFFEB84"/>
        <color rgb="FF63BE7B"/>
      </colorScale>
    </cfRule>
  </conditionalFormatting>
  <conditionalFormatting sqref="AB19">
    <cfRule type="colorScale" priority="17">
      <colorScale>
        <cfvo type="num" val="0.69"/>
        <cfvo type="num" val="0.8"/>
        <cfvo type="num" val="0.9"/>
        <color rgb="FFF8696B"/>
        <color rgb="FFFFEB84"/>
        <color rgb="FF63BE7B"/>
      </colorScale>
    </cfRule>
  </conditionalFormatting>
  <conditionalFormatting sqref="AH19">
    <cfRule type="colorScale" priority="16">
      <colorScale>
        <cfvo type="num" val="0.69"/>
        <cfvo type="num" val="0.8"/>
        <cfvo type="num" val="0.9"/>
        <color rgb="FFF8696B"/>
        <color rgb="FFFFEB84"/>
        <color rgb="FF63BE7B"/>
      </colorScale>
    </cfRule>
  </conditionalFormatting>
  <conditionalFormatting sqref="AN19">
    <cfRule type="colorScale" priority="15">
      <colorScale>
        <cfvo type="num" val="0.69"/>
        <cfvo type="num" val="0.8"/>
        <cfvo type="num" val="0.9"/>
        <color rgb="FFF8696B"/>
        <color rgb="FFFFEB84"/>
        <color rgb="FF63BE7B"/>
      </colorScale>
    </cfRule>
  </conditionalFormatting>
  <conditionalFormatting sqref="AT19">
    <cfRule type="colorScale" priority="14">
      <colorScale>
        <cfvo type="num" val="0.69"/>
        <cfvo type="num" val="0.8"/>
        <cfvo type="num" val="0.9"/>
        <color rgb="FFF8696B"/>
        <color rgb="FFFFEB84"/>
        <color rgb="FF63BE7B"/>
      </colorScale>
    </cfRule>
  </conditionalFormatting>
  <conditionalFormatting sqref="AZ19">
    <cfRule type="colorScale" priority="13">
      <colorScale>
        <cfvo type="num" val="0.69"/>
        <cfvo type="num" val="0.8"/>
        <cfvo type="num" val="0.9"/>
        <color rgb="FFF8696B"/>
        <color rgb="FFFFEB84"/>
        <color rgb="FF63BE7B"/>
      </colorScale>
    </cfRule>
  </conditionalFormatting>
  <conditionalFormatting sqref="BF19">
    <cfRule type="colorScale" priority="12">
      <colorScale>
        <cfvo type="num" val="0.69"/>
        <cfvo type="num" val="0.8"/>
        <cfvo type="num" val="0.9"/>
        <color rgb="FFF8696B"/>
        <color rgb="FFFFEB84"/>
        <color rgb="FF63BE7B"/>
      </colorScale>
    </cfRule>
  </conditionalFormatting>
  <conditionalFormatting sqref="BL19">
    <cfRule type="colorScale" priority="11">
      <colorScale>
        <cfvo type="num" val="0.69"/>
        <cfvo type="num" val="0.8"/>
        <cfvo type="num" val="0.9"/>
        <color rgb="FFF8696B"/>
        <color rgb="FFFFEB84"/>
        <color rgb="FF63BE7B"/>
      </colorScale>
    </cfRule>
  </conditionalFormatting>
  <conditionalFormatting sqref="BR19">
    <cfRule type="colorScale" priority="10">
      <colorScale>
        <cfvo type="num" val="0.69"/>
        <cfvo type="num" val="0.8"/>
        <cfvo type="num" val="0.9"/>
        <color rgb="FFF8696B"/>
        <color rgb="FFFFEB84"/>
        <color rgb="FF63BE7B"/>
      </colorScale>
    </cfRule>
  </conditionalFormatting>
  <conditionalFormatting sqref="BX19">
    <cfRule type="colorScale" priority="9">
      <colorScale>
        <cfvo type="num" val="0.69"/>
        <cfvo type="num" val="0.8"/>
        <cfvo type="num" val="0.9"/>
        <color rgb="FFF8696B"/>
        <color rgb="FFFFEB84"/>
        <color rgb="FF63BE7B"/>
      </colorScale>
    </cfRule>
  </conditionalFormatting>
  <conditionalFormatting sqref="CD19">
    <cfRule type="colorScale" priority="8">
      <colorScale>
        <cfvo type="num" val="0.69"/>
        <cfvo type="num" val="0.8"/>
        <cfvo type="num" val="0.9"/>
        <color rgb="FFF8696B"/>
        <color rgb="FFFFEB84"/>
        <color rgb="FF63BE7B"/>
      </colorScale>
    </cfRule>
  </conditionalFormatting>
  <conditionalFormatting sqref="CJ19">
    <cfRule type="colorScale" priority="7">
      <colorScale>
        <cfvo type="num" val="0.69"/>
        <cfvo type="num" val="0.8"/>
        <cfvo type="num" val="0.9"/>
        <color rgb="FFF8696B"/>
        <color rgb="FFFFEB84"/>
        <color rgb="FF63BE7B"/>
      </colorScale>
    </cfRule>
  </conditionalFormatting>
  <conditionalFormatting sqref="CP19">
    <cfRule type="colorScale" priority="4">
      <colorScale>
        <cfvo type="num" val="0.69"/>
        <cfvo type="num" val="0.8"/>
        <cfvo type="num" val="0.9"/>
        <color rgb="FFF8696B"/>
        <color rgb="FFFFEB84"/>
        <color rgb="FF63BE7B"/>
      </colorScale>
    </cfRule>
  </conditionalFormatting>
  <conditionalFormatting sqref="CV19">
    <cfRule type="colorScale" priority="3">
      <colorScale>
        <cfvo type="num" val="0.69"/>
        <cfvo type="num" val="0.8"/>
        <cfvo type="num" val="0.9"/>
        <color rgb="FFF8696B"/>
        <color rgb="FFFFEB84"/>
        <color rgb="FF63BE7B"/>
      </colorScale>
    </cfRule>
  </conditionalFormatting>
  <conditionalFormatting sqref="CP21">
    <cfRule type="colorScale" priority="2">
      <colorScale>
        <cfvo type="num" val="0.69"/>
        <cfvo type="num" val="0.8"/>
        <cfvo type="num" val="0.9"/>
        <color rgb="FFF8696B"/>
        <color rgb="FFFFEB84"/>
        <color rgb="FF63BE7B"/>
      </colorScale>
    </cfRule>
  </conditionalFormatting>
  <conditionalFormatting sqref="CV16:CV17">
    <cfRule type="colorScale" priority="1">
      <colorScale>
        <cfvo type="num" val="0.69"/>
        <cfvo type="num" val="0.8"/>
        <cfvo type="num" val="0.9"/>
        <color rgb="FFF8696B"/>
        <color rgb="FFFFEB84"/>
        <color rgb="FF63BE7B"/>
      </colorScale>
    </cfRule>
  </conditionalFormatting>
  <printOptions horizontalCentered="1"/>
  <pageMargins left="0.23" right="0.17" top="0.39370078740157483" bottom="0.39370078740157483" header="0.31496062992125984" footer="0.31496062992125984"/>
  <pageSetup scale="62" fitToHeight="4" orientation="landscape" r:id="rId1"/>
  <headerFooter alignWithMargins="0"/>
  <rowBreaks count="1" manualBreakCount="1">
    <brk id="13" max="100" man="1"/>
  </rowBreaks>
  <colBreaks count="13" manualBreakCount="13">
    <brk id="23" max="20" man="1"/>
    <brk id="29" max="27" man="1"/>
    <brk id="35" max="27" man="1"/>
    <brk id="41" max="27" man="1"/>
    <brk id="47" max="27" man="1"/>
    <brk id="53" max="27" man="1"/>
    <brk id="59" max="27" man="1"/>
    <brk id="65" max="27" man="1"/>
    <brk id="71" max="27" man="1"/>
    <brk id="77" max="27" man="1"/>
    <brk id="83" max="27" man="1"/>
    <brk id="89" max="27" man="1"/>
    <brk id="95" max="27"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3"/>
  <sheetViews>
    <sheetView workbookViewId="0">
      <selection activeCell="C4" sqref="C4:J4"/>
    </sheetView>
  </sheetViews>
  <sheetFormatPr baseColWidth="10" defaultColWidth="11.5703125" defaultRowHeight="12.75"/>
  <cols>
    <col min="1" max="1" width="2" style="210" customWidth="1"/>
    <col min="2" max="2" width="14" style="210" hidden="1" customWidth="1"/>
    <col min="3" max="3" width="3.7109375" style="776" hidden="1" customWidth="1"/>
    <col min="4" max="4" width="25.28515625" style="210" bestFit="1" customWidth="1"/>
    <col min="5" max="5" width="15.28515625" style="210" bestFit="1" customWidth="1"/>
    <col min="6" max="6" width="23.85546875" style="210" bestFit="1" customWidth="1"/>
    <col min="7" max="7" width="8" style="210" bestFit="1" customWidth="1"/>
    <col min="8" max="8" width="25.5703125" style="210" bestFit="1" customWidth="1"/>
    <col min="9" max="9" width="19.5703125" style="210" bestFit="1" customWidth="1"/>
    <col min="10" max="10" width="8.85546875" style="210" bestFit="1" customWidth="1"/>
    <col min="11" max="11" width="11.42578125" style="210" bestFit="1" customWidth="1"/>
    <col min="12" max="13" width="11.7109375" style="210" bestFit="1" customWidth="1"/>
    <col min="14" max="14" width="11.85546875" style="210" bestFit="1" customWidth="1"/>
    <col min="15" max="15" width="12.140625" style="210" bestFit="1" customWidth="1"/>
    <col min="16" max="16" width="12.42578125" style="210" bestFit="1" customWidth="1"/>
    <col min="17" max="17" width="11.85546875" style="210" bestFit="1" customWidth="1"/>
    <col min="18" max="18" width="12.7109375" style="210" bestFit="1" customWidth="1"/>
    <col min="19" max="19" width="12.140625" style="210" bestFit="1" customWidth="1"/>
    <col min="20" max="20" width="11.5703125" style="210" bestFit="1" customWidth="1"/>
    <col min="21" max="21" width="11.85546875" style="210" bestFit="1" customWidth="1"/>
    <col min="22" max="22" width="11.42578125" style="210" bestFit="1" customWidth="1"/>
    <col min="23" max="23" width="12.5703125" style="210" bestFit="1" customWidth="1"/>
    <col min="24" max="24" width="15.42578125" style="210" bestFit="1" customWidth="1"/>
    <col min="25" max="25" width="15.5703125" style="210" bestFit="1" customWidth="1"/>
    <col min="26" max="26" width="14.7109375" style="210" bestFit="1" customWidth="1"/>
    <col min="27" max="27" width="14.42578125" style="210" bestFit="1" customWidth="1"/>
    <col min="28" max="28" width="17.5703125" style="210" bestFit="1" customWidth="1"/>
    <col min="29" max="29" width="54.140625" style="210" bestFit="1" customWidth="1"/>
    <col min="30" max="30" width="16.42578125" style="210" bestFit="1" customWidth="1"/>
    <col min="31" max="31" width="15.5703125" style="210" bestFit="1" customWidth="1"/>
    <col min="32" max="32" width="14.7109375" style="210" bestFit="1" customWidth="1"/>
    <col min="33" max="33" width="14.42578125" style="210" bestFit="1" customWidth="1"/>
    <col min="34" max="34" width="17.5703125" style="210" bestFit="1" customWidth="1"/>
    <col min="35" max="35" width="53.28515625" style="210" bestFit="1" customWidth="1"/>
    <col min="36" max="36" width="15.42578125" style="210" bestFit="1" customWidth="1"/>
    <col min="37" max="37" width="16.42578125" style="210" bestFit="1" customWidth="1"/>
    <col min="38" max="38" width="14.7109375" style="210" bestFit="1" customWidth="1"/>
    <col min="39" max="39" width="14.42578125" style="210" bestFit="1" customWidth="1"/>
    <col min="40" max="40" width="17.5703125" style="210" bestFit="1" customWidth="1"/>
    <col min="41" max="41" width="53.28515625" style="210" bestFit="1" customWidth="1"/>
    <col min="42" max="42" width="15.140625" style="210" bestFit="1" customWidth="1"/>
    <col min="43" max="43" width="16.42578125" style="210" bestFit="1" customWidth="1"/>
    <col min="44" max="44" width="14.7109375" style="210" bestFit="1" customWidth="1"/>
    <col min="45" max="45" width="14.42578125" style="210" bestFit="1" customWidth="1"/>
    <col min="46" max="46" width="17.5703125" style="210" bestFit="1" customWidth="1"/>
    <col min="47" max="47" width="65" style="210" bestFit="1" customWidth="1"/>
    <col min="48" max="48" width="15.140625" style="210" bestFit="1" customWidth="1"/>
    <col min="49" max="49" width="16.140625" style="210" bestFit="1" customWidth="1"/>
    <col min="50" max="50" width="14.7109375" style="210" bestFit="1" customWidth="1"/>
    <col min="51" max="51" width="14.42578125" style="210" bestFit="1" customWidth="1"/>
    <col min="52" max="52" width="17.5703125" style="210" bestFit="1" customWidth="1"/>
    <col min="53" max="53" width="41.5703125" style="210" bestFit="1" customWidth="1"/>
    <col min="54" max="55" width="16.140625" style="210" bestFit="1" customWidth="1"/>
    <col min="56" max="56" width="14.7109375" style="210" bestFit="1" customWidth="1"/>
    <col min="57" max="57" width="14.42578125" style="210" bestFit="1" customWidth="1"/>
    <col min="58" max="58" width="17.5703125" style="210" bestFit="1" customWidth="1"/>
    <col min="59" max="59" width="59.5703125" style="210" bestFit="1" customWidth="1"/>
    <col min="60" max="60" width="16.140625" style="210" bestFit="1" customWidth="1"/>
    <col min="61" max="61" width="15.5703125" style="210" bestFit="1" customWidth="1"/>
    <col min="62" max="62" width="14.7109375" style="210" bestFit="1" customWidth="1"/>
    <col min="63" max="63" width="14.42578125" style="210" bestFit="1" customWidth="1"/>
    <col min="64" max="64" width="17.5703125" style="210" bestFit="1" customWidth="1"/>
    <col min="65" max="65" width="31.5703125" style="210" bestFit="1" customWidth="1"/>
    <col min="66" max="66" width="16.42578125" style="210" bestFit="1" customWidth="1"/>
    <col min="67" max="67" width="15.5703125" style="210" bestFit="1" customWidth="1"/>
    <col min="68" max="68" width="14.7109375" style="210" bestFit="1" customWidth="1"/>
    <col min="69" max="69" width="14.42578125" style="210" bestFit="1" customWidth="1"/>
    <col min="70" max="70" width="17.5703125" style="210" bestFit="1" customWidth="1"/>
    <col min="71" max="71" width="45.42578125" style="210" bestFit="1" customWidth="1"/>
    <col min="72" max="72" width="13.85546875" style="210" bestFit="1" customWidth="1"/>
    <col min="73" max="73" width="15.5703125" style="210" bestFit="1" customWidth="1"/>
    <col min="74" max="74" width="14.7109375" style="210" bestFit="1" customWidth="1"/>
    <col min="75" max="75" width="14.42578125" style="210" bestFit="1" customWidth="1"/>
    <col min="76" max="76" width="17.5703125" style="210" bestFit="1" customWidth="1"/>
    <col min="77" max="77" width="39.5703125" style="210" bestFit="1" customWidth="1"/>
    <col min="78" max="78" width="11.7109375" style="210" bestFit="1" customWidth="1"/>
    <col min="79" max="79" width="15.5703125" style="210" bestFit="1" customWidth="1"/>
    <col min="80" max="80" width="9.85546875" style="210" bestFit="1" customWidth="1"/>
    <col min="81" max="81" width="10" style="210" bestFit="1" customWidth="1"/>
    <col min="82" max="82" width="11.28515625" style="210" bestFit="1" customWidth="1"/>
    <col min="83" max="83" width="36.28515625" style="210" bestFit="1" customWidth="1"/>
    <col min="84" max="84" width="13.85546875" style="210" bestFit="1" customWidth="1"/>
    <col min="85" max="85" width="15.5703125" style="210" bestFit="1" customWidth="1"/>
    <col min="86" max="86" width="9.85546875" style="210" bestFit="1" customWidth="1"/>
    <col min="87" max="87" width="10" style="210" bestFit="1" customWidth="1"/>
    <col min="88" max="88" width="17.5703125" style="210" bestFit="1" customWidth="1"/>
    <col min="89" max="89" width="35.7109375" style="210" bestFit="1" customWidth="1"/>
    <col min="90" max="90" width="14.7109375" style="210" bestFit="1" customWidth="1"/>
    <col min="91" max="91" width="13.7109375" style="210" customWidth="1"/>
    <col min="92" max="93" width="8.140625" style="210" customWidth="1"/>
    <col min="94" max="94" width="11.5703125" style="210" customWidth="1"/>
    <col min="95" max="95" width="37.7109375" style="210" customWidth="1"/>
    <col min="96" max="96" width="14.42578125" style="210" customWidth="1"/>
    <col min="97" max="97" width="15.28515625" style="210" customWidth="1"/>
    <col min="98" max="98" width="10.85546875" style="210" customWidth="1"/>
    <col min="99" max="99" width="9.42578125" style="210" customWidth="1"/>
    <col min="100" max="100" width="11.7109375" style="210" customWidth="1"/>
    <col min="101" max="101" width="37.7109375" style="210" customWidth="1"/>
    <col min="102" max="102" width="7.140625" style="210" customWidth="1"/>
    <col min="103" max="16384" width="11.5703125" style="210"/>
  </cols>
  <sheetData>
    <row r="1" spans="1:256">
      <c r="A1" s="1231"/>
      <c r="B1" s="2321" t="s">
        <v>22</v>
      </c>
      <c r="C1" s="2321"/>
      <c r="D1" s="2321"/>
      <c r="E1" s="2321"/>
      <c r="F1" s="2321"/>
      <c r="G1" s="2321"/>
      <c r="H1" s="2321"/>
      <c r="I1" s="2321"/>
      <c r="J1" s="2321"/>
      <c r="K1" s="2321"/>
      <c r="L1" s="2321"/>
      <c r="M1" s="2321"/>
      <c r="N1" s="2321"/>
      <c r="O1" s="2321"/>
      <c r="P1" s="2321"/>
      <c r="Q1" s="2321"/>
      <c r="R1" s="2321"/>
      <c r="S1" s="2322"/>
      <c r="T1" s="2322"/>
      <c r="U1" s="2322"/>
      <c r="V1" s="2322"/>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c r="AU1" s="754"/>
      <c r="AV1" s="754"/>
      <c r="AW1" s="754"/>
      <c r="AX1" s="754"/>
      <c r="AY1" s="754"/>
      <c r="AZ1" s="754"/>
      <c r="BA1" s="754"/>
      <c r="BB1" s="754"/>
      <c r="BC1" s="754"/>
      <c r="BD1" s="754"/>
      <c r="BE1" s="754"/>
      <c r="BF1" s="754"/>
      <c r="BG1" s="754"/>
      <c r="BH1" s="754"/>
      <c r="BI1" s="754"/>
      <c r="BJ1" s="754"/>
      <c r="BK1" s="754"/>
      <c r="BL1" s="754"/>
      <c r="BM1" s="754"/>
      <c r="BN1" s="754"/>
      <c r="BO1" s="754"/>
      <c r="BP1" s="754"/>
      <c r="BQ1" s="754"/>
      <c r="BR1" s="754"/>
      <c r="BS1" s="754"/>
      <c r="BT1" s="754"/>
      <c r="BU1" s="754"/>
      <c r="BV1" s="754"/>
      <c r="BW1" s="754"/>
      <c r="BX1" s="754"/>
      <c r="BY1" s="754"/>
      <c r="BZ1" s="754"/>
      <c r="CA1" s="754"/>
      <c r="CB1" s="754"/>
      <c r="CC1" s="754"/>
      <c r="CD1" s="754"/>
      <c r="CE1" s="754"/>
      <c r="CF1" s="754"/>
      <c r="CG1" s="754"/>
      <c r="CH1" s="754"/>
      <c r="CI1" s="754"/>
      <c r="CJ1" s="754"/>
      <c r="CK1" s="754"/>
      <c r="CL1" s="754"/>
      <c r="CM1" s="754"/>
      <c r="CN1" s="754"/>
      <c r="CO1" s="754"/>
      <c r="CP1" s="754"/>
      <c r="CQ1" s="754"/>
      <c r="CR1" s="755"/>
      <c r="CS1" s="756"/>
      <c r="CT1" s="756"/>
      <c r="CU1" s="756"/>
      <c r="CV1" s="756"/>
      <c r="CW1" s="757"/>
      <c r="CX1" s="754"/>
      <c r="CY1" s="754"/>
      <c r="CZ1" s="754"/>
      <c r="DA1" s="754"/>
      <c r="DB1" s="754"/>
      <c r="DC1" s="754"/>
      <c r="DD1" s="754"/>
      <c r="DE1" s="754"/>
      <c r="DF1" s="754"/>
      <c r="DG1" s="754"/>
      <c r="DH1" s="754"/>
      <c r="DI1" s="754"/>
      <c r="DJ1" s="754"/>
      <c r="DK1" s="754"/>
      <c r="DL1" s="754"/>
      <c r="DM1" s="754"/>
      <c r="DN1" s="754"/>
      <c r="DO1" s="754"/>
      <c r="DP1" s="754"/>
      <c r="DQ1" s="754"/>
      <c r="DR1" s="754"/>
      <c r="DS1" s="754"/>
      <c r="DT1" s="754"/>
      <c r="DU1" s="754"/>
      <c r="DV1" s="754"/>
      <c r="DW1" s="754"/>
      <c r="DX1" s="754"/>
      <c r="DY1" s="754"/>
      <c r="DZ1" s="754"/>
      <c r="EA1" s="754"/>
      <c r="EB1" s="754"/>
      <c r="EC1" s="754"/>
      <c r="ED1" s="754"/>
      <c r="EE1" s="754"/>
      <c r="EF1" s="754"/>
      <c r="EG1" s="754"/>
      <c r="EH1" s="754"/>
      <c r="EI1" s="754"/>
      <c r="EJ1" s="754"/>
      <c r="EK1" s="754"/>
      <c r="EL1" s="754"/>
      <c r="EM1" s="754"/>
      <c r="EN1" s="754"/>
      <c r="EO1" s="754"/>
      <c r="EP1" s="754"/>
      <c r="EQ1" s="754"/>
      <c r="ER1" s="754"/>
      <c r="ES1" s="754"/>
      <c r="ET1" s="754"/>
      <c r="EU1" s="754"/>
      <c r="EV1" s="754"/>
      <c r="EW1" s="754"/>
      <c r="EX1" s="754"/>
      <c r="EY1" s="754"/>
      <c r="EZ1" s="754"/>
      <c r="FA1" s="754"/>
      <c r="FB1" s="754"/>
      <c r="FC1" s="754"/>
      <c r="FD1" s="754"/>
      <c r="FE1" s="754"/>
      <c r="FF1" s="754"/>
      <c r="FG1" s="754"/>
      <c r="FH1" s="754"/>
      <c r="FI1" s="754"/>
      <c r="FJ1" s="754"/>
      <c r="FK1" s="754"/>
      <c r="FL1" s="754"/>
      <c r="FM1" s="754"/>
      <c r="FN1" s="754"/>
      <c r="FO1" s="754"/>
      <c r="FP1" s="754"/>
      <c r="FQ1" s="754"/>
      <c r="FR1" s="754"/>
      <c r="FS1" s="754"/>
      <c r="FT1" s="754"/>
      <c r="FU1" s="754"/>
      <c r="FV1" s="754"/>
      <c r="FW1" s="754"/>
      <c r="FX1" s="754"/>
      <c r="FY1" s="754"/>
      <c r="FZ1" s="754"/>
      <c r="GA1" s="754"/>
      <c r="GB1" s="754"/>
      <c r="GC1" s="754"/>
      <c r="GD1" s="754"/>
      <c r="GE1" s="754"/>
      <c r="GF1" s="754"/>
      <c r="GG1" s="754"/>
      <c r="GH1" s="754"/>
      <c r="GI1" s="754"/>
      <c r="GJ1" s="754"/>
      <c r="GK1" s="754"/>
      <c r="GL1" s="754"/>
      <c r="GM1" s="754"/>
      <c r="GN1" s="754"/>
      <c r="GO1" s="754"/>
      <c r="GP1" s="754"/>
      <c r="GQ1" s="754"/>
      <c r="GR1" s="754"/>
      <c r="GS1" s="754"/>
      <c r="GT1" s="754"/>
      <c r="GU1" s="754"/>
      <c r="GV1" s="754"/>
      <c r="GW1" s="754"/>
      <c r="GX1" s="754"/>
      <c r="GY1" s="754"/>
      <c r="GZ1" s="754"/>
      <c r="HA1" s="754"/>
      <c r="HB1" s="754"/>
      <c r="HC1" s="754"/>
      <c r="HD1" s="754"/>
      <c r="HE1" s="754"/>
      <c r="HF1" s="754"/>
      <c r="HG1" s="754"/>
      <c r="HH1" s="754"/>
      <c r="HI1" s="754"/>
      <c r="HJ1" s="754"/>
      <c r="HK1" s="754"/>
      <c r="HL1" s="754"/>
      <c r="HM1" s="754"/>
      <c r="HN1" s="754"/>
      <c r="HO1" s="754"/>
      <c r="HP1" s="754"/>
      <c r="HQ1" s="754"/>
      <c r="HR1" s="754"/>
      <c r="HS1" s="754"/>
      <c r="HT1" s="754"/>
      <c r="HU1" s="754"/>
      <c r="HV1" s="754"/>
      <c r="HW1" s="754"/>
      <c r="HX1" s="754"/>
      <c r="HY1" s="754"/>
      <c r="HZ1" s="754"/>
      <c r="IA1" s="754"/>
      <c r="IB1" s="754"/>
      <c r="IC1" s="754"/>
      <c r="ID1" s="754"/>
      <c r="IE1" s="754"/>
      <c r="IF1" s="754"/>
      <c r="IG1" s="754"/>
      <c r="IH1" s="754"/>
      <c r="II1" s="754"/>
      <c r="IJ1" s="754"/>
      <c r="IK1" s="754"/>
      <c r="IL1" s="754"/>
      <c r="IM1" s="754"/>
      <c r="IN1" s="754"/>
      <c r="IO1" s="754"/>
      <c r="IP1" s="754"/>
      <c r="IQ1" s="754"/>
      <c r="IR1" s="754"/>
      <c r="IS1" s="754"/>
      <c r="IT1" s="754"/>
      <c r="IU1" s="754"/>
      <c r="IV1" s="754"/>
    </row>
    <row r="2" spans="1:256" ht="24.6" customHeight="1">
      <c r="A2" s="2323"/>
      <c r="B2" s="2323"/>
      <c r="C2" s="1232"/>
      <c r="D2" s="2323" t="s">
        <v>50</v>
      </c>
      <c r="E2" s="2323"/>
      <c r="F2" s="2323"/>
      <c r="G2" s="2323"/>
      <c r="H2" s="2323"/>
      <c r="I2" s="2323"/>
      <c r="J2" s="2323"/>
      <c r="K2" s="2323"/>
      <c r="L2" s="2323"/>
      <c r="M2" s="2323"/>
      <c r="N2" s="2323"/>
      <c r="O2" s="2323" t="s">
        <v>48</v>
      </c>
      <c r="P2" s="2323"/>
      <c r="Q2" s="2323"/>
      <c r="R2" s="2323"/>
      <c r="S2" s="2322"/>
      <c r="T2" s="2322"/>
      <c r="U2" s="2322"/>
      <c r="V2" s="2322"/>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c r="BZ2" s="758"/>
      <c r="CA2" s="758"/>
      <c r="CB2" s="758"/>
      <c r="CC2" s="758"/>
      <c r="CD2" s="758"/>
      <c r="CE2" s="758"/>
      <c r="CF2" s="758"/>
      <c r="CG2" s="758"/>
      <c r="CH2" s="758"/>
      <c r="CI2" s="758"/>
      <c r="CJ2" s="758"/>
      <c r="CK2" s="758"/>
      <c r="CL2" s="758"/>
      <c r="CM2" s="758"/>
      <c r="CN2" s="758"/>
      <c r="CO2" s="758"/>
      <c r="CP2" s="758"/>
      <c r="CQ2" s="758"/>
      <c r="CR2" s="759"/>
      <c r="CS2" s="760"/>
      <c r="CT2" s="760"/>
      <c r="CU2" s="760"/>
      <c r="CV2" s="760"/>
      <c r="CW2" s="761"/>
      <c r="CX2" s="758"/>
      <c r="CY2" s="758"/>
      <c r="CZ2" s="758"/>
      <c r="DA2" s="758"/>
      <c r="DB2" s="758"/>
      <c r="DC2" s="758"/>
      <c r="DD2" s="758"/>
      <c r="DE2" s="758"/>
      <c r="DF2" s="758"/>
      <c r="DG2" s="758"/>
      <c r="DH2" s="758"/>
      <c r="DI2" s="758"/>
      <c r="DJ2" s="758"/>
      <c r="DK2" s="758"/>
      <c r="DL2" s="758"/>
      <c r="DM2" s="758"/>
      <c r="DN2" s="758"/>
      <c r="DO2" s="758"/>
      <c r="DP2" s="758"/>
      <c r="DQ2" s="758"/>
      <c r="DR2" s="758"/>
      <c r="DS2" s="758"/>
      <c r="DT2" s="758"/>
      <c r="DU2" s="758"/>
      <c r="DV2" s="758"/>
      <c r="DW2" s="758"/>
      <c r="DX2" s="758"/>
      <c r="DY2" s="758"/>
      <c r="DZ2" s="758"/>
      <c r="EA2" s="758"/>
      <c r="EB2" s="758"/>
      <c r="EC2" s="758"/>
      <c r="ED2" s="758"/>
      <c r="EE2" s="758"/>
      <c r="EF2" s="758"/>
      <c r="EG2" s="758"/>
      <c r="EH2" s="758"/>
      <c r="EI2" s="758"/>
      <c r="EJ2" s="758"/>
      <c r="EK2" s="758"/>
      <c r="EL2" s="758"/>
      <c r="EM2" s="758"/>
      <c r="EN2" s="758"/>
      <c r="EO2" s="758"/>
      <c r="EP2" s="758"/>
      <c r="EQ2" s="758"/>
      <c r="ER2" s="758"/>
      <c r="ES2" s="758"/>
      <c r="ET2" s="758"/>
      <c r="EU2" s="758"/>
      <c r="EV2" s="758"/>
      <c r="EW2" s="758"/>
      <c r="EX2" s="758"/>
      <c r="EY2" s="758"/>
      <c r="EZ2" s="758"/>
      <c r="FA2" s="758"/>
      <c r="FB2" s="758"/>
      <c r="FC2" s="758"/>
      <c r="FD2" s="758"/>
      <c r="FE2" s="758"/>
      <c r="FF2" s="758"/>
      <c r="FG2" s="758"/>
      <c r="FH2" s="758"/>
      <c r="FI2" s="758"/>
      <c r="FJ2" s="758"/>
      <c r="FK2" s="758"/>
      <c r="FL2" s="758"/>
      <c r="FM2" s="758"/>
      <c r="FN2" s="758"/>
      <c r="FO2" s="758"/>
      <c r="FP2" s="758"/>
      <c r="FQ2" s="758"/>
      <c r="FR2" s="758"/>
      <c r="FS2" s="758"/>
      <c r="FT2" s="758"/>
      <c r="FU2" s="758"/>
      <c r="FV2" s="758"/>
      <c r="FW2" s="758"/>
      <c r="FX2" s="758"/>
      <c r="FY2" s="758"/>
      <c r="FZ2" s="758"/>
      <c r="GA2" s="758"/>
      <c r="GB2" s="758"/>
      <c r="GC2" s="758"/>
      <c r="GD2" s="758"/>
      <c r="GE2" s="758"/>
      <c r="GF2" s="758"/>
      <c r="GG2" s="758"/>
      <c r="GH2" s="758"/>
      <c r="GI2" s="758"/>
      <c r="GJ2" s="758"/>
      <c r="GK2" s="758"/>
      <c r="GL2" s="758"/>
      <c r="GM2" s="758"/>
      <c r="GN2" s="758"/>
      <c r="GO2" s="758"/>
      <c r="GP2" s="758"/>
      <c r="GQ2" s="758"/>
      <c r="GR2" s="758"/>
      <c r="GS2" s="758"/>
      <c r="GT2" s="758"/>
      <c r="GU2" s="758"/>
      <c r="GV2" s="758"/>
      <c r="GW2" s="758"/>
      <c r="GX2" s="758"/>
      <c r="GY2" s="758"/>
      <c r="GZ2" s="758"/>
      <c r="HA2" s="758"/>
      <c r="HB2" s="758"/>
      <c r="HC2" s="758"/>
      <c r="HD2" s="758"/>
      <c r="HE2" s="758"/>
      <c r="HF2" s="758"/>
      <c r="HG2" s="758"/>
      <c r="HH2" s="758"/>
      <c r="HI2" s="758"/>
      <c r="HJ2" s="758"/>
      <c r="HK2" s="758"/>
      <c r="HL2" s="758"/>
      <c r="HM2" s="758"/>
      <c r="HN2" s="758"/>
      <c r="HO2" s="758"/>
      <c r="HP2" s="758"/>
      <c r="HQ2" s="758"/>
      <c r="HR2" s="758"/>
      <c r="HS2" s="758"/>
      <c r="HT2" s="758"/>
      <c r="HU2" s="758"/>
      <c r="HV2" s="758"/>
      <c r="HW2" s="758"/>
      <c r="HX2" s="758"/>
      <c r="HY2" s="758"/>
      <c r="HZ2" s="758"/>
      <c r="IA2" s="758"/>
      <c r="IB2" s="758"/>
      <c r="IC2" s="758"/>
      <c r="ID2" s="758"/>
      <c r="IE2" s="758"/>
      <c r="IF2" s="758"/>
      <c r="IG2" s="758"/>
      <c r="IH2" s="758"/>
      <c r="II2" s="758"/>
      <c r="IJ2" s="758"/>
      <c r="IK2" s="758"/>
      <c r="IL2" s="758"/>
      <c r="IM2" s="758"/>
      <c r="IN2" s="758"/>
      <c r="IO2" s="758"/>
      <c r="IP2" s="758"/>
      <c r="IQ2" s="758"/>
      <c r="IR2" s="758"/>
      <c r="IS2" s="758"/>
      <c r="IT2" s="758"/>
      <c r="IU2" s="758"/>
      <c r="IV2" s="758"/>
    </row>
    <row r="3" spans="1:256">
      <c r="A3" s="1233"/>
      <c r="B3" s="1233"/>
      <c r="C3" s="1234"/>
      <c r="D3" s="1233"/>
      <c r="E3" s="1233"/>
      <c r="F3" s="1233"/>
      <c r="G3" s="1233"/>
      <c r="H3" s="1233"/>
      <c r="I3" s="1233"/>
      <c r="J3" s="1233"/>
      <c r="K3" s="1233"/>
      <c r="L3" s="1233"/>
      <c r="M3" s="1233"/>
      <c r="N3" s="1233"/>
      <c r="O3" s="1233"/>
      <c r="P3" s="1233"/>
      <c r="Q3" s="1233"/>
      <c r="R3" s="1233"/>
      <c r="S3" s="1233"/>
      <c r="T3" s="1233"/>
      <c r="U3" s="1233"/>
      <c r="V3" s="1233"/>
      <c r="CR3" s="764"/>
      <c r="CS3" s="765"/>
      <c r="CT3" s="765"/>
      <c r="CU3" s="765"/>
      <c r="CV3" s="765"/>
      <c r="CW3" s="766"/>
    </row>
    <row r="4" spans="1:256">
      <c r="A4" s="1233"/>
      <c r="B4" s="1235" t="s">
        <v>18</v>
      </c>
      <c r="C4" s="2324" t="s">
        <v>2217</v>
      </c>
      <c r="D4" s="2324"/>
      <c r="E4" s="2324"/>
      <c r="F4" s="2324"/>
      <c r="G4" s="2324"/>
      <c r="H4" s="2324"/>
      <c r="I4" s="2324"/>
      <c r="J4" s="2324"/>
      <c r="K4" s="2325" t="s">
        <v>21</v>
      </c>
      <c r="L4" s="2325"/>
      <c r="M4" s="2325"/>
      <c r="N4" s="2325">
        <v>2014</v>
      </c>
      <c r="O4" s="2325"/>
      <c r="P4" s="2325"/>
      <c r="Q4" s="2325"/>
      <c r="R4" s="2325"/>
      <c r="S4" s="2325"/>
      <c r="T4" s="2325"/>
      <c r="U4" s="2325"/>
      <c r="V4" s="2325"/>
      <c r="W4" s="54"/>
      <c r="X4" s="2326" t="s">
        <v>29</v>
      </c>
      <c r="Y4" s="2326"/>
      <c r="Z4" s="2326"/>
      <c r="AA4" s="2326"/>
      <c r="AB4" s="2326"/>
      <c r="AC4" s="2327"/>
      <c r="AD4" s="2328" t="s">
        <v>29</v>
      </c>
      <c r="AE4" s="2326"/>
      <c r="AF4" s="2326"/>
      <c r="AG4" s="2326"/>
      <c r="AH4" s="2326"/>
      <c r="AI4" s="2327"/>
      <c r="AJ4" s="2328" t="s">
        <v>29</v>
      </c>
      <c r="AK4" s="2326"/>
      <c r="AL4" s="2326"/>
      <c r="AM4" s="2326"/>
      <c r="AN4" s="2326"/>
      <c r="AO4" s="2327"/>
      <c r="AP4" s="2328" t="s">
        <v>29</v>
      </c>
      <c r="AQ4" s="2326"/>
      <c r="AR4" s="2326"/>
      <c r="AS4" s="2326"/>
      <c r="AT4" s="2326"/>
      <c r="AU4" s="2327"/>
      <c r="AV4" s="2328" t="s">
        <v>29</v>
      </c>
      <c r="AW4" s="2326"/>
      <c r="AX4" s="2326"/>
      <c r="AY4" s="2326"/>
      <c r="AZ4" s="2326"/>
      <c r="BA4" s="2327"/>
      <c r="BB4" s="2328" t="s">
        <v>29</v>
      </c>
      <c r="BC4" s="2326"/>
      <c r="BD4" s="2326"/>
      <c r="BE4" s="2326"/>
      <c r="BF4" s="2326"/>
      <c r="BG4" s="2327"/>
      <c r="BH4" s="2328" t="s">
        <v>29</v>
      </c>
      <c r="BI4" s="2326"/>
      <c r="BJ4" s="2326"/>
      <c r="BK4" s="2326"/>
      <c r="BL4" s="2326"/>
      <c r="BM4" s="2327"/>
      <c r="BN4" s="2328" t="s">
        <v>29</v>
      </c>
      <c r="BO4" s="2326"/>
      <c r="BP4" s="2326"/>
      <c r="BQ4" s="2326"/>
      <c r="BR4" s="2326"/>
      <c r="BS4" s="2327"/>
      <c r="BT4" s="2328" t="s">
        <v>29</v>
      </c>
      <c r="BU4" s="2326"/>
      <c r="BV4" s="2326"/>
      <c r="BW4" s="2326"/>
      <c r="BX4" s="2326"/>
      <c r="BY4" s="2327"/>
      <c r="BZ4" s="2328" t="s">
        <v>29</v>
      </c>
      <c r="CA4" s="2326"/>
      <c r="CB4" s="2326"/>
      <c r="CC4" s="2326"/>
      <c r="CD4" s="2326"/>
      <c r="CE4" s="2327"/>
      <c r="CF4" s="2328" t="s">
        <v>29</v>
      </c>
      <c r="CG4" s="2326"/>
      <c r="CH4" s="2326"/>
      <c r="CI4" s="2326"/>
      <c r="CJ4" s="2326"/>
      <c r="CK4" s="2327"/>
      <c r="CL4" s="2328" t="s">
        <v>29</v>
      </c>
      <c r="CM4" s="2326"/>
      <c r="CN4" s="2326"/>
      <c r="CO4" s="2326"/>
      <c r="CP4" s="2326"/>
      <c r="CQ4" s="2326"/>
      <c r="CR4" s="2329" t="s">
        <v>30</v>
      </c>
      <c r="CS4" s="2329"/>
      <c r="CT4" s="2329"/>
      <c r="CU4" s="2329"/>
      <c r="CV4" s="2329"/>
      <c r="CW4" s="2329"/>
    </row>
    <row r="5" spans="1:256">
      <c r="A5" s="767"/>
      <c r="B5" s="768"/>
      <c r="C5" s="769"/>
      <c r="D5" s="768"/>
      <c r="E5" s="768"/>
      <c r="F5" s="768"/>
      <c r="G5" s="768"/>
      <c r="H5" s="768"/>
      <c r="I5" s="768"/>
      <c r="J5" s="768"/>
      <c r="K5" s="768"/>
      <c r="L5" s="768"/>
      <c r="M5" s="768"/>
      <c r="N5" s="768"/>
      <c r="O5" s="768"/>
      <c r="P5" s="768"/>
      <c r="Q5" s="768"/>
      <c r="R5" s="768"/>
      <c r="S5" s="768"/>
      <c r="T5" s="768"/>
      <c r="U5" s="768"/>
      <c r="V5" s="770"/>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Q5" s="768"/>
      <c r="BR5" s="768"/>
      <c r="BS5" s="768"/>
      <c r="BT5" s="768"/>
      <c r="BU5" s="768"/>
      <c r="BV5" s="768"/>
      <c r="BW5" s="768"/>
      <c r="BX5" s="768"/>
      <c r="BY5" s="768"/>
      <c r="BZ5" s="768"/>
      <c r="CA5" s="768"/>
      <c r="CB5" s="768"/>
      <c r="CC5" s="768"/>
      <c r="CD5" s="768"/>
      <c r="CE5" s="768"/>
      <c r="CF5" s="768"/>
      <c r="CG5" s="768"/>
      <c r="CH5" s="768"/>
      <c r="CI5" s="768"/>
      <c r="CJ5" s="768"/>
      <c r="CK5" s="768"/>
      <c r="CL5" s="768"/>
      <c r="CM5" s="768"/>
      <c r="CN5" s="768"/>
      <c r="CO5" s="768"/>
      <c r="CP5" s="768"/>
      <c r="CQ5" s="768"/>
      <c r="CR5" s="771"/>
      <c r="CS5" s="772"/>
      <c r="CT5" s="772"/>
      <c r="CU5" s="772"/>
      <c r="CV5" s="772"/>
      <c r="CW5" s="773"/>
    </row>
    <row r="6" spans="1:256">
      <c r="A6" s="774"/>
      <c r="B6" s="1968" t="s">
        <v>26</v>
      </c>
      <c r="C6" s="2330"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775"/>
      <c r="X6" s="2333" t="s">
        <v>37</v>
      </c>
      <c r="Y6" s="2332"/>
      <c r="Z6" s="2332"/>
      <c r="AA6" s="2332"/>
      <c r="AB6" s="2332"/>
      <c r="AC6" s="2332"/>
      <c r="AD6" s="2331" t="s">
        <v>38</v>
      </c>
      <c r="AE6" s="2332"/>
      <c r="AF6" s="2332"/>
      <c r="AG6" s="2332"/>
      <c r="AH6" s="2332"/>
      <c r="AI6" s="2332"/>
      <c r="AJ6" s="2331" t="s">
        <v>39</v>
      </c>
      <c r="AK6" s="2332"/>
      <c r="AL6" s="2332"/>
      <c r="AM6" s="2332"/>
      <c r="AN6" s="2332"/>
      <c r="AO6" s="2332"/>
      <c r="AP6" s="2331" t="s">
        <v>40</v>
      </c>
      <c r="AQ6" s="2332"/>
      <c r="AR6" s="2332"/>
      <c r="AS6" s="2332"/>
      <c r="AT6" s="2332"/>
      <c r="AU6" s="2332"/>
      <c r="AV6" s="2331" t="s">
        <v>41</v>
      </c>
      <c r="AW6" s="2332"/>
      <c r="AX6" s="2332"/>
      <c r="AY6" s="2332"/>
      <c r="AZ6" s="2332"/>
      <c r="BA6" s="2332"/>
      <c r="BB6" s="2331" t="s">
        <v>42</v>
      </c>
      <c r="BC6" s="2332"/>
      <c r="BD6" s="2332"/>
      <c r="BE6" s="2332"/>
      <c r="BF6" s="2332"/>
      <c r="BG6" s="2332"/>
      <c r="BH6" s="2331" t="s">
        <v>43</v>
      </c>
      <c r="BI6" s="2332"/>
      <c r="BJ6" s="2332"/>
      <c r="BK6" s="2332"/>
      <c r="BL6" s="2332"/>
      <c r="BM6" s="2332"/>
      <c r="BN6" s="2331" t="s">
        <v>44</v>
      </c>
      <c r="BO6" s="2332"/>
      <c r="BP6" s="2332"/>
      <c r="BQ6" s="2332"/>
      <c r="BR6" s="2332"/>
      <c r="BS6" s="2332"/>
      <c r="BT6" s="2331" t="s">
        <v>45</v>
      </c>
      <c r="BU6" s="2332"/>
      <c r="BV6" s="2332"/>
      <c r="BW6" s="2332"/>
      <c r="BX6" s="2332"/>
      <c r="BY6" s="2332"/>
      <c r="BZ6" s="2331" t="s">
        <v>46</v>
      </c>
      <c r="CA6" s="2332"/>
      <c r="CB6" s="2332"/>
      <c r="CC6" s="2332"/>
      <c r="CD6" s="2332"/>
      <c r="CE6" s="2332"/>
      <c r="CF6" s="2331" t="s">
        <v>47</v>
      </c>
      <c r="CG6" s="2332"/>
      <c r="CH6" s="2332"/>
      <c r="CI6" s="2332"/>
      <c r="CJ6" s="2332"/>
      <c r="CK6" s="2332"/>
      <c r="CL6" s="2331" t="s">
        <v>87</v>
      </c>
      <c r="CM6" s="2332"/>
      <c r="CN6" s="2332"/>
      <c r="CO6" s="2332"/>
      <c r="CP6" s="2332"/>
      <c r="CQ6" s="2337"/>
      <c r="CR6" s="2331" t="s">
        <v>51</v>
      </c>
      <c r="CS6" s="2332"/>
      <c r="CT6" s="2332"/>
      <c r="CU6" s="2332"/>
      <c r="CV6" s="2332"/>
      <c r="CW6" s="2332"/>
      <c r="CX6" s="776"/>
      <c r="CY6" s="776"/>
      <c r="CZ6" s="776"/>
      <c r="DA6" s="776"/>
      <c r="DB6" s="776"/>
      <c r="DC6" s="776"/>
      <c r="DD6" s="776"/>
      <c r="DE6" s="776"/>
      <c r="DF6" s="776"/>
      <c r="DG6" s="776"/>
      <c r="DH6" s="776"/>
      <c r="DI6" s="776"/>
      <c r="DJ6" s="776"/>
      <c r="DK6" s="776"/>
      <c r="DL6" s="776"/>
      <c r="DM6" s="776"/>
      <c r="DN6" s="776"/>
      <c r="DO6" s="776"/>
      <c r="DP6" s="776"/>
      <c r="DQ6" s="776"/>
      <c r="DR6" s="776"/>
      <c r="DS6" s="776"/>
      <c r="DT6" s="776"/>
      <c r="DU6" s="776"/>
      <c r="DV6" s="776"/>
      <c r="DW6" s="776"/>
      <c r="DX6" s="776"/>
      <c r="DY6" s="776"/>
      <c r="DZ6" s="776"/>
      <c r="EA6" s="776"/>
      <c r="EB6" s="776"/>
      <c r="EC6" s="776"/>
      <c r="ED6" s="776"/>
      <c r="EE6" s="776"/>
      <c r="EF6" s="776"/>
      <c r="EG6" s="776"/>
      <c r="EH6" s="776"/>
      <c r="EI6" s="776"/>
      <c r="EJ6" s="776"/>
      <c r="EK6" s="776"/>
      <c r="EL6" s="776"/>
      <c r="EM6" s="776"/>
      <c r="EN6" s="776"/>
      <c r="EO6" s="776"/>
      <c r="EP6" s="776"/>
      <c r="EQ6" s="776"/>
      <c r="ER6" s="776"/>
      <c r="ES6" s="776"/>
      <c r="ET6" s="776"/>
      <c r="EU6" s="776"/>
      <c r="EV6" s="776"/>
      <c r="EW6" s="776"/>
      <c r="EX6" s="776"/>
      <c r="EY6" s="776"/>
      <c r="EZ6" s="776"/>
      <c r="FA6" s="776"/>
      <c r="FB6" s="776"/>
      <c r="FC6" s="776"/>
      <c r="FD6" s="776"/>
      <c r="FE6" s="776"/>
      <c r="FF6" s="776"/>
      <c r="FG6" s="776"/>
      <c r="FH6" s="776"/>
      <c r="FI6" s="776"/>
      <c r="FJ6" s="776"/>
      <c r="FK6" s="776"/>
      <c r="FL6" s="776"/>
      <c r="FM6" s="776"/>
      <c r="FN6" s="776"/>
      <c r="FO6" s="776"/>
      <c r="FP6" s="776"/>
      <c r="FQ6" s="776"/>
      <c r="FR6" s="776"/>
      <c r="FS6" s="776"/>
      <c r="FT6" s="776"/>
      <c r="FU6" s="776"/>
      <c r="FV6" s="776"/>
      <c r="FW6" s="776"/>
      <c r="FX6" s="776"/>
      <c r="FY6" s="776"/>
      <c r="FZ6" s="776"/>
      <c r="GA6" s="776"/>
      <c r="GB6" s="776"/>
      <c r="GC6" s="776"/>
      <c r="GD6" s="776"/>
      <c r="GE6" s="776"/>
      <c r="GF6" s="776"/>
      <c r="GG6" s="776"/>
      <c r="GH6" s="776"/>
      <c r="GI6" s="776"/>
      <c r="GJ6" s="776"/>
      <c r="GK6" s="776"/>
      <c r="GL6" s="776"/>
      <c r="GM6" s="776"/>
      <c r="GN6" s="776"/>
      <c r="GO6" s="776"/>
      <c r="GP6" s="776"/>
      <c r="GQ6" s="776"/>
      <c r="GR6" s="776"/>
      <c r="GS6" s="776"/>
      <c r="GT6" s="776"/>
      <c r="GU6" s="776"/>
      <c r="GV6" s="776"/>
      <c r="GW6" s="776"/>
      <c r="GX6" s="776"/>
      <c r="GY6" s="776"/>
      <c r="GZ6" s="776"/>
      <c r="HA6" s="776"/>
      <c r="HB6" s="776"/>
      <c r="HC6" s="776"/>
      <c r="HD6" s="776"/>
      <c r="HE6" s="776"/>
      <c r="HF6" s="776"/>
      <c r="HG6" s="776"/>
      <c r="HH6" s="776"/>
      <c r="HI6" s="776"/>
      <c r="HJ6" s="776"/>
      <c r="HK6" s="776"/>
      <c r="HL6" s="776"/>
      <c r="HM6" s="776"/>
      <c r="HN6" s="776"/>
      <c r="HO6" s="776"/>
      <c r="HP6" s="776"/>
      <c r="HQ6" s="776"/>
      <c r="HR6" s="776"/>
      <c r="HS6" s="776"/>
      <c r="HT6" s="776"/>
      <c r="HU6" s="776"/>
      <c r="HV6" s="776"/>
      <c r="HW6" s="776"/>
      <c r="HX6" s="776"/>
      <c r="HY6" s="776"/>
      <c r="HZ6" s="776"/>
      <c r="IA6" s="776"/>
      <c r="IB6" s="776"/>
      <c r="IC6" s="776"/>
      <c r="ID6" s="776"/>
      <c r="IE6" s="776"/>
      <c r="IF6" s="776"/>
      <c r="IG6" s="776"/>
      <c r="IH6" s="776"/>
      <c r="II6" s="776"/>
      <c r="IJ6" s="776"/>
      <c r="IK6" s="776"/>
      <c r="IL6" s="776"/>
      <c r="IM6" s="776"/>
      <c r="IN6" s="776"/>
      <c r="IO6" s="776"/>
      <c r="IP6" s="776"/>
      <c r="IQ6" s="776"/>
      <c r="IR6" s="776"/>
      <c r="IS6" s="776"/>
      <c r="IT6" s="776"/>
      <c r="IU6" s="776"/>
      <c r="IV6" s="776"/>
    </row>
    <row r="7" spans="1:256" ht="33.75">
      <c r="A7" s="774"/>
      <c r="B7" s="1968"/>
      <c r="C7" s="2330"/>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777" t="s">
        <v>1546</v>
      </c>
      <c r="X7" s="778" t="s">
        <v>31</v>
      </c>
      <c r="Y7" s="778" t="s">
        <v>32</v>
      </c>
      <c r="Z7" s="779" t="s">
        <v>33</v>
      </c>
      <c r="AA7" s="780" t="s">
        <v>34</v>
      </c>
      <c r="AB7" s="781" t="s">
        <v>35</v>
      </c>
      <c r="AC7" s="782" t="s">
        <v>36</v>
      </c>
      <c r="AD7" s="778" t="s">
        <v>31</v>
      </c>
      <c r="AE7" s="778" t="s">
        <v>32</v>
      </c>
      <c r="AF7" s="779" t="s">
        <v>33</v>
      </c>
      <c r="AG7" s="780" t="s">
        <v>34</v>
      </c>
      <c r="AH7" s="781" t="s">
        <v>35</v>
      </c>
      <c r="AI7" s="782" t="s">
        <v>36</v>
      </c>
      <c r="AJ7" s="778" t="s">
        <v>31</v>
      </c>
      <c r="AK7" s="778" t="s">
        <v>32</v>
      </c>
      <c r="AL7" s="779" t="s">
        <v>33</v>
      </c>
      <c r="AM7" s="780" t="s">
        <v>34</v>
      </c>
      <c r="AN7" s="781" t="s">
        <v>35</v>
      </c>
      <c r="AO7" s="782" t="s">
        <v>36</v>
      </c>
      <c r="AP7" s="778" t="s">
        <v>31</v>
      </c>
      <c r="AQ7" s="778" t="s">
        <v>32</v>
      </c>
      <c r="AR7" s="779" t="s">
        <v>33</v>
      </c>
      <c r="AS7" s="780" t="s">
        <v>34</v>
      </c>
      <c r="AT7" s="781" t="s">
        <v>35</v>
      </c>
      <c r="AU7" s="782" t="s">
        <v>36</v>
      </c>
      <c r="AV7" s="778" t="s">
        <v>31</v>
      </c>
      <c r="AW7" s="778" t="s">
        <v>32</v>
      </c>
      <c r="AX7" s="779" t="s">
        <v>33</v>
      </c>
      <c r="AY7" s="780" t="s">
        <v>34</v>
      </c>
      <c r="AZ7" s="781" t="s">
        <v>35</v>
      </c>
      <c r="BA7" s="782" t="s">
        <v>36</v>
      </c>
      <c r="BB7" s="778" t="s">
        <v>31</v>
      </c>
      <c r="BC7" s="778" t="s">
        <v>32</v>
      </c>
      <c r="BD7" s="779" t="s">
        <v>33</v>
      </c>
      <c r="BE7" s="780" t="s">
        <v>34</v>
      </c>
      <c r="BF7" s="781" t="s">
        <v>35</v>
      </c>
      <c r="BG7" s="782" t="s">
        <v>36</v>
      </c>
      <c r="BH7" s="778" t="s">
        <v>31</v>
      </c>
      <c r="BI7" s="778" t="s">
        <v>32</v>
      </c>
      <c r="BJ7" s="779" t="s">
        <v>33</v>
      </c>
      <c r="BK7" s="780" t="s">
        <v>34</v>
      </c>
      <c r="BL7" s="781" t="s">
        <v>35</v>
      </c>
      <c r="BM7" s="782" t="s">
        <v>36</v>
      </c>
      <c r="BN7" s="778" t="s">
        <v>31</v>
      </c>
      <c r="BO7" s="778" t="s">
        <v>32</v>
      </c>
      <c r="BP7" s="779" t="s">
        <v>33</v>
      </c>
      <c r="BQ7" s="780" t="s">
        <v>34</v>
      </c>
      <c r="BR7" s="781" t="s">
        <v>35</v>
      </c>
      <c r="BS7" s="782" t="s">
        <v>36</v>
      </c>
      <c r="BT7" s="778" t="s">
        <v>31</v>
      </c>
      <c r="BU7" s="778" t="s">
        <v>32</v>
      </c>
      <c r="BV7" s="779" t="s">
        <v>33</v>
      </c>
      <c r="BW7" s="780" t="s">
        <v>34</v>
      </c>
      <c r="BX7" s="781" t="s">
        <v>35</v>
      </c>
      <c r="BY7" s="782" t="s">
        <v>36</v>
      </c>
      <c r="BZ7" s="778" t="s">
        <v>31</v>
      </c>
      <c r="CA7" s="778" t="s">
        <v>32</v>
      </c>
      <c r="CB7" s="779" t="s">
        <v>33</v>
      </c>
      <c r="CC7" s="780" t="s">
        <v>34</v>
      </c>
      <c r="CD7" s="781" t="s">
        <v>35</v>
      </c>
      <c r="CE7" s="782" t="s">
        <v>36</v>
      </c>
      <c r="CF7" s="778" t="s">
        <v>31</v>
      </c>
      <c r="CG7" s="778" t="s">
        <v>32</v>
      </c>
      <c r="CH7" s="779" t="s">
        <v>33</v>
      </c>
      <c r="CI7" s="780" t="s">
        <v>34</v>
      </c>
      <c r="CJ7" s="781" t="s">
        <v>35</v>
      </c>
      <c r="CK7" s="783" t="s">
        <v>36</v>
      </c>
      <c r="CL7" s="784" t="s">
        <v>31</v>
      </c>
      <c r="CM7" s="784" t="s">
        <v>32</v>
      </c>
      <c r="CN7" s="785" t="s">
        <v>33</v>
      </c>
      <c r="CO7" s="784" t="s">
        <v>34</v>
      </c>
      <c r="CP7" s="781" t="s">
        <v>35</v>
      </c>
      <c r="CQ7" s="785" t="s">
        <v>36</v>
      </c>
      <c r="CR7" s="786" t="s">
        <v>31</v>
      </c>
      <c r="CS7" s="784" t="s">
        <v>32</v>
      </c>
      <c r="CT7" s="785" t="s">
        <v>33</v>
      </c>
      <c r="CU7" s="784" t="s">
        <v>34</v>
      </c>
      <c r="CV7" s="781" t="s">
        <v>35</v>
      </c>
      <c r="CW7" s="785" t="s">
        <v>36</v>
      </c>
      <c r="CX7" s="776"/>
      <c r="CY7" s="776"/>
      <c r="CZ7" s="776"/>
      <c r="DA7" s="776"/>
      <c r="DB7" s="776"/>
      <c r="DC7" s="776"/>
      <c r="DD7" s="776"/>
      <c r="DE7" s="776"/>
      <c r="DF7" s="776"/>
      <c r="DG7" s="776"/>
      <c r="DH7" s="776"/>
      <c r="DI7" s="776"/>
      <c r="DJ7" s="776"/>
      <c r="DK7" s="776"/>
      <c r="DL7" s="776"/>
      <c r="DM7" s="776"/>
      <c r="DN7" s="776"/>
      <c r="DO7" s="776"/>
      <c r="DP7" s="776"/>
      <c r="DQ7" s="776"/>
      <c r="DR7" s="776"/>
      <c r="DS7" s="776"/>
      <c r="DT7" s="776"/>
      <c r="DU7" s="776"/>
      <c r="DV7" s="776"/>
      <c r="DW7" s="776"/>
      <c r="DX7" s="776"/>
      <c r="DY7" s="776"/>
      <c r="DZ7" s="776"/>
      <c r="EA7" s="776"/>
      <c r="EB7" s="776"/>
      <c r="EC7" s="776"/>
      <c r="ED7" s="776"/>
      <c r="EE7" s="776"/>
      <c r="EF7" s="776"/>
      <c r="EG7" s="776"/>
      <c r="EH7" s="776"/>
      <c r="EI7" s="776"/>
      <c r="EJ7" s="776"/>
      <c r="EK7" s="776"/>
      <c r="EL7" s="776"/>
      <c r="EM7" s="776"/>
      <c r="EN7" s="776"/>
      <c r="EO7" s="776"/>
      <c r="EP7" s="776"/>
      <c r="EQ7" s="776"/>
      <c r="ER7" s="776"/>
      <c r="ES7" s="776"/>
      <c r="ET7" s="776"/>
      <c r="EU7" s="776"/>
      <c r="EV7" s="776"/>
      <c r="EW7" s="776"/>
      <c r="EX7" s="776"/>
      <c r="EY7" s="776"/>
      <c r="EZ7" s="776"/>
      <c r="FA7" s="776"/>
      <c r="FB7" s="776"/>
      <c r="FC7" s="776"/>
      <c r="FD7" s="776"/>
      <c r="FE7" s="776"/>
      <c r="FF7" s="776"/>
      <c r="FG7" s="776"/>
      <c r="FH7" s="776"/>
      <c r="FI7" s="776"/>
      <c r="FJ7" s="776"/>
      <c r="FK7" s="776"/>
      <c r="FL7" s="776"/>
      <c r="FM7" s="776"/>
      <c r="FN7" s="776"/>
      <c r="FO7" s="776"/>
      <c r="FP7" s="776"/>
      <c r="FQ7" s="776"/>
      <c r="FR7" s="776"/>
      <c r="FS7" s="776"/>
      <c r="FT7" s="776"/>
      <c r="FU7" s="776"/>
      <c r="FV7" s="776"/>
      <c r="FW7" s="776"/>
      <c r="FX7" s="776"/>
      <c r="FY7" s="776"/>
      <c r="FZ7" s="776"/>
      <c r="GA7" s="776"/>
      <c r="GB7" s="776"/>
      <c r="GC7" s="776"/>
      <c r="GD7" s="776"/>
      <c r="GE7" s="776"/>
      <c r="GF7" s="776"/>
      <c r="GG7" s="776"/>
      <c r="GH7" s="776"/>
      <c r="GI7" s="776"/>
      <c r="GJ7" s="776"/>
      <c r="GK7" s="776"/>
      <c r="GL7" s="776"/>
      <c r="GM7" s="776"/>
      <c r="GN7" s="776"/>
      <c r="GO7" s="776"/>
      <c r="GP7" s="776"/>
      <c r="GQ7" s="776"/>
      <c r="GR7" s="776"/>
      <c r="GS7" s="776"/>
      <c r="GT7" s="776"/>
      <c r="GU7" s="776"/>
      <c r="GV7" s="776"/>
      <c r="GW7" s="776"/>
      <c r="GX7" s="776"/>
      <c r="GY7" s="776"/>
      <c r="GZ7" s="776"/>
      <c r="HA7" s="776"/>
      <c r="HB7" s="776"/>
      <c r="HC7" s="776"/>
      <c r="HD7" s="776"/>
      <c r="HE7" s="776"/>
      <c r="HF7" s="776"/>
      <c r="HG7" s="776"/>
      <c r="HH7" s="776"/>
      <c r="HI7" s="776"/>
      <c r="HJ7" s="776"/>
      <c r="HK7" s="776"/>
      <c r="HL7" s="776"/>
      <c r="HM7" s="776"/>
      <c r="HN7" s="776"/>
      <c r="HO7" s="776"/>
      <c r="HP7" s="776"/>
      <c r="HQ7" s="776"/>
      <c r="HR7" s="776"/>
      <c r="HS7" s="776"/>
      <c r="HT7" s="776"/>
      <c r="HU7" s="776"/>
      <c r="HV7" s="776"/>
      <c r="HW7" s="776"/>
      <c r="HX7" s="776"/>
      <c r="HY7" s="776"/>
      <c r="HZ7" s="776"/>
      <c r="IA7" s="776"/>
      <c r="IB7" s="776"/>
      <c r="IC7" s="776"/>
      <c r="ID7" s="776"/>
      <c r="IE7" s="776"/>
      <c r="IF7" s="776"/>
      <c r="IG7" s="776"/>
      <c r="IH7" s="776"/>
      <c r="II7" s="776"/>
      <c r="IJ7" s="776"/>
      <c r="IK7" s="776"/>
      <c r="IL7" s="776"/>
      <c r="IM7" s="776"/>
      <c r="IN7" s="776"/>
      <c r="IO7" s="776"/>
      <c r="IP7" s="776"/>
      <c r="IQ7" s="776"/>
      <c r="IR7" s="776"/>
      <c r="IS7" s="776"/>
      <c r="IT7" s="776"/>
      <c r="IU7" s="776"/>
      <c r="IV7" s="776"/>
    </row>
    <row r="8" spans="1:256" ht="45">
      <c r="A8" s="787"/>
      <c r="B8" s="788" t="s">
        <v>416</v>
      </c>
      <c r="C8" s="722"/>
      <c r="D8" s="789" t="s">
        <v>1547</v>
      </c>
      <c r="E8" s="789" t="s">
        <v>1548</v>
      </c>
      <c r="F8" s="790" t="s">
        <v>1549</v>
      </c>
      <c r="G8" s="790" t="s">
        <v>53</v>
      </c>
      <c r="H8" s="789" t="s">
        <v>1550</v>
      </c>
      <c r="I8" s="790" t="s">
        <v>1551</v>
      </c>
      <c r="J8" s="790" t="s">
        <v>54</v>
      </c>
      <c r="K8" s="791">
        <v>0.57999999999999996</v>
      </c>
      <c r="L8" s="791">
        <v>0.42</v>
      </c>
      <c r="M8" s="791">
        <v>0</v>
      </c>
      <c r="N8" s="791">
        <v>0</v>
      </c>
      <c r="O8" s="791">
        <v>0</v>
      </c>
      <c r="P8" s="792">
        <v>0</v>
      </c>
      <c r="Q8" s="793">
        <v>0</v>
      </c>
      <c r="R8" s="792">
        <v>0</v>
      </c>
      <c r="S8" s="792">
        <v>0</v>
      </c>
      <c r="T8" s="792">
        <v>0</v>
      </c>
      <c r="U8" s="792">
        <v>0</v>
      </c>
      <c r="V8" s="792">
        <v>0</v>
      </c>
      <c r="W8" s="794">
        <v>1</v>
      </c>
      <c r="X8" s="795">
        <v>11</v>
      </c>
      <c r="Y8" s="623">
        <v>11</v>
      </c>
      <c r="Z8" s="796">
        <f>IF(Y8=0," ",X8/Y8)</f>
        <v>1</v>
      </c>
      <c r="AA8" s="797">
        <f>+K8</f>
        <v>0.57999999999999996</v>
      </c>
      <c r="AB8" s="728">
        <v>1</v>
      </c>
      <c r="AC8" s="215" t="s">
        <v>1552</v>
      </c>
      <c r="AD8" s="795">
        <v>8</v>
      </c>
      <c r="AE8" s="623">
        <v>8</v>
      </c>
      <c r="AF8" s="796">
        <f>IF(AE8=0," ",AD8/AE8)</f>
        <v>1</v>
      </c>
      <c r="AG8" s="797">
        <f>+L8</f>
        <v>0.42</v>
      </c>
      <c r="AH8" s="728">
        <v>1</v>
      </c>
      <c r="AI8" s="215" t="s">
        <v>1553</v>
      </c>
      <c r="AJ8" s="795"/>
      <c r="AK8" s="623"/>
      <c r="AL8" s="796" t="str">
        <f t="shared" ref="AL8:AL14" si="0">IF(AK8=0," ",AJ8/AK8)</f>
        <v xml:space="preserve"> </v>
      </c>
      <c r="AM8" s="797"/>
      <c r="AN8" s="24" t="str">
        <f>IF(AK8=0," ",AL8/AM8)</f>
        <v xml:space="preserve"> </v>
      </c>
      <c r="AO8" s="215"/>
      <c r="AP8" s="795"/>
      <c r="AQ8" s="623"/>
      <c r="AR8" s="796" t="str">
        <f>IF(AQ8=0," ",AP8/AQ8)</f>
        <v xml:space="preserve"> </v>
      </c>
      <c r="AS8" s="797"/>
      <c r="AT8" s="24" t="str">
        <f t="shared" ref="AT8:AT13" si="1">IF(AQ8=0," ",AR8/AS8)</f>
        <v xml:space="preserve"> </v>
      </c>
      <c r="AU8" s="215"/>
      <c r="AV8" s="795"/>
      <c r="AW8" s="623"/>
      <c r="AX8" s="796" t="str">
        <f>IF(AW8=0," ",AV8/AW8)</f>
        <v xml:space="preserve"> </v>
      </c>
      <c r="AY8" s="797">
        <f>+O8</f>
        <v>0</v>
      </c>
      <c r="AZ8" s="24" t="str">
        <f>IF(AW8=0," ",AX8/AY8)</f>
        <v xml:space="preserve"> </v>
      </c>
      <c r="BA8" s="215" t="s">
        <v>1554</v>
      </c>
      <c r="BB8" s="795"/>
      <c r="BC8" s="623"/>
      <c r="BD8" s="796" t="str">
        <f>IF(BC8=0," ",BB8/BC8)</f>
        <v xml:space="preserve"> </v>
      </c>
      <c r="BE8" s="797">
        <f>+P8</f>
        <v>0</v>
      </c>
      <c r="BF8" s="728" t="str">
        <f>IF(BC8=0," ",BD8/BE8)</f>
        <v xml:space="preserve"> </v>
      </c>
      <c r="BG8" s="215" t="s">
        <v>1555</v>
      </c>
      <c r="BH8" s="795"/>
      <c r="BI8" s="623"/>
      <c r="BJ8" s="796" t="str">
        <f>IF(BI8=0," ",BH8/BI8)</f>
        <v xml:space="preserve"> </v>
      </c>
      <c r="BK8" s="797"/>
      <c r="BL8" s="728" t="str">
        <f>IF(BI8=0," ",BJ8/BK8)</f>
        <v xml:space="preserve"> </v>
      </c>
      <c r="BM8" s="215" t="s">
        <v>1555</v>
      </c>
      <c r="BN8" s="26"/>
      <c r="BO8" s="21"/>
      <c r="BP8" s="694" t="str">
        <f>IF(BO8=0," ",BN8/BO8)</f>
        <v xml:space="preserve"> </v>
      </c>
      <c r="BQ8" s="23">
        <f>+R8</f>
        <v>0</v>
      </c>
      <c r="BR8" s="24" t="str">
        <f>IF(BO8=0," ",BP8/BQ8)</f>
        <v xml:space="preserve"> </v>
      </c>
      <c r="BS8" s="215" t="s">
        <v>1555</v>
      </c>
      <c r="BT8" s="795">
        <v>0</v>
      </c>
      <c r="BU8" s="623">
        <f>+S8</f>
        <v>0</v>
      </c>
      <c r="BV8" s="694" t="str">
        <f t="shared" ref="BV8:BV14" si="2">IF(BU8=0," ",BT8/BU8)</f>
        <v xml:space="preserve"> </v>
      </c>
      <c r="BW8" s="23">
        <f>+S8</f>
        <v>0</v>
      </c>
      <c r="BX8" s="24" t="s">
        <v>1556</v>
      </c>
      <c r="BY8" s="215" t="s">
        <v>1555</v>
      </c>
      <c r="BZ8" s="795">
        <v>0</v>
      </c>
      <c r="CA8" s="623">
        <v>0</v>
      </c>
      <c r="CB8" s="796" t="str">
        <f>IF(CA8=0," ",BZ8/CA8)</f>
        <v xml:space="preserve"> </v>
      </c>
      <c r="CC8" s="797">
        <v>0</v>
      </c>
      <c r="CD8" s="798">
        <v>0</v>
      </c>
      <c r="CE8" s="215" t="s">
        <v>1555</v>
      </c>
      <c r="CF8" s="795">
        <v>0</v>
      </c>
      <c r="CG8" s="623">
        <v>0</v>
      </c>
      <c r="CH8" s="796" t="str">
        <f>IF(CG8=0," ",CF8/CG8)</f>
        <v xml:space="preserve"> </v>
      </c>
      <c r="CI8" s="797">
        <v>0</v>
      </c>
      <c r="CJ8" s="798">
        <v>0</v>
      </c>
      <c r="CK8" s="799" t="s">
        <v>1555</v>
      </c>
      <c r="CL8" s="623"/>
      <c r="CM8" s="623"/>
      <c r="CN8" s="796" t="str">
        <f>IF(CM8=0," ",CL8/CM8)</f>
        <v xml:space="preserve"> </v>
      </c>
      <c r="CO8" s="728"/>
      <c r="CP8" s="728" t="str">
        <f>IF(CM8=0," ",CN8/CO8)</f>
        <v xml:space="preserve"> </v>
      </c>
      <c r="CQ8" s="215" t="s">
        <v>1557</v>
      </c>
      <c r="CR8" s="795">
        <f>+X8+AD8+AJ8+AP8+AV8+BB8+BH8+BN8+BT8</f>
        <v>19</v>
      </c>
      <c r="CS8" s="623">
        <f>+Y8+AE8+AK8+AQ8+AW8+BC8+BI8+BO8+BU8</f>
        <v>19</v>
      </c>
      <c r="CT8" s="796">
        <f>IF(CS8=0," ",CR8/CS8)</f>
        <v>1</v>
      </c>
      <c r="CU8" s="728">
        <f>+K8+L8+M8+N8+O8+P8+Q8+R8+S8+T8+U8+V8</f>
        <v>1</v>
      </c>
      <c r="CV8" s="728">
        <f>IF(CS8=0," ",CT8/CU8)</f>
        <v>1</v>
      </c>
      <c r="CW8" s="215" t="s">
        <v>1558</v>
      </c>
      <c r="CX8" s="800">
        <v>1</v>
      </c>
    </row>
    <row r="9" spans="1:256" ht="45">
      <c r="A9" s="787"/>
      <c r="B9" s="788" t="s">
        <v>416</v>
      </c>
      <c r="C9" s="801"/>
      <c r="D9" s="801" t="s">
        <v>1559</v>
      </c>
      <c r="E9" s="801" t="s">
        <v>472</v>
      </c>
      <c r="F9" s="801" t="s">
        <v>1560</v>
      </c>
      <c r="G9" s="801" t="s">
        <v>53</v>
      </c>
      <c r="H9" s="801" t="s">
        <v>1561</v>
      </c>
      <c r="I9" s="802" t="s">
        <v>1562</v>
      </c>
      <c r="J9" s="790" t="s">
        <v>54</v>
      </c>
      <c r="K9" s="791">
        <v>0</v>
      </c>
      <c r="L9" s="791">
        <v>0.26</v>
      </c>
      <c r="M9" s="791">
        <v>0.21</v>
      </c>
      <c r="N9" s="791">
        <v>0.11</v>
      </c>
      <c r="O9" s="791">
        <v>0</v>
      </c>
      <c r="P9" s="792">
        <v>0</v>
      </c>
      <c r="Q9" s="793">
        <v>0.03</v>
      </c>
      <c r="R9" s="792">
        <v>0.08</v>
      </c>
      <c r="S9" s="792">
        <v>0.05</v>
      </c>
      <c r="T9" s="792">
        <v>0.16</v>
      </c>
      <c r="U9" s="792">
        <v>0.05</v>
      </c>
      <c r="V9" s="792">
        <v>0.05</v>
      </c>
      <c r="W9" s="794">
        <v>1</v>
      </c>
      <c r="X9" s="795"/>
      <c r="Y9" s="623"/>
      <c r="Z9" s="796" t="str">
        <f t="shared" ref="Z9:Z14" si="3">IF(Y9=0," ",X9/Y9)</f>
        <v xml:space="preserve"> </v>
      </c>
      <c r="AA9" s="797"/>
      <c r="AB9" s="24" t="str">
        <f>IF(Y9=0," ",Z9/AA9)</f>
        <v xml:space="preserve"> </v>
      </c>
      <c r="AC9" s="215" t="s">
        <v>1555</v>
      </c>
      <c r="AD9" s="795">
        <v>10</v>
      </c>
      <c r="AE9" s="623">
        <v>10</v>
      </c>
      <c r="AF9" s="796">
        <f t="shared" ref="AF9:AF14" si="4">IF(AE9=0," ",AD9/AE9)</f>
        <v>1</v>
      </c>
      <c r="AG9" s="797">
        <f>+L9</f>
        <v>0.26</v>
      </c>
      <c r="AH9" s="24">
        <v>1</v>
      </c>
      <c r="AI9" s="215" t="s">
        <v>1563</v>
      </c>
      <c r="AJ9" s="795">
        <v>2</v>
      </c>
      <c r="AK9" s="623">
        <v>8</v>
      </c>
      <c r="AL9" s="796">
        <f t="shared" si="0"/>
        <v>0.25</v>
      </c>
      <c r="AM9" s="797">
        <f>+M9</f>
        <v>0.21</v>
      </c>
      <c r="AN9" s="24">
        <v>0.25</v>
      </c>
      <c r="AO9" s="215" t="s">
        <v>1564</v>
      </c>
      <c r="AP9" s="795">
        <v>1</v>
      </c>
      <c r="AQ9" s="623">
        <v>4</v>
      </c>
      <c r="AR9" s="796">
        <f t="shared" ref="AR9:AR14" si="5">IF(AQ9=0," ",AP9/AQ9)</f>
        <v>0.25</v>
      </c>
      <c r="AS9" s="797">
        <f>+N9</f>
        <v>0.11</v>
      </c>
      <c r="AT9" s="24">
        <v>0.25</v>
      </c>
      <c r="AU9" s="215" t="s">
        <v>1565</v>
      </c>
      <c r="AV9" s="795"/>
      <c r="AW9" s="623"/>
      <c r="AX9" s="796" t="str">
        <f>IF(AW9=0," ",AV9/AW9)</f>
        <v xml:space="preserve"> </v>
      </c>
      <c r="AY9" s="797">
        <f>+O9</f>
        <v>0</v>
      </c>
      <c r="AZ9" s="24" t="str">
        <f>IF(AW9=0," ",AX9/AY9)</f>
        <v xml:space="preserve"> </v>
      </c>
      <c r="BA9" s="215" t="s">
        <v>1554</v>
      </c>
      <c r="BB9" s="795">
        <v>6</v>
      </c>
      <c r="BC9" s="623">
        <v>0</v>
      </c>
      <c r="BD9" s="796" t="str">
        <f t="shared" ref="BD9:BD14" si="6">IF(BC9=0," ",BB9/BC9)</f>
        <v xml:space="preserve"> </v>
      </c>
      <c r="BE9" s="797">
        <f>+P9</f>
        <v>0</v>
      </c>
      <c r="BF9" s="728" t="str">
        <f>IF(BC9=0," ",BD9/BE9)</f>
        <v xml:space="preserve"> </v>
      </c>
      <c r="BG9" s="215" t="s">
        <v>1566</v>
      </c>
      <c r="BH9" s="795">
        <v>3</v>
      </c>
      <c r="BI9" s="623">
        <v>1</v>
      </c>
      <c r="BJ9" s="796">
        <v>1</v>
      </c>
      <c r="BK9" s="797">
        <f>+Q9</f>
        <v>0.03</v>
      </c>
      <c r="BL9" s="728">
        <v>1</v>
      </c>
      <c r="BM9" s="215" t="s">
        <v>1567</v>
      </c>
      <c r="BN9" s="795">
        <v>1</v>
      </c>
      <c r="BO9" s="623">
        <v>3</v>
      </c>
      <c r="BP9" s="694">
        <v>2.5999999999999999E-2</v>
      </c>
      <c r="BQ9" s="23">
        <f>+R9</f>
        <v>0.08</v>
      </c>
      <c r="BR9" s="24">
        <f t="shared" ref="BR9:BR14" si="7">IF(BO9=0," ",BP9/BQ9)</f>
        <v>0.32499999999999996</v>
      </c>
      <c r="BS9" s="215" t="s">
        <v>1568</v>
      </c>
      <c r="BT9" s="795">
        <v>0</v>
      </c>
      <c r="BU9" s="623">
        <v>2</v>
      </c>
      <c r="BV9" s="694">
        <f t="shared" si="2"/>
        <v>0</v>
      </c>
      <c r="BW9" s="23">
        <f t="shared" ref="BW9:BW23" si="8">+S9</f>
        <v>0.05</v>
      </c>
      <c r="BX9" s="24">
        <f>IF(BU9=0," ",BV9/BW9)</f>
        <v>0</v>
      </c>
      <c r="BY9" s="215" t="s">
        <v>1569</v>
      </c>
      <c r="BZ9" s="795">
        <v>6</v>
      </c>
      <c r="CA9" s="623">
        <v>6</v>
      </c>
      <c r="CB9" s="796">
        <f>IF(CA9=0," ",BZ9/CA9)</f>
        <v>1</v>
      </c>
      <c r="CC9" s="797">
        <v>0.16</v>
      </c>
      <c r="CD9" s="798">
        <v>1</v>
      </c>
      <c r="CE9" s="215" t="s">
        <v>1570</v>
      </c>
      <c r="CF9" s="795">
        <v>2</v>
      </c>
      <c r="CG9" s="623">
        <v>2</v>
      </c>
      <c r="CH9" s="796">
        <v>0.05</v>
      </c>
      <c r="CI9" s="797">
        <v>0.05</v>
      </c>
      <c r="CJ9" s="728">
        <v>1</v>
      </c>
      <c r="CK9" s="799" t="s">
        <v>1571</v>
      </c>
      <c r="CL9" s="623">
        <v>5</v>
      </c>
      <c r="CM9" s="623">
        <v>2</v>
      </c>
      <c r="CN9" s="796">
        <v>0.13</v>
      </c>
      <c r="CO9" s="728">
        <f>+V9</f>
        <v>0.05</v>
      </c>
      <c r="CP9" s="728">
        <v>1</v>
      </c>
      <c r="CQ9" s="215" t="s">
        <v>1572</v>
      </c>
      <c r="CR9" s="795">
        <f>+X9+AD9+AJ9+AP9+AV9+BB9+BH9+BN9+BT9+BZ9+CF9+CL9</f>
        <v>36</v>
      </c>
      <c r="CS9" s="623">
        <f>+Y9+AE9+AK9+AQ9+AW9+BC9+BI9+BO9+BU9+CA9+CG9+CM9</f>
        <v>38</v>
      </c>
      <c r="CT9" s="796">
        <f t="shared" ref="CT9:CT16" si="9">IF(CS9=0," ",CR9/CS9)</f>
        <v>0.94736842105263153</v>
      </c>
      <c r="CU9" s="728">
        <f>+K9+L9+M9+N9+O9+P9+Q9+R9+S9+T9+U9+V9</f>
        <v>1</v>
      </c>
      <c r="CV9" s="728">
        <f t="shared" ref="CV9:CV17" si="10">IF(CS9=0," ",CT9/CU9)</f>
        <v>0.94736842105263153</v>
      </c>
      <c r="CW9" s="215" t="s">
        <v>1573</v>
      </c>
      <c r="CX9" s="800">
        <v>0.95</v>
      </c>
    </row>
    <row r="10" spans="1:256" ht="180">
      <c r="A10" s="787"/>
      <c r="B10" s="788" t="s">
        <v>416</v>
      </c>
      <c r="C10" s="801"/>
      <c r="D10" s="801" t="s">
        <v>1574</v>
      </c>
      <c r="E10" s="801" t="s">
        <v>508</v>
      </c>
      <c r="F10" s="801" t="s">
        <v>1575</v>
      </c>
      <c r="G10" s="801" t="s">
        <v>352</v>
      </c>
      <c r="H10" s="801" t="s">
        <v>1576</v>
      </c>
      <c r="I10" s="802" t="s">
        <v>1577</v>
      </c>
      <c r="J10" s="789" t="s">
        <v>54</v>
      </c>
      <c r="K10" s="791">
        <v>0</v>
      </c>
      <c r="L10" s="791">
        <v>0</v>
      </c>
      <c r="M10" s="791">
        <v>0.28000000000000003</v>
      </c>
      <c r="N10" s="791">
        <v>0</v>
      </c>
      <c r="O10" s="791">
        <v>7.0000000000000007E-2</v>
      </c>
      <c r="P10" s="792">
        <v>0.1</v>
      </c>
      <c r="Q10" s="793">
        <v>0.14000000000000001</v>
      </c>
      <c r="R10" s="792">
        <v>0</v>
      </c>
      <c r="S10" s="792">
        <v>0.24</v>
      </c>
      <c r="T10" s="792">
        <v>0</v>
      </c>
      <c r="U10" s="792">
        <v>0</v>
      </c>
      <c r="V10" s="792">
        <v>0.17</v>
      </c>
      <c r="W10" s="794">
        <v>1</v>
      </c>
      <c r="X10" s="795"/>
      <c r="Y10" s="623"/>
      <c r="Z10" s="796" t="str">
        <f t="shared" si="3"/>
        <v xml:space="preserve"> </v>
      </c>
      <c r="AA10" s="797"/>
      <c r="AB10" s="24" t="str">
        <f>IF(Y10=0," ",Z10/AA10)</f>
        <v xml:space="preserve"> </v>
      </c>
      <c r="AC10" s="215" t="s">
        <v>1555</v>
      </c>
      <c r="AD10" s="795"/>
      <c r="AE10" s="623"/>
      <c r="AF10" s="796" t="str">
        <f t="shared" si="4"/>
        <v xml:space="preserve"> </v>
      </c>
      <c r="AG10" s="797"/>
      <c r="AH10" s="24" t="str">
        <f t="shared" ref="AH10:AH22" si="11">IF(AE10=0," ",AF10/AG10)</f>
        <v xml:space="preserve"> </v>
      </c>
      <c r="AI10" s="215" t="s">
        <v>1555</v>
      </c>
      <c r="AJ10" s="795">
        <v>0</v>
      </c>
      <c r="AK10" s="623">
        <v>8</v>
      </c>
      <c r="AL10" s="796">
        <f t="shared" si="0"/>
        <v>0</v>
      </c>
      <c r="AM10" s="797">
        <f>+M10</f>
        <v>0.28000000000000003</v>
      </c>
      <c r="AN10" s="24">
        <f>IF(AK10=0," ",AL10/AM10)</f>
        <v>0</v>
      </c>
      <c r="AO10" s="215" t="s">
        <v>1578</v>
      </c>
      <c r="AP10" s="795">
        <v>1</v>
      </c>
      <c r="AQ10" s="623">
        <v>0</v>
      </c>
      <c r="AR10" s="796" t="str">
        <f t="shared" si="5"/>
        <v xml:space="preserve"> </v>
      </c>
      <c r="AS10" s="797">
        <f>+N10</f>
        <v>0</v>
      </c>
      <c r="AT10" s="24" t="str">
        <f t="shared" si="1"/>
        <v xml:space="preserve"> </v>
      </c>
      <c r="AU10" s="215" t="s">
        <v>1579</v>
      </c>
      <c r="AV10" s="795">
        <v>1</v>
      </c>
      <c r="AW10" s="623">
        <v>2</v>
      </c>
      <c r="AX10" s="796">
        <f>IF(AW10=0," ",AV10/AW10)</f>
        <v>0.5</v>
      </c>
      <c r="AY10" s="803">
        <f>+O10</f>
        <v>7.0000000000000007E-2</v>
      </c>
      <c r="AZ10" s="24">
        <v>0.5</v>
      </c>
      <c r="BA10" s="215" t="s">
        <v>1580</v>
      </c>
      <c r="BB10" s="795">
        <v>2</v>
      </c>
      <c r="BC10" s="623">
        <v>3</v>
      </c>
      <c r="BD10" s="796">
        <f t="shared" si="6"/>
        <v>0.66666666666666663</v>
      </c>
      <c r="BE10" s="797">
        <f>+P10</f>
        <v>0.1</v>
      </c>
      <c r="BF10" s="728">
        <v>0.67</v>
      </c>
      <c r="BG10" s="65" t="s">
        <v>1581</v>
      </c>
      <c r="BH10" s="795">
        <v>2</v>
      </c>
      <c r="BI10" s="623">
        <v>4</v>
      </c>
      <c r="BJ10" s="796">
        <f>IF(BI10=0," ",BH10/BI10)</f>
        <v>0.5</v>
      </c>
      <c r="BK10" s="797">
        <f>+Q10</f>
        <v>0.14000000000000001</v>
      </c>
      <c r="BL10" s="728">
        <v>0.5</v>
      </c>
      <c r="BM10" s="215" t="s">
        <v>1582</v>
      </c>
      <c r="BN10" s="795"/>
      <c r="BO10" s="623"/>
      <c r="BP10" s="694" t="str">
        <f>IF(BO10=0," ",BN10/BO10)</f>
        <v xml:space="preserve"> </v>
      </c>
      <c r="BQ10" s="23">
        <f>+R10</f>
        <v>0</v>
      </c>
      <c r="BR10" s="24" t="str">
        <f t="shared" si="7"/>
        <v xml:space="preserve"> </v>
      </c>
      <c r="BS10" s="215" t="s">
        <v>1555</v>
      </c>
      <c r="BT10" s="795">
        <v>0</v>
      </c>
      <c r="BU10" s="623">
        <v>7</v>
      </c>
      <c r="BV10" s="694">
        <f t="shared" si="2"/>
        <v>0</v>
      </c>
      <c r="BW10" s="23">
        <f t="shared" si="8"/>
        <v>0.24</v>
      </c>
      <c r="BX10" s="24">
        <f>IF(BU10=0," ",BV10/BW10)</f>
        <v>0</v>
      </c>
      <c r="BY10" s="215" t="s">
        <v>1583</v>
      </c>
      <c r="BZ10" s="795">
        <v>1</v>
      </c>
      <c r="CA10" s="623">
        <v>0</v>
      </c>
      <c r="CB10" s="694">
        <v>0</v>
      </c>
      <c r="CC10" s="23">
        <f>+T10</f>
        <v>0</v>
      </c>
      <c r="CD10" s="24">
        <v>0</v>
      </c>
      <c r="CE10" s="215" t="s">
        <v>1584</v>
      </c>
      <c r="CF10" s="795">
        <v>2</v>
      </c>
      <c r="CG10" s="623">
        <v>0</v>
      </c>
      <c r="CH10" s="796">
        <v>6.8900000000000003E-2</v>
      </c>
      <c r="CI10" s="797">
        <v>0</v>
      </c>
      <c r="CJ10" s="728">
        <v>1</v>
      </c>
      <c r="CK10" s="799" t="s">
        <v>1585</v>
      </c>
      <c r="CL10" s="623">
        <v>8</v>
      </c>
      <c r="CM10" s="623">
        <v>5</v>
      </c>
      <c r="CN10" s="796">
        <v>0.28000000000000003</v>
      </c>
      <c r="CO10" s="728">
        <v>0.17</v>
      </c>
      <c r="CP10" s="728">
        <v>1</v>
      </c>
      <c r="CQ10" s="215" t="s">
        <v>1586</v>
      </c>
      <c r="CR10" s="795">
        <f>+X10+AD10+AJ10+AP10+AV10+BB10+BH10+BN10+BT10+BZ10+CF10+CL10</f>
        <v>17</v>
      </c>
      <c r="CS10" s="623">
        <f>+Y10+AE10+AK10+AQ10+AW10+BC10+BI10+BO10+BU10+CG10+CM10</f>
        <v>29</v>
      </c>
      <c r="CT10" s="796">
        <f t="shared" si="9"/>
        <v>0.58620689655172409</v>
      </c>
      <c r="CU10" s="728">
        <f>+K10+L10+M10+N10+O10+P10+Q10+R10+S10+T10+U10+V10</f>
        <v>1</v>
      </c>
      <c r="CV10" s="728">
        <f t="shared" si="10"/>
        <v>0.58620689655172409</v>
      </c>
      <c r="CW10" s="215" t="s">
        <v>1587</v>
      </c>
      <c r="CX10" s="804">
        <v>0.59</v>
      </c>
    </row>
    <row r="11" spans="1:256" ht="168.75">
      <c r="A11" s="787"/>
      <c r="B11" s="788" t="s">
        <v>416</v>
      </c>
      <c r="C11" s="722"/>
      <c r="D11" s="789" t="s">
        <v>1588</v>
      </c>
      <c r="E11" s="789" t="s">
        <v>1589</v>
      </c>
      <c r="F11" s="790" t="s">
        <v>1590</v>
      </c>
      <c r="G11" s="790" t="s">
        <v>53</v>
      </c>
      <c r="H11" s="789" t="s">
        <v>1589</v>
      </c>
      <c r="I11" s="790" t="s">
        <v>1591</v>
      </c>
      <c r="J11" s="790" t="s">
        <v>1592</v>
      </c>
      <c r="K11" s="805">
        <v>28.35999142857143</v>
      </c>
      <c r="L11" s="805">
        <v>15.188189687074832</v>
      </c>
      <c r="M11" s="805">
        <v>3.6981625442176869</v>
      </c>
      <c r="N11" s="805">
        <v>12.110785944789118</v>
      </c>
      <c r="O11" s="805">
        <v>11.047784191265309</v>
      </c>
      <c r="P11" s="805">
        <v>11.642128961551022</v>
      </c>
      <c r="Q11" s="805">
        <v>14.30112774086531</v>
      </c>
      <c r="R11" s="805">
        <v>14.81080779686531</v>
      </c>
      <c r="S11" s="806">
        <v>26.466794214628571</v>
      </c>
      <c r="T11" s="807">
        <v>24.113745076914284</v>
      </c>
      <c r="U11" s="807">
        <v>11.153217758057142</v>
      </c>
      <c r="V11" s="807">
        <v>10.876074900914286</v>
      </c>
      <c r="W11" s="808">
        <f>SUM(K11:V11)</f>
        <v>183.76881024571429</v>
      </c>
      <c r="X11" s="809">
        <v>28.67999142857143</v>
      </c>
      <c r="Y11" s="810">
        <f>+K11</f>
        <v>28.35999142857143</v>
      </c>
      <c r="Z11" s="796">
        <v>1</v>
      </c>
      <c r="AA11" s="803">
        <v>0.18990000000000001</v>
      </c>
      <c r="AB11" s="24">
        <v>1</v>
      </c>
      <c r="AC11" s="25" t="s">
        <v>1593</v>
      </c>
      <c r="AD11" s="26">
        <v>14.914565714285715</v>
      </c>
      <c r="AE11" s="810">
        <f>+L11</f>
        <v>15.188189687074832</v>
      </c>
      <c r="AF11" s="796">
        <f t="shared" si="4"/>
        <v>0.98198442484412929</v>
      </c>
      <c r="AG11" s="803">
        <v>0.1017</v>
      </c>
      <c r="AH11" s="24">
        <v>0.98</v>
      </c>
      <c r="AI11" s="65" t="s">
        <v>1594</v>
      </c>
      <c r="AJ11" s="26">
        <v>6.8883942857142859</v>
      </c>
      <c r="AK11" s="810">
        <f>+M11</f>
        <v>3.6981625442176869</v>
      </c>
      <c r="AL11" s="796">
        <v>1</v>
      </c>
      <c r="AM11" s="803">
        <v>2.4799999999999999E-2</v>
      </c>
      <c r="AN11" s="24">
        <v>1</v>
      </c>
      <c r="AO11" s="215" t="s">
        <v>1595</v>
      </c>
      <c r="AP11" s="795">
        <v>10.786088571428571</v>
      </c>
      <c r="AQ11" s="810">
        <f>+N11</f>
        <v>12.110785944789118</v>
      </c>
      <c r="AR11" s="796">
        <f t="shared" si="5"/>
        <v>0.89061838105308755</v>
      </c>
      <c r="AS11" s="803">
        <v>8.1100000000000005E-2</v>
      </c>
      <c r="AT11" s="24">
        <v>0.89</v>
      </c>
      <c r="AU11" s="25" t="s">
        <v>1596</v>
      </c>
      <c r="AV11" s="809">
        <v>19.36</v>
      </c>
      <c r="AW11" s="623">
        <f>+O11</f>
        <v>11.047784191265309</v>
      </c>
      <c r="AX11" s="796">
        <v>1</v>
      </c>
      <c r="AY11" s="803">
        <v>7.3999999999999996E-2</v>
      </c>
      <c r="AZ11" s="24">
        <v>1</v>
      </c>
      <c r="BA11" s="215" t="s">
        <v>1597</v>
      </c>
      <c r="BB11" s="795">
        <v>60.629999999999995</v>
      </c>
      <c r="BC11" s="623">
        <f>+P11</f>
        <v>11.642128961551022</v>
      </c>
      <c r="BD11" s="796">
        <v>1</v>
      </c>
      <c r="BE11" s="811">
        <v>7.8E-2</v>
      </c>
      <c r="BF11" s="728">
        <v>1</v>
      </c>
      <c r="BG11" s="32" t="s">
        <v>1593</v>
      </c>
      <c r="BH11" s="26">
        <v>38.896002857142854</v>
      </c>
      <c r="BI11" s="623">
        <f>+Q11</f>
        <v>14.30112774086531</v>
      </c>
      <c r="BJ11" s="796">
        <v>1</v>
      </c>
      <c r="BK11" s="797">
        <v>9.5799999999999996E-2</v>
      </c>
      <c r="BL11" s="728">
        <v>1</v>
      </c>
      <c r="BM11" s="32" t="s">
        <v>1598</v>
      </c>
      <c r="BN11" s="795">
        <v>54.977600000000002</v>
      </c>
      <c r="BO11" s="623">
        <f>+R11</f>
        <v>14.81080779686531</v>
      </c>
      <c r="BP11" s="694">
        <v>1</v>
      </c>
      <c r="BQ11" s="23">
        <v>9.9199999999999997E-2</v>
      </c>
      <c r="BR11" s="24">
        <v>1</v>
      </c>
      <c r="BS11" s="32" t="s">
        <v>1599</v>
      </c>
      <c r="BT11" s="26">
        <v>19</v>
      </c>
      <c r="BU11" s="21">
        <f>+S11</f>
        <v>26.466794214628571</v>
      </c>
      <c r="BV11" s="694">
        <f t="shared" si="2"/>
        <v>0.71788067137720935</v>
      </c>
      <c r="BW11" s="812">
        <v>9.3100000000000002E-2</v>
      </c>
      <c r="BX11" s="24">
        <v>1</v>
      </c>
      <c r="BY11" s="215" t="s">
        <v>1600</v>
      </c>
      <c r="BZ11" s="26">
        <v>37.299999999999997</v>
      </c>
      <c r="CA11" s="653">
        <v>24.11</v>
      </c>
      <c r="CB11" s="694">
        <v>1</v>
      </c>
      <c r="CC11" s="23">
        <v>0.13159999999999999</v>
      </c>
      <c r="CD11" s="24">
        <v>1</v>
      </c>
      <c r="CE11" s="813" t="s">
        <v>1601</v>
      </c>
      <c r="CF11" s="795">
        <v>9</v>
      </c>
      <c r="CG11" s="623">
        <v>11.15</v>
      </c>
      <c r="CH11" s="796">
        <v>4.9000000000000002E-2</v>
      </c>
      <c r="CI11" s="797">
        <v>0.06</v>
      </c>
      <c r="CJ11" s="728">
        <f>IF(CG11=0," ",CH11/CI11)</f>
        <v>0.81666666666666676</v>
      </c>
      <c r="CK11" s="799" t="s">
        <v>1602</v>
      </c>
      <c r="CL11" s="26">
        <v>21</v>
      </c>
      <c r="CM11" s="21">
        <f>+V11</f>
        <v>10.876074900914286</v>
      </c>
      <c r="CN11" s="796">
        <v>0.11</v>
      </c>
      <c r="CO11" s="728">
        <v>0.06</v>
      </c>
      <c r="CP11" s="728">
        <v>1</v>
      </c>
      <c r="CQ11" s="215" t="s">
        <v>1603</v>
      </c>
      <c r="CR11" s="814">
        <f>+X11+AD11+AJ11+AP11+AV11+BB11+BH11+BN11+BT11+BZ11+CF11+CL11</f>
        <v>321.43264285714287</v>
      </c>
      <c r="CS11" s="117">
        <f>+Y11+AE11+AK11+AQ11+AW11+BC11+BI11+BO11+BU11+CA11+CG11+CM11</f>
        <v>183.76184741074286</v>
      </c>
      <c r="CT11" s="796">
        <v>1</v>
      </c>
      <c r="CU11" s="117">
        <f>SUM(K11:V11)</f>
        <v>183.76881024571429</v>
      </c>
      <c r="CV11" s="728">
        <v>1</v>
      </c>
      <c r="CW11" s="215" t="s">
        <v>1604</v>
      </c>
      <c r="CX11" s="210">
        <v>100</v>
      </c>
    </row>
    <row r="12" spans="1:256" ht="213.75">
      <c r="A12" s="787"/>
      <c r="B12" s="815" t="s">
        <v>416</v>
      </c>
      <c r="C12" s="722"/>
      <c r="D12" s="789" t="s">
        <v>1605</v>
      </c>
      <c r="E12" s="789" t="s">
        <v>1606</v>
      </c>
      <c r="F12" s="790" t="s">
        <v>1607</v>
      </c>
      <c r="G12" s="790" t="s">
        <v>53</v>
      </c>
      <c r="H12" s="789" t="s">
        <v>1606</v>
      </c>
      <c r="I12" s="790" t="s">
        <v>1591</v>
      </c>
      <c r="J12" s="790" t="s">
        <v>1608</v>
      </c>
      <c r="K12" s="805">
        <v>7113.19</v>
      </c>
      <c r="L12" s="805">
        <v>7203.19</v>
      </c>
      <c r="M12" s="805">
        <v>6897.12</v>
      </c>
      <c r="N12" s="805">
        <v>3138.14</v>
      </c>
      <c r="O12" s="805">
        <v>9313.14</v>
      </c>
      <c r="P12" s="805">
        <v>8053.9699999999993</v>
      </c>
      <c r="Q12" s="805">
        <v>9731.9699999999993</v>
      </c>
      <c r="R12" s="805">
        <v>8892.9699999999993</v>
      </c>
      <c r="S12" s="816">
        <v>1648</v>
      </c>
      <c r="T12" s="816">
        <v>1648</v>
      </c>
      <c r="U12" s="816">
        <v>0</v>
      </c>
      <c r="V12" s="816">
        <v>0</v>
      </c>
      <c r="W12" s="808">
        <f>SUM(K12:V12)</f>
        <v>63639.69</v>
      </c>
      <c r="X12" s="809">
        <v>3858.97</v>
      </c>
      <c r="Y12" s="623">
        <f>+K12</f>
        <v>7113.19</v>
      </c>
      <c r="Z12" s="796">
        <f t="shared" si="3"/>
        <v>0.54250905711783326</v>
      </c>
      <c r="AA12" s="803">
        <v>0.1011</v>
      </c>
      <c r="AB12" s="24">
        <v>0.54</v>
      </c>
      <c r="AC12" s="25" t="s">
        <v>1609</v>
      </c>
      <c r="AD12" s="26">
        <v>3858.97</v>
      </c>
      <c r="AE12" s="623">
        <f>+L12</f>
        <v>7203.19</v>
      </c>
      <c r="AF12" s="796">
        <f t="shared" si="4"/>
        <v>0.5357306970939264</v>
      </c>
      <c r="AG12" s="803">
        <v>0.1024</v>
      </c>
      <c r="AH12" s="24">
        <v>0.54</v>
      </c>
      <c r="AI12" s="65" t="s">
        <v>1610</v>
      </c>
      <c r="AJ12" s="26">
        <v>4279.12</v>
      </c>
      <c r="AK12" s="623">
        <f>+M12</f>
        <v>6897.12</v>
      </c>
      <c r="AL12" s="796">
        <f t="shared" si="0"/>
        <v>0.62042127728675156</v>
      </c>
      <c r="AM12" s="803">
        <v>9.8000000000000004E-2</v>
      </c>
      <c r="AN12" s="24">
        <v>0.62</v>
      </c>
      <c r="AO12" s="215" t="s">
        <v>1611</v>
      </c>
      <c r="AP12" s="795">
        <v>14096.882</v>
      </c>
      <c r="AQ12" s="623">
        <f>+N12</f>
        <v>3138.14</v>
      </c>
      <c r="AR12" s="796">
        <v>1</v>
      </c>
      <c r="AS12" s="803">
        <v>4.4600000000000001E-2</v>
      </c>
      <c r="AT12" s="24">
        <v>1</v>
      </c>
      <c r="AU12" s="25" t="s">
        <v>1612</v>
      </c>
      <c r="AV12" s="809">
        <v>4739.16</v>
      </c>
      <c r="AW12" s="623">
        <f>+O12</f>
        <v>9313.14</v>
      </c>
      <c r="AX12" s="796">
        <f>IF(AW12=0," ",AV12/AW12)</f>
        <v>0.50886811537247378</v>
      </c>
      <c r="AY12" s="803">
        <v>0.13239999999999999</v>
      </c>
      <c r="AZ12" s="24">
        <v>0.51</v>
      </c>
      <c r="BA12" s="32" t="s">
        <v>1613</v>
      </c>
      <c r="BB12" s="795">
        <v>3990.84</v>
      </c>
      <c r="BC12" s="623">
        <f>+P12</f>
        <v>8053.9699999999993</v>
      </c>
      <c r="BD12" s="796">
        <f t="shared" si="6"/>
        <v>0.49551215115030234</v>
      </c>
      <c r="BE12" s="803">
        <v>0.1145</v>
      </c>
      <c r="BF12" s="728">
        <v>0.5</v>
      </c>
      <c r="BG12" s="32" t="s">
        <v>1613</v>
      </c>
      <c r="BH12" s="26">
        <v>3697.39</v>
      </c>
      <c r="BI12" s="623">
        <f>+Q12</f>
        <v>9731.9699999999993</v>
      </c>
      <c r="BJ12" s="796">
        <f>IF(BI12=0," ",BH12/BI12)</f>
        <v>0.3799220507255982</v>
      </c>
      <c r="BK12" s="797">
        <v>0.13830000000000001</v>
      </c>
      <c r="BL12" s="728">
        <v>0.38</v>
      </c>
      <c r="BM12" s="813" t="s">
        <v>1614</v>
      </c>
      <c r="BN12" s="795">
        <v>3267.3900000000003</v>
      </c>
      <c r="BO12" s="623">
        <f>+R12</f>
        <v>8892.9699999999993</v>
      </c>
      <c r="BP12" s="694">
        <f>IF(BO12=0," ",BN12/BO12)</f>
        <v>0.36741268665024179</v>
      </c>
      <c r="BQ12" s="23">
        <v>0.12640000000000001</v>
      </c>
      <c r="BR12" s="24">
        <v>0.37</v>
      </c>
      <c r="BS12" s="25" t="s">
        <v>1615</v>
      </c>
      <c r="BT12" s="795">
        <v>3050.7</v>
      </c>
      <c r="BU12" s="623">
        <f>+S12</f>
        <v>1648</v>
      </c>
      <c r="BV12" s="694">
        <v>1</v>
      </c>
      <c r="BW12" s="812">
        <v>3.5499999999999997E-2</v>
      </c>
      <c r="BX12" s="24">
        <v>1</v>
      </c>
      <c r="BY12" s="215" t="s">
        <v>1616</v>
      </c>
      <c r="BZ12" s="795">
        <v>1525.5</v>
      </c>
      <c r="CA12" s="623">
        <v>1648</v>
      </c>
      <c r="CB12" s="817">
        <f>IF(CA12=0," ",BZ12/CA12)</f>
        <v>0.92566747572815533</v>
      </c>
      <c r="CC12" s="818">
        <v>2.5999999999999999E-2</v>
      </c>
      <c r="CD12" s="798">
        <v>0.93</v>
      </c>
      <c r="CE12" s="25" t="s">
        <v>1617</v>
      </c>
      <c r="CF12" s="795">
        <v>419</v>
      </c>
      <c r="CG12" s="623">
        <v>0</v>
      </c>
      <c r="CH12" s="796">
        <v>6.5799999999999999E-3</v>
      </c>
      <c r="CI12" s="797">
        <v>0</v>
      </c>
      <c r="CJ12" s="728">
        <v>0</v>
      </c>
      <c r="CK12" s="799" t="s">
        <v>1618</v>
      </c>
      <c r="CL12" s="623">
        <v>1362.67</v>
      </c>
      <c r="CM12" s="623">
        <v>0</v>
      </c>
      <c r="CN12" s="796">
        <v>0.02</v>
      </c>
      <c r="CO12" s="728">
        <v>0</v>
      </c>
      <c r="CP12" s="728">
        <v>1</v>
      </c>
      <c r="CQ12" s="215" t="s">
        <v>1619</v>
      </c>
      <c r="CR12" s="795">
        <f>+X12+AD12+AJ12+AP12+AV12+BB12+BH12+BN12+BT12+BZ12+CF12+CL12</f>
        <v>48146.59199999999</v>
      </c>
      <c r="CS12" s="623">
        <f>+Y12+AE12+AK12+AQ12+AW12+BC12+BI12+BO12+BU12+CA12</f>
        <v>63639.69</v>
      </c>
      <c r="CT12" s="796">
        <f t="shared" si="9"/>
        <v>0.75654975692056303</v>
      </c>
      <c r="CU12" s="623">
        <f>+K12+L12+M12+N12+O12+P12+Q12+R12+S12+T12</f>
        <v>63639.69</v>
      </c>
      <c r="CV12" s="728">
        <v>0.75</v>
      </c>
      <c r="CW12" s="215" t="s">
        <v>1620</v>
      </c>
      <c r="CX12" s="210">
        <v>75</v>
      </c>
    </row>
    <row r="13" spans="1:256" ht="157.5">
      <c r="A13" s="787"/>
      <c r="B13" s="815" t="s">
        <v>416</v>
      </c>
      <c r="C13" s="722"/>
      <c r="D13" s="789" t="s">
        <v>1621</v>
      </c>
      <c r="E13" s="789" t="s">
        <v>1622</v>
      </c>
      <c r="F13" s="790" t="s">
        <v>1623</v>
      </c>
      <c r="G13" s="790" t="s">
        <v>53</v>
      </c>
      <c r="H13" s="789" t="s">
        <v>1622</v>
      </c>
      <c r="I13" s="790" t="s">
        <v>1591</v>
      </c>
      <c r="J13" s="790" t="s">
        <v>658</v>
      </c>
      <c r="K13" s="805">
        <v>1.29</v>
      </c>
      <c r="L13" s="805">
        <v>0.72</v>
      </c>
      <c r="M13" s="805">
        <v>0.72</v>
      </c>
      <c r="N13" s="805">
        <v>0</v>
      </c>
      <c r="O13" s="805">
        <v>5.5759999999999996</v>
      </c>
      <c r="P13" s="805">
        <v>4.6759999999999993</v>
      </c>
      <c r="Q13" s="805">
        <v>6.476</v>
      </c>
      <c r="R13" s="805">
        <v>5.5759999999999996</v>
      </c>
      <c r="S13" s="816">
        <v>2.2450000000000001</v>
      </c>
      <c r="T13" s="816">
        <v>2.2450000000000001</v>
      </c>
      <c r="U13" s="816">
        <v>0</v>
      </c>
      <c r="V13" s="816">
        <v>0</v>
      </c>
      <c r="W13" s="808">
        <f>SUM(K13:V13)</f>
        <v>29.524000000000001</v>
      </c>
      <c r="X13" s="809">
        <v>1.29</v>
      </c>
      <c r="Y13" s="810">
        <f>+K13</f>
        <v>1.29</v>
      </c>
      <c r="Z13" s="796">
        <f t="shared" si="3"/>
        <v>1</v>
      </c>
      <c r="AA13" s="803">
        <v>4.2099999999999999E-2</v>
      </c>
      <c r="AB13" s="24">
        <v>1</v>
      </c>
      <c r="AC13" s="25" t="s">
        <v>1593</v>
      </c>
      <c r="AD13" s="809">
        <v>0.72</v>
      </c>
      <c r="AE13" s="810">
        <f>+L13</f>
        <v>0.72</v>
      </c>
      <c r="AF13" s="796">
        <f t="shared" si="4"/>
        <v>1</v>
      </c>
      <c r="AG13" s="803">
        <v>2.35E-2</v>
      </c>
      <c r="AH13" s="24">
        <v>1</v>
      </c>
      <c r="AI13" s="65" t="s">
        <v>1594</v>
      </c>
      <c r="AJ13" s="809">
        <v>0.38</v>
      </c>
      <c r="AK13" s="810">
        <f>+M13</f>
        <v>0.72</v>
      </c>
      <c r="AL13" s="796">
        <f t="shared" si="0"/>
        <v>0.52777777777777779</v>
      </c>
      <c r="AM13" s="803">
        <v>2.35E-2</v>
      </c>
      <c r="AN13" s="24">
        <v>0.52</v>
      </c>
      <c r="AO13" s="215" t="s">
        <v>1624</v>
      </c>
      <c r="AP13" s="819">
        <v>0</v>
      </c>
      <c r="AQ13" s="810">
        <f>+N13</f>
        <v>0</v>
      </c>
      <c r="AR13" s="796" t="str">
        <f t="shared" si="5"/>
        <v xml:space="preserve"> </v>
      </c>
      <c r="AS13" s="803">
        <v>0</v>
      </c>
      <c r="AT13" s="24" t="str">
        <f t="shared" si="1"/>
        <v xml:space="preserve"> </v>
      </c>
      <c r="AU13" s="25" t="s">
        <v>1625</v>
      </c>
      <c r="AV13" s="809">
        <v>0.34</v>
      </c>
      <c r="AW13" s="623">
        <f>+O13</f>
        <v>5.5759999999999996</v>
      </c>
      <c r="AX13" s="796">
        <f>IF(AW13=0," ",AV13/AW13)</f>
        <v>6.0975609756097567E-2</v>
      </c>
      <c r="AY13" s="803">
        <v>0.1822</v>
      </c>
      <c r="AZ13" s="24">
        <v>0.06</v>
      </c>
      <c r="BA13" s="32" t="s">
        <v>1613</v>
      </c>
      <c r="BB13" s="795">
        <v>0.14000000000000001</v>
      </c>
      <c r="BC13" s="623">
        <f>+P13</f>
        <v>4.6759999999999993</v>
      </c>
      <c r="BD13" s="796">
        <f t="shared" si="6"/>
        <v>2.9940119760479049E-2</v>
      </c>
      <c r="BE13" s="803">
        <v>0.15279999999999999</v>
      </c>
      <c r="BF13" s="728">
        <v>0.03</v>
      </c>
      <c r="BG13" s="32" t="s">
        <v>1613</v>
      </c>
      <c r="BH13" s="809">
        <v>2.8570000000000002</v>
      </c>
      <c r="BI13" s="623">
        <f>+Q13</f>
        <v>6.476</v>
      </c>
      <c r="BJ13" s="796">
        <f>IF(BI13=0," ",BH13/BI13)</f>
        <v>0.44116738727609639</v>
      </c>
      <c r="BK13" s="797">
        <v>0.21160000000000001</v>
      </c>
      <c r="BL13" s="728">
        <v>0.44</v>
      </c>
      <c r="BM13" s="813" t="s">
        <v>1614</v>
      </c>
      <c r="BN13" s="795">
        <v>2.37</v>
      </c>
      <c r="BO13" s="623">
        <f>+R13</f>
        <v>5.5759999999999996</v>
      </c>
      <c r="BP13" s="694">
        <f>IF(BO13=0," ",BN13/BO13)</f>
        <v>0.42503586800573895</v>
      </c>
      <c r="BQ13" s="23">
        <v>0.1822</v>
      </c>
      <c r="BR13" s="24">
        <v>0.43</v>
      </c>
      <c r="BS13" s="820" t="s">
        <v>1615</v>
      </c>
      <c r="BT13" s="819">
        <v>1.28</v>
      </c>
      <c r="BU13" s="623">
        <f>+S13</f>
        <v>2.2450000000000001</v>
      </c>
      <c r="BV13" s="694">
        <f t="shared" si="2"/>
        <v>0.57015590200445432</v>
      </c>
      <c r="BW13" s="812">
        <v>0.1822</v>
      </c>
      <c r="BX13" s="24">
        <v>1</v>
      </c>
      <c r="BY13" s="215" t="s">
        <v>1626</v>
      </c>
      <c r="BZ13" s="795">
        <v>2.31</v>
      </c>
      <c r="CA13" s="623">
        <v>2.25</v>
      </c>
      <c r="CB13" s="817">
        <v>1</v>
      </c>
      <c r="CC13" s="797">
        <v>7.6200000000000004E-2</v>
      </c>
      <c r="CD13" s="728">
        <v>1</v>
      </c>
      <c r="CE13" s="820" t="s">
        <v>1627</v>
      </c>
      <c r="CF13" s="795">
        <v>2.08</v>
      </c>
      <c r="CG13" s="623">
        <v>0</v>
      </c>
      <c r="CH13" s="796">
        <v>7.0000000000000007E-2</v>
      </c>
      <c r="CI13" s="797">
        <v>0</v>
      </c>
      <c r="CJ13" s="728">
        <v>1</v>
      </c>
      <c r="CK13" s="799" t="s">
        <v>1628</v>
      </c>
      <c r="CL13" s="623">
        <v>0</v>
      </c>
      <c r="CM13" s="623">
        <v>0</v>
      </c>
      <c r="CN13" s="796">
        <v>0</v>
      </c>
      <c r="CO13" s="728">
        <v>0</v>
      </c>
      <c r="CP13" s="728">
        <v>0</v>
      </c>
      <c r="CQ13" s="215" t="s">
        <v>1557</v>
      </c>
      <c r="CR13" s="795">
        <f>+X13+AD13+AJ13+AP13+AV13+BB13+BH13+BN13+BT13+BZ13+CF13</f>
        <v>13.767000000000001</v>
      </c>
      <c r="CS13" s="623">
        <f>+Y13+AE13+AK13+AQ13+AW13+BC13+BI13+BO13+BU13+CA13</f>
        <v>29.529</v>
      </c>
      <c r="CT13" s="796">
        <f t="shared" si="9"/>
        <v>0.46621964848115416</v>
      </c>
      <c r="CU13" s="623">
        <f>+K13+L13+M13+N13+O13+P13+Q13+R13+S13+T13</f>
        <v>29.524000000000001</v>
      </c>
      <c r="CV13" s="728">
        <v>0.4</v>
      </c>
      <c r="CW13" s="215" t="s">
        <v>1629</v>
      </c>
      <c r="CX13" s="210">
        <v>40</v>
      </c>
    </row>
    <row r="14" spans="1:256" ht="45">
      <c r="A14" s="787"/>
      <c r="B14" s="788" t="s">
        <v>416</v>
      </c>
      <c r="C14" s="722"/>
      <c r="D14" s="789" t="s">
        <v>1630</v>
      </c>
      <c r="E14" s="789" t="s">
        <v>1631</v>
      </c>
      <c r="F14" s="790" t="s">
        <v>1632</v>
      </c>
      <c r="G14" s="790" t="s">
        <v>53</v>
      </c>
      <c r="H14" s="789" t="s">
        <v>1631</v>
      </c>
      <c r="I14" s="790" t="s">
        <v>1591</v>
      </c>
      <c r="J14" s="790" t="s">
        <v>556</v>
      </c>
      <c r="K14" s="805">
        <v>1</v>
      </c>
      <c r="L14" s="805">
        <v>0.5</v>
      </c>
      <c r="M14" s="805">
        <v>1.5</v>
      </c>
      <c r="N14" s="805">
        <v>1</v>
      </c>
      <c r="O14" s="805">
        <v>1</v>
      </c>
      <c r="P14" s="805">
        <v>0</v>
      </c>
      <c r="Q14" s="805">
        <v>0</v>
      </c>
      <c r="R14" s="805">
        <v>0</v>
      </c>
      <c r="S14" s="805">
        <v>0</v>
      </c>
      <c r="T14" s="805">
        <v>0</v>
      </c>
      <c r="U14" s="805">
        <v>0</v>
      </c>
      <c r="V14" s="805">
        <v>0</v>
      </c>
      <c r="W14" s="808">
        <f>SUM(K14:V14)</f>
        <v>5</v>
      </c>
      <c r="X14" s="809">
        <v>1</v>
      </c>
      <c r="Y14" s="810">
        <f>+K14</f>
        <v>1</v>
      </c>
      <c r="Z14" s="796">
        <f t="shared" si="3"/>
        <v>1</v>
      </c>
      <c r="AA14" s="803">
        <v>0.2</v>
      </c>
      <c r="AB14" s="24">
        <v>1</v>
      </c>
      <c r="AC14" s="32" t="s">
        <v>1593</v>
      </c>
      <c r="AD14" s="27">
        <v>0.5</v>
      </c>
      <c r="AE14" s="810">
        <f>+L14</f>
        <v>0.5</v>
      </c>
      <c r="AF14" s="796">
        <f t="shared" si="4"/>
        <v>1</v>
      </c>
      <c r="AG14" s="803">
        <v>0.1</v>
      </c>
      <c r="AH14" s="24">
        <v>1</v>
      </c>
      <c r="AI14" s="821" t="s">
        <v>1594</v>
      </c>
      <c r="AJ14" s="27">
        <v>0.5</v>
      </c>
      <c r="AK14" s="810">
        <f>+M14</f>
        <v>1.5</v>
      </c>
      <c r="AL14" s="796">
        <f t="shared" si="0"/>
        <v>0.33333333333333331</v>
      </c>
      <c r="AM14" s="797">
        <v>0.3</v>
      </c>
      <c r="AN14" s="24">
        <v>0.33</v>
      </c>
      <c r="AO14" s="215" t="s">
        <v>1633</v>
      </c>
      <c r="AP14" s="819">
        <v>1</v>
      </c>
      <c r="AQ14" s="810">
        <f>+N14</f>
        <v>1</v>
      </c>
      <c r="AR14" s="796">
        <f t="shared" si="5"/>
        <v>1</v>
      </c>
      <c r="AS14" s="797">
        <v>0.2</v>
      </c>
      <c r="AT14" s="24">
        <v>1</v>
      </c>
      <c r="AU14" s="32" t="s">
        <v>1593</v>
      </c>
      <c r="AV14" s="809">
        <v>2</v>
      </c>
      <c r="AW14" s="623">
        <f>+O14</f>
        <v>1</v>
      </c>
      <c r="AX14" s="796">
        <v>1</v>
      </c>
      <c r="AY14" s="797">
        <v>0.2</v>
      </c>
      <c r="AZ14" s="24">
        <v>1</v>
      </c>
      <c r="BA14" s="25" t="s">
        <v>1634</v>
      </c>
      <c r="BB14" s="795">
        <v>0</v>
      </c>
      <c r="BC14" s="623">
        <f>+P14</f>
        <v>0</v>
      </c>
      <c r="BD14" s="796" t="str">
        <f t="shared" si="6"/>
        <v xml:space="preserve"> </v>
      </c>
      <c r="BE14" s="797">
        <f>+P14</f>
        <v>0</v>
      </c>
      <c r="BF14" s="728" t="str">
        <f>IF(BC14=0," ",BD14/BE14)</f>
        <v xml:space="preserve"> </v>
      </c>
      <c r="BG14" s="32" t="s">
        <v>1635</v>
      </c>
      <c r="BH14" s="26">
        <v>0</v>
      </c>
      <c r="BI14" s="623">
        <f>+Q14</f>
        <v>0</v>
      </c>
      <c r="BJ14" s="796" t="str">
        <f>IF(BI14=0," ",BH14/BI14)</f>
        <v xml:space="preserve"> </v>
      </c>
      <c r="BK14" s="797">
        <v>0</v>
      </c>
      <c r="BL14" s="728" t="str">
        <f>IF(BI14=0," ",BJ14/BK14)</f>
        <v xml:space="preserve"> </v>
      </c>
      <c r="BM14" s="215" t="s">
        <v>1555</v>
      </c>
      <c r="BN14" s="795">
        <v>0</v>
      </c>
      <c r="BO14" s="623">
        <f>+R14</f>
        <v>0</v>
      </c>
      <c r="BP14" s="694" t="str">
        <f>IF(BO14=0," ",BN14/BO14)</f>
        <v xml:space="preserve"> </v>
      </c>
      <c r="BQ14" s="23">
        <f>+R14</f>
        <v>0</v>
      </c>
      <c r="BR14" s="24" t="str">
        <f t="shared" si="7"/>
        <v xml:space="preserve"> </v>
      </c>
      <c r="BS14" s="25" t="s">
        <v>1625</v>
      </c>
      <c r="BT14" s="795">
        <v>0</v>
      </c>
      <c r="BU14" s="623">
        <f>+S14</f>
        <v>0</v>
      </c>
      <c r="BV14" s="694" t="str">
        <f t="shared" si="2"/>
        <v xml:space="preserve"> </v>
      </c>
      <c r="BW14" s="23">
        <f t="shared" si="8"/>
        <v>0</v>
      </c>
      <c r="BX14" s="24" t="str">
        <f>IF(BU14=0," ",BV14/BW14)</f>
        <v xml:space="preserve"> </v>
      </c>
      <c r="BY14" s="215" t="s">
        <v>1555</v>
      </c>
      <c r="BZ14" s="795">
        <v>0</v>
      </c>
      <c r="CA14" s="623">
        <v>0</v>
      </c>
      <c r="CB14" s="796"/>
      <c r="CC14" s="797">
        <v>0</v>
      </c>
      <c r="CD14" s="728"/>
      <c r="CE14" s="215" t="s">
        <v>1636</v>
      </c>
      <c r="CF14" s="795">
        <v>0</v>
      </c>
      <c r="CG14" s="623">
        <v>0</v>
      </c>
      <c r="CH14" s="796"/>
      <c r="CI14" s="797">
        <v>0</v>
      </c>
      <c r="CJ14" s="728"/>
      <c r="CK14" s="799" t="s">
        <v>1636</v>
      </c>
      <c r="CL14" s="623">
        <v>0</v>
      </c>
      <c r="CM14" s="623">
        <v>0</v>
      </c>
      <c r="CN14" s="796">
        <v>0</v>
      </c>
      <c r="CO14" s="728">
        <v>0</v>
      </c>
      <c r="CP14" s="728">
        <v>0</v>
      </c>
      <c r="CQ14" s="215" t="s">
        <v>1557</v>
      </c>
      <c r="CR14" s="795">
        <f>+X14+AD14+AJ14+AP14+AV14+BB14+BH14+BN14+BT14+CL14</f>
        <v>5</v>
      </c>
      <c r="CS14" s="623">
        <f>+Y14+AE14+AK14+AQ14+AW14+BC14+BI14+BO14+BU14+CM14</f>
        <v>5</v>
      </c>
      <c r="CT14" s="796">
        <f t="shared" si="9"/>
        <v>1</v>
      </c>
      <c r="CU14" s="623">
        <f>+K14+L14+M14+N14+O14+P14+Q14+R14+S14</f>
        <v>5</v>
      </c>
      <c r="CV14" s="728">
        <v>1</v>
      </c>
      <c r="CW14" s="215" t="s">
        <v>1637</v>
      </c>
      <c r="CX14" s="210">
        <v>100</v>
      </c>
    </row>
    <row r="15" spans="1:256">
      <c r="A15" s="822"/>
      <c r="B15" s="823"/>
      <c r="C15" s="824"/>
      <c r="D15" s="825"/>
      <c r="E15" s="825"/>
      <c r="F15" s="823"/>
      <c r="G15" s="823"/>
      <c r="H15" s="825" t="s">
        <v>49</v>
      </c>
      <c r="I15" s="823"/>
      <c r="J15" s="823"/>
      <c r="K15" s="826"/>
      <c r="L15" s="826"/>
      <c r="M15" s="827"/>
      <c r="N15" s="826"/>
      <c r="O15" s="826"/>
      <c r="P15" s="828"/>
      <c r="Q15" s="828"/>
      <c r="R15" s="828"/>
      <c r="S15" s="828"/>
      <c r="T15" s="828"/>
      <c r="U15" s="828"/>
      <c r="V15" s="828"/>
      <c r="W15" s="823"/>
      <c r="X15" s="829"/>
      <c r="Y15" s="829"/>
      <c r="Z15" s="830"/>
      <c r="AA15" s="831"/>
      <c r="AB15" s="831"/>
      <c r="AC15" s="824"/>
      <c r="AD15" s="824"/>
      <c r="AE15" s="829"/>
      <c r="AF15" s="829"/>
      <c r="AG15" s="830"/>
      <c r="AH15" s="831"/>
      <c r="AI15" s="831"/>
      <c r="AJ15" s="824"/>
      <c r="AK15" s="829"/>
      <c r="AL15" s="829"/>
      <c r="AM15" s="830"/>
      <c r="AN15" s="831"/>
      <c r="AO15" s="831"/>
      <c r="AP15" s="829"/>
      <c r="AQ15" s="829"/>
      <c r="AR15" s="830"/>
      <c r="AS15" s="831"/>
      <c r="AT15" s="831"/>
      <c r="AU15" s="832"/>
      <c r="AV15" s="824"/>
      <c r="AW15" s="829"/>
      <c r="AX15" s="829"/>
      <c r="AY15" s="830"/>
      <c r="AZ15" s="831"/>
      <c r="BA15" s="831"/>
      <c r="BB15" s="829"/>
      <c r="BC15" s="829"/>
      <c r="BD15" s="830"/>
      <c r="BE15" s="831"/>
      <c r="BF15" s="831"/>
      <c r="BG15" s="832"/>
      <c r="BH15" s="824"/>
      <c r="BI15" s="829"/>
      <c r="BJ15" s="829"/>
      <c r="BK15" s="830"/>
      <c r="BL15" s="831"/>
      <c r="BM15" s="831"/>
      <c r="BN15" s="833"/>
      <c r="BO15" s="833"/>
      <c r="BP15" s="830"/>
      <c r="BQ15" s="831"/>
      <c r="BR15" s="831"/>
      <c r="BS15" s="832"/>
      <c r="BT15" s="824"/>
      <c r="BU15" s="829"/>
      <c r="BV15" s="829"/>
      <c r="BW15" s="830"/>
      <c r="BX15" s="831"/>
      <c r="BY15" s="831"/>
      <c r="BZ15" s="829"/>
      <c r="CA15" s="829"/>
      <c r="CB15" s="830"/>
      <c r="CC15" s="831"/>
      <c r="CD15" s="831"/>
      <c r="CE15" s="832"/>
      <c r="CF15" s="824"/>
      <c r="CG15" s="829"/>
      <c r="CH15" s="829"/>
      <c r="CI15" s="830"/>
      <c r="CJ15" s="831"/>
      <c r="CK15" s="831"/>
      <c r="CL15" s="834"/>
      <c r="CM15" s="834"/>
      <c r="CN15" s="835"/>
      <c r="CO15" s="836"/>
      <c r="CP15" s="836"/>
      <c r="CQ15" s="837"/>
      <c r="CR15" s="829"/>
      <c r="CS15" s="829"/>
      <c r="CT15" s="830"/>
      <c r="CU15" s="831"/>
      <c r="CV15" s="831"/>
      <c r="CW15" s="838"/>
    </row>
    <row r="16" spans="1:256" ht="123.75">
      <c r="A16" s="787"/>
      <c r="B16" s="790" t="s">
        <v>155</v>
      </c>
      <c r="C16" s="790" t="s">
        <v>156</v>
      </c>
      <c r="D16" s="789" t="s">
        <v>157</v>
      </c>
      <c r="E16" s="789" t="s">
        <v>158</v>
      </c>
      <c r="F16" s="790" t="s">
        <v>159</v>
      </c>
      <c r="G16" s="790" t="s">
        <v>53</v>
      </c>
      <c r="H16" s="789" t="s">
        <v>160</v>
      </c>
      <c r="I16" s="790" t="s">
        <v>161</v>
      </c>
      <c r="J16" s="790" t="s">
        <v>54</v>
      </c>
      <c r="K16" s="839"/>
      <c r="L16" s="839"/>
      <c r="M16" s="791"/>
      <c r="N16" s="791">
        <v>1</v>
      </c>
      <c r="O16" s="839"/>
      <c r="P16" s="791">
        <v>1</v>
      </c>
      <c r="Q16" s="793"/>
      <c r="R16" s="793"/>
      <c r="S16" s="791">
        <v>1</v>
      </c>
      <c r="T16" s="793"/>
      <c r="U16" s="793"/>
      <c r="V16" s="791">
        <v>1</v>
      </c>
      <c r="W16" s="840">
        <v>1</v>
      </c>
      <c r="X16" s="841"/>
      <c r="Y16" s="842"/>
      <c r="Z16" s="796" t="str">
        <f t="shared" ref="Z16:Z22" si="12">IF(Y16=0," ",X16/Y16)</f>
        <v xml:space="preserve"> </v>
      </c>
      <c r="AA16" s="797"/>
      <c r="AB16" s="24" t="str">
        <f t="shared" ref="AB16:AB22" si="13">IF(Y16=0," ",Z16/AA16)</f>
        <v xml:space="preserve"> </v>
      </c>
      <c r="AC16" s="843" t="s">
        <v>1555</v>
      </c>
      <c r="AD16" s="795"/>
      <c r="AE16" s="623"/>
      <c r="AF16" s="796" t="str">
        <f t="shared" ref="AF16:AF22" si="14">IF(AE16=0," ",AD16/AE16)</f>
        <v xml:space="preserve"> </v>
      </c>
      <c r="AG16" s="797"/>
      <c r="AH16" s="24" t="str">
        <f t="shared" si="11"/>
        <v xml:space="preserve"> </v>
      </c>
      <c r="AI16" s="843" t="s">
        <v>1555</v>
      </c>
      <c r="AJ16" s="795"/>
      <c r="AK16" s="623"/>
      <c r="AL16" s="796" t="str">
        <f t="shared" ref="AL16:AL23" si="15">IF(AK16=0," ",AJ16/AK16)</f>
        <v xml:space="preserve"> </v>
      </c>
      <c r="AM16" s="797"/>
      <c r="AN16" s="24" t="str">
        <f t="shared" ref="AN16:AN22" si="16">IF(AK16=0," ",AL16/AM16)</f>
        <v xml:space="preserve"> </v>
      </c>
      <c r="AO16" s="843" t="s">
        <v>1638</v>
      </c>
      <c r="AP16" s="795"/>
      <c r="AQ16" s="623"/>
      <c r="AR16" s="796" t="str">
        <f t="shared" ref="AR16:AR23" si="17">IF(AQ16=0," ",AP16/AQ16)</f>
        <v xml:space="preserve"> </v>
      </c>
      <c r="AS16" s="797">
        <f>+N16</f>
        <v>1</v>
      </c>
      <c r="AT16" s="24" t="str">
        <f t="shared" ref="AT16:AT22" si="18">IF(AQ16=0," ",AR16/AS16)</f>
        <v xml:space="preserve"> </v>
      </c>
      <c r="AU16" s="843" t="s">
        <v>1639</v>
      </c>
      <c r="AV16" s="795"/>
      <c r="AW16" s="623">
        <f t="shared" ref="AW16:AW22" si="19">+O16</f>
        <v>0</v>
      </c>
      <c r="AX16" s="796" t="str">
        <f t="shared" ref="AX16:AX22" si="20">IF(AW16=0," ",AV16/AW16)</f>
        <v xml:space="preserve"> </v>
      </c>
      <c r="AY16" s="797"/>
      <c r="AZ16" s="24" t="str">
        <f t="shared" ref="AZ16:AZ22" si="21">IF(AW16=0," ",AX16/AY16)</f>
        <v xml:space="preserve"> </v>
      </c>
      <c r="BA16" s="782" t="s">
        <v>1555</v>
      </c>
      <c r="BB16" s="841">
        <v>2</v>
      </c>
      <c r="BC16" s="842">
        <v>2</v>
      </c>
      <c r="BD16" s="796">
        <f t="shared" ref="BD16:BD22" si="22">IF(BC16=0," ",BB16/BC16)</f>
        <v>1</v>
      </c>
      <c r="BE16" s="797">
        <f>+P16</f>
        <v>1</v>
      </c>
      <c r="BF16" s="728">
        <f t="shared" ref="BF16:BF22" si="23">IF(BC16=0," ",BD16/BE16)</f>
        <v>1</v>
      </c>
      <c r="BG16" s="844" t="s">
        <v>1640</v>
      </c>
      <c r="BH16" s="841"/>
      <c r="BI16" s="842"/>
      <c r="BJ16" s="796" t="str">
        <f t="shared" ref="BJ16:BJ22" si="24">IF(BI16=0," ",BH16/BI16)</f>
        <v xml:space="preserve"> </v>
      </c>
      <c r="BK16" s="797"/>
      <c r="BL16" s="728" t="str">
        <f t="shared" ref="BL16:BL22" si="25">IF(BI16=0," ",BJ16/BK16)</f>
        <v xml:space="preserve"> </v>
      </c>
      <c r="BM16" s="843" t="s">
        <v>1555</v>
      </c>
      <c r="BN16" s="623"/>
      <c r="BO16" s="623"/>
      <c r="BP16" s="694" t="str">
        <f t="shared" ref="BP16:BP22" si="26">IF(BO16=0," ",BN16/BO16)</f>
        <v xml:space="preserve"> </v>
      </c>
      <c r="BQ16" s="23">
        <f>+R16</f>
        <v>0</v>
      </c>
      <c r="BR16" s="24" t="str">
        <f t="shared" ref="BR16:BR22" si="27">IF(BO16=0," ",BP16/BQ16)</f>
        <v xml:space="preserve"> </v>
      </c>
      <c r="BS16" s="215" t="s">
        <v>1641</v>
      </c>
      <c r="BT16" s="623">
        <v>2</v>
      </c>
      <c r="BU16" s="623">
        <v>3</v>
      </c>
      <c r="BV16" s="694">
        <f t="shared" ref="BV16:BV23" si="28">IF(BU16=0," ",BT16/BU16)</f>
        <v>0.66666666666666663</v>
      </c>
      <c r="BW16" s="23">
        <f t="shared" si="8"/>
        <v>1</v>
      </c>
      <c r="BX16" s="24">
        <f>IF(BU16=0," ",BV16/BW16)</f>
        <v>0.66666666666666663</v>
      </c>
      <c r="BY16" s="215" t="s">
        <v>1642</v>
      </c>
      <c r="BZ16" s="623">
        <v>0</v>
      </c>
      <c r="CA16" s="623">
        <v>0</v>
      </c>
      <c r="CB16" s="796">
        <v>0</v>
      </c>
      <c r="CC16" s="728">
        <v>0</v>
      </c>
      <c r="CD16" s="728" t="str">
        <f>IF(CA16=0," ",CB16/CC16)</f>
        <v xml:space="preserve"> </v>
      </c>
      <c r="CE16" s="820" t="s">
        <v>1643</v>
      </c>
      <c r="CF16" s="623">
        <v>0</v>
      </c>
      <c r="CG16" s="623">
        <v>0</v>
      </c>
      <c r="CH16" s="796">
        <v>0</v>
      </c>
      <c r="CI16" s="728">
        <v>0</v>
      </c>
      <c r="CJ16" s="728" t="str">
        <f>IF(CG16=0," ",CH16/CI16)</f>
        <v xml:space="preserve"> </v>
      </c>
      <c r="CK16" s="845" t="s">
        <v>1643</v>
      </c>
      <c r="CL16" s="623">
        <v>0</v>
      </c>
      <c r="CM16" s="623">
        <v>0</v>
      </c>
      <c r="CN16" s="796">
        <v>0</v>
      </c>
      <c r="CO16" s="728">
        <v>0</v>
      </c>
      <c r="CP16" s="728">
        <v>0</v>
      </c>
      <c r="CQ16" s="215" t="s">
        <v>1644</v>
      </c>
      <c r="CR16" s="795">
        <v>2</v>
      </c>
      <c r="CS16" s="623">
        <v>3</v>
      </c>
      <c r="CT16" s="796">
        <f t="shared" si="9"/>
        <v>0.66666666666666663</v>
      </c>
      <c r="CU16" s="728">
        <v>1</v>
      </c>
      <c r="CV16" s="728">
        <f t="shared" si="10"/>
        <v>0.66666666666666663</v>
      </c>
      <c r="CW16" s="215" t="s">
        <v>1645</v>
      </c>
      <c r="CX16" s="210">
        <v>67</v>
      </c>
    </row>
    <row r="17" spans="1:256" ht="63">
      <c r="A17" s="787"/>
      <c r="B17" s="846" t="s">
        <v>81</v>
      </c>
      <c r="C17" s="847"/>
      <c r="D17" s="789" t="s">
        <v>83</v>
      </c>
      <c r="E17" s="790" t="s">
        <v>84</v>
      </c>
      <c r="F17" s="847" t="s">
        <v>82</v>
      </c>
      <c r="G17" s="790" t="s">
        <v>66</v>
      </c>
      <c r="H17" s="790" t="s">
        <v>86</v>
      </c>
      <c r="I17" s="790" t="s">
        <v>85</v>
      </c>
      <c r="J17" s="790" t="s">
        <v>54</v>
      </c>
      <c r="K17" s="848"/>
      <c r="L17" s="791"/>
      <c r="M17" s="791">
        <v>1</v>
      </c>
      <c r="N17" s="791"/>
      <c r="O17" s="791"/>
      <c r="P17" s="791">
        <v>1</v>
      </c>
      <c r="Q17" s="791"/>
      <c r="R17" s="791"/>
      <c r="S17" s="791">
        <v>1</v>
      </c>
      <c r="T17" s="791"/>
      <c r="U17" s="791"/>
      <c r="V17" s="791">
        <v>1</v>
      </c>
      <c r="W17" s="840">
        <v>1</v>
      </c>
      <c r="X17" s="623"/>
      <c r="Y17" s="623"/>
      <c r="Z17" s="796" t="str">
        <f t="shared" si="12"/>
        <v xml:space="preserve"> </v>
      </c>
      <c r="AA17" s="797"/>
      <c r="AB17" s="24" t="str">
        <f t="shared" si="13"/>
        <v xml:space="preserve"> </v>
      </c>
      <c r="AC17" s="215" t="s">
        <v>1555</v>
      </c>
      <c r="AD17" s="795"/>
      <c r="AE17" s="623"/>
      <c r="AF17" s="796" t="str">
        <f t="shared" si="14"/>
        <v xml:space="preserve"> </v>
      </c>
      <c r="AG17" s="797"/>
      <c r="AH17" s="24" t="str">
        <f t="shared" si="11"/>
        <v xml:space="preserve"> </v>
      </c>
      <c r="AI17" s="215" t="s">
        <v>1646</v>
      </c>
      <c r="AJ17" s="795">
        <v>47</v>
      </c>
      <c r="AK17" s="623">
        <v>47</v>
      </c>
      <c r="AL17" s="796">
        <f t="shared" si="15"/>
        <v>1</v>
      </c>
      <c r="AM17" s="797">
        <f>+M17</f>
        <v>1</v>
      </c>
      <c r="AN17" s="24">
        <f t="shared" si="16"/>
        <v>1</v>
      </c>
      <c r="AO17" s="215" t="s">
        <v>1647</v>
      </c>
      <c r="AP17" s="795"/>
      <c r="AQ17" s="623"/>
      <c r="AR17" s="796" t="str">
        <f t="shared" si="17"/>
        <v xml:space="preserve"> </v>
      </c>
      <c r="AS17" s="797"/>
      <c r="AT17" s="24" t="str">
        <f t="shared" si="18"/>
        <v xml:space="preserve"> </v>
      </c>
      <c r="AU17" s="215" t="s">
        <v>1555</v>
      </c>
      <c r="AV17" s="795"/>
      <c r="AW17" s="623">
        <f t="shared" si="19"/>
        <v>0</v>
      </c>
      <c r="AX17" s="796" t="str">
        <f t="shared" si="20"/>
        <v xml:space="preserve"> </v>
      </c>
      <c r="AY17" s="797"/>
      <c r="AZ17" s="24" t="str">
        <f t="shared" si="21"/>
        <v xml:space="preserve"> </v>
      </c>
      <c r="BA17" s="782" t="s">
        <v>1555</v>
      </c>
      <c r="BB17" s="841">
        <v>51</v>
      </c>
      <c r="BC17" s="842">
        <v>51</v>
      </c>
      <c r="BD17" s="796">
        <f t="shared" si="22"/>
        <v>1</v>
      </c>
      <c r="BE17" s="797">
        <f>+P17</f>
        <v>1</v>
      </c>
      <c r="BF17" s="728">
        <f t="shared" si="23"/>
        <v>1</v>
      </c>
      <c r="BG17" s="843" t="s">
        <v>1648</v>
      </c>
      <c r="BH17" s="623"/>
      <c r="BI17" s="623"/>
      <c r="BJ17" s="796" t="str">
        <f t="shared" si="24"/>
        <v xml:space="preserve"> </v>
      </c>
      <c r="BK17" s="797"/>
      <c r="BL17" s="728" t="str">
        <f t="shared" si="25"/>
        <v xml:space="preserve"> </v>
      </c>
      <c r="BM17" s="215" t="s">
        <v>1555</v>
      </c>
      <c r="BN17" s="623"/>
      <c r="BO17" s="623"/>
      <c r="BP17" s="694" t="str">
        <f t="shared" si="26"/>
        <v xml:space="preserve"> </v>
      </c>
      <c r="BQ17" s="23">
        <f t="shared" ref="BQ17:BQ23" si="29">+R17</f>
        <v>0</v>
      </c>
      <c r="BR17" s="24" t="str">
        <f t="shared" si="27"/>
        <v xml:space="preserve"> </v>
      </c>
      <c r="BS17" s="215" t="s">
        <v>1641</v>
      </c>
      <c r="BT17" s="623">
        <v>62</v>
      </c>
      <c r="BU17" s="623">
        <v>75</v>
      </c>
      <c r="BV17" s="694">
        <f t="shared" si="28"/>
        <v>0.82666666666666666</v>
      </c>
      <c r="BW17" s="23">
        <f t="shared" si="8"/>
        <v>1</v>
      </c>
      <c r="BX17" s="24">
        <f>IF(BU17=0," ",BV17/BW17)</f>
        <v>0.82666666666666666</v>
      </c>
      <c r="BY17" s="215" t="s">
        <v>1649</v>
      </c>
      <c r="BZ17" s="623">
        <v>0</v>
      </c>
      <c r="CA17" s="623">
        <v>0</v>
      </c>
      <c r="CB17" s="796">
        <v>0</v>
      </c>
      <c r="CC17" s="728">
        <v>0</v>
      </c>
      <c r="CD17" s="728" t="str">
        <f>IF(CA17=0," ",CB17/CC17)</f>
        <v xml:space="preserve"> </v>
      </c>
      <c r="CE17" s="820" t="s">
        <v>1643</v>
      </c>
      <c r="CF17" s="623">
        <v>0</v>
      </c>
      <c r="CG17" s="623">
        <v>0</v>
      </c>
      <c r="CH17" s="796">
        <v>0</v>
      </c>
      <c r="CI17" s="728">
        <v>0</v>
      </c>
      <c r="CJ17" s="728" t="str">
        <f>IF(CG17=0," ",CH17/CI17)</f>
        <v xml:space="preserve"> </v>
      </c>
      <c r="CK17" s="845" t="s">
        <v>1643</v>
      </c>
      <c r="CL17" s="623">
        <v>102</v>
      </c>
      <c r="CM17" s="623">
        <v>109</v>
      </c>
      <c r="CN17" s="796">
        <v>0.94</v>
      </c>
      <c r="CO17" s="728">
        <v>1</v>
      </c>
      <c r="CP17" s="728">
        <v>0.94</v>
      </c>
      <c r="CQ17" s="215" t="s">
        <v>1650</v>
      </c>
      <c r="CR17" s="795">
        <f>+X17+AD17+AJ17+AP17+AV17+BB17+BH17+BN17+BT17+CL17</f>
        <v>262</v>
      </c>
      <c r="CS17" s="623">
        <f>+Y17+AE17+AK17+AQ17+AW17+BC17+BI17+BO17+BU17+CM17</f>
        <v>282</v>
      </c>
      <c r="CT17" s="796">
        <v>0.94</v>
      </c>
      <c r="CU17" s="728">
        <v>1</v>
      </c>
      <c r="CV17" s="728">
        <f t="shared" si="10"/>
        <v>0.94</v>
      </c>
      <c r="CW17" s="215" t="s">
        <v>1651</v>
      </c>
      <c r="CX17" s="210">
        <v>94</v>
      </c>
    </row>
    <row r="18" spans="1:256" ht="72">
      <c r="A18" s="787"/>
      <c r="B18" s="790" t="s">
        <v>55</v>
      </c>
      <c r="C18" s="790" t="s">
        <v>89</v>
      </c>
      <c r="D18" s="790" t="s">
        <v>56</v>
      </c>
      <c r="E18" s="790" t="s">
        <v>57</v>
      </c>
      <c r="F18" s="847" t="s">
        <v>58</v>
      </c>
      <c r="G18" s="790" t="s">
        <v>53</v>
      </c>
      <c r="H18" s="847" t="s">
        <v>59</v>
      </c>
      <c r="I18" s="790" t="s">
        <v>60</v>
      </c>
      <c r="J18" s="790" t="s">
        <v>54</v>
      </c>
      <c r="K18" s="839"/>
      <c r="L18" s="839"/>
      <c r="M18" s="791">
        <v>1</v>
      </c>
      <c r="N18" s="839"/>
      <c r="O18" s="839"/>
      <c r="P18" s="791">
        <v>1</v>
      </c>
      <c r="Q18" s="791"/>
      <c r="R18" s="839"/>
      <c r="S18" s="791">
        <v>1</v>
      </c>
      <c r="T18" s="791"/>
      <c r="U18" s="839"/>
      <c r="V18" s="791">
        <v>1</v>
      </c>
      <c r="W18" s="840">
        <v>1</v>
      </c>
      <c r="X18" s="623"/>
      <c r="Y18" s="623"/>
      <c r="Z18" s="796" t="str">
        <f t="shared" si="12"/>
        <v xml:space="preserve"> </v>
      </c>
      <c r="AA18" s="797"/>
      <c r="AB18" s="24" t="str">
        <f t="shared" si="13"/>
        <v xml:space="preserve"> </v>
      </c>
      <c r="AC18" s="215" t="s">
        <v>1555</v>
      </c>
      <c r="AD18" s="795"/>
      <c r="AE18" s="623"/>
      <c r="AF18" s="796" t="str">
        <f t="shared" si="14"/>
        <v xml:space="preserve"> </v>
      </c>
      <c r="AG18" s="797"/>
      <c r="AH18" s="24" t="str">
        <f t="shared" si="11"/>
        <v xml:space="preserve"> </v>
      </c>
      <c r="AI18" s="215" t="s">
        <v>1555</v>
      </c>
      <c r="AJ18" s="795"/>
      <c r="AK18" s="623">
        <f>+M18</f>
        <v>1</v>
      </c>
      <c r="AL18" s="796">
        <f t="shared" si="15"/>
        <v>0</v>
      </c>
      <c r="AM18" s="797">
        <f>+M18</f>
        <v>1</v>
      </c>
      <c r="AN18" s="24">
        <f t="shared" si="16"/>
        <v>0</v>
      </c>
      <c r="AO18" s="215" t="s">
        <v>1652</v>
      </c>
      <c r="AP18" s="795"/>
      <c r="AQ18" s="623"/>
      <c r="AR18" s="796" t="str">
        <f t="shared" si="17"/>
        <v xml:space="preserve"> </v>
      </c>
      <c r="AS18" s="797"/>
      <c r="AT18" s="24" t="str">
        <f t="shared" si="18"/>
        <v xml:space="preserve"> </v>
      </c>
      <c r="AU18" s="215" t="s">
        <v>1555</v>
      </c>
      <c r="AV18" s="795"/>
      <c r="AW18" s="623">
        <f t="shared" si="19"/>
        <v>0</v>
      </c>
      <c r="AX18" s="796" t="str">
        <f t="shared" si="20"/>
        <v xml:space="preserve"> </v>
      </c>
      <c r="AY18" s="797"/>
      <c r="AZ18" s="24" t="str">
        <f t="shared" si="21"/>
        <v xml:space="preserve"> </v>
      </c>
      <c r="BA18" s="782" t="s">
        <v>1555</v>
      </c>
      <c r="BB18" s="841">
        <v>0</v>
      </c>
      <c r="BC18" s="842">
        <v>0</v>
      </c>
      <c r="BD18" s="796" t="str">
        <f t="shared" si="22"/>
        <v xml:space="preserve"> </v>
      </c>
      <c r="BE18" s="797">
        <f>+P18</f>
        <v>1</v>
      </c>
      <c r="BF18" s="728" t="str">
        <f t="shared" si="23"/>
        <v xml:space="preserve"> </v>
      </c>
      <c r="BG18" s="843" t="s">
        <v>1281</v>
      </c>
      <c r="BH18" s="623"/>
      <c r="BI18" s="623"/>
      <c r="BJ18" s="796" t="str">
        <f t="shared" si="24"/>
        <v xml:space="preserve"> </v>
      </c>
      <c r="BK18" s="797"/>
      <c r="BL18" s="728" t="str">
        <f t="shared" si="25"/>
        <v xml:space="preserve"> </v>
      </c>
      <c r="BM18" s="215" t="s">
        <v>1555</v>
      </c>
      <c r="BN18" s="623"/>
      <c r="BO18" s="623"/>
      <c r="BP18" s="694" t="str">
        <f t="shared" si="26"/>
        <v xml:space="preserve"> </v>
      </c>
      <c r="BQ18" s="23">
        <f t="shared" si="29"/>
        <v>0</v>
      </c>
      <c r="BR18" s="24" t="str">
        <f t="shared" si="27"/>
        <v xml:space="preserve"> </v>
      </c>
      <c r="BS18" s="215" t="s">
        <v>1641</v>
      </c>
      <c r="BT18" s="623">
        <v>0</v>
      </c>
      <c r="BU18" s="623">
        <v>0</v>
      </c>
      <c r="BV18" s="694" t="str">
        <f t="shared" si="28"/>
        <v xml:space="preserve"> </v>
      </c>
      <c r="BW18" s="23">
        <f t="shared" si="8"/>
        <v>1</v>
      </c>
      <c r="BX18" s="24">
        <v>1</v>
      </c>
      <c r="BY18" s="215" t="s">
        <v>324</v>
      </c>
      <c r="BZ18" s="623">
        <v>0</v>
      </c>
      <c r="CA18" s="623">
        <v>0</v>
      </c>
      <c r="CB18" s="796">
        <v>0</v>
      </c>
      <c r="CC18" s="728">
        <v>0</v>
      </c>
      <c r="CD18" s="728">
        <v>0</v>
      </c>
      <c r="CE18" s="820" t="s">
        <v>1643</v>
      </c>
      <c r="CF18" s="623">
        <v>0</v>
      </c>
      <c r="CG18" s="623">
        <v>0</v>
      </c>
      <c r="CH18" s="796">
        <v>0</v>
      </c>
      <c r="CI18" s="728">
        <v>0</v>
      </c>
      <c r="CJ18" s="728">
        <v>0</v>
      </c>
      <c r="CK18" s="845" t="s">
        <v>1643</v>
      </c>
      <c r="CL18" s="623">
        <v>0</v>
      </c>
      <c r="CM18" s="623">
        <v>0</v>
      </c>
      <c r="CN18" s="796">
        <v>0</v>
      </c>
      <c r="CO18" s="728">
        <v>0</v>
      </c>
      <c r="CP18" s="728">
        <v>0</v>
      </c>
      <c r="CQ18" s="215" t="s">
        <v>1283</v>
      </c>
      <c r="CR18" s="795">
        <v>0</v>
      </c>
      <c r="CS18" s="623">
        <v>0</v>
      </c>
      <c r="CT18" s="796">
        <v>1</v>
      </c>
      <c r="CU18" s="728">
        <v>1</v>
      </c>
      <c r="CV18" s="728">
        <v>1</v>
      </c>
      <c r="CW18" s="215" t="s">
        <v>1653</v>
      </c>
      <c r="CX18" s="210">
        <v>100</v>
      </c>
    </row>
    <row r="19" spans="1:256" ht="157.5">
      <c r="A19" s="787"/>
      <c r="B19" s="790" t="s">
        <v>55</v>
      </c>
      <c r="C19" s="790" t="s">
        <v>88</v>
      </c>
      <c r="D19" s="790" t="s">
        <v>61</v>
      </c>
      <c r="E19" s="790" t="s">
        <v>57</v>
      </c>
      <c r="F19" s="847" t="s">
        <v>62</v>
      </c>
      <c r="G19" s="790" t="s">
        <v>53</v>
      </c>
      <c r="H19" s="790" t="s">
        <v>63</v>
      </c>
      <c r="I19" s="790" t="s">
        <v>64</v>
      </c>
      <c r="J19" s="790" t="s">
        <v>54</v>
      </c>
      <c r="K19" s="849"/>
      <c r="L19" s="850">
        <v>1</v>
      </c>
      <c r="M19" s="850"/>
      <c r="N19" s="850">
        <v>1</v>
      </c>
      <c r="O19" s="849"/>
      <c r="P19" s="851">
        <v>1</v>
      </c>
      <c r="Q19" s="852"/>
      <c r="R19" s="851">
        <v>1</v>
      </c>
      <c r="S19" s="852"/>
      <c r="T19" s="851">
        <v>1</v>
      </c>
      <c r="U19" s="853"/>
      <c r="V19" s="851">
        <v>1</v>
      </c>
      <c r="W19" s="840">
        <v>1</v>
      </c>
      <c r="X19" s="623"/>
      <c r="Y19" s="623"/>
      <c r="Z19" s="796" t="str">
        <f t="shared" si="12"/>
        <v xml:space="preserve"> </v>
      </c>
      <c r="AA19" s="797"/>
      <c r="AB19" s="24" t="str">
        <f t="shared" si="13"/>
        <v xml:space="preserve"> </v>
      </c>
      <c r="AC19" s="215" t="s">
        <v>1555</v>
      </c>
      <c r="AD19" s="795">
        <v>0</v>
      </c>
      <c r="AE19" s="623">
        <f>+L19</f>
        <v>1</v>
      </c>
      <c r="AF19" s="796">
        <f t="shared" si="14"/>
        <v>0</v>
      </c>
      <c r="AG19" s="797">
        <f>+L19</f>
        <v>1</v>
      </c>
      <c r="AH19" s="24">
        <f t="shared" si="11"/>
        <v>0</v>
      </c>
      <c r="AI19" s="215" t="s">
        <v>1654</v>
      </c>
      <c r="AJ19" s="795"/>
      <c r="AK19" s="623"/>
      <c r="AL19" s="796" t="str">
        <f t="shared" si="15"/>
        <v xml:space="preserve"> </v>
      </c>
      <c r="AM19" s="797"/>
      <c r="AN19" s="24" t="str">
        <f t="shared" si="16"/>
        <v xml:space="preserve"> </v>
      </c>
      <c r="AO19" s="215" t="s">
        <v>1555</v>
      </c>
      <c r="AP19" s="795"/>
      <c r="AQ19" s="623">
        <f>+N19</f>
        <v>1</v>
      </c>
      <c r="AR19" s="796">
        <f t="shared" si="17"/>
        <v>0</v>
      </c>
      <c r="AS19" s="797">
        <f>+N19</f>
        <v>1</v>
      </c>
      <c r="AT19" s="24">
        <f t="shared" si="18"/>
        <v>0</v>
      </c>
      <c r="AU19" s="215" t="s">
        <v>1655</v>
      </c>
      <c r="AV19" s="795"/>
      <c r="AW19" s="623">
        <f t="shared" si="19"/>
        <v>0</v>
      </c>
      <c r="AX19" s="796" t="str">
        <f t="shared" si="20"/>
        <v xml:space="preserve"> </v>
      </c>
      <c r="AY19" s="797"/>
      <c r="AZ19" s="24" t="str">
        <f t="shared" si="21"/>
        <v xml:space="preserve"> </v>
      </c>
      <c r="BA19" s="782" t="s">
        <v>1555</v>
      </c>
      <c r="BB19" s="841">
        <v>0</v>
      </c>
      <c r="BC19" s="842">
        <v>0</v>
      </c>
      <c r="BD19" s="796" t="str">
        <f t="shared" si="22"/>
        <v xml:space="preserve"> </v>
      </c>
      <c r="BE19" s="797">
        <f>+P19</f>
        <v>1</v>
      </c>
      <c r="BF19" s="728" t="str">
        <f t="shared" si="23"/>
        <v xml:space="preserve"> </v>
      </c>
      <c r="BG19" s="843" t="s">
        <v>1281</v>
      </c>
      <c r="BH19" s="623"/>
      <c r="BI19" s="623"/>
      <c r="BJ19" s="796" t="str">
        <f t="shared" si="24"/>
        <v xml:space="preserve"> </v>
      </c>
      <c r="BK19" s="797"/>
      <c r="BL19" s="728" t="str">
        <f t="shared" si="25"/>
        <v xml:space="preserve"> </v>
      </c>
      <c r="BM19" s="215" t="s">
        <v>1555</v>
      </c>
      <c r="BN19" s="854">
        <v>0</v>
      </c>
      <c r="BO19" s="855">
        <f>+R19</f>
        <v>1</v>
      </c>
      <c r="BP19" s="694">
        <f t="shared" si="26"/>
        <v>0</v>
      </c>
      <c r="BQ19" s="23">
        <f t="shared" si="29"/>
        <v>1</v>
      </c>
      <c r="BR19" s="24">
        <f t="shared" si="27"/>
        <v>0</v>
      </c>
      <c r="BS19" s="215" t="s">
        <v>1656</v>
      </c>
      <c r="BT19" s="854"/>
      <c r="BU19" s="856">
        <f>+S19</f>
        <v>0</v>
      </c>
      <c r="BV19" s="694" t="str">
        <f t="shared" si="28"/>
        <v xml:space="preserve"> </v>
      </c>
      <c r="BW19" s="23">
        <f t="shared" si="8"/>
        <v>0</v>
      </c>
      <c r="BX19" s="24" t="str">
        <f>IF(BU19=0," ",BV19/BW19)</f>
        <v xml:space="preserve"> </v>
      </c>
      <c r="BY19" s="215" t="s">
        <v>1555</v>
      </c>
      <c r="BZ19" s="623">
        <v>0</v>
      </c>
      <c r="CA19" s="623">
        <v>100</v>
      </c>
      <c r="CB19" s="796">
        <f>IF(CA19=0," ",BZ19/CA19)</f>
        <v>0</v>
      </c>
      <c r="CC19" s="728">
        <v>1</v>
      </c>
      <c r="CD19" s="728">
        <f>IF(CA19=0," ",CB19/CC19)</f>
        <v>0</v>
      </c>
      <c r="CE19" s="820" t="s">
        <v>1657</v>
      </c>
      <c r="CF19" s="623">
        <v>0</v>
      </c>
      <c r="CG19" s="623">
        <v>0</v>
      </c>
      <c r="CH19" s="796">
        <v>0</v>
      </c>
      <c r="CI19" s="728">
        <v>0</v>
      </c>
      <c r="CJ19" s="728">
        <v>0</v>
      </c>
      <c r="CK19" s="845" t="s">
        <v>1643</v>
      </c>
      <c r="CL19" s="623">
        <v>0</v>
      </c>
      <c r="CM19" s="623">
        <v>100</v>
      </c>
      <c r="CN19" s="796">
        <v>0</v>
      </c>
      <c r="CO19" s="728">
        <v>1</v>
      </c>
      <c r="CP19" s="728">
        <v>0</v>
      </c>
      <c r="CQ19" s="215" t="s">
        <v>1658</v>
      </c>
      <c r="CR19" s="795">
        <f>+X19+AD19+AJ19+AP19+AV19+BB19+BH19+BN19+BT19</f>
        <v>0</v>
      </c>
      <c r="CS19" s="623">
        <f>+Y19+AE19+AK19+AQ19+AW19+BC19+BI19+BO19+BU19</f>
        <v>3</v>
      </c>
      <c r="CT19" s="796">
        <v>0</v>
      </c>
      <c r="CU19" s="728">
        <v>0</v>
      </c>
      <c r="CV19" s="728">
        <v>0</v>
      </c>
      <c r="CW19" s="215" t="s">
        <v>1659</v>
      </c>
      <c r="CX19" s="210">
        <v>0</v>
      </c>
    </row>
    <row r="20" spans="1:256" ht="63">
      <c r="A20" s="787"/>
      <c r="B20" s="846" t="s">
        <v>260</v>
      </c>
      <c r="C20" s="790" t="s">
        <v>261</v>
      </c>
      <c r="D20" s="846" t="s">
        <v>262</v>
      </c>
      <c r="E20" s="790" t="s">
        <v>263</v>
      </c>
      <c r="F20" s="846" t="s">
        <v>264</v>
      </c>
      <c r="G20" s="790" t="s">
        <v>66</v>
      </c>
      <c r="H20" s="846" t="s">
        <v>390</v>
      </c>
      <c r="I20" s="790" t="s">
        <v>267</v>
      </c>
      <c r="J20" s="790" t="s">
        <v>391</v>
      </c>
      <c r="K20" s="839">
        <v>0</v>
      </c>
      <c r="L20" s="857">
        <v>911847957</v>
      </c>
      <c r="M20" s="857">
        <v>7697816358</v>
      </c>
      <c r="N20" s="857">
        <v>9238774330</v>
      </c>
      <c r="O20" s="857">
        <v>7600670108</v>
      </c>
      <c r="P20" s="857">
        <v>6125742284</v>
      </c>
      <c r="Q20" s="857">
        <v>9852690945</v>
      </c>
      <c r="R20" s="857">
        <v>5496380646</v>
      </c>
      <c r="S20" s="857">
        <v>6736545912</v>
      </c>
      <c r="T20" s="857">
        <v>11787790167</v>
      </c>
      <c r="U20" s="857">
        <v>6343421660</v>
      </c>
      <c r="V20" s="857">
        <v>1357586126</v>
      </c>
      <c r="W20" s="858">
        <f>SUM(K20:V20)</f>
        <v>73149266493</v>
      </c>
      <c r="X20" s="623"/>
      <c r="Y20" s="623"/>
      <c r="Z20" s="796" t="str">
        <f t="shared" si="12"/>
        <v xml:space="preserve"> </v>
      </c>
      <c r="AA20" s="797"/>
      <c r="AB20" s="24" t="str">
        <f t="shared" si="13"/>
        <v xml:space="preserve"> </v>
      </c>
      <c r="AC20" s="215" t="s">
        <v>1555</v>
      </c>
      <c r="AD20" s="859">
        <v>1371524</v>
      </c>
      <c r="AE20" s="855">
        <f>+L20</f>
        <v>911847957</v>
      </c>
      <c r="AF20" s="860">
        <f t="shared" si="14"/>
        <v>1.5041147918040463E-3</v>
      </c>
      <c r="AG20" s="803">
        <v>1.2500000000000001E-2</v>
      </c>
      <c r="AH20" s="861">
        <v>1.5E-3</v>
      </c>
      <c r="AI20" s="215" t="s">
        <v>1660</v>
      </c>
      <c r="AJ20" s="859">
        <v>4673348927</v>
      </c>
      <c r="AK20" s="855">
        <f>+M20</f>
        <v>7697816358</v>
      </c>
      <c r="AL20" s="796">
        <f t="shared" si="15"/>
        <v>0.6071005996581349</v>
      </c>
      <c r="AM20" s="803">
        <v>0.1052</v>
      </c>
      <c r="AN20" s="24">
        <v>0.61</v>
      </c>
      <c r="AO20" s="215" t="s">
        <v>1661</v>
      </c>
      <c r="AP20" s="859">
        <v>4192991526</v>
      </c>
      <c r="AQ20" s="855">
        <f>+N20</f>
        <v>9238774330</v>
      </c>
      <c r="AR20" s="796">
        <f t="shared" si="17"/>
        <v>0.45384716372869777</v>
      </c>
      <c r="AS20" s="803">
        <v>0.1263</v>
      </c>
      <c r="AT20" s="24">
        <v>0.45</v>
      </c>
      <c r="AU20" s="215" t="s">
        <v>1662</v>
      </c>
      <c r="AV20" s="859">
        <v>2717445988</v>
      </c>
      <c r="AW20" s="855">
        <f t="shared" si="19"/>
        <v>7600670108</v>
      </c>
      <c r="AX20" s="796">
        <f t="shared" si="20"/>
        <v>0.35752715870930679</v>
      </c>
      <c r="AY20" s="803">
        <v>0.10390000000000001</v>
      </c>
      <c r="AZ20" s="24">
        <v>0.36</v>
      </c>
      <c r="BA20" s="843" t="s">
        <v>1663</v>
      </c>
      <c r="BB20" s="859">
        <v>5751732682</v>
      </c>
      <c r="BC20" s="862">
        <f>+P20</f>
        <v>6125742284</v>
      </c>
      <c r="BD20" s="796">
        <f t="shared" si="22"/>
        <v>0.93894460709245209</v>
      </c>
      <c r="BE20" s="803">
        <v>8.3699999999999997E-2</v>
      </c>
      <c r="BF20" s="728">
        <v>0.94</v>
      </c>
      <c r="BG20" s="843" t="s">
        <v>1664</v>
      </c>
      <c r="BH20" s="855">
        <v>18630421180</v>
      </c>
      <c r="BI20" s="855">
        <f>+Q20</f>
        <v>9852690945</v>
      </c>
      <c r="BJ20" s="796">
        <v>1</v>
      </c>
      <c r="BK20" s="797">
        <v>0.13469999999999999</v>
      </c>
      <c r="BL20" s="728">
        <v>1</v>
      </c>
      <c r="BM20" s="215"/>
      <c r="BN20" s="854">
        <v>13384269750</v>
      </c>
      <c r="BO20" s="855">
        <f>+R20</f>
        <v>5496380646</v>
      </c>
      <c r="BP20" s="694">
        <v>1</v>
      </c>
      <c r="BQ20" s="23">
        <v>7.51E-2</v>
      </c>
      <c r="BR20" s="24">
        <v>1</v>
      </c>
      <c r="BS20" s="215"/>
      <c r="BT20" s="863">
        <v>6788788673</v>
      </c>
      <c r="BU20" s="864">
        <v>6736545912</v>
      </c>
      <c r="BV20" s="865">
        <v>1</v>
      </c>
      <c r="BW20" s="866">
        <v>0.09</v>
      </c>
      <c r="BX20" s="867">
        <v>1</v>
      </c>
      <c r="BY20" s="215" t="s">
        <v>1665</v>
      </c>
      <c r="BZ20" s="863">
        <v>10286440674</v>
      </c>
      <c r="CA20" s="864">
        <f>75829560863*0.16</f>
        <v>12132729738.08</v>
      </c>
      <c r="CB20" s="865">
        <f>IF(CA20=0," ",BZ20/CA20)</f>
        <v>0.84782574870309646</v>
      </c>
      <c r="CC20" s="866">
        <v>0.16</v>
      </c>
      <c r="CD20" s="867">
        <v>0.85</v>
      </c>
      <c r="CE20" s="820" t="s">
        <v>1666</v>
      </c>
      <c r="CF20" s="863">
        <v>1396587530</v>
      </c>
      <c r="CG20" s="864">
        <v>6343421660</v>
      </c>
      <c r="CH20" s="865">
        <f>IF(CG20=0," ",CF20/CG20)</f>
        <v>0.22016312407647831</v>
      </c>
      <c r="CI20" s="866">
        <v>0.08</v>
      </c>
      <c r="CJ20" s="867">
        <v>1</v>
      </c>
      <c r="CK20" s="868" t="s">
        <v>1667</v>
      </c>
      <c r="CL20" s="869">
        <v>5998259245</v>
      </c>
      <c r="CM20" s="869">
        <v>1357586126</v>
      </c>
      <c r="CN20" s="796">
        <v>0.08</v>
      </c>
      <c r="CO20" s="728">
        <v>0.02</v>
      </c>
      <c r="CP20" s="728">
        <v>1</v>
      </c>
      <c r="CQ20" s="215" t="s">
        <v>1668</v>
      </c>
      <c r="CR20" s="870">
        <f>+X20+AD20+AJ20+AP20+AV20+BB20+BH20+BN20+BT20+BZ20+CF20+CL20</f>
        <v>73821657699</v>
      </c>
      <c r="CS20" s="869">
        <f>+Y20+AE20+AK20+AQ20+AW20+BC20+BI20+BO20+BU20+CA20+CG20+CM20</f>
        <v>73494206064.080002</v>
      </c>
      <c r="CT20" s="796">
        <v>1</v>
      </c>
      <c r="CU20" s="728">
        <v>1</v>
      </c>
      <c r="CV20" s="728">
        <v>1</v>
      </c>
      <c r="CW20" s="215" t="s">
        <v>1669</v>
      </c>
      <c r="CX20" s="210">
        <v>100</v>
      </c>
    </row>
    <row r="21" spans="1:256" ht="63">
      <c r="A21" s="787"/>
      <c r="B21" s="846" t="s">
        <v>260</v>
      </c>
      <c r="C21" s="790" t="s">
        <v>273</v>
      </c>
      <c r="D21" s="871" t="s">
        <v>274</v>
      </c>
      <c r="E21" s="790" t="s">
        <v>275</v>
      </c>
      <c r="F21" s="846" t="s">
        <v>276</v>
      </c>
      <c r="G21" s="790" t="s">
        <v>66</v>
      </c>
      <c r="H21" s="846" t="s">
        <v>394</v>
      </c>
      <c r="I21" s="790" t="s">
        <v>267</v>
      </c>
      <c r="J21" s="790" t="s">
        <v>391</v>
      </c>
      <c r="K21" s="857">
        <v>1922147423</v>
      </c>
      <c r="L21" s="857">
        <v>2810629763</v>
      </c>
      <c r="M21" s="857">
        <v>2549494331</v>
      </c>
      <c r="N21" s="857">
        <v>5954200248</v>
      </c>
      <c r="O21" s="857">
        <v>10481441889</v>
      </c>
      <c r="P21" s="857">
        <v>11344363669</v>
      </c>
      <c r="Q21" s="857">
        <v>10156523313</v>
      </c>
      <c r="R21" s="857">
        <v>12092400899</v>
      </c>
      <c r="S21" s="857">
        <v>10471064973</v>
      </c>
      <c r="T21" s="857">
        <v>9610676723</v>
      </c>
      <c r="U21" s="857">
        <v>8385469054</v>
      </c>
      <c r="V21" s="857">
        <v>7570360916</v>
      </c>
      <c r="W21" s="858">
        <f>SUM(K21:V21)</f>
        <v>93348773201</v>
      </c>
      <c r="X21" s="664">
        <v>3395378061</v>
      </c>
      <c r="Y21" s="855">
        <f>+K21</f>
        <v>1922147423</v>
      </c>
      <c r="Z21" s="796">
        <v>1</v>
      </c>
      <c r="AA21" s="803">
        <v>2.06E-2</v>
      </c>
      <c r="AB21" s="24">
        <v>1</v>
      </c>
      <c r="AC21" s="215" t="s">
        <v>1670</v>
      </c>
      <c r="AD21" s="859">
        <v>10245795009</v>
      </c>
      <c r="AE21" s="855">
        <f>+L21</f>
        <v>2810629763</v>
      </c>
      <c r="AF21" s="796">
        <v>1</v>
      </c>
      <c r="AG21" s="803">
        <v>3.0099999999999998E-2</v>
      </c>
      <c r="AH21" s="24">
        <v>1</v>
      </c>
      <c r="AI21" s="215" t="s">
        <v>1671</v>
      </c>
      <c r="AJ21" s="859">
        <v>4631261671</v>
      </c>
      <c r="AK21" s="855">
        <f>+M21</f>
        <v>2549494331</v>
      </c>
      <c r="AL21" s="796">
        <v>1</v>
      </c>
      <c r="AM21" s="803">
        <v>2.7300000000000001E-2</v>
      </c>
      <c r="AN21" s="24">
        <v>1</v>
      </c>
      <c r="AO21" s="215" t="s">
        <v>1672</v>
      </c>
      <c r="AP21" s="859">
        <v>3108712453</v>
      </c>
      <c r="AQ21" s="855">
        <f>+N21</f>
        <v>5954200248</v>
      </c>
      <c r="AR21" s="796">
        <f t="shared" si="17"/>
        <v>0.52210411533340828</v>
      </c>
      <c r="AS21" s="803">
        <v>6.3799999999999996E-2</v>
      </c>
      <c r="AT21" s="24">
        <v>0.52</v>
      </c>
      <c r="AU21" s="215" t="s">
        <v>1673</v>
      </c>
      <c r="AV21" s="859">
        <v>5953652073</v>
      </c>
      <c r="AW21" s="855">
        <f t="shared" si="19"/>
        <v>10481441889</v>
      </c>
      <c r="AX21" s="796">
        <f t="shared" si="20"/>
        <v>0.56801842113423373</v>
      </c>
      <c r="AY21" s="803">
        <v>0.1123</v>
      </c>
      <c r="AZ21" s="24">
        <v>0.56999999999999995</v>
      </c>
      <c r="BA21" s="843" t="s">
        <v>1674</v>
      </c>
      <c r="BB21" s="859">
        <v>11701288429</v>
      </c>
      <c r="BC21" s="862">
        <f>+P21</f>
        <v>11344363669</v>
      </c>
      <c r="BD21" s="796">
        <v>1</v>
      </c>
      <c r="BE21" s="803">
        <v>0.1215</v>
      </c>
      <c r="BF21" s="728">
        <v>1</v>
      </c>
      <c r="BG21" s="843" t="s">
        <v>1675</v>
      </c>
      <c r="BH21" s="855">
        <v>8280052954</v>
      </c>
      <c r="BI21" s="623">
        <f>+Q21</f>
        <v>10156523313</v>
      </c>
      <c r="BJ21" s="796">
        <f t="shared" si="24"/>
        <v>0.81524481348866862</v>
      </c>
      <c r="BK21" s="797">
        <v>0.10879999999999999</v>
      </c>
      <c r="BL21" s="728">
        <v>0.82</v>
      </c>
      <c r="BM21" s="215"/>
      <c r="BN21" s="855">
        <v>12902627805</v>
      </c>
      <c r="BO21" s="623">
        <f>+R21</f>
        <v>12092400899</v>
      </c>
      <c r="BP21" s="694">
        <v>1</v>
      </c>
      <c r="BQ21" s="23">
        <v>0.1295</v>
      </c>
      <c r="BR21" s="24">
        <v>1</v>
      </c>
      <c r="BS21" s="215"/>
      <c r="BT21" s="863">
        <v>10871518129</v>
      </c>
      <c r="BU21" s="864">
        <v>10471064973</v>
      </c>
      <c r="BV21" s="865">
        <v>1</v>
      </c>
      <c r="BW21" s="866">
        <v>0.08</v>
      </c>
      <c r="BX21" s="867">
        <v>1</v>
      </c>
      <c r="BY21" s="215" t="s">
        <v>1676</v>
      </c>
      <c r="BZ21" s="863">
        <v>12251981701</v>
      </c>
      <c r="CA21" s="864">
        <f>135542650451*0.07</f>
        <v>9487985531.5700016</v>
      </c>
      <c r="CB21" s="865">
        <v>1</v>
      </c>
      <c r="CC21" s="866">
        <v>7.0000000000000007E-2</v>
      </c>
      <c r="CD21" s="867">
        <v>1</v>
      </c>
      <c r="CE21" s="820" t="s">
        <v>1677</v>
      </c>
      <c r="CF21" s="863">
        <v>7470988873</v>
      </c>
      <c r="CG21" s="864">
        <v>8385469054</v>
      </c>
      <c r="CH21" s="865">
        <f>IF(CG21=0," ",CF21/CG21)</f>
        <v>0.89094465973089743</v>
      </c>
      <c r="CI21" s="866">
        <v>0.06</v>
      </c>
      <c r="CJ21" s="867">
        <v>0.89</v>
      </c>
      <c r="CK21" s="868" t="s">
        <v>1678</v>
      </c>
      <c r="CL21" s="869">
        <v>14539260416</v>
      </c>
      <c r="CM21" s="869">
        <v>7570360916</v>
      </c>
      <c r="CN21" s="796">
        <v>0.15579999999999999</v>
      </c>
      <c r="CO21" s="728">
        <v>0.09</v>
      </c>
      <c r="CP21" s="728">
        <v>1</v>
      </c>
      <c r="CQ21" s="215" t="s">
        <v>1668</v>
      </c>
      <c r="CR21" s="870">
        <f>+X21+AD21+AJ21+AP21+AV21+BB21+BH21+BN21+BT21+BZ21+CF21+CL21</f>
        <v>105352517574</v>
      </c>
      <c r="CS21" s="869">
        <f>+Y21+AE21+AK21+AQ21+AW21+BC21+BI21+BO21+BU21+CA21+CG21+CM21</f>
        <v>93226082009.570007</v>
      </c>
      <c r="CT21" s="796">
        <v>1</v>
      </c>
      <c r="CU21" s="728">
        <v>1</v>
      </c>
      <c r="CV21" s="728">
        <v>1</v>
      </c>
      <c r="CW21" s="215" t="s">
        <v>1679</v>
      </c>
      <c r="CX21" s="210">
        <v>100</v>
      </c>
    </row>
    <row r="22" spans="1:256" ht="45">
      <c r="A22" s="787"/>
      <c r="B22" s="846" t="s">
        <v>67</v>
      </c>
      <c r="C22" s="790" t="s">
        <v>90</v>
      </c>
      <c r="D22" s="790" t="s">
        <v>93</v>
      </c>
      <c r="E22" s="790" t="s">
        <v>68</v>
      </c>
      <c r="F22" s="790" t="s">
        <v>69</v>
      </c>
      <c r="G22" s="790" t="s">
        <v>53</v>
      </c>
      <c r="H22" s="790" t="s">
        <v>70</v>
      </c>
      <c r="I22" s="790" t="s">
        <v>71</v>
      </c>
      <c r="J22" s="790" t="s">
        <v>54</v>
      </c>
      <c r="K22" s="872"/>
      <c r="L22" s="873"/>
      <c r="M22" s="873"/>
      <c r="N22" s="873"/>
      <c r="O22" s="873"/>
      <c r="P22" s="873"/>
      <c r="Q22" s="874"/>
      <c r="R22" s="874"/>
      <c r="S22" s="874">
        <v>0</v>
      </c>
      <c r="T22" s="874"/>
      <c r="U22" s="874"/>
      <c r="V22" s="874">
        <v>0.9</v>
      </c>
      <c r="W22" s="840">
        <v>0.9</v>
      </c>
      <c r="X22" s="855">
        <v>70000000</v>
      </c>
      <c r="Y22" s="623">
        <v>0</v>
      </c>
      <c r="Z22" s="796" t="str">
        <f t="shared" si="12"/>
        <v xml:space="preserve"> </v>
      </c>
      <c r="AA22" s="875">
        <f>+K22</f>
        <v>0</v>
      </c>
      <c r="AB22" s="24" t="str">
        <f t="shared" si="13"/>
        <v xml:space="preserve"> </v>
      </c>
      <c r="AC22" s="215" t="s">
        <v>1680</v>
      </c>
      <c r="AD22" s="876">
        <v>92184500</v>
      </c>
      <c r="AE22" s="623">
        <v>0</v>
      </c>
      <c r="AF22" s="796" t="str">
        <f t="shared" si="14"/>
        <v xml:space="preserve"> </v>
      </c>
      <c r="AG22" s="877">
        <f>+L22</f>
        <v>0</v>
      </c>
      <c r="AH22" s="24" t="str">
        <f t="shared" si="11"/>
        <v xml:space="preserve"> </v>
      </c>
      <c r="AI22" s="215" t="s">
        <v>1681</v>
      </c>
      <c r="AJ22" s="876">
        <v>375072645</v>
      </c>
      <c r="AK22" s="623">
        <v>0</v>
      </c>
      <c r="AL22" s="796" t="str">
        <f t="shared" si="15"/>
        <v xml:space="preserve"> </v>
      </c>
      <c r="AM22" s="877">
        <f>+M22</f>
        <v>0</v>
      </c>
      <c r="AN22" s="24" t="str">
        <f t="shared" si="16"/>
        <v xml:space="preserve"> </v>
      </c>
      <c r="AO22" s="215" t="s">
        <v>1682</v>
      </c>
      <c r="AP22" s="876">
        <v>83000000</v>
      </c>
      <c r="AQ22" s="623">
        <f>+N22</f>
        <v>0</v>
      </c>
      <c r="AR22" s="796" t="str">
        <f t="shared" si="17"/>
        <v xml:space="preserve"> </v>
      </c>
      <c r="AS22" s="797"/>
      <c r="AT22" s="24" t="str">
        <f t="shared" si="18"/>
        <v xml:space="preserve"> </v>
      </c>
      <c r="AU22" s="215" t="s">
        <v>1682</v>
      </c>
      <c r="AV22" s="859">
        <v>761586212</v>
      </c>
      <c r="AW22" s="623">
        <f t="shared" si="19"/>
        <v>0</v>
      </c>
      <c r="AX22" s="796" t="str">
        <f t="shared" si="20"/>
        <v xml:space="preserve"> </v>
      </c>
      <c r="AY22" s="877">
        <f>+O22</f>
        <v>0</v>
      </c>
      <c r="AZ22" s="24" t="str">
        <f t="shared" si="21"/>
        <v xml:space="preserve"> </v>
      </c>
      <c r="BA22" s="878" t="s">
        <v>1683</v>
      </c>
      <c r="BB22" s="841"/>
      <c r="BC22" s="842"/>
      <c r="BD22" s="796" t="str">
        <f t="shared" si="22"/>
        <v xml:space="preserve"> </v>
      </c>
      <c r="BE22" s="797">
        <v>0</v>
      </c>
      <c r="BF22" s="728" t="str">
        <f t="shared" si="23"/>
        <v xml:space="preserve"> </v>
      </c>
      <c r="BG22" s="843" t="s">
        <v>1555</v>
      </c>
      <c r="BH22" s="855">
        <v>64256055</v>
      </c>
      <c r="BI22" s="623"/>
      <c r="BJ22" s="796" t="str">
        <f t="shared" si="24"/>
        <v xml:space="preserve"> </v>
      </c>
      <c r="BK22" s="797"/>
      <c r="BL22" s="728" t="str">
        <f t="shared" si="25"/>
        <v xml:space="preserve"> </v>
      </c>
      <c r="BM22" s="843" t="s">
        <v>1555</v>
      </c>
      <c r="BN22" s="855">
        <v>1696050810</v>
      </c>
      <c r="BO22" s="855"/>
      <c r="BP22" s="694" t="str">
        <f t="shared" si="26"/>
        <v xml:space="preserve"> </v>
      </c>
      <c r="BQ22" s="23">
        <f t="shared" si="29"/>
        <v>0</v>
      </c>
      <c r="BR22" s="24" t="str">
        <f t="shared" si="27"/>
        <v xml:space="preserve"> </v>
      </c>
      <c r="BS22" s="215" t="s">
        <v>1684</v>
      </c>
      <c r="BT22" s="855">
        <v>0</v>
      </c>
      <c r="BU22" s="856">
        <f>+S22</f>
        <v>0</v>
      </c>
      <c r="BV22" s="694">
        <f ca="1">-BV22</f>
        <v>0</v>
      </c>
      <c r="BW22" s="23">
        <f t="shared" si="8"/>
        <v>0</v>
      </c>
      <c r="BX22" s="24" t="s">
        <v>1556</v>
      </c>
      <c r="BY22" s="215" t="s">
        <v>1555</v>
      </c>
      <c r="BZ22" s="623">
        <v>0</v>
      </c>
      <c r="CA22" s="623">
        <v>0</v>
      </c>
      <c r="CB22" s="796">
        <v>0</v>
      </c>
      <c r="CC22" s="728">
        <v>0</v>
      </c>
      <c r="CD22" s="728" t="s">
        <v>1556</v>
      </c>
      <c r="CE22" s="215" t="s">
        <v>1557</v>
      </c>
      <c r="CF22" s="623"/>
      <c r="CG22" s="623"/>
      <c r="CH22" s="796"/>
      <c r="CI22" s="728"/>
      <c r="CJ22" s="867"/>
      <c r="CK22" s="799"/>
      <c r="CL22" s="869">
        <v>174232642066</v>
      </c>
      <c r="CM22" s="869">
        <v>160561595842</v>
      </c>
      <c r="CN22" s="796">
        <v>1</v>
      </c>
      <c r="CO22" s="728">
        <v>0.9</v>
      </c>
      <c r="CP22" s="728">
        <v>1</v>
      </c>
      <c r="CQ22" s="215" t="s">
        <v>1685</v>
      </c>
      <c r="CR22" s="870">
        <f>+CL22</f>
        <v>174232642066</v>
      </c>
      <c r="CS22" s="855">
        <f>+CM22</f>
        <v>160561595842</v>
      </c>
      <c r="CT22" s="796">
        <v>1</v>
      </c>
      <c r="CU22" s="728">
        <f>+K22+L22+M22+N22+O22+P22+Q22+R22+S22+T22+U22+V22</f>
        <v>0.9</v>
      </c>
      <c r="CV22" s="728">
        <v>1</v>
      </c>
      <c r="CW22" s="215" t="s">
        <v>1686</v>
      </c>
      <c r="CX22" s="210">
        <v>100</v>
      </c>
    </row>
    <row r="23" spans="1:256" ht="213.75">
      <c r="A23" s="787"/>
      <c r="B23" s="846" t="s">
        <v>73</v>
      </c>
      <c r="C23" s="790" t="s">
        <v>91</v>
      </c>
      <c r="D23" s="790" t="s">
        <v>74</v>
      </c>
      <c r="E23" s="790" t="s">
        <v>75</v>
      </c>
      <c r="F23" s="790" t="s">
        <v>76</v>
      </c>
      <c r="G23" s="790" t="s">
        <v>53</v>
      </c>
      <c r="H23" s="790" t="s">
        <v>77</v>
      </c>
      <c r="I23" s="790" t="s">
        <v>78</v>
      </c>
      <c r="J23" s="790" t="s">
        <v>54</v>
      </c>
      <c r="K23" s="791">
        <v>0.8</v>
      </c>
      <c r="L23" s="791">
        <v>0.8</v>
      </c>
      <c r="M23" s="791">
        <v>0.8</v>
      </c>
      <c r="N23" s="791">
        <v>0.8</v>
      </c>
      <c r="O23" s="791">
        <v>0.8</v>
      </c>
      <c r="P23" s="791">
        <v>0.8</v>
      </c>
      <c r="Q23" s="791">
        <v>0.8</v>
      </c>
      <c r="R23" s="791">
        <v>0.8</v>
      </c>
      <c r="S23" s="791">
        <v>0.8</v>
      </c>
      <c r="T23" s="791">
        <v>0.8</v>
      </c>
      <c r="U23" s="791">
        <v>0.8</v>
      </c>
      <c r="V23" s="791">
        <v>0.8</v>
      </c>
      <c r="W23" s="840">
        <v>0.8</v>
      </c>
      <c r="X23" s="879">
        <v>3423665387</v>
      </c>
      <c r="Y23" s="879">
        <v>1922147423.4000001</v>
      </c>
      <c r="Z23" s="796">
        <v>1</v>
      </c>
      <c r="AA23" s="797">
        <f>+K23</f>
        <v>0.8</v>
      </c>
      <c r="AB23" s="24">
        <v>1</v>
      </c>
      <c r="AC23" s="799" t="s">
        <v>1687</v>
      </c>
      <c r="AD23" s="880">
        <v>10245795009</v>
      </c>
      <c r="AE23" s="881">
        <v>3733223720</v>
      </c>
      <c r="AF23" s="882">
        <v>1</v>
      </c>
      <c r="AG23" s="797">
        <f>+L23</f>
        <v>0.8</v>
      </c>
      <c r="AH23" s="24">
        <v>1</v>
      </c>
      <c r="AI23" s="799" t="s">
        <v>1687</v>
      </c>
      <c r="AJ23" s="883">
        <v>9769961616</v>
      </c>
      <c r="AK23" s="883">
        <v>10615723789</v>
      </c>
      <c r="AL23" s="796">
        <f t="shared" si="15"/>
        <v>0.92032929738842884</v>
      </c>
      <c r="AM23" s="797">
        <f>+M23</f>
        <v>0.8</v>
      </c>
      <c r="AN23" s="24">
        <v>0.92</v>
      </c>
      <c r="AO23" s="799" t="s">
        <v>1687</v>
      </c>
      <c r="AP23" s="855">
        <v>7301703208</v>
      </c>
      <c r="AQ23" s="884">
        <v>11454107309.833334</v>
      </c>
      <c r="AR23" s="796">
        <f t="shared" si="17"/>
        <v>0.63747466393400198</v>
      </c>
      <c r="AS23" s="797">
        <f>+N23</f>
        <v>0.8</v>
      </c>
      <c r="AT23" s="24">
        <v>0.64</v>
      </c>
      <c r="AU23" s="799" t="s">
        <v>1687</v>
      </c>
      <c r="AV23" s="855">
        <v>8671080629</v>
      </c>
      <c r="AW23" s="855">
        <v>5586677693.1333342</v>
      </c>
      <c r="AX23" s="796">
        <v>1</v>
      </c>
      <c r="AY23" s="797">
        <f>+O23</f>
        <v>0.8</v>
      </c>
      <c r="AZ23" s="24">
        <v>1</v>
      </c>
      <c r="BA23" s="799" t="s">
        <v>1687</v>
      </c>
      <c r="BB23" s="855">
        <v>14767724998</v>
      </c>
      <c r="BC23" s="862">
        <v>8815378259.5333309</v>
      </c>
      <c r="BD23" s="796">
        <v>1</v>
      </c>
      <c r="BE23" s="797">
        <f>+P23</f>
        <v>0.8</v>
      </c>
      <c r="BF23" s="728">
        <v>1</v>
      </c>
      <c r="BG23" s="843" t="s">
        <v>1687</v>
      </c>
      <c r="BH23" s="855">
        <v>9631913541</v>
      </c>
      <c r="BI23" s="855">
        <v>3052867027.2333298</v>
      </c>
      <c r="BJ23" s="796">
        <v>1</v>
      </c>
      <c r="BK23" s="797">
        <v>0.8</v>
      </c>
      <c r="BL23" s="728">
        <v>1</v>
      </c>
      <c r="BM23" s="843" t="s">
        <v>1687</v>
      </c>
      <c r="BN23" s="855">
        <v>26077653312</v>
      </c>
      <c r="BO23" s="855">
        <v>2320507553.6333299</v>
      </c>
      <c r="BP23" s="694">
        <v>1</v>
      </c>
      <c r="BQ23" s="23">
        <f t="shared" si="29"/>
        <v>0.8</v>
      </c>
      <c r="BR23" s="24">
        <v>1</v>
      </c>
      <c r="BS23" s="215" t="s">
        <v>1688</v>
      </c>
      <c r="BT23" s="864">
        <v>12414546531</v>
      </c>
      <c r="BU23" s="864">
        <v>15286772279</v>
      </c>
      <c r="BV23" s="694">
        <f t="shared" si="28"/>
        <v>0.81211038566030824</v>
      </c>
      <c r="BW23" s="23">
        <f t="shared" si="8"/>
        <v>0.8</v>
      </c>
      <c r="BX23" s="24">
        <v>1</v>
      </c>
      <c r="BY23" s="215" t="s">
        <v>1689</v>
      </c>
      <c r="BZ23" s="863">
        <v>16631860523</v>
      </c>
      <c r="CA23" s="864">
        <v>17492263923.983334</v>
      </c>
      <c r="CB23" s="796">
        <f>IF(CA23=0," ",BZ23/CA23)</f>
        <v>0.95081234740554943</v>
      </c>
      <c r="CC23" s="728">
        <v>0.8</v>
      </c>
      <c r="CD23" s="728">
        <v>0.95</v>
      </c>
      <c r="CE23" s="215" t="s">
        <v>1689</v>
      </c>
      <c r="CF23" s="869">
        <v>9168457822</v>
      </c>
      <c r="CG23" s="869">
        <v>21072901035</v>
      </c>
      <c r="CH23" s="796">
        <f>+CF23/CG23</f>
        <v>0.43508284914222772</v>
      </c>
      <c r="CI23" s="728">
        <v>0.8</v>
      </c>
      <c r="CJ23" s="728">
        <f>IF(CG23=0," ",CH23/CI23)</f>
        <v>0.54385356142778463</v>
      </c>
      <c r="CK23" s="799" t="s">
        <v>1690</v>
      </c>
      <c r="CL23" s="869">
        <v>29806402117</v>
      </c>
      <c r="CM23" s="869">
        <v>123240404090</v>
      </c>
      <c r="CN23" s="796">
        <v>0.24</v>
      </c>
      <c r="CO23" s="728">
        <v>0.8</v>
      </c>
      <c r="CP23" s="728">
        <f>+CL23/CM23</f>
        <v>0.24185576424459776</v>
      </c>
      <c r="CQ23" s="215" t="s">
        <v>1691</v>
      </c>
      <c r="CR23" s="870">
        <f>+X23+AD23+AJ23+AP23+AV23+BB23+BH23+BN23+BT23+BZ23+CF23+CL23</f>
        <v>157910764693</v>
      </c>
      <c r="CS23" s="869">
        <f>+Y23+AE23+AK23+AQ23+AW23+BC23+BI23+BO23+BU23+CA23+CG23+CM23</f>
        <v>224592974103.75</v>
      </c>
      <c r="CT23" s="796">
        <v>0.7</v>
      </c>
      <c r="CU23" s="728">
        <v>1</v>
      </c>
      <c r="CV23" s="728">
        <f>+CR23/CS23</f>
        <v>0.70309752708494622</v>
      </c>
      <c r="CW23" s="215" t="s">
        <v>1692</v>
      </c>
      <c r="CX23" s="210">
        <v>100</v>
      </c>
    </row>
    <row r="24" spans="1:256">
      <c r="A24" s="787"/>
      <c r="B24" s="2338" t="s">
        <v>17</v>
      </c>
      <c r="C24" s="2338"/>
      <c r="D24" s="2338"/>
      <c r="E24" s="2338"/>
      <c r="F24" s="885"/>
      <c r="G24" s="885"/>
      <c r="H24" s="885"/>
      <c r="I24" s="885"/>
      <c r="J24" s="885"/>
      <c r="K24" s="886"/>
      <c r="L24" s="887"/>
      <c r="M24" s="887"/>
      <c r="N24" s="887"/>
      <c r="O24" s="887"/>
      <c r="P24" s="888"/>
      <c r="Q24" s="888"/>
      <c r="R24" s="888"/>
      <c r="S24" s="888"/>
      <c r="T24" s="888"/>
      <c r="U24" s="888"/>
      <c r="V24" s="888"/>
      <c r="W24" s="768"/>
      <c r="X24" s="768"/>
      <c r="Y24" s="768"/>
      <c r="Z24" s="768"/>
      <c r="AA24" s="768"/>
      <c r="AB24" s="768"/>
      <c r="AC24" s="768"/>
      <c r="AD24" s="768"/>
      <c r="AE24" s="768"/>
      <c r="AF24" s="768"/>
      <c r="AG24" s="768"/>
      <c r="AH24" s="768"/>
      <c r="AI24" s="768"/>
      <c r="AJ24" s="768"/>
      <c r="AK24" s="768"/>
      <c r="AL24" s="768"/>
      <c r="AM24" s="768"/>
      <c r="AN24" s="768"/>
      <c r="AO24" s="768"/>
      <c r="AP24" s="768"/>
      <c r="AQ24" s="768"/>
      <c r="AR24" s="768"/>
      <c r="AS24" s="768"/>
      <c r="AT24" s="768"/>
      <c r="AU24" s="768"/>
      <c r="AV24" s="768"/>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889">
        <f>+(BV9+BV10+BV11+BV12+BV13+BV16+BX17+BX18+BX20+BX21+BX23)/11</f>
        <v>0.70739726424681793</v>
      </c>
      <c r="BW24" s="54"/>
      <c r="BX24" s="54"/>
      <c r="BY24" s="54"/>
      <c r="BZ24" s="54"/>
      <c r="CA24" s="54"/>
      <c r="CB24" s="54"/>
      <c r="CC24" s="54"/>
      <c r="CD24" s="890">
        <f>+(CD9+CD11+CD12+CD13+CD19+CD20+CD21+CD23)/8</f>
        <v>0.84125000000000005</v>
      </c>
      <c r="CE24" s="54"/>
      <c r="CF24" s="54"/>
      <c r="CG24" s="54"/>
      <c r="CH24" s="54"/>
      <c r="CI24" s="54"/>
      <c r="CJ24" s="891">
        <f>+(CJ9+CJ11+CJ20+CJ21+CJ23)/5</f>
        <v>0.8501040456188903</v>
      </c>
      <c r="CK24" s="54"/>
      <c r="CL24" s="54"/>
      <c r="CM24" s="54"/>
      <c r="CN24" s="54"/>
      <c r="CO24" s="54"/>
      <c r="CP24" s="891">
        <f>+(CP9+CP10+CP11+CP12+CP17+CP19+CP20+CP21+CP22+CP23)/10</f>
        <v>0.81818557642445966</v>
      </c>
      <c r="CQ24" s="54"/>
      <c r="CR24" s="54"/>
      <c r="CS24" s="54"/>
      <c r="CT24" s="890"/>
      <c r="CU24" s="890"/>
      <c r="CV24" s="890">
        <f>+(CV8+CV9+CV10+CV11+CV12+CV14+CV16+CV17+CV18+CV19+CV20+CV21+CV23)/13</f>
        <v>0.8148722701043053</v>
      </c>
      <c r="CW24" s="770"/>
    </row>
    <row r="25" spans="1:256">
      <c r="A25" s="787"/>
      <c r="B25" s="54"/>
      <c r="C25" s="762"/>
      <c r="D25" s="54"/>
      <c r="E25" s="54"/>
      <c r="F25" s="54"/>
      <c r="G25" s="54"/>
      <c r="H25" s="54"/>
      <c r="I25" s="54"/>
      <c r="J25" s="54"/>
      <c r="K25" s="892"/>
      <c r="L25" s="892"/>
      <c r="M25" s="892"/>
      <c r="N25" s="892"/>
      <c r="O25" s="892"/>
      <c r="P25" s="54"/>
      <c r="Q25" s="54"/>
      <c r="R25" s="54"/>
      <c r="S25" s="54"/>
      <c r="T25" s="54"/>
      <c r="U25" s="54"/>
      <c r="V25" s="54"/>
      <c r="W25" s="54"/>
      <c r="X25" s="54"/>
      <c r="Y25" s="54"/>
      <c r="Z25" s="889"/>
      <c r="AA25" s="54"/>
      <c r="AB25" s="54"/>
      <c r="AC25" s="54"/>
      <c r="AD25" s="54"/>
      <c r="AE25" s="54"/>
      <c r="AF25" s="889"/>
      <c r="AG25" s="54"/>
      <c r="AH25" s="54"/>
      <c r="AI25" s="54"/>
      <c r="AJ25" s="54"/>
      <c r="AK25" s="54"/>
      <c r="AL25" s="889"/>
      <c r="AM25" s="54"/>
      <c r="AN25" s="54"/>
      <c r="AO25" s="54"/>
      <c r="AP25" s="54"/>
      <c r="AQ25" s="54"/>
      <c r="AR25" s="889"/>
      <c r="AS25" s="54"/>
      <c r="AT25" s="54"/>
      <c r="AU25" s="54"/>
      <c r="AV25" s="54"/>
      <c r="AW25" s="54"/>
      <c r="AX25" s="889">
        <f>SUM(AX8:AX23)/8</f>
        <v>0.62442366312151398</v>
      </c>
      <c r="AY25" s="54"/>
      <c r="AZ25" s="54"/>
      <c r="BA25" s="54"/>
      <c r="BB25" s="54"/>
      <c r="BC25" s="54"/>
      <c r="BD25" s="54"/>
      <c r="BE25" s="54"/>
      <c r="BF25" s="54"/>
      <c r="BG25" s="54"/>
      <c r="BH25" s="54"/>
      <c r="BI25" s="54"/>
      <c r="BJ25" s="54"/>
      <c r="BK25" s="54"/>
      <c r="BL25" s="889">
        <f>+(BL9+BL10+BL11+BL12+BL13+BL20+BL21+BL23)/8</f>
        <v>0.76750000000000007</v>
      </c>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U25" s="54"/>
      <c r="CV25" s="54"/>
      <c r="CW25" s="763"/>
    </row>
    <row r="26" spans="1:256">
      <c r="A26" s="787"/>
      <c r="B26" s="54"/>
      <c r="C26" s="762"/>
      <c r="D26" s="54"/>
      <c r="E26" s="2339"/>
      <c r="F26" s="2339"/>
      <c r="G26" s="2339"/>
      <c r="H26" s="2339"/>
      <c r="I26" s="54"/>
      <c r="J26" s="54"/>
      <c r="K26" s="765"/>
      <c r="L26" s="765"/>
      <c r="M26" s="765"/>
      <c r="N26" s="765"/>
      <c r="O26" s="765"/>
      <c r="P26" s="54"/>
      <c r="Q26" s="54"/>
      <c r="R26" s="54"/>
      <c r="S26" s="765"/>
      <c r="T26" s="765"/>
      <c r="U26" s="765"/>
      <c r="V26" s="765"/>
      <c r="W26" s="765"/>
      <c r="X26" s="765"/>
      <c r="Y26" s="765"/>
      <c r="Z26" s="765"/>
      <c r="AA26" s="765"/>
      <c r="AB26" s="765"/>
      <c r="AC26" s="765"/>
      <c r="AD26" s="765"/>
      <c r="AE26" s="765"/>
      <c r="AF26" s="765"/>
      <c r="AG26" s="765"/>
      <c r="AH26" s="765"/>
      <c r="AI26" s="765"/>
      <c r="AJ26" s="765"/>
      <c r="AK26" s="765"/>
      <c r="AL26" s="765"/>
      <c r="AM26" s="765"/>
      <c r="AN26" s="765"/>
      <c r="AO26" s="765"/>
      <c r="AP26" s="765"/>
      <c r="AQ26" s="765"/>
      <c r="AR26" s="765"/>
      <c r="AS26" s="765"/>
      <c r="AT26" s="765"/>
      <c r="AU26" s="765"/>
      <c r="AV26" s="765"/>
      <c r="AW26" s="765"/>
      <c r="AX26" s="765"/>
      <c r="AY26" s="765"/>
      <c r="AZ26" s="765"/>
      <c r="BA26" s="765"/>
      <c r="BB26" s="765"/>
      <c r="BC26" s="765"/>
      <c r="BD26" s="765"/>
      <c r="BE26" s="765"/>
      <c r="BF26" s="765"/>
      <c r="BG26" s="765"/>
      <c r="BH26" s="765"/>
      <c r="BI26" s="765"/>
      <c r="BJ26" s="765"/>
      <c r="BK26" s="765"/>
      <c r="BL26" s="765"/>
      <c r="BM26" s="765"/>
      <c r="BN26" s="765"/>
      <c r="BO26" s="765"/>
      <c r="BP26" s="765"/>
      <c r="BQ26" s="765"/>
      <c r="BR26" s="765"/>
      <c r="BS26" s="765"/>
      <c r="BT26" s="765"/>
      <c r="BU26" s="765"/>
      <c r="BV26" s="765"/>
      <c r="BW26" s="765"/>
      <c r="BX26" s="765"/>
      <c r="BY26" s="765"/>
      <c r="BZ26" s="765"/>
      <c r="CA26" s="765"/>
      <c r="CB26" s="765"/>
      <c r="CC26" s="765"/>
      <c r="CD26" s="765"/>
      <c r="CE26" s="765"/>
      <c r="CF26" s="765"/>
      <c r="CG26" s="765"/>
      <c r="CH26" s="765"/>
      <c r="CI26" s="765"/>
      <c r="CJ26" s="765"/>
      <c r="CK26" s="765"/>
      <c r="CL26" s="765"/>
      <c r="CM26" s="765"/>
      <c r="CN26" s="765"/>
      <c r="CO26" s="54"/>
      <c r="CP26" s="54"/>
      <c r="CQ26" s="54"/>
      <c r="CR26" s="54"/>
      <c r="CS26" s="54"/>
      <c r="CT26" s="54"/>
      <c r="CU26" s="54"/>
      <c r="CV26" s="54"/>
      <c r="CW26" s="763"/>
    </row>
    <row r="27" spans="1:256">
      <c r="A27" s="787"/>
      <c r="B27" s="54"/>
      <c r="C27" s="762"/>
      <c r="D27" s="54"/>
      <c r="E27" s="2340" t="s">
        <v>1693</v>
      </c>
      <c r="F27" s="2340"/>
      <c r="G27" s="2340"/>
      <c r="H27" s="2340"/>
      <c r="I27" s="2340"/>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2340"/>
      <c r="AM27" s="2340"/>
      <c r="AN27" s="2340"/>
      <c r="AO27" s="2340"/>
      <c r="AP27" s="2340"/>
      <c r="AQ27" s="2340"/>
      <c r="AR27" s="2340"/>
      <c r="AS27" s="2340"/>
      <c r="AT27" s="2340"/>
      <c r="AU27" s="2340"/>
      <c r="AV27" s="2340"/>
      <c r="AW27" s="2340"/>
      <c r="AX27" s="2340"/>
      <c r="AY27" s="2340"/>
      <c r="AZ27" s="2340"/>
      <c r="BA27" s="2340"/>
      <c r="BB27" s="2340"/>
      <c r="BC27" s="2340"/>
      <c r="BD27" s="2340"/>
      <c r="BE27" s="2340"/>
      <c r="BF27" s="2340"/>
      <c r="BG27" s="2340"/>
      <c r="BH27" s="2340"/>
      <c r="BI27" s="2340"/>
      <c r="BJ27" s="2340"/>
      <c r="BK27" s="2340"/>
      <c r="BL27" s="2340"/>
      <c r="BM27" s="2340"/>
      <c r="BN27" s="2340"/>
      <c r="BO27" s="2340"/>
      <c r="BP27" s="2340"/>
      <c r="BQ27" s="2340"/>
      <c r="BR27" s="2340"/>
      <c r="BS27" s="2340"/>
      <c r="BT27" s="2340"/>
      <c r="BU27" s="2340"/>
      <c r="BV27" s="2340"/>
      <c r="BW27" s="2340"/>
      <c r="BX27" s="2340"/>
      <c r="BY27" s="2340"/>
      <c r="BZ27" s="2340"/>
      <c r="CA27" s="2340"/>
      <c r="CB27" s="2340"/>
      <c r="CC27" s="2340"/>
      <c r="CD27" s="2340"/>
      <c r="CE27" s="2340"/>
      <c r="CF27" s="2340"/>
      <c r="CG27" s="2340"/>
      <c r="CH27" s="2340"/>
      <c r="CI27" s="2340"/>
      <c r="CJ27" s="2340"/>
      <c r="CK27" s="2340"/>
      <c r="CL27" s="2340"/>
      <c r="CM27" s="2340"/>
      <c r="CN27" s="2340"/>
      <c r="CO27" s="54"/>
      <c r="CP27" s="54"/>
      <c r="CQ27" s="54"/>
      <c r="CR27" s="54"/>
      <c r="CS27" s="54"/>
      <c r="CT27" s="54"/>
      <c r="CU27" s="54"/>
      <c r="CV27" s="54"/>
      <c r="CW27" s="763"/>
    </row>
    <row r="28" spans="1:256">
      <c r="A28" s="787"/>
      <c r="B28" s="54"/>
      <c r="C28" s="762"/>
      <c r="D28" s="54"/>
      <c r="E28" s="2341" t="s">
        <v>1694</v>
      </c>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c r="BP28" s="2341"/>
      <c r="BQ28" s="2341"/>
      <c r="BR28" s="2341"/>
      <c r="BS28" s="2341"/>
      <c r="BT28" s="2341"/>
      <c r="BU28" s="2341"/>
      <c r="BV28" s="2341"/>
      <c r="BW28" s="2341"/>
      <c r="BX28" s="2341"/>
      <c r="BY28" s="2341"/>
      <c r="BZ28" s="2341"/>
      <c r="CA28" s="2341"/>
      <c r="CB28" s="2341"/>
      <c r="CC28" s="2341"/>
      <c r="CD28" s="2341"/>
      <c r="CE28" s="2341"/>
      <c r="CF28" s="2341"/>
      <c r="CG28" s="2341"/>
      <c r="CH28" s="2341"/>
      <c r="CI28" s="2341"/>
      <c r="CJ28" s="2341"/>
      <c r="CK28" s="2341"/>
      <c r="CL28" s="2341"/>
      <c r="CM28" s="2341"/>
      <c r="CN28" s="2341"/>
      <c r="CO28" s="54"/>
      <c r="CP28" s="54"/>
      <c r="CQ28" s="54"/>
      <c r="CR28" s="54"/>
      <c r="CS28" s="54"/>
      <c r="CT28" s="54"/>
      <c r="CU28" s="54"/>
      <c r="CV28" s="54"/>
      <c r="CW28" s="763"/>
    </row>
    <row r="29" spans="1:256">
      <c r="A29" s="787"/>
      <c r="B29" s="54"/>
      <c r="C29" s="762"/>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763"/>
    </row>
    <row r="30" spans="1:256">
      <c r="A30" s="893"/>
      <c r="B30" s="128"/>
      <c r="C30" s="679"/>
      <c r="D30" s="15"/>
      <c r="E30" s="128"/>
      <c r="F30" s="128"/>
      <c r="G30" s="128"/>
      <c r="H30" s="128"/>
      <c r="I30" s="128"/>
      <c r="J30" s="128"/>
      <c r="K30" s="128"/>
      <c r="L30" s="128"/>
      <c r="M30" s="128"/>
      <c r="N30" s="128"/>
      <c r="O30" s="128"/>
      <c r="P30" s="128"/>
      <c r="Q30" s="128"/>
      <c r="R30" s="128"/>
      <c r="S30" s="15"/>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683"/>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row>
    <row r="31" spans="1:256">
      <c r="A31" s="893"/>
      <c r="B31" s="128"/>
      <c r="C31" s="679"/>
      <c r="D31" s="128"/>
      <c r="E31" s="128"/>
      <c r="F31" s="128"/>
      <c r="G31" s="128"/>
      <c r="H31" s="128"/>
      <c r="I31" s="128"/>
      <c r="J31" s="128"/>
      <c r="K31" s="128"/>
      <c r="L31" s="128"/>
      <c r="M31" s="128"/>
      <c r="N31" s="128"/>
      <c r="O31" s="128"/>
      <c r="P31" s="128"/>
      <c r="Q31" s="128"/>
      <c r="R31" s="128"/>
      <c r="S31" s="752"/>
      <c r="T31" s="752"/>
      <c r="U31" s="752"/>
      <c r="V31" s="752"/>
      <c r="W31" s="752"/>
      <c r="X31" s="752"/>
      <c r="Y31" s="752"/>
      <c r="Z31" s="752"/>
      <c r="AA31" s="752"/>
      <c r="AB31" s="752"/>
      <c r="AC31" s="752"/>
      <c r="AD31" s="752"/>
      <c r="AE31" s="752"/>
      <c r="AF31" s="752"/>
      <c r="AG31" s="752"/>
      <c r="AH31" s="752"/>
      <c r="AI31" s="752"/>
      <c r="AJ31" s="752"/>
      <c r="AK31" s="752"/>
      <c r="AL31" s="752"/>
      <c r="AM31" s="752"/>
      <c r="AN31" s="752"/>
      <c r="AO31" s="752"/>
      <c r="AP31" s="752"/>
      <c r="AQ31" s="752"/>
      <c r="AR31" s="752"/>
      <c r="AS31" s="752"/>
      <c r="AT31" s="752"/>
      <c r="AU31" s="752"/>
      <c r="AV31" s="752"/>
      <c r="AW31" s="752"/>
      <c r="AX31" s="752"/>
      <c r="AY31" s="752"/>
      <c r="AZ31" s="752"/>
      <c r="BA31" s="752"/>
      <c r="BB31" s="752"/>
      <c r="BC31" s="752"/>
      <c r="BD31" s="752"/>
      <c r="BE31" s="752"/>
      <c r="BF31" s="752"/>
      <c r="BG31" s="752"/>
      <c r="BH31" s="752"/>
      <c r="BI31" s="752"/>
      <c r="BJ31" s="752"/>
      <c r="BK31" s="752"/>
      <c r="BL31" s="752"/>
      <c r="BM31" s="752"/>
      <c r="BN31" s="752"/>
      <c r="BO31" s="752"/>
      <c r="BP31" s="752"/>
      <c r="BQ31" s="752"/>
      <c r="BR31" s="752"/>
      <c r="BS31" s="752"/>
      <c r="BT31" s="752"/>
      <c r="BU31" s="752"/>
      <c r="BV31" s="752"/>
      <c r="BW31" s="752"/>
      <c r="BX31" s="752"/>
      <c r="BY31" s="752"/>
      <c r="BZ31" s="752"/>
      <c r="CA31" s="752"/>
      <c r="CB31" s="752"/>
      <c r="CC31" s="752"/>
      <c r="CD31" s="752"/>
      <c r="CE31" s="752"/>
      <c r="CF31" s="752"/>
      <c r="CG31" s="752"/>
      <c r="CH31" s="752"/>
      <c r="CI31" s="752"/>
      <c r="CJ31" s="752"/>
      <c r="CK31" s="752"/>
      <c r="CL31" s="752"/>
      <c r="CM31" s="752"/>
      <c r="CN31" s="752"/>
      <c r="CO31" s="128"/>
      <c r="CP31" s="128"/>
      <c r="CQ31" s="128"/>
      <c r="CR31" s="128"/>
      <c r="CS31" s="128"/>
      <c r="CT31" s="128"/>
      <c r="CU31" s="128"/>
      <c r="CV31" s="128"/>
      <c r="CW31" s="683"/>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row>
    <row r="32" spans="1:256">
      <c r="A32" s="893"/>
      <c r="B32" s="128"/>
      <c r="C32" s="679"/>
      <c r="D32" s="15"/>
      <c r="E32" s="894"/>
      <c r="F32" s="894"/>
      <c r="G32" s="894"/>
      <c r="H32" s="894"/>
      <c r="I32" s="894"/>
      <c r="J32" s="894"/>
      <c r="K32" s="894"/>
      <c r="L32" s="894"/>
      <c r="M32" s="894"/>
      <c r="N32" s="894"/>
      <c r="O32" s="894"/>
      <c r="P32" s="894"/>
      <c r="Q32" s="894"/>
      <c r="R32" s="894"/>
      <c r="S32" s="2334" t="s">
        <v>1695</v>
      </c>
      <c r="T32" s="2008"/>
      <c r="U32" s="2008"/>
      <c r="V32" s="2008"/>
      <c r="W32" s="2008"/>
      <c r="X32" s="2008"/>
      <c r="Y32" s="2008"/>
      <c r="Z32" s="2008"/>
      <c r="AA32" s="2008"/>
      <c r="AB32" s="2008"/>
      <c r="AC32" s="2008"/>
      <c r="AD32" s="2008"/>
      <c r="AE32" s="2008"/>
      <c r="AF32" s="2008"/>
      <c r="AG32" s="2008"/>
      <c r="AH32" s="2008"/>
      <c r="AI32" s="2008"/>
      <c r="AJ32" s="2008"/>
      <c r="AK32" s="2008"/>
      <c r="AL32" s="2008"/>
      <c r="AM32" s="2008"/>
      <c r="AN32" s="2008"/>
      <c r="AO32" s="2008"/>
      <c r="AP32" s="2008"/>
      <c r="AQ32" s="2008"/>
      <c r="AR32" s="2008"/>
      <c r="AS32" s="2008"/>
      <c r="AT32" s="2008"/>
      <c r="AU32" s="2008"/>
      <c r="AV32" s="2008"/>
      <c r="AW32" s="2008"/>
      <c r="AX32" s="2008"/>
      <c r="AY32" s="2008"/>
      <c r="AZ32" s="2008"/>
      <c r="BA32" s="2008"/>
      <c r="BB32" s="2008"/>
      <c r="BC32" s="2008"/>
      <c r="BD32" s="2008"/>
      <c r="BE32" s="2008"/>
      <c r="BF32" s="2008"/>
      <c r="BG32" s="2008"/>
      <c r="BH32" s="2008"/>
      <c r="BI32" s="2008"/>
      <c r="BJ32" s="2008"/>
      <c r="BK32" s="2008"/>
      <c r="BL32" s="2008"/>
      <c r="BM32" s="2008"/>
      <c r="BN32" s="2008"/>
      <c r="BO32" s="2008"/>
      <c r="BP32" s="2008"/>
      <c r="BQ32" s="2008"/>
      <c r="BR32" s="2008"/>
      <c r="BS32" s="2008"/>
      <c r="BT32" s="2008"/>
      <c r="BU32" s="2008"/>
      <c r="BV32" s="2008"/>
      <c r="BW32" s="2008"/>
      <c r="BX32" s="2008"/>
      <c r="BY32" s="2008"/>
      <c r="BZ32" s="2008"/>
      <c r="CA32" s="2008"/>
      <c r="CB32" s="2008"/>
      <c r="CC32" s="2008"/>
      <c r="CD32" s="2008"/>
      <c r="CE32" s="2008"/>
      <c r="CF32" s="2008"/>
      <c r="CG32" s="2008"/>
      <c r="CH32" s="2008"/>
      <c r="CI32" s="2008"/>
      <c r="CJ32" s="2008"/>
      <c r="CK32" s="2008"/>
      <c r="CL32" s="2008"/>
      <c r="CM32" s="2008"/>
      <c r="CN32" s="2008"/>
      <c r="CO32" s="128"/>
      <c r="CP32" s="128"/>
      <c r="CQ32" s="128"/>
      <c r="CR32" s="128"/>
      <c r="CS32" s="128"/>
      <c r="CT32" s="128"/>
      <c r="CU32" s="128"/>
      <c r="CV32" s="128"/>
      <c r="CW32" s="683"/>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row>
    <row r="33" spans="1:256">
      <c r="A33" s="895"/>
      <c r="B33" s="752"/>
      <c r="C33" s="896"/>
      <c r="D33" s="893" t="s">
        <v>1696</v>
      </c>
      <c r="E33" s="897"/>
      <c r="F33" s="897"/>
      <c r="G33" s="897"/>
      <c r="H33" s="897"/>
      <c r="I33" s="897"/>
      <c r="J33" s="897"/>
      <c r="K33" s="897"/>
      <c r="L33" s="897"/>
      <c r="M33" s="897"/>
      <c r="N33" s="897"/>
      <c r="O33" s="897"/>
      <c r="P33" s="897"/>
      <c r="Q33" s="897"/>
      <c r="R33" s="897"/>
      <c r="S33" s="2335" t="s">
        <v>1697</v>
      </c>
      <c r="T33" s="2336"/>
      <c r="U33" s="2336"/>
      <c r="V33" s="2336"/>
      <c r="W33" s="2336"/>
      <c r="X33" s="2336"/>
      <c r="Y33" s="2336"/>
      <c r="Z33" s="2336"/>
      <c r="AA33" s="2336"/>
      <c r="AB33" s="2336"/>
      <c r="AC33" s="2336"/>
      <c r="AD33" s="2336"/>
      <c r="AE33" s="2336"/>
      <c r="AF33" s="2336"/>
      <c r="AG33" s="2336"/>
      <c r="AH33" s="2336"/>
      <c r="AI33" s="2336"/>
      <c r="AJ33" s="2336"/>
      <c r="AK33" s="2336"/>
      <c r="AL33" s="2336"/>
      <c r="AM33" s="2336"/>
      <c r="AN33" s="2336"/>
      <c r="AO33" s="2336"/>
      <c r="AP33" s="2336"/>
      <c r="AQ33" s="2336"/>
      <c r="AR33" s="2336"/>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c r="BP33" s="2336"/>
      <c r="BQ33" s="2336"/>
      <c r="BR33" s="2336"/>
      <c r="BS33" s="2336"/>
      <c r="BT33" s="2336"/>
      <c r="BU33" s="2336"/>
      <c r="BV33" s="2336"/>
      <c r="BW33" s="2336"/>
      <c r="BX33" s="2336"/>
      <c r="BY33" s="2336"/>
      <c r="BZ33" s="2336"/>
      <c r="CA33" s="2336"/>
      <c r="CB33" s="2336"/>
      <c r="CC33" s="2336"/>
      <c r="CD33" s="2336"/>
      <c r="CE33" s="2336"/>
      <c r="CF33" s="2336"/>
      <c r="CG33" s="2336"/>
      <c r="CH33" s="2336"/>
      <c r="CI33" s="2336"/>
      <c r="CJ33" s="2336"/>
      <c r="CK33" s="2336"/>
      <c r="CL33" s="2336"/>
      <c r="CM33" s="2336"/>
      <c r="CN33" s="2336"/>
      <c r="CO33" s="752"/>
      <c r="CP33" s="752"/>
      <c r="CQ33" s="752"/>
      <c r="CR33" s="752"/>
      <c r="CS33" s="752"/>
      <c r="CT33" s="752"/>
      <c r="CU33" s="752"/>
      <c r="CV33" s="752"/>
      <c r="CW33" s="898"/>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row>
  </sheetData>
  <mergeCells count="50">
    <mergeCell ref="S32:CN32"/>
    <mergeCell ref="S33:CN33"/>
    <mergeCell ref="CL6:CQ6"/>
    <mergeCell ref="CR6:CW6"/>
    <mergeCell ref="B24:E24"/>
    <mergeCell ref="E26:H26"/>
    <mergeCell ref="E27:CN27"/>
    <mergeCell ref="E28:CN28"/>
    <mergeCell ref="BB6:BG6"/>
    <mergeCell ref="BH6:BM6"/>
    <mergeCell ref="BN6:BS6"/>
    <mergeCell ref="BT6:BY6"/>
    <mergeCell ref="BZ6:CE6"/>
    <mergeCell ref="CF6:CK6"/>
    <mergeCell ref="K6:V6"/>
    <mergeCell ref="X6:AC6"/>
    <mergeCell ref="AD6:AI6"/>
    <mergeCell ref="AJ6:AO6"/>
    <mergeCell ref="AP6:AU6"/>
    <mergeCell ref="AV6:BA6"/>
    <mergeCell ref="CR4:CW4"/>
    <mergeCell ref="B6:B7"/>
    <mergeCell ref="C6:C7"/>
    <mergeCell ref="D6:D7"/>
    <mergeCell ref="E6:E7"/>
    <mergeCell ref="F6:F7"/>
    <mergeCell ref="G6:G7"/>
    <mergeCell ref="H6:H7"/>
    <mergeCell ref="I6:I7"/>
    <mergeCell ref="J6:J7"/>
    <mergeCell ref="BH4:BM4"/>
    <mergeCell ref="BN4:BS4"/>
    <mergeCell ref="BT4:BY4"/>
    <mergeCell ref="BZ4:CE4"/>
    <mergeCell ref="CF4:CK4"/>
    <mergeCell ref="CL4:CQ4"/>
    <mergeCell ref="X4:AC4"/>
    <mergeCell ref="AD4:AI4"/>
    <mergeCell ref="AJ4:AO4"/>
    <mergeCell ref="AP4:AU4"/>
    <mergeCell ref="AV4:BA4"/>
    <mergeCell ref="BB4:BG4"/>
    <mergeCell ref="B1:R1"/>
    <mergeCell ref="S1:V2"/>
    <mergeCell ref="A2:B2"/>
    <mergeCell ref="D2:N2"/>
    <mergeCell ref="O2:R2"/>
    <mergeCell ref="C4:J4"/>
    <mergeCell ref="K4:M4"/>
    <mergeCell ref="N4:V4"/>
  </mergeCells>
  <conditionalFormatting sqref="AB8 AH8 BF8 BL8 CJ9:CJ10 CP11:CP14 CD13:CD14 CJ13">
    <cfRule type="colorScale" priority="59">
      <colorScale>
        <cfvo type="num" val="0.69"/>
        <cfvo type="num" val="0.8"/>
        <cfvo type="num" val="0.9"/>
        <color rgb="FFF8696B"/>
        <color rgb="FFFFEB84"/>
        <color rgb="FF63BE7B"/>
      </colorScale>
    </cfRule>
  </conditionalFormatting>
  <conditionalFormatting sqref="AB15">
    <cfRule type="colorScale" priority="58">
      <colorScale>
        <cfvo type="num" val="0.69"/>
        <cfvo type="num" val="0.8"/>
        <cfvo type="num" val="0.9"/>
        <color rgb="FFF8696B"/>
        <color rgb="FFFFEB84"/>
        <color rgb="FF63BE7B"/>
      </colorScale>
    </cfRule>
  </conditionalFormatting>
  <conditionalFormatting sqref="AT15">
    <cfRule type="colorScale" priority="57">
      <colorScale>
        <cfvo type="num" val="0.69"/>
        <cfvo type="num" val="0.8"/>
        <cfvo type="num" val="0.9"/>
        <color rgb="FFF8696B"/>
        <color rgb="FFFFEB84"/>
        <color rgb="FF63BE7B"/>
      </colorScale>
    </cfRule>
  </conditionalFormatting>
  <conditionalFormatting sqref="BF15">
    <cfRule type="colorScale" priority="56">
      <colorScale>
        <cfvo type="num" val="0.69"/>
        <cfvo type="num" val="0.8"/>
        <cfvo type="num" val="0.9"/>
        <color rgb="FFF8696B"/>
        <color rgb="FFFFEB84"/>
        <color rgb="FF63BE7B"/>
      </colorScale>
    </cfRule>
  </conditionalFormatting>
  <conditionalFormatting sqref="BR15">
    <cfRule type="colorScale" priority="55">
      <colorScale>
        <cfvo type="num" val="0.69"/>
        <cfvo type="num" val="0.8"/>
        <cfvo type="num" val="0.9"/>
        <color rgb="FFF8696B"/>
        <color rgb="FFFFEB84"/>
        <color rgb="FF63BE7B"/>
      </colorScale>
    </cfRule>
  </conditionalFormatting>
  <conditionalFormatting sqref="CD15">
    <cfRule type="colorScale" priority="54">
      <colorScale>
        <cfvo type="num" val="0.69"/>
        <cfvo type="num" val="0.8"/>
        <cfvo type="num" val="0.9"/>
        <color rgb="FFF8696B"/>
        <color rgb="FFFFEB84"/>
        <color rgb="FF63BE7B"/>
      </colorScale>
    </cfRule>
  </conditionalFormatting>
  <conditionalFormatting sqref="CP15">
    <cfRule type="colorScale" priority="53">
      <colorScale>
        <cfvo type="num" val="0.69"/>
        <cfvo type="num" val="0.8"/>
        <cfvo type="num" val="0.9"/>
        <color rgb="FFF8696B"/>
        <color rgb="FFFFEB84"/>
        <color rgb="FF63BE7B"/>
      </colorScale>
    </cfRule>
  </conditionalFormatting>
  <conditionalFormatting sqref="CD16">
    <cfRule type="colorScale" priority="52">
      <colorScale>
        <cfvo type="num" val="0.69"/>
        <cfvo type="num" val="0.8"/>
        <cfvo type="num" val="0.9"/>
        <color rgb="FFF8696B"/>
        <color rgb="FFFFEB84"/>
        <color rgb="FF63BE7B"/>
      </colorScale>
    </cfRule>
  </conditionalFormatting>
  <conditionalFormatting sqref="CP17:CP21 CP23">
    <cfRule type="colorScale" priority="51">
      <colorScale>
        <cfvo type="num" val="0.69"/>
        <cfvo type="num" val="0.8"/>
        <cfvo type="num" val="0.9"/>
        <color rgb="FFF8696B"/>
        <color rgb="FFFFEB84"/>
        <color rgb="FF63BE7B"/>
      </colorScale>
    </cfRule>
  </conditionalFormatting>
  <conditionalFormatting sqref="AI15">
    <cfRule type="colorScale" priority="50">
      <colorScale>
        <cfvo type="num" val="0.69"/>
        <cfvo type="num" val="0.8"/>
        <cfvo type="num" val="0.9"/>
        <color rgb="FFF8696B"/>
        <color rgb="FFFFEB84"/>
        <color rgb="FF63BE7B"/>
      </colorScale>
    </cfRule>
  </conditionalFormatting>
  <conditionalFormatting sqref="AO15">
    <cfRule type="colorScale" priority="49">
      <colorScale>
        <cfvo type="num" val="0.69"/>
        <cfvo type="num" val="0.8"/>
        <cfvo type="num" val="0.9"/>
        <color rgb="FFF8696B"/>
        <color rgb="FFFFEB84"/>
        <color rgb="FF63BE7B"/>
      </colorScale>
    </cfRule>
  </conditionalFormatting>
  <conditionalFormatting sqref="BA15">
    <cfRule type="colorScale" priority="48">
      <colorScale>
        <cfvo type="num" val="0.69"/>
        <cfvo type="num" val="0.8"/>
        <cfvo type="num" val="0.9"/>
        <color rgb="FFF8696B"/>
        <color rgb="FFFFEB84"/>
        <color rgb="FF63BE7B"/>
      </colorScale>
    </cfRule>
  </conditionalFormatting>
  <conditionalFormatting sqref="BM15">
    <cfRule type="colorScale" priority="47">
      <colorScale>
        <cfvo type="num" val="0.69"/>
        <cfvo type="num" val="0.8"/>
        <cfvo type="num" val="0.9"/>
        <color rgb="FFF8696B"/>
        <color rgb="FFFFEB84"/>
        <color rgb="FF63BE7B"/>
      </colorScale>
    </cfRule>
  </conditionalFormatting>
  <conditionalFormatting sqref="BY15">
    <cfRule type="colorScale" priority="46">
      <colorScale>
        <cfvo type="num" val="0.69"/>
        <cfvo type="num" val="0.8"/>
        <cfvo type="num" val="0.9"/>
        <color rgb="FFF8696B"/>
        <color rgb="FFFFEB84"/>
        <color rgb="FF63BE7B"/>
      </colorScale>
    </cfRule>
  </conditionalFormatting>
  <conditionalFormatting sqref="CK15">
    <cfRule type="colorScale" priority="45">
      <colorScale>
        <cfvo type="num" val="0.69"/>
        <cfvo type="num" val="0.8"/>
        <cfvo type="num" val="0.9"/>
        <color rgb="FFF8696B"/>
        <color rgb="FFFFEB84"/>
        <color rgb="FF63BE7B"/>
      </colorScale>
    </cfRule>
  </conditionalFormatting>
  <conditionalFormatting sqref="CW15">
    <cfRule type="colorScale" priority="44">
      <colorScale>
        <cfvo type="num" val="0.69"/>
        <cfvo type="num" val="0.8"/>
        <cfvo type="num" val="0.9"/>
        <color rgb="FFF8696B"/>
        <color rgb="FFFFEB84"/>
        <color rgb="FF63BE7B"/>
      </colorScale>
    </cfRule>
  </conditionalFormatting>
  <conditionalFormatting sqref="AN8:AN9">
    <cfRule type="colorScale" priority="43">
      <colorScale>
        <cfvo type="num" val="0.69"/>
        <cfvo type="num" val="0.8"/>
        <cfvo type="num" val="0.9"/>
        <color rgb="FFF8696B"/>
        <color rgb="FFFFEB84"/>
        <color rgb="FF63BE7B"/>
      </colorScale>
    </cfRule>
  </conditionalFormatting>
  <conditionalFormatting sqref="AH9:AH14">
    <cfRule type="colorScale" priority="42">
      <colorScale>
        <cfvo type="num" val="0.69"/>
        <cfvo type="num" val="0.8"/>
        <cfvo type="num" val="0.9"/>
        <color rgb="FFF8696B"/>
        <color rgb="FFFFEB84"/>
        <color rgb="FF63BE7B"/>
      </colorScale>
    </cfRule>
  </conditionalFormatting>
  <conditionalFormatting sqref="AB9">
    <cfRule type="colorScale" priority="41">
      <colorScale>
        <cfvo type="num" val="0.69"/>
        <cfvo type="num" val="0.8"/>
        <cfvo type="num" val="0.9"/>
        <color rgb="FFF8696B"/>
        <color rgb="FFFFEB84"/>
        <color rgb="FF63BE7B"/>
      </colorScale>
    </cfRule>
  </conditionalFormatting>
  <conditionalFormatting sqref="AB10:AB14">
    <cfRule type="colorScale" priority="40">
      <colorScale>
        <cfvo type="num" val="0.69"/>
        <cfvo type="num" val="0.8"/>
        <cfvo type="num" val="0.9"/>
        <color rgb="FFF8696B"/>
        <color rgb="FFFFEB84"/>
        <color rgb="FF63BE7B"/>
      </colorScale>
    </cfRule>
  </conditionalFormatting>
  <conditionalFormatting sqref="AT8">
    <cfRule type="colorScale" priority="39">
      <colorScale>
        <cfvo type="num" val="0.69"/>
        <cfvo type="num" val="0.8"/>
        <cfvo type="num" val="0.9"/>
        <color rgb="FFF8696B"/>
        <color rgb="FFFFEB84"/>
        <color rgb="FF63BE7B"/>
      </colorScale>
    </cfRule>
  </conditionalFormatting>
  <conditionalFormatting sqref="AT9:AT14">
    <cfRule type="colorScale" priority="38">
      <colorScale>
        <cfvo type="num" val="0.69"/>
        <cfvo type="num" val="0.8"/>
        <cfvo type="num" val="0.9"/>
        <color rgb="FFF8696B"/>
        <color rgb="FFFFEB84"/>
        <color rgb="FF63BE7B"/>
      </colorScale>
    </cfRule>
  </conditionalFormatting>
  <conditionalFormatting sqref="AT16:AT23">
    <cfRule type="colorScale" priority="37">
      <colorScale>
        <cfvo type="num" val="0.69"/>
        <cfvo type="num" val="0.8"/>
        <cfvo type="num" val="0.9"/>
        <color rgb="FFF8696B"/>
        <color rgb="FFFFEB84"/>
        <color rgb="FF63BE7B"/>
      </colorScale>
    </cfRule>
  </conditionalFormatting>
  <conditionalFormatting sqref="AN10:AN14">
    <cfRule type="colorScale" priority="36">
      <colorScale>
        <cfvo type="num" val="0.69"/>
        <cfvo type="num" val="0.8"/>
        <cfvo type="num" val="0.9"/>
        <color rgb="FFF8696B"/>
        <color rgb="FFFFEB84"/>
        <color rgb="FF63BE7B"/>
      </colorScale>
    </cfRule>
  </conditionalFormatting>
  <conditionalFormatting sqref="AN16:AN23">
    <cfRule type="colorScale" priority="35">
      <colorScale>
        <cfvo type="num" val="0.69"/>
        <cfvo type="num" val="0.8"/>
        <cfvo type="num" val="0.9"/>
        <color rgb="FFF8696B"/>
        <color rgb="FFFFEB84"/>
        <color rgb="FF63BE7B"/>
      </colorScale>
    </cfRule>
  </conditionalFormatting>
  <conditionalFormatting sqref="AH16:AH23">
    <cfRule type="colorScale" priority="34">
      <colorScale>
        <cfvo type="num" val="0.69"/>
        <cfvo type="num" val="0.8"/>
        <cfvo type="num" val="0.9"/>
        <color rgb="FFF8696B"/>
        <color rgb="FFFFEB84"/>
        <color rgb="FF63BE7B"/>
      </colorScale>
    </cfRule>
  </conditionalFormatting>
  <conditionalFormatting sqref="AB16:AB22">
    <cfRule type="colorScale" priority="33">
      <colorScale>
        <cfvo type="num" val="0.69"/>
        <cfvo type="num" val="0.8"/>
        <cfvo type="num" val="0.9"/>
        <color rgb="FFF8696B"/>
        <color rgb="FFFFEB84"/>
        <color rgb="FF63BE7B"/>
      </colorScale>
    </cfRule>
  </conditionalFormatting>
  <conditionalFormatting sqref="AB23">
    <cfRule type="colorScale" priority="32">
      <colorScale>
        <cfvo type="num" val="0.69"/>
        <cfvo type="num" val="0.8"/>
        <cfvo type="num" val="0.9"/>
        <color rgb="FFF8696B"/>
        <color rgb="FFFFEB84"/>
        <color rgb="FF63BE7B"/>
      </colorScale>
    </cfRule>
  </conditionalFormatting>
  <conditionalFormatting sqref="AZ8:AZ14">
    <cfRule type="colorScale" priority="31">
      <colorScale>
        <cfvo type="num" val="0.69"/>
        <cfvo type="num" val="0.8"/>
        <cfvo type="num" val="0.9"/>
        <color rgb="FFF8696B"/>
        <color rgb="FFFFEB84"/>
        <color rgb="FF63BE7B"/>
      </colorScale>
    </cfRule>
  </conditionalFormatting>
  <conditionalFormatting sqref="AZ16:AZ23">
    <cfRule type="colorScale" priority="30">
      <colorScale>
        <cfvo type="num" val="0.69"/>
        <cfvo type="num" val="0.8"/>
        <cfvo type="num" val="0.9"/>
        <color rgb="FFF8696B"/>
        <color rgb="FFFFEB84"/>
        <color rgb="FF63BE7B"/>
      </colorScale>
    </cfRule>
  </conditionalFormatting>
  <conditionalFormatting sqref="BF9:BF14">
    <cfRule type="colorScale" priority="29">
      <colorScale>
        <cfvo type="num" val="0.69"/>
        <cfvo type="num" val="0.8"/>
        <cfvo type="num" val="0.9"/>
        <color rgb="FFF8696B"/>
        <color rgb="FFFFEB84"/>
        <color rgb="FF63BE7B"/>
      </colorScale>
    </cfRule>
  </conditionalFormatting>
  <conditionalFormatting sqref="BF16:BF23">
    <cfRule type="colorScale" priority="28">
      <colorScale>
        <cfvo type="num" val="0.69"/>
        <cfvo type="num" val="0.8"/>
        <cfvo type="num" val="0.9"/>
        <color rgb="FFF8696B"/>
        <color rgb="FFFFEB84"/>
        <color rgb="FF63BE7B"/>
      </colorScale>
    </cfRule>
  </conditionalFormatting>
  <conditionalFormatting sqref="BL9:BL14">
    <cfRule type="colorScale" priority="27">
      <colorScale>
        <cfvo type="num" val="0.69"/>
        <cfvo type="num" val="0.8"/>
        <cfvo type="num" val="0.9"/>
        <color rgb="FFF8696B"/>
        <color rgb="FFFFEB84"/>
        <color rgb="FF63BE7B"/>
      </colorScale>
    </cfRule>
  </conditionalFormatting>
  <conditionalFormatting sqref="BL16:BL23">
    <cfRule type="colorScale" priority="26">
      <colorScale>
        <cfvo type="num" val="0.69"/>
        <cfvo type="num" val="0.8"/>
        <cfvo type="num" val="0.9"/>
        <color rgb="FFF8696B"/>
        <color rgb="FFFFEB84"/>
        <color rgb="FF63BE7B"/>
      </colorScale>
    </cfRule>
  </conditionalFormatting>
  <conditionalFormatting sqref="BR8:BR14">
    <cfRule type="colorScale" priority="25">
      <colorScale>
        <cfvo type="num" val="0.69"/>
        <cfvo type="num" val="0.8"/>
        <cfvo type="num" val="0.9"/>
        <color rgb="FFF8696B"/>
        <color rgb="FFFFEB84"/>
        <color rgb="FF63BE7B"/>
      </colorScale>
    </cfRule>
  </conditionalFormatting>
  <conditionalFormatting sqref="CV8:CV23">
    <cfRule type="colorScale" priority="24">
      <colorScale>
        <cfvo type="num" val="0.69"/>
        <cfvo type="num" val="0.8"/>
        <cfvo type="num" val="0.9"/>
        <color rgb="FFF8696B"/>
        <color rgb="FFFFEB84"/>
        <color rgb="FF63BE7B"/>
      </colorScale>
    </cfRule>
  </conditionalFormatting>
  <conditionalFormatting sqref="BR15:BR23">
    <cfRule type="colorScale" priority="23">
      <colorScale>
        <cfvo type="num" val="0.69"/>
        <cfvo type="num" val="0.8"/>
        <cfvo type="num" val="0.9"/>
        <color rgb="FFF8696B"/>
        <color rgb="FFFFEB84"/>
        <color rgb="FF63BE7B"/>
      </colorScale>
    </cfRule>
  </conditionalFormatting>
  <conditionalFormatting sqref="BX10">
    <cfRule type="colorScale" priority="22">
      <colorScale>
        <cfvo type="num" val="0.69"/>
        <cfvo type="num" val="0.8"/>
        <cfvo type="num" val="0.9"/>
        <color rgb="FFF8696B"/>
        <color rgb="FFFFEB84"/>
        <color rgb="FF63BE7B"/>
      </colorScale>
    </cfRule>
  </conditionalFormatting>
  <conditionalFormatting sqref="BX8:BX9">
    <cfRule type="colorScale" priority="21">
      <colorScale>
        <cfvo type="num" val="0.69"/>
        <cfvo type="num" val="0.8"/>
        <cfvo type="num" val="0.9"/>
        <color rgb="FFF8696B"/>
        <color rgb="FFFFEB84"/>
        <color rgb="FF63BE7B"/>
      </colorScale>
    </cfRule>
  </conditionalFormatting>
  <conditionalFormatting sqref="BX11:BX14">
    <cfRule type="colorScale" priority="20">
      <colorScale>
        <cfvo type="num" val="0.69"/>
        <cfvo type="num" val="0.8"/>
        <cfvo type="num" val="0.9"/>
        <color rgb="FFF8696B"/>
        <color rgb="FFFFEB84"/>
        <color rgb="FF63BE7B"/>
      </colorScale>
    </cfRule>
  </conditionalFormatting>
  <conditionalFormatting sqref="BX16:BX19 BX22:BX23">
    <cfRule type="colorScale" priority="19">
      <colorScale>
        <cfvo type="num" val="0.69"/>
        <cfvo type="num" val="0.8"/>
        <cfvo type="num" val="0.9"/>
        <color rgb="FFF8696B"/>
        <color rgb="FFFFEB84"/>
        <color rgb="FF63BE7B"/>
      </colorScale>
    </cfRule>
  </conditionalFormatting>
  <conditionalFormatting sqref="BX20:BX21">
    <cfRule type="colorScale" priority="18">
      <colorScale>
        <cfvo type="num" val="0.69"/>
        <cfvo type="num" val="0.8"/>
        <cfvo type="num" val="0.9"/>
        <color rgb="FFF8696B"/>
        <color rgb="FFFFEB84"/>
        <color rgb="FF63BE7B"/>
      </colorScale>
    </cfRule>
  </conditionalFormatting>
  <conditionalFormatting sqref="CD10:CD11">
    <cfRule type="colorScale" priority="17">
      <colorScale>
        <cfvo type="num" val="0.69"/>
        <cfvo type="num" val="0.8"/>
        <cfvo type="num" val="0.9"/>
        <color rgb="FFF8696B"/>
        <color rgb="FFFFEB84"/>
        <color rgb="FF63BE7B"/>
      </colorScale>
    </cfRule>
  </conditionalFormatting>
  <conditionalFormatting sqref="CD8:CD9">
    <cfRule type="colorScale" priority="16">
      <colorScale>
        <cfvo type="num" val="0.69"/>
        <cfvo type="num" val="0.8"/>
        <cfvo type="num" val="0.9"/>
        <color rgb="FFF8696B"/>
        <color rgb="FFFFEB84"/>
        <color rgb="FF63BE7B"/>
      </colorScale>
    </cfRule>
  </conditionalFormatting>
  <conditionalFormatting sqref="CD17:CD19 CD22:CD23">
    <cfRule type="colorScale" priority="15">
      <colorScale>
        <cfvo type="num" val="0.69"/>
        <cfvo type="num" val="0.8"/>
        <cfvo type="num" val="0.9"/>
        <color rgb="FFF8696B"/>
        <color rgb="FFFFEB84"/>
        <color rgb="FF63BE7B"/>
      </colorScale>
    </cfRule>
  </conditionalFormatting>
  <conditionalFormatting sqref="CD12">
    <cfRule type="colorScale" priority="14">
      <colorScale>
        <cfvo type="num" val="0.69"/>
        <cfvo type="num" val="0.8"/>
        <cfvo type="num" val="0.9"/>
        <color rgb="FFF8696B"/>
        <color rgb="FFFFEB84"/>
        <color rgb="FF63BE7B"/>
      </colorScale>
    </cfRule>
  </conditionalFormatting>
  <conditionalFormatting sqref="CD20:CD21">
    <cfRule type="colorScale" priority="13">
      <colorScale>
        <cfvo type="num" val="0.69"/>
        <cfvo type="num" val="0.8"/>
        <cfvo type="num" val="0.9"/>
        <color rgb="FFF8696B"/>
        <color rgb="FFFFEB84"/>
        <color rgb="FF63BE7B"/>
      </colorScale>
    </cfRule>
  </conditionalFormatting>
  <conditionalFormatting sqref="CJ8">
    <cfRule type="colorScale" priority="12">
      <colorScale>
        <cfvo type="num" val="0.69"/>
        <cfvo type="num" val="0.8"/>
        <cfvo type="num" val="0.9"/>
        <color rgb="FFF8696B"/>
        <color rgb="FFFFEB84"/>
        <color rgb="FF63BE7B"/>
      </colorScale>
    </cfRule>
  </conditionalFormatting>
  <conditionalFormatting sqref="CJ11:CJ12">
    <cfRule type="colorScale" priority="11">
      <colorScale>
        <cfvo type="num" val="0.69"/>
        <cfvo type="num" val="0.8"/>
        <cfvo type="num" val="0.9"/>
        <color rgb="FFF8696B"/>
        <color rgb="FFFFEB84"/>
        <color rgb="FF63BE7B"/>
      </colorScale>
    </cfRule>
  </conditionalFormatting>
  <conditionalFormatting sqref="CJ14">
    <cfRule type="colorScale" priority="10">
      <colorScale>
        <cfvo type="num" val="0.69"/>
        <cfvo type="num" val="0.8"/>
        <cfvo type="num" val="0.9"/>
        <color rgb="FFF8696B"/>
        <color rgb="FFFFEB84"/>
        <color rgb="FF63BE7B"/>
      </colorScale>
    </cfRule>
  </conditionalFormatting>
  <conditionalFormatting sqref="CJ16">
    <cfRule type="colorScale" priority="9">
      <colorScale>
        <cfvo type="num" val="0.69"/>
        <cfvo type="num" val="0.8"/>
        <cfvo type="num" val="0.9"/>
        <color rgb="FFF8696B"/>
        <color rgb="FFFFEB84"/>
        <color rgb="FF63BE7B"/>
      </colorScale>
    </cfRule>
  </conditionalFormatting>
  <conditionalFormatting sqref="CJ17">
    <cfRule type="colorScale" priority="8">
      <colorScale>
        <cfvo type="num" val="0.69"/>
        <cfvo type="num" val="0.8"/>
        <cfvo type="num" val="0.9"/>
        <color rgb="FFF8696B"/>
        <color rgb="FFFFEB84"/>
        <color rgb="FF63BE7B"/>
      </colorScale>
    </cfRule>
  </conditionalFormatting>
  <conditionalFormatting sqref="CJ18">
    <cfRule type="colorScale" priority="7">
      <colorScale>
        <cfvo type="num" val="0.69"/>
        <cfvo type="num" val="0.8"/>
        <cfvo type="num" val="0.9"/>
        <color rgb="FFF8696B"/>
        <color rgb="FFFFEB84"/>
        <color rgb="FF63BE7B"/>
      </colorScale>
    </cfRule>
  </conditionalFormatting>
  <conditionalFormatting sqref="CJ19">
    <cfRule type="colorScale" priority="6">
      <colorScale>
        <cfvo type="num" val="0.69"/>
        <cfvo type="num" val="0.8"/>
        <cfvo type="num" val="0.9"/>
        <color rgb="FFF8696B"/>
        <color rgb="FFFFEB84"/>
        <color rgb="FF63BE7B"/>
      </colorScale>
    </cfRule>
  </conditionalFormatting>
  <conditionalFormatting sqref="CJ20:CJ22">
    <cfRule type="colorScale" priority="5">
      <colorScale>
        <cfvo type="num" val="0.69"/>
        <cfvo type="num" val="0.8"/>
        <cfvo type="num" val="0.9"/>
        <color rgb="FFF8696B"/>
        <color rgb="FFFFEB84"/>
        <color rgb="FF63BE7B"/>
      </colorScale>
    </cfRule>
  </conditionalFormatting>
  <conditionalFormatting sqref="CJ23">
    <cfRule type="colorScale" priority="4">
      <colorScale>
        <cfvo type="num" val="0.69"/>
        <cfvo type="num" val="0.8"/>
        <cfvo type="num" val="0.9"/>
        <color rgb="FFF8696B"/>
        <color rgb="FFFFEB84"/>
        <color rgb="FF63BE7B"/>
      </colorScale>
    </cfRule>
  </conditionalFormatting>
  <conditionalFormatting sqref="CP8:CP10">
    <cfRule type="colorScale" priority="3">
      <colorScale>
        <cfvo type="num" val="0.69"/>
        <cfvo type="num" val="0.8"/>
        <cfvo type="num" val="0.9"/>
        <color rgb="FFF8696B"/>
        <color rgb="FFFFEB84"/>
        <color rgb="FF63BE7B"/>
      </colorScale>
    </cfRule>
  </conditionalFormatting>
  <conditionalFormatting sqref="CP22">
    <cfRule type="colorScale" priority="2">
      <colorScale>
        <cfvo type="num" val="0.69"/>
        <cfvo type="num" val="0.8"/>
        <cfvo type="num" val="0.9"/>
        <color rgb="FFF8696B"/>
        <color rgb="FFFFEB84"/>
        <color rgb="FF63BE7B"/>
      </colorScale>
    </cfRule>
  </conditionalFormatting>
  <conditionalFormatting sqref="CP16">
    <cfRule type="colorScale" priority="1">
      <colorScale>
        <cfvo type="num" val="0.69"/>
        <cfvo type="num" val="0.8"/>
        <cfvo type="num" val="0.9"/>
        <color rgb="FFF8696B"/>
        <color rgb="FFFFEB84"/>
        <color rgb="FF63BE7B"/>
      </colorScale>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X36"/>
  <sheetViews>
    <sheetView showGridLines="0" zoomScale="29" zoomScaleNormal="29" zoomScaleSheetLayoutView="50" workbookViewId="0">
      <selection activeCell="F9" sqref="F9"/>
    </sheetView>
  </sheetViews>
  <sheetFormatPr baseColWidth="10" defaultRowHeight="26.25"/>
  <cols>
    <col min="1" max="1" width="13.85546875" style="910" customWidth="1"/>
    <col min="2" max="2" width="57.5703125" style="910" customWidth="1"/>
    <col min="3" max="3" width="7.140625" style="910" hidden="1" customWidth="1"/>
    <col min="4" max="4" width="60.5703125" style="910" customWidth="1"/>
    <col min="5" max="5" width="33.85546875" style="910" customWidth="1"/>
    <col min="6" max="6" width="59.42578125" style="910" customWidth="1"/>
    <col min="7" max="7" width="30.5703125" style="910" customWidth="1"/>
    <col min="8" max="8" width="69.5703125" style="910" customWidth="1"/>
    <col min="9" max="9" width="46.5703125" style="910" customWidth="1"/>
    <col min="10" max="10" width="34.5703125" style="910" customWidth="1"/>
    <col min="11" max="11" width="15.42578125" style="910" customWidth="1"/>
    <col min="12" max="13" width="13.7109375" style="910" customWidth="1"/>
    <col min="14" max="14" width="12" style="910" bestFit="1" customWidth="1"/>
    <col min="15" max="15" width="11.7109375" style="910" customWidth="1"/>
    <col min="16" max="16" width="12" style="910" bestFit="1" customWidth="1"/>
    <col min="17" max="17" width="11.140625" style="910" customWidth="1"/>
    <col min="18" max="18" width="13.42578125" style="910" customWidth="1"/>
    <col min="19" max="19" width="13.85546875" style="910" customWidth="1"/>
    <col min="20" max="20" width="14.5703125" style="910" customWidth="1"/>
    <col min="21" max="22" width="12" style="910" bestFit="1" customWidth="1"/>
    <col min="23" max="23" width="8.7109375" style="910" hidden="1" customWidth="1"/>
    <col min="24" max="28" width="21.7109375" style="910" hidden="1" customWidth="1"/>
    <col min="29" max="29" width="47.7109375" style="910" hidden="1" customWidth="1"/>
    <col min="30" max="34" width="21.7109375" style="910" hidden="1" customWidth="1"/>
    <col min="35" max="35" width="44.42578125" style="910" hidden="1" customWidth="1"/>
    <col min="36" max="40" width="21.7109375" style="910" hidden="1" customWidth="1"/>
    <col min="41" max="41" width="45.140625" style="910" hidden="1" customWidth="1"/>
    <col min="42" max="46" width="21.7109375" style="910" hidden="1" customWidth="1"/>
    <col min="47" max="47" width="45.7109375" style="910" hidden="1" customWidth="1"/>
    <col min="48" max="52" width="21.7109375" style="910" hidden="1" customWidth="1"/>
    <col min="53" max="53" width="47.5703125" style="910" hidden="1" customWidth="1"/>
    <col min="54" max="58" width="21.7109375" style="910" hidden="1" customWidth="1"/>
    <col min="59" max="59" width="46.85546875" style="910" hidden="1" customWidth="1"/>
    <col min="60" max="63" width="21.7109375" style="910" hidden="1" customWidth="1"/>
    <col min="64" max="64" width="34" style="910" hidden="1" customWidth="1"/>
    <col min="65" max="65" width="43" style="910" hidden="1" customWidth="1"/>
    <col min="66" max="66" width="17" style="910" hidden="1" customWidth="1"/>
    <col min="67" max="67" width="19.7109375" style="910" hidden="1" customWidth="1"/>
    <col min="68" max="68" width="16.5703125" style="910" hidden="1" customWidth="1"/>
    <col min="69" max="69" width="16.7109375" style="910" hidden="1" customWidth="1"/>
    <col min="70" max="70" width="25" style="910" hidden="1" customWidth="1"/>
    <col min="71" max="71" width="52.42578125" style="910" hidden="1" customWidth="1"/>
    <col min="72" max="72" width="18" style="910" hidden="1" customWidth="1"/>
    <col min="73" max="73" width="22.42578125" style="910" hidden="1" customWidth="1"/>
    <col min="74" max="74" width="13.7109375" style="910" hidden="1" customWidth="1"/>
    <col min="75" max="75" width="18.85546875" style="910" hidden="1" customWidth="1"/>
    <col min="76" max="76" width="22.28515625" style="910" hidden="1" customWidth="1"/>
    <col min="77" max="77" width="30.42578125" style="910" hidden="1" customWidth="1"/>
    <col min="78" max="78" width="19.28515625" style="910" hidden="1" customWidth="1"/>
    <col min="79" max="79" width="20.42578125" style="910" hidden="1" customWidth="1"/>
    <col min="80" max="80" width="15.28515625" style="910" hidden="1" customWidth="1"/>
    <col min="81" max="81" width="17.7109375" style="913" hidden="1" customWidth="1"/>
    <col min="82" max="82" width="25.140625" style="910" hidden="1" customWidth="1"/>
    <col min="83" max="83" width="85.7109375" style="910" hidden="1" customWidth="1"/>
    <col min="84" max="84" width="19.42578125" style="910" hidden="1" customWidth="1"/>
    <col min="85" max="85" width="22.140625" style="910" hidden="1" customWidth="1"/>
    <col min="86" max="86" width="17.42578125" style="910" hidden="1" customWidth="1"/>
    <col min="87" max="87" width="19.28515625" style="910" hidden="1" customWidth="1"/>
    <col min="88" max="88" width="25.28515625" style="910" hidden="1" customWidth="1"/>
    <col min="89" max="89" width="11.85546875" style="910" hidden="1" customWidth="1"/>
    <col min="90" max="90" width="34" style="910" customWidth="1"/>
    <col min="91" max="91" width="30.85546875" style="910" customWidth="1"/>
    <col min="92" max="92" width="33.5703125" style="910" customWidth="1"/>
    <col min="93" max="93" width="27.140625" style="910" customWidth="1"/>
    <col min="94" max="94" width="29.7109375" style="910" customWidth="1"/>
    <col min="95" max="95" width="43.85546875" style="910" customWidth="1"/>
    <col min="96" max="96" width="156.140625" style="910" customWidth="1"/>
    <col min="97" max="97" width="36.140625" style="910" customWidth="1"/>
    <col min="98" max="98" width="34.5703125" style="910" customWidth="1"/>
    <col min="99" max="99" width="25.42578125" style="910" customWidth="1"/>
    <col min="100" max="100" width="31.85546875" style="910" customWidth="1"/>
    <col min="101" max="101" width="43.5703125" style="910" customWidth="1"/>
    <col min="102" max="102" width="143.42578125" style="910" customWidth="1"/>
    <col min="103" max="103" width="24.7109375" style="910" customWidth="1"/>
    <col min="104" max="16384" width="11.42578125" style="910"/>
  </cols>
  <sheetData>
    <row r="1" spans="1:102" s="900" customFormat="1" ht="59.25" customHeight="1">
      <c r="A1" s="899"/>
      <c r="B1" s="2342" t="s">
        <v>1698</v>
      </c>
      <c r="C1" s="2342"/>
      <c r="D1" s="2342"/>
      <c r="E1" s="2342"/>
      <c r="F1" s="2342"/>
      <c r="G1" s="2342"/>
      <c r="H1" s="2342"/>
      <c r="I1" s="2342"/>
      <c r="J1" s="2342"/>
      <c r="K1" s="2342"/>
      <c r="L1" s="2342"/>
      <c r="M1" s="2342"/>
      <c r="N1" s="2342"/>
      <c r="O1" s="2343"/>
      <c r="P1" s="2344"/>
      <c r="Q1" s="2344"/>
      <c r="R1" s="2344"/>
      <c r="S1" s="2345"/>
      <c r="T1" s="2345"/>
      <c r="U1" s="2345"/>
      <c r="V1" s="2345"/>
      <c r="AJ1" s="901"/>
      <c r="AK1" s="901"/>
      <c r="AL1" s="901"/>
      <c r="AM1" s="901"/>
      <c r="AN1" s="901"/>
      <c r="AO1" s="902"/>
      <c r="CC1" s="903"/>
      <c r="CL1" s="904"/>
      <c r="CM1" s="905"/>
      <c r="CN1" s="905"/>
      <c r="CO1" s="905"/>
      <c r="CP1" s="905"/>
      <c r="CQ1" s="905"/>
      <c r="CR1" s="905"/>
      <c r="CS1" s="905"/>
      <c r="CT1" s="905"/>
      <c r="CU1" s="905"/>
      <c r="CV1" s="905"/>
      <c r="CW1" s="905"/>
      <c r="CX1" s="906"/>
    </row>
    <row r="2" spans="1:102" ht="51" customHeight="1">
      <c r="A2" s="2346" t="s">
        <v>1699</v>
      </c>
      <c r="B2" s="2347"/>
      <c r="C2" s="907"/>
      <c r="D2" s="2348" t="s">
        <v>1700</v>
      </c>
      <c r="E2" s="2348"/>
      <c r="F2" s="2348"/>
      <c r="G2" s="2348"/>
      <c r="H2" s="2348"/>
      <c r="I2" s="2348"/>
      <c r="J2" s="2348"/>
      <c r="K2" s="2348"/>
      <c r="L2" s="2348"/>
      <c r="M2" s="2348"/>
      <c r="N2" s="2347"/>
      <c r="O2" s="2349" t="s">
        <v>1701</v>
      </c>
      <c r="P2" s="2349"/>
      <c r="Q2" s="2349"/>
      <c r="R2" s="2349"/>
      <c r="S2" s="2345"/>
      <c r="T2" s="2345"/>
      <c r="U2" s="2345"/>
      <c r="V2" s="2345"/>
      <c r="W2" s="909"/>
      <c r="AJ2" s="911"/>
      <c r="AK2" s="911"/>
      <c r="AL2" s="911"/>
      <c r="AM2" s="911"/>
      <c r="AN2" s="911"/>
      <c r="AO2" s="912"/>
      <c r="BN2" s="909"/>
      <c r="CL2" s="909"/>
      <c r="CM2" s="911"/>
      <c r="CN2" s="911"/>
      <c r="CO2" s="911"/>
      <c r="CP2" s="911"/>
      <c r="CQ2" s="911"/>
      <c r="CR2" s="911"/>
      <c r="CS2" s="911"/>
      <c r="CT2" s="911"/>
      <c r="CU2" s="911"/>
      <c r="CV2" s="911"/>
      <c r="CW2" s="911"/>
      <c r="CX2" s="912"/>
    </row>
    <row r="3" spans="1:102" ht="5.25" customHeight="1">
      <c r="AJ3" s="911"/>
      <c r="AK3" s="911"/>
      <c r="AL3" s="911"/>
      <c r="AM3" s="911"/>
      <c r="AN3" s="911"/>
      <c r="AO3" s="912"/>
      <c r="CL3" s="909"/>
      <c r="CM3" s="911"/>
      <c r="CN3" s="911"/>
      <c r="CO3" s="911"/>
      <c r="CP3" s="911"/>
      <c r="CQ3" s="911"/>
      <c r="CR3" s="911"/>
      <c r="CS3" s="911"/>
      <c r="CT3" s="911"/>
      <c r="CU3" s="911"/>
      <c r="CV3" s="911"/>
      <c r="CW3" s="911"/>
      <c r="CX3" s="912"/>
    </row>
    <row r="4" spans="1:102" ht="37.5" customHeight="1">
      <c r="B4" s="914" t="s">
        <v>18</v>
      </c>
      <c r="C4" s="2349" t="s">
        <v>2218</v>
      </c>
      <c r="D4" s="2349"/>
      <c r="E4" s="2349"/>
      <c r="F4" s="2349"/>
      <c r="G4" s="2349"/>
      <c r="H4" s="2349"/>
      <c r="I4" s="2349"/>
      <c r="J4" s="2349"/>
      <c r="K4" s="2353" t="s">
        <v>21</v>
      </c>
      <c r="L4" s="2353"/>
      <c r="M4" s="2353"/>
      <c r="N4" s="2354"/>
      <c r="O4" s="2355"/>
      <c r="P4" s="2355"/>
      <c r="Q4" s="2355"/>
      <c r="R4" s="2355"/>
      <c r="S4" s="2355"/>
      <c r="T4" s="2355"/>
      <c r="U4" s="2355"/>
      <c r="V4" s="2356"/>
      <c r="W4" s="911"/>
      <c r="X4" s="2350" t="s">
        <v>29</v>
      </c>
      <c r="Y4" s="2351"/>
      <c r="Z4" s="2351"/>
      <c r="AA4" s="2351"/>
      <c r="AB4" s="2351"/>
      <c r="AC4" s="2352"/>
      <c r="AD4" s="2350" t="s">
        <v>29</v>
      </c>
      <c r="AE4" s="2351"/>
      <c r="AF4" s="2351"/>
      <c r="AG4" s="2351"/>
      <c r="AH4" s="2351"/>
      <c r="AI4" s="2352"/>
      <c r="AJ4" s="2350" t="s">
        <v>29</v>
      </c>
      <c r="AK4" s="2351"/>
      <c r="AL4" s="2351"/>
      <c r="AM4" s="2351"/>
      <c r="AN4" s="2351"/>
      <c r="AO4" s="2352"/>
      <c r="AP4" s="2351" t="s">
        <v>29</v>
      </c>
      <c r="AQ4" s="2351"/>
      <c r="AR4" s="2351"/>
      <c r="AS4" s="2351"/>
      <c r="AT4" s="2351"/>
      <c r="AU4" s="2352"/>
      <c r="AV4" s="2350" t="s">
        <v>29</v>
      </c>
      <c r="AW4" s="2351"/>
      <c r="AX4" s="2351"/>
      <c r="AY4" s="2351"/>
      <c r="AZ4" s="2351"/>
      <c r="BA4" s="2352"/>
      <c r="BB4" s="2350" t="s">
        <v>29</v>
      </c>
      <c r="BC4" s="2351"/>
      <c r="BD4" s="2351"/>
      <c r="BE4" s="2351"/>
      <c r="BF4" s="2351"/>
      <c r="BG4" s="2352"/>
      <c r="BH4" s="2350" t="s">
        <v>29</v>
      </c>
      <c r="BI4" s="2351"/>
      <c r="BJ4" s="2351"/>
      <c r="BK4" s="2351"/>
      <c r="BL4" s="2351"/>
      <c r="BM4" s="2352"/>
      <c r="BN4" s="2350" t="s">
        <v>29</v>
      </c>
      <c r="BO4" s="2351"/>
      <c r="BP4" s="2351"/>
      <c r="BQ4" s="2351"/>
      <c r="BR4" s="2351"/>
      <c r="BS4" s="2352"/>
      <c r="BT4" s="2350" t="s">
        <v>29</v>
      </c>
      <c r="BU4" s="2351"/>
      <c r="BV4" s="2351"/>
      <c r="BW4" s="2351"/>
      <c r="BX4" s="2351"/>
      <c r="BY4" s="2352"/>
      <c r="BZ4" s="2350" t="s">
        <v>29</v>
      </c>
      <c r="CA4" s="2351"/>
      <c r="CB4" s="2351"/>
      <c r="CC4" s="2351"/>
      <c r="CD4" s="2351"/>
      <c r="CE4" s="2352"/>
      <c r="CF4" s="2350" t="s">
        <v>29</v>
      </c>
      <c r="CG4" s="2351"/>
      <c r="CH4" s="2351"/>
      <c r="CI4" s="2351"/>
      <c r="CJ4" s="2351"/>
      <c r="CK4" s="2351"/>
      <c r="CL4" s="915"/>
      <c r="CM4" s="2354" t="s">
        <v>29</v>
      </c>
      <c r="CN4" s="2355"/>
      <c r="CO4" s="2355"/>
      <c r="CP4" s="2355"/>
      <c r="CQ4" s="2355"/>
      <c r="CR4" s="2356"/>
      <c r="CS4" s="2350" t="s">
        <v>30</v>
      </c>
      <c r="CT4" s="2351"/>
      <c r="CU4" s="2351"/>
      <c r="CV4" s="2351"/>
      <c r="CW4" s="2351"/>
      <c r="CX4" s="2352"/>
    </row>
    <row r="5" spans="1:102" ht="39.75" customHeight="1">
      <c r="A5" s="911"/>
      <c r="B5" s="911"/>
      <c r="C5" s="916"/>
      <c r="D5" s="911"/>
      <c r="E5" s="911"/>
      <c r="F5" s="911"/>
      <c r="G5" s="911"/>
      <c r="H5" s="911"/>
      <c r="I5" s="911"/>
      <c r="J5" s="911"/>
      <c r="K5" s="911"/>
      <c r="L5" s="911"/>
      <c r="M5" s="911"/>
      <c r="N5" s="911"/>
      <c r="O5" s="911"/>
      <c r="P5" s="911"/>
      <c r="Q5" s="911"/>
      <c r="R5" s="911"/>
      <c r="S5" s="911"/>
      <c r="T5" s="911"/>
      <c r="U5" s="911"/>
      <c r="V5" s="911"/>
      <c r="W5" s="911"/>
      <c r="AD5" s="909"/>
      <c r="AE5" s="911"/>
      <c r="AF5" s="911"/>
      <c r="AG5" s="911"/>
      <c r="AH5" s="911"/>
      <c r="AI5" s="911"/>
      <c r="AJ5" s="911"/>
      <c r="AK5" s="911"/>
      <c r="AL5" s="911"/>
      <c r="AM5" s="911"/>
      <c r="AN5" s="911"/>
      <c r="AO5" s="912"/>
      <c r="CL5" s="909"/>
      <c r="CM5" s="911"/>
      <c r="CN5" s="911"/>
      <c r="CO5" s="911"/>
      <c r="CP5" s="911"/>
      <c r="CQ5" s="911"/>
      <c r="CR5" s="911"/>
      <c r="CS5" s="911"/>
      <c r="CT5" s="911"/>
      <c r="CU5" s="911"/>
      <c r="CV5" s="911"/>
      <c r="CW5" s="911"/>
      <c r="CX5" s="912"/>
    </row>
    <row r="6" spans="1:102" ht="31.5" customHeight="1">
      <c r="B6" s="2357" t="s">
        <v>26</v>
      </c>
      <c r="C6" s="2357" t="s">
        <v>10</v>
      </c>
      <c r="D6" s="2357" t="s">
        <v>23</v>
      </c>
      <c r="E6" s="2357" t="s">
        <v>19</v>
      </c>
      <c r="F6" s="2357" t="s">
        <v>11</v>
      </c>
      <c r="G6" s="2357" t="s">
        <v>15</v>
      </c>
      <c r="H6" s="2357" t="s">
        <v>12</v>
      </c>
      <c r="I6" s="2357" t="s">
        <v>20</v>
      </c>
      <c r="J6" s="2357" t="s">
        <v>16</v>
      </c>
      <c r="K6" s="2357" t="s">
        <v>24</v>
      </c>
      <c r="L6" s="2357"/>
      <c r="M6" s="2357"/>
      <c r="N6" s="2357"/>
      <c r="O6" s="2357"/>
      <c r="P6" s="2357"/>
      <c r="Q6" s="2357"/>
      <c r="R6" s="2357"/>
      <c r="S6" s="2357"/>
      <c r="T6" s="2357"/>
      <c r="U6" s="2357"/>
      <c r="V6" s="2357"/>
      <c r="W6" s="917"/>
      <c r="X6" s="2359" t="s">
        <v>37</v>
      </c>
      <c r="Y6" s="2360"/>
      <c r="Z6" s="2360"/>
      <c r="AA6" s="2360"/>
      <c r="AB6" s="2360"/>
      <c r="AC6" s="2361"/>
      <c r="AD6" s="2362" t="s">
        <v>38</v>
      </c>
      <c r="AE6" s="2360"/>
      <c r="AF6" s="2360"/>
      <c r="AG6" s="2360"/>
      <c r="AH6" s="2360"/>
      <c r="AI6" s="2360"/>
      <c r="AJ6" s="2362" t="s">
        <v>39</v>
      </c>
      <c r="AK6" s="2360"/>
      <c r="AL6" s="2360"/>
      <c r="AM6" s="2360"/>
      <c r="AN6" s="2360"/>
      <c r="AO6" s="2360"/>
      <c r="AP6" s="2359" t="s">
        <v>40</v>
      </c>
      <c r="AQ6" s="2360"/>
      <c r="AR6" s="2360"/>
      <c r="AS6" s="2360"/>
      <c r="AT6" s="2360"/>
      <c r="AU6" s="2360"/>
      <c r="AV6" s="2362" t="s">
        <v>41</v>
      </c>
      <c r="AW6" s="2360"/>
      <c r="AX6" s="2360"/>
      <c r="AY6" s="2360"/>
      <c r="AZ6" s="2360"/>
      <c r="BA6" s="2360"/>
      <c r="BB6" s="2362" t="s">
        <v>42</v>
      </c>
      <c r="BC6" s="2360"/>
      <c r="BD6" s="2360"/>
      <c r="BE6" s="2360"/>
      <c r="BF6" s="2360"/>
      <c r="BG6" s="2360"/>
      <c r="BH6" s="2362" t="s">
        <v>43</v>
      </c>
      <c r="BI6" s="2360"/>
      <c r="BJ6" s="2360"/>
      <c r="BK6" s="2360"/>
      <c r="BL6" s="2360"/>
      <c r="BM6" s="2360"/>
      <c r="BN6" s="2362" t="s">
        <v>44</v>
      </c>
      <c r="BO6" s="2360"/>
      <c r="BP6" s="2360"/>
      <c r="BQ6" s="2360"/>
      <c r="BR6" s="2360"/>
      <c r="BS6" s="2360"/>
      <c r="BT6" s="2362" t="s">
        <v>45</v>
      </c>
      <c r="BU6" s="2360"/>
      <c r="BV6" s="2360"/>
      <c r="BW6" s="2360"/>
      <c r="BX6" s="2360"/>
      <c r="BY6" s="2360"/>
      <c r="BZ6" s="2362" t="s">
        <v>46</v>
      </c>
      <c r="CA6" s="2360"/>
      <c r="CB6" s="2360"/>
      <c r="CC6" s="2360"/>
      <c r="CD6" s="2360"/>
      <c r="CE6" s="2360"/>
      <c r="CF6" s="2362" t="s">
        <v>47</v>
      </c>
      <c r="CG6" s="2360"/>
      <c r="CH6" s="2360"/>
      <c r="CI6" s="2360"/>
      <c r="CJ6" s="2360"/>
      <c r="CK6" s="2361"/>
      <c r="CL6" s="918"/>
      <c r="CM6" s="2362" t="s">
        <v>87</v>
      </c>
      <c r="CN6" s="2360"/>
      <c r="CO6" s="2360"/>
      <c r="CP6" s="2360"/>
      <c r="CQ6" s="2360"/>
      <c r="CR6" s="2360"/>
      <c r="CS6" s="2362" t="s">
        <v>51</v>
      </c>
      <c r="CT6" s="2360"/>
      <c r="CU6" s="2360"/>
      <c r="CV6" s="2360"/>
      <c r="CW6" s="2360"/>
      <c r="CX6" s="2360"/>
    </row>
    <row r="7" spans="1:102" ht="131.25" customHeight="1">
      <c r="A7" s="912"/>
      <c r="B7" s="2358"/>
      <c r="C7" s="2357"/>
      <c r="D7" s="2357"/>
      <c r="E7" s="2357"/>
      <c r="F7" s="2357"/>
      <c r="G7" s="2357"/>
      <c r="H7" s="2365"/>
      <c r="I7" s="2357"/>
      <c r="J7" s="2357"/>
      <c r="K7" s="1961" t="s">
        <v>13</v>
      </c>
      <c r="L7" s="1961" t="s">
        <v>0</v>
      </c>
      <c r="M7" s="1961" t="s">
        <v>1</v>
      </c>
      <c r="N7" s="1961" t="s">
        <v>14</v>
      </c>
      <c r="O7" s="1961" t="s">
        <v>2</v>
      </c>
      <c r="P7" s="1961" t="s">
        <v>3</v>
      </c>
      <c r="Q7" s="1961" t="s">
        <v>4</v>
      </c>
      <c r="R7" s="1961" t="s">
        <v>5</v>
      </c>
      <c r="S7" s="1961" t="s">
        <v>6</v>
      </c>
      <c r="T7" s="1961" t="s">
        <v>7</v>
      </c>
      <c r="U7" s="1961" t="s">
        <v>8</v>
      </c>
      <c r="V7" s="1961" t="s">
        <v>9</v>
      </c>
      <c r="W7" s="908" t="s">
        <v>27</v>
      </c>
      <c r="X7" s="919" t="s">
        <v>31</v>
      </c>
      <c r="Y7" s="919" t="s">
        <v>32</v>
      </c>
      <c r="Z7" s="919" t="s">
        <v>1702</v>
      </c>
      <c r="AA7" s="920" t="s">
        <v>1703</v>
      </c>
      <c r="AB7" s="921" t="s">
        <v>35</v>
      </c>
      <c r="AC7" s="922" t="s">
        <v>36</v>
      </c>
      <c r="AD7" s="923" t="s">
        <v>31</v>
      </c>
      <c r="AE7" s="919" t="s">
        <v>32</v>
      </c>
      <c r="AF7" s="919" t="s">
        <v>1704</v>
      </c>
      <c r="AG7" s="920" t="s">
        <v>1703</v>
      </c>
      <c r="AH7" s="921" t="s">
        <v>35</v>
      </c>
      <c r="AI7" s="918" t="s">
        <v>36</v>
      </c>
      <c r="AJ7" s="919" t="s">
        <v>31</v>
      </c>
      <c r="AK7" s="919" t="s">
        <v>32</v>
      </c>
      <c r="AL7" s="919" t="s">
        <v>1702</v>
      </c>
      <c r="AM7" s="920" t="s">
        <v>1703</v>
      </c>
      <c r="AN7" s="921" t="s">
        <v>35</v>
      </c>
      <c r="AO7" s="924" t="s">
        <v>36</v>
      </c>
      <c r="AP7" s="919" t="s">
        <v>31</v>
      </c>
      <c r="AQ7" s="919" t="s">
        <v>32</v>
      </c>
      <c r="AR7" s="919" t="s">
        <v>1702</v>
      </c>
      <c r="AS7" s="920" t="s">
        <v>1703</v>
      </c>
      <c r="AT7" s="921" t="s">
        <v>35</v>
      </c>
      <c r="AU7" s="918" t="s">
        <v>36</v>
      </c>
      <c r="AV7" s="919" t="s">
        <v>31</v>
      </c>
      <c r="AW7" s="919" t="s">
        <v>32</v>
      </c>
      <c r="AX7" s="919" t="s">
        <v>1702</v>
      </c>
      <c r="AY7" s="920" t="s">
        <v>1703</v>
      </c>
      <c r="AZ7" s="921" t="s">
        <v>35</v>
      </c>
      <c r="BA7" s="925" t="s">
        <v>36</v>
      </c>
      <c r="BB7" s="919" t="s">
        <v>31</v>
      </c>
      <c r="BC7" s="919" t="s">
        <v>32</v>
      </c>
      <c r="BD7" s="919" t="s">
        <v>1702</v>
      </c>
      <c r="BE7" s="920" t="s">
        <v>1703</v>
      </c>
      <c r="BF7" s="921" t="s">
        <v>35</v>
      </c>
      <c r="BG7" s="918" t="s">
        <v>36</v>
      </c>
      <c r="BH7" s="919" t="s">
        <v>31</v>
      </c>
      <c r="BI7" s="919" t="s">
        <v>32</v>
      </c>
      <c r="BJ7" s="919" t="s">
        <v>1702</v>
      </c>
      <c r="BK7" s="920" t="s">
        <v>1703</v>
      </c>
      <c r="BL7" s="921" t="s">
        <v>35</v>
      </c>
      <c r="BM7" s="925" t="s">
        <v>36</v>
      </c>
      <c r="BN7" s="919" t="s">
        <v>31</v>
      </c>
      <c r="BO7" s="919" t="s">
        <v>32</v>
      </c>
      <c r="BP7" s="919" t="s">
        <v>1702</v>
      </c>
      <c r="BQ7" s="920" t="s">
        <v>1703</v>
      </c>
      <c r="BR7" s="921" t="s">
        <v>35</v>
      </c>
      <c r="BS7" s="925" t="s">
        <v>36</v>
      </c>
      <c r="BT7" s="919" t="s">
        <v>31</v>
      </c>
      <c r="BU7" s="919" t="s">
        <v>32</v>
      </c>
      <c r="BV7" s="919" t="s">
        <v>1702</v>
      </c>
      <c r="BW7" s="920" t="s">
        <v>34</v>
      </c>
      <c r="BX7" s="921" t="s">
        <v>35</v>
      </c>
      <c r="BY7" s="925" t="s">
        <v>36</v>
      </c>
      <c r="BZ7" s="919" t="s">
        <v>31</v>
      </c>
      <c r="CA7" s="919" t="s">
        <v>32</v>
      </c>
      <c r="CB7" s="920" t="s">
        <v>1704</v>
      </c>
      <c r="CC7" s="926" t="s">
        <v>1703</v>
      </c>
      <c r="CD7" s="921" t="s">
        <v>35</v>
      </c>
      <c r="CE7" s="925" t="s">
        <v>36</v>
      </c>
      <c r="CF7" s="919" t="s">
        <v>31</v>
      </c>
      <c r="CG7" s="919" t="s">
        <v>32</v>
      </c>
      <c r="CH7" s="919" t="s">
        <v>1702</v>
      </c>
      <c r="CI7" s="920" t="s">
        <v>1703</v>
      </c>
      <c r="CJ7" s="921" t="s">
        <v>35</v>
      </c>
      <c r="CK7" s="927" t="s">
        <v>36</v>
      </c>
      <c r="CL7" s="914" t="s">
        <v>19</v>
      </c>
      <c r="CM7" s="928" t="s">
        <v>31</v>
      </c>
      <c r="CN7" s="919" t="s">
        <v>32</v>
      </c>
      <c r="CO7" s="919" t="s">
        <v>1702</v>
      </c>
      <c r="CP7" s="920" t="s">
        <v>1703</v>
      </c>
      <c r="CQ7" s="921" t="s">
        <v>35</v>
      </c>
      <c r="CR7" s="925" t="s">
        <v>36</v>
      </c>
      <c r="CS7" s="919" t="s">
        <v>31</v>
      </c>
      <c r="CT7" s="919" t="s">
        <v>32</v>
      </c>
      <c r="CU7" s="919" t="s">
        <v>1702</v>
      </c>
      <c r="CV7" s="920" t="s">
        <v>1703</v>
      </c>
      <c r="CW7" s="921" t="s">
        <v>35</v>
      </c>
      <c r="CX7" s="925" t="s">
        <v>36</v>
      </c>
    </row>
    <row r="8" spans="1:102" ht="184.5" customHeight="1">
      <c r="A8" s="912"/>
      <c r="B8" s="929" t="s">
        <v>155</v>
      </c>
      <c r="C8" s="930" t="s">
        <v>156</v>
      </c>
      <c r="D8" s="908" t="s">
        <v>157</v>
      </c>
      <c r="E8" s="931" t="s">
        <v>158</v>
      </c>
      <c r="F8" s="930" t="s">
        <v>251</v>
      </c>
      <c r="G8" s="930" t="s">
        <v>53</v>
      </c>
      <c r="H8" s="908" t="s">
        <v>160</v>
      </c>
      <c r="I8" s="930" t="s">
        <v>161</v>
      </c>
      <c r="J8" s="930" t="s">
        <v>54</v>
      </c>
      <c r="K8" s="932"/>
      <c r="L8" s="932"/>
      <c r="M8" s="932"/>
      <c r="N8" s="932">
        <v>1</v>
      </c>
      <c r="O8" s="932"/>
      <c r="P8" s="932">
        <v>1</v>
      </c>
      <c r="Q8" s="932"/>
      <c r="R8" s="932"/>
      <c r="S8" s="932">
        <v>1</v>
      </c>
      <c r="T8" s="932"/>
      <c r="U8" s="932"/>
      <c r="V8" s="932">
        <v>1</v>
      </c>
      <c r="W8" s="933" t="s">
        <v>79</v>
      </c>
      <c r="X8" s="934"/>
      <c r="Y8" s="934"/>
      <c r="Z8" s="918" t="str">
        <f>IF(Y8=0," ",X8/Y8)</f>
        <v xml:space="preserve"> </v>
      </c>
      <c r="AA8" s="918"/>
      <c r="AB8" s="918"/>
      <c r="AC8" s="922"/>
      <c r="AD8" s="934"/>
      <c r="AE8" s="934"/>
      <c r="AF8" s="918"/>
      <c r="AG8" s="918"/>
      <c r="AH8" s="918"/>
      <c r="AI8" s="924"/>
      <c r="AJ8" s="934"/>
      <c r="AK8" s="934"/>
      <c r="AL8" s="918"/>
      <c r="AM8" s="918"/>
      <c r="AN8" s="918"/>
      <c r="AO8" s="924"/>
      <c r="AP8" s="935">
        <v>0</v>
      </c>
      <c r="AQ8" s="936">
        <v>1</v>
      </c>
      <c r="AR8" s="918">
        <f>IF(AQ8=0," ",AP8/AQ8)</f>
        <v>0</v>
      </c>
      <c r="AS8" s="937">
        <v>1</v>
      </c>
      <c r="AT8" s="918"/>
      <c r="AU8" s="938" t="s">
        <v>1705</v>
      </c>
      <c r="AV8" s="918"/>
      <c r="AW8" s="918"/>
      <c r="AX8" s="918"/>
      <c r="AY8" s="918"/>
      <c r="AZ8" s="918"/>
      <c r="BA8" s="936" t="s">
        <v>1706</v>
      </c>
      <c r="BB8" s="936">
        <v>0</v>
      </c>
      <c r="BC8" s="936">
        <v>1</v>
      </c>
      <c r="BD8" s="918">
        <f>IF(BC8=0," ",BB8/BC8)</f>
        <v>0</v>
      </c>
      <c r="BE8" s="937">
        <v>1</v>
      </c>
      <c r="BF8" s="918"/>
      <c r="BG8" s="938" t="s">
        <v>1705</v>
      </c>
      <c r="BH8" s="918"/>
      <c r="BI8" s="918"/>
      <c r="BJ8" s="918"/>
      <c r="BK8" s="918"/>
      <c r="BL8" s="918"/>
      <c r="BM8" s="918"/>
      <c r="BN8" s="918"/>
      <c r="BO8" s="918"/>
      <c r="BP8" s="918"/>
      <c r="BQ8" s="918"/>
      <c r="BR8" s="918"/>
      <c r="BS8" s="918"/>
      <c r="BT8" s="939">
        <v>0</v>
      </c>
      <c r="BU8" s="939">
        <v>1</v>
      </c>
      <c r="BV8" s="940">
        <f>IF(BU8=0," ",BT8/BU8)</f>
        <v>0</v>
      </c>
      <c r="BW8" s="941">
        <v>1</v>
      </c>
      <c r="BX8" s="942">
        <f>IF(BU8=0," ",BV8/BW8)</f>
        <v>0</v>
      </c>
      <c r="BY8" s="943" t="s">
        <v>1707</v>
      </c>
      <c r="BZ8" s="918"/>
      <c r="CA8" s="918"/>
      <c r="CB8" s="918"/>
      <c r="CC8" s="936"/>
      <c r="CD8" s="918"/>
      <c r="CE8" s="936" t="s">
        <v>1708</v>
      </c>
      <c r="CF8" s="937"/>
      <c r="CG8" s="937"/>
      <c r="CH8" s="937"/>
      <c r="CI8" s="937"/>
      <c r="CJ8" s="937"/>
      <c r="CK8" s="944" t="s">
        <v>1709</v>
      </c>
      <c r="CL8" s="931" t="s">
        <v>158</v>
      </c>
      <c r="CM8" s="945">
        <v>11</v>
      </c>
      <c r="CN8" s="946">
        <v>13</v>
      </c>
      <c r="CO8" s="947">
        <f>IF(CN8=0," ",CM8/CN8)</f>
        <v>0.84615384615384615</v>
      </c>
      <c r="CP8" s="941">
        <v>1</v>
      </c>
      <c r="CQ8" s="948">
        <f>IF(CN8=0," ",CO8/CP8)</f>
        <v>0.84615384615384615</v>
      </c>
      <c r="CR8" s="949" t="s">
        <v>1710</v>
      </c>
      <c r="CS8" s="945">
        <v>11</v>
      </c>
      <c r="CT8" s="946">
        <v>13</v>
      </c>
      <c r="CU8" s="947">
        <f>IF(CT8=0," ",CS8/CT8)</f>
        <v>0.84615384615384615</v>
      </c>
      <c r="CV8" s="941">
        <v>1</v>
      </c>
      <c r="CW8" s="948">
        <f>IF(CT8=0," ",CU8/CV8)</f>
        <v>0.84615384615384615</v>
      </c>
      <c r="CX8" s="949" t="s">
        <v>1710</v>
      </c>
    </row>
    <row r="9" spans="1:102" ht="409.5" customHeight="1">
      <c r="A9" s="912"/>
      <c r="B9" s="930" t="s">
        <v>416</v>
      </c>
      <c r="C9" s="930"/>
      <c r="D9" s="930" t="s">
        <v>1711</v>
      </c>
      <c r="E9" s="950" t="s">
        <v>1712</v>
      </c>
      <c r="F9" s="930" t="s">
        <v>1713</v>
      </c>
      <c r="G9" s="951" t="s">
        <v>178</v>
      </c>
      <c r="H9" s="930" t="s">
        <v>1714</v>
      </c>
      <c r="I9" s="930" t="s">
        <v>1715</v>
      </c>
      <c r="J9" s="930" t="s">
        <v>1716</v>
      </c>
      <c r="K9" s="952">
        <v>0.14000000000000001</v>
      </c>
      <c r="L9" s="952">
        <v>0.35</v>
      </c>
      <c r="M9" s="952">
        <v>0.43</v>
      </c>
      <c r="N9" s="952">
        <v>0.53</v>
      </c>
      <c r="O9" s="952">
        <v>0.72</v>
      </c>
      <c r="P9" s="953">
        <v>0.76</v>
      </c>
      <c r="Q9" s="953">
        <v>0.96</v>
      </c>
      <c r="R9" s="953">
        <v>0.96</v>
      </c>
      <c r="S9" s="953">
        <v>0.98</v>
      </c>
      <c r="T9" s="953">
        <v>0.98</v>
      </c>
      <c r="U9" s="953">
        <v>1</v>
      </c>
      <c r="V9" s="953">
        <v>1</v>
      </c>
      <c r="W9" s="954"/>
      <c r="X9" s="955">
        <v>3</v>
      </c>
      <c r="Y9" s="955">
        <v>42</v>
      </c>
      <c r="Z9" s="956">
        <f>IF(Y9=0," ",X9/Y9)</f>
        <v>7.1428571428571425E-2</v>
      </c>
      <c r="AA9" s="957">
        <v>0.14000000000000001</v>
      </c>
      <c r="AB9" s="941">
        <f>IF(Y9=0," ",Z9/AA9)</f>
        <v>0.51020408163265296</v>
      </c>
      <c r="AC9" s="958" t="s">
        <v>1717</v>
      </c>
      <c r="AD9" s="955">
        <v>8</v>
      </c>
      <c r="AE9" s="955">
        <v>42</v>
      </c>
      <c r="AF9" s="959">
        <f>IF(AE9=0," ",AD9/AE9)</f>
        <v>0.19047619047619047</v>
      </c>
      <c r="AG9" s="957">
        <v>0.35</v>
      </c>
      <c r="AH9" s="941">
        <f>IF(AE9=0," ",AF9/AG9)</f>
        <v>0.54421768707482998</v>
      </c>
      <c r="AI9" s="960" t="s">
        <v>1718</v>
      </c>
      <c r="AJ9" s="955">
        <v>12</v>
      </c>
      <c r="AK9" s="955">
        <v>42</v>
      </c>
      <c r="AL9" s="959">
        <f>IF(AK9=0," ",AJ9/AK9)</f>
        <v>0.2857142857142857</v>
      </c>
      <c r="AM9" s="957">
        <v>0.43</v>
      </c>
      <c r="AN9" s="941">
        <f>IF(AK9=0," ",AL9/AM9)</f>
        <v>0.66445182724252494</v>
      </c>
      <c r="AO9" s="961" t="s">
        <v>1719</v>
      </c>
      <c r="AP9" s="962">
        <v>13</v>
      </c>
      <c r="AQ9" s="955">
        <v>42</v>
      </c>
      <c r="AR9" s="959">
        <f>IF(AQ9=0," ",AP9/AQ9)</f>
        <v>0.30952380952380953</v>
      </c>
      <c r="AS9" s="957">
        <v>0.53</v>
      </c>
      <c r="AT9" s="941">
        <f>IF(AQ9=0," ",AR9/AS9)</f>
        <v>0.58400718778077265</v>
      </c>
      <c r="AU9" s="960" t="s">
        <v>1720</v>
      </c>
      <c r="AV9" s="963">
        <v>15</v>
      </c>
      <c r="AW9" s="964">
        <v>42</v>
      </c>
      <c r="AX9" s="959">
        <f>IF(AW9=0," ",AV9/AW9)</f>
        <v>0.35714285714285715</v>
      </c>
      <c r="AY9" s="957">
        <v>0.72</v>
      </c>
      <c r="AZ9" s="941">
        <f>IF(AW9=0," ",AX9/AY9)</f>
        <v>0.49603174603174605</v>
      </c>
      <c r="BA9" s="960" t="s">
        <v>1721</v>
      </c>
      <c r="BB9" s="965">
        <v>16</v>
      </c>
      <c r="BC9" s="964">
        <v>42</v>
      </c>
      <c r="BD9" s="959">
        <f>IF(BC9=0," ",BB9/BC9)</f>
        <v>0.38095238095238093</v>
      </c>
      <c r="BE9" s="966">
        <f>+P9</f>
        <v>0.76</v>
      </c>
      <c r="BF9" s="941">
        <f t="shared" ref="BF9:BF17" si="0">IF(BC9=0," ",BD9/BE9)</f>
        <v>0.50125313283208017</v>
      </c>
      <c r="BG9" s="961"/>
      <c r="BH9" s="965">
        <v>15</v>
      </c>
      <c r="BI9" s="964">
        <v>16</v>
      </c>
      <c r="BJ9" s="959">
        <f>IF(BI9=0," ",BH9/BI9)</f>
        <v>0.9375</v>
      </c>
      <c r="BK9" s="966">
        <v>0.96</v>
      </c>
      <c r="BL9" s="941">
        <f t="shared" ref="BL9:BL17" si="1">IF(BI9=0," ",BJ9/BK9)</f>
        <v>0.9765625</v>
      </c>
      <c r="BM9" s="960" t="s">
        <v>1722</v>
      </c>
      <c r="BN9" s="965">
        <v>15</v>
      </c>
      <c r="BO9" s="964">
        <v>16</v>
      </c>
      <c r="BP9" s="959">
        <f>IF(BO9=0," ",BN9/BO9)</f>
        <v>0.9375</v>
      </c>
      <c r="BQ9" s="966">
        <v>0.96</v>
      </c>
      <c r="BR9" s="941">
        <f t="shared" ref="BR9:BR17" si="2">IF(BO9=0," ",BP9/BQ9)</f>
        <v>0.9765625</v>
      </c>
      <c r="BS9" s="960" t="s">
        <v>1723</v>
      </c>
      <c r="BT9" s="965">
        <v>15</v>
      </c>
      <c r="BU9" s="964">
        <v>16</v>
      </c>
      <c r="BV9" s="959">
        <f>IF(BU9=0," ",BT9/BU9)</f>
        <v>0.9375</v>
      </c>
      <c r="BW9" s="966">
        <v>0.98</v>
      </c>
      <c r="BX9" s="941">
        <f t="shared" ref="BX9:BX17" si="3">IF(BU9=0," ",BV9/BW9)</f>
        <v>0.95663265306122447</v>
      </c>
      <c r="BY9" s="960" t="s">
        <v>1724</v>
      </c>
      <c r="BZ9" s="965">
        <v>15</v>
      </c>
      <c r="CA9" s="964">
        <v>16</v>
      </c>
      <c r="CB9" s="959">
        <f>IF(CA9=0," ",BZ9/CA9)</f>
        <v>0.9375</v>
      </c>
      <c r="CC9" s="966">
        <v>0.98</v>
      </c>
      <c r="CD9" s="941">
        <f>IF(CA9=0," ",CB9/CC9)</f>
        <v>0.95663265306122447</v>
      </c>
      <c r="CE9" s="960" t="s">
        <v>1725</v>
      </c>
      <c r="CF9" s="967">
        <v>15</v>
      </c>
      <c r="CG9" s="968">
        <v>16</v>
      </c>
      <c r="CH9" s="969">
        <f>IF(CG9=0," ",CF9/CG9)</f>
        <v>0.9375</v>
      </c>
      <c r="CI9" s="970">
        <v>1</v>
      </c>
      <c r="CJ9" s="970">
        <f t="shared" ref="CJ9:CJ17" si="4">IF(CG9=0," ",CH9/CI9)</f>
        <v>0.9375</v>
      </c>
      <c r="CK9" s="958" t="s">
        <v>1726</v>
      </c>
      <c r="CL9" s="950" t="s">
        <v>1712</v>
      </c>
      <c r="CM9" s="971">
        <v>16</v>
      </c>
      <c r="CN9" s="971">
        <v>16</v>
      </c>
      <c r="CO9" s="969">
        <f>IF(CN9=0," ",CM9/CN9)</f>
        <v>1</v>
      </c>
      <c r="CP9" s="972">
        <v>1</v>
      </c>
      <c r="CQ9" s="970">
        <f t="shared" ref="CQ9:CQ18" si="5">IF(CN9=0," ",CO9/CP9)</f>
        <v>1</v>
      </c>
      <c r="CR9" s="960" t="s">
        <v>1727</v>
      </c>
      <c r="CS9" s="973">
        <v>16</v>
      </c>
      <c r="CT9" s="971">
        <v>16</v>
      </c>
      <c r="CU9" s="969">
        <f>IF(CT9=0," ",CS9/CT9)</f>
        <v>1</v>
      </c>
      <c r="CV9" s="972">
        <v>1</v>
      </c>
      <c r="CW9" s="970">
        <f>IF(CT9=0," ",CU9/CV9)</f>
        <v>1</v>
      </c>
      <c r="CX9" s="960" t="s">
        <v>1728</v>
      </c>
    </row>
    <row r="10" spans="1:102" ht="198" customHeight="1">
      <c r="A10" s="911"/>
      <c r="B10" s="930" t="s">
        <v>416</v>
      </c>
      <c r="C10" s="930"/>
      <c r="D10" s="930" t="s">
        <v>1711</v>
      </c>
      <c r="E10" s="950" t="s">
        <v>1712</v>
      </c>
      <c r="F10" s="930" t="s">
        <v>1713</v>
      </c>
      <c r="G10" s="951" t="s">
        <v>178</v>
      </c>
      <c r="H10" s="930" t="s">
        <v>1714</v>
      </c>
      <c r="I10" s="930" t="s">
        <v>1715</v>
      </c>
      <c r="J10" s="930" t="s">
        <v>1716</v>
      </c>
      <c r="K10" s="974"/>
      <c r="L10" s="974"/>
      <c r="M10" s="974"/>
      <c r="N10" s="974"/>
      <c r="O10" s="974"/>
      <c r="P10" s="975"/>
      <c r="Q10" s="975"/>
      <c r="R10" s="975"/>
      <c r="S10" s="975"/>
      <c r="T10" s="975"/>
      <c r="U10" s="975"/>
      <c r="V10" s="975"/>
      <c r="W10" s="976"/>
      <c r="X10" s="977"/>
      <c r="Y10" s="977"/>
      <c r="Z10" s="978"/>
      <c r="AA10" s="979"/>
      <c r="AB10" s="980"/>
      <c r="AC10" s="981"/>
      <c r="AD10" s="977"/>
      <c r="AE10" s="977"/>
      <c r="AF10" s="982"/>
      <c r="AG10" s="979"/>
      <c r="AH10" s="980"/>
      <c r="AI10" s="981"/>
      <c r="AJ10" s="977"/>
      <c r="AK10" s="977"/>
      <c r="AL10" s="982"/>
      <c r="AM10" s="979"/>
      <c r="AN10" s="980"/>
      <c r="AO10" s="983"/>
      <c r="AP10" s="977"/>
      <c r="AQ10" s="977"/>
      <c r="AR10" s="982"/>
      <c r="AS10" s="979"/>
      <c r="AT10" s="980"/>
      <c r="AU10" s="981"/>
      <c r="AV10" s="984"/>
      <c r="AW10" s="985"/>
      <c r="AX10" s="982"/>
      <c r="AY10" s="979"/>
      <c r="AZ10" s="980"/>
      <c r="BA10" s="981"/>
      <c r="BB10" s="985"/>
      <c r="BC10" s="985"/>
      <c r="BD10" s="982"/>
      <c r="BE10" s="980"/>
      <c r="BF10" s="980"/>
      <c r="BG10" s="983"/>
      <c r="BH10" s="985"/>
      <c r="BI10" s="985"/>
      <c r="BJ10" s="982"/>
      <c r="BK10" s="980"/>
      <c r="BL10" s="980"/>
      <c r="BM10" s="981"/>
      <c r="BN10" s="985"/>
      <c r="BO10" s="985"/>
      <c r="BP10" s="982"/>
      <c r="BQ10" s="980"/>
      <c r="BR10" s="980"/>
      <c r="BS10" s="981"/>
      <c r="BT10" s="985"/>
      <c r="BU10" s="985"/>
      <c r="BV10" s="982"/>
      <c r="BW10" s="980"/>
      <c r="BX10" s="980"/>
      <c r="BY10" s="981"/>
      <c r="BZ10" s="985"/>
      <c r="CA10" s="985"/>
      <c r="CB10" s="982"/>
      <c r="CC10" s="980"/>
      <c r="CD10" s="980"/>
      <c r="CE10" s="981"/>
      <c r="CF10" s="986"/>
      <c r="CG10" s="986"/>
      <c r="CH10" s="987"/>
      <c r="CI10" s="988"/>
      <c r="CJ10" s="989"/>
      <c r="CK10" s="958" t="s">
        <v>1729</v>
      </c>
      <c r="CL10" s="950" t="s">
        <v>1712</v>
      </c>
      <c r="CM10" s="956"/>
      <c r="CN10" s="956"/>
      <c r="CO10" s="969"/>
      <c r="CP10" s="972"/>
      <c r="CQ10" s="970"/>
      <c r="CR10" s="960" t="s">
        <v>1730</v>
      </c>
      <c r="CS10" s="965"/>
      <c r="CT10" s="964"/>
      <c r="CU10" s="959"/>
      <c r="CV10" s="966"/>
      <c r="CW10" s="941"/>
      <c r="CX10" s="961" t="s">
        <v>1731</v>
      </c>
    </row>
    <row r="11" spans="1:102" ht="215.25" customHeight="1">
      <c r="A11" s="912"/>
      <c r="B11" s="930" t="s">
        <v>416</v>
      </c>
      <c r="C11" s="930"/>
      <c r="D11" s="930" t="s">
        <v>1732</v>
      </c>
      <c r="E11" s="950" t="s">
        <v>1733</v>
      </c>
      <c r="F11" s="930" t="s">
        <v>1734</v>
      </c>
      <c r="G11" s="951" t="s">
        <v>178</v>
      </c>
      <c r="H11" s="930" t="s">
        <v>1735</v>
      </c>
      <c r="I11" s="930" t="s">
        <v>1736</v>
      </c>
      <c r="J11" s="930" t="s">
        <v>1737</v>
      </c>
      <c r="K11" s="932"/>
      <c r="L11" s="932">
        <v>1</v>
      </c>
      <c r="M11" s="932"/>
      <c r="N11" s="932"/>
      <c r="O11" s="932"/>
      <c r="P11" s="907"/>
      <c r="Q11" s="953">
        <v>1</v>
      </c>
      <c r="R11" s="907"/>
      <c r="S11" s="953"/>
      <c r="T11" s="953"/>
      <c r="U11" s="953"/>
      <c r="V11" s="953"/>
      <c r="W11" s="954"/>
      <c r="X11" s="955"/>
      <c r="Y11" s="955"/>
      <c r="Z11" s="956"/>
      <c r="AA11" s="990"/>
      <c r="AB11" s="991"/>
      <c r="AC11" s="958" t="s">
        <v>1738</v>
      </c>
      <c r="AD11" s="955">
        <v>100</v>
      </c>
      <c r="AE11" s="955">
        <v>100</v>
      </c>
      <c r="AF11" s="992">
        <f>IF(AE11=0," ",AD11/AE11)</f>
        <v>1</v>
      </c>
      <c r="AG11" s="993">
        <v>1</v>
      </c>
      <c r="AH11" s="991">
        <f>AF11</f>
        <v>1</v>
      </c>
      <c r="AI11" s="960" t="s">
        <v>1738</v>
      </c>
      <c r="AJ11" s="955"/>
      <c r="AK11" s="955"/>
      <c r="AL11" s="959"/>
      <c r="AM11" s="966"/>
      <c r="AN11" s="941"/>
      <c r="AO11" s="960" t="s">
        <v>1738</v>
      </c>
      <c r="AP11" s="962"/>
      <c r="AQ11" s="955"/>
      <c r="AR11" s="959"/>
      <c r="AS11" s="966"/>
      <c r="AT11" s="941"/>
      <c r="AU11" s="960" t="s">
        <v>1738</v>
      </c>
      <c r="AV11" s="963">
        <v>0</v>
      </c>
      <c r="AW11" s="964" t="s">
        <v>423</v>
      </c>
      <c r="AX11" s="959" t="s">
        <v>423</v>
      </c>
      <c r="AY11" s="966" t="s">
        <v>423</v>
      </c>
      <c r="AZ11" s="941"/>
      <c r="BA11" s="960" t="s">
        <v>1739</v>
      </c>
      <c r="BB11" s="965">
        <v>0</v>
      </c>
      <c r="BC11" s="964" t="s">
        <v>423</v>
      </c>
      <c r="BD11" s="959" t="s">
        <v>423</v>
      </c>
      <c r="BE11" s="966" t="s">
        <v>423</v>
      </c>
      <c r="BF11" s="941" t="e">
        <f t="shared" si="0"/>
        <v>#VALUE!</v>
      </c>
      <c r="BG11" s="936" t="s">
        <v>1740</v>
      </c>
      <c r="BH11" s="965">
        <v>0</v>
      </c>
      <c r="BI11" s="964" t="s">
        <v>423</v>
      </c>
      <c r="BJ11" s="959" t="s">
        <v>423</v>
      </c>
      <c r="BK11" s="966"/>
      <c r="BL11" s="936" t="s">
        <v>1741</v>
      </c>
      <c r="BM11" s="960" t="s">
        <v>1742</v>
      </c>
      <c r="BN11" s="965">
        <v>0</v>
      </c>
      <c r="BO11" s="964" t="s">
        <v>423</v>
      </c>
      <c r="BP11" s="959" t="s">
        <v>423</v>
      </c>
      <c r="BQ11" s="966" t="s">
        <v>423</v>
      </c>
      <c r="BR11" s="994"/>
      <c r="BS11" s="936" t="s">
        <v>1743</v>
      </c>
      <c r="BT11" s="965">
        <v>0</v>
      </c>
      <c r="BU11" s="964" t="s">
        <v>423</v>
      </c>
      <c r="BV11" s="959" t="s">
        <v>423</v>
      </c>
      <c r="BW11" s="966" t="s">
        <v>423</v>
      </c>
      <c r="BX11" s="941"/>
      <c r="BY11" s="936" t="s">
        <v>1744</v>
      </c>
      <c r="BZ11" s="965"/>
      <c r="CA11" s="964"/>
      <c r="CB11" s="959" t="str">
        <f>IF(CA11=0," ",BZ11/CA11)</f>
        <v xml:space="preserve"> </v>
      </c>
      <c r="CC11" s="966"/>
      <c r="CD11" s="941" t="str">
        <f t="shared" ref="CD11:CD18" si="6">IF(CA11=0," ",CB11/CC11)</f>
        <v xml:space="preserve"> </v>
      </c>
      <c r="CE11" s="936" t="s">
        <v>1708</v>
      </c>
      <c r="CF11" s="995"/>
      <c r="CG11" s="956"/>
      <c r="CH11" s="969" t="str">
        <f t="shared" ref="CH11:CH17" si="7">IF(CG11=0," ",CF11/CG11)</f>
        <v xml:space="preserve"> </v>
      </c>
      <c r="CI11" s="972"/>
      <c r="CJ11" s="970" t="str">
        <f t="shared" si="4"/>
        <v xml:space="preserve"> </v>
      </c>
      <c r="CK11" s="944" t="s">
        <v>1745</v>
      </c>
      <c r="CL11" s="950" t="s">
        <v>1733</v>
      </c>
      <c r="CM11" s="947" t="s">
        <v>1110</v>
      </c>
      <c r="CN11" s="956"/>
      <c r="CO11" s="947" t="s">
        <v>1110</v>
      </c>
      <c r="CP11" s="972"/>
      <c r="CQ11" s="970" t="str">
        <f t="shared" si="5"/>
        <v xml:space="preserve"> </v>
      </c>
      <c r="CR11" s="936" t="s">
        <v>1746</v>
      </c>
      <c r="CS11" s="947" t="s">
        <v>1110</v>
      </c>
      <c r="CT11" s="964"/>
      <c r="CU11" s="947" t="s">
        <v>1110</v>
      </c>
      <c r="CV11" s="966"/>
      <c r="CW11" s="941" t="str">
        <f>IF(CT11=0," ",CU11/CV11)</f>
        <v xml:space="preserve"> </v>
      </c>
      <c r="CX11" s="936" t="s">
        <v>1746</v>
      </c>
    </row>
    <row r="12" spans="1:102" ht="189" customHeight="1">
      <c r="A12" s="912"/>
      <c r="B12" s="929" t="s">
        <v>55</v>
      </c>
      <c r="C12" s="930" t="s">
        <v>89</v>
      </c>
      <c r="D12" s="930" t="s">
        <v>1503</v>
      </c>
      <c r="E12" s="950" t="s">
        <v>57</v>
      </c>
      <c r="F12" s="930" t="s">
        <v>58</v>
      </c>
      <c r="G12" s="951" t="s">
        <v>53</v>
      </c>
      <c r="H12" s="930" t="s">
        <v>1504</v>
      </c>
      <c r="I12" s="930" t="s">
        <v>1505</v>
      </c>
      <c r="J12" s="930" t="s">
        <v>54</v>
      </c>
      <c r="K12" s="932"/>
      <c r="L12" s="932"/>
      <c r="M12" s="932">
        <v>1</v>
      </c>
      <c r="N12" s="932"/>
      <c r="O12" s="932"/>
      <c r="P12" s="953">
        <v>1</v>
      </c>
      <c r="Q12" s="953"/>
      <c r="R12" s="953"/>
      <c r="S12" s="996">
        <v>1</v>
      </c>
      <c r="T12" s="953"/>
      <c r="U12" s="953"/>
      <c r="V12" s="953">
        <v>1</v>
      </c>
      <c r="W12" s="954"/>
      <c r="X12" s="956"/>
      <c r="Y12" s="956"/>
      <c r="Z12" s="918" t="str">
        <f>IF(Y12=0," ",X12/Y12)</f>
        <v xml:space="preserve"> </v>
      </c>
      <c r="AA12" s="966"/>
      <c r="AB12" s="941" t="str">
        <f t="shared" ref="AB12:AB17" si="8">IF(Y12=0," ",Z12/AA12)</f>
        <v xml:space="preserve"> </v>
      </c>
      <c r="AC12" s="997"/>
      <c r="AD12" s="998"/>
      <c r="AE12" s="998"/>
      <c r="AF12" s="959"/>
      <c r="AG12" s="941"/>
      <c r="AH12" s="941"/>
      <c r="AI12" s="961"/>
      <c r="AJ12" s="955" t="s">
        <v>423</v>
      </c>
      <c r="AK12" s="955">
        <v>100</v>
      </c>
      <c r="AL12" s="959" t="s">
        <v>423</v>
      </c>
      <c r="AM12" s="966">
        <v>1</v>
      </c>
      <c r="AN12" s="941" t="s">
        <v>423</v>
      </c>
      <c r="AO12" s="999" t="s">
        <v>1747</v>
      </c>
      <c r="AP12" s="965"/>
      <c r="AQ12" s="964"/>
      <c r="AR12" s="959" t="str">
        <f>IF(AQ12=0," ",AP12/AQ12)</f>
        <v xml:space="preserve"> </v>
      </c>
      <c r="AS12" s="966"/>
      <c r="AT12" s="941" t="str">
        <f>IF(AQ12=0," ",AR12/AS12)</f>
        <v xml:space="preserve"> </v>
      </c>
      <c r="AU12" s="961"/>
      <c r="AV12" s="965"/>
      <c r="AW12" s="964"/>
      <c r="AX12" s="959" t="str">
        <f>IF(AW12=0," ",AV12/AW12)</f>
        <v xml:space="preserve"> </v>
      </c>
      <c r="AY12" s="966"/>
      <c r="AZ12" s="941" t="str">
        <f>IF(AW12=0," ",AX12/AY12)</f>
        <v xml:space="preserve"> </v>
      </c>
      <c r="BA12" s="936" t="s">
        <v>1706</v>
      </c>
      <c r="BB12" s="995">
        <v>0</v>
      </c>
      <c r="BC12" s="964">
        <v>100</v>
      </c>
      <c r="BD12" s="959">
        <f>IF(BC12=0," ",BB12/BC12)</f>
        <v>0</v>
      </c>
      <c r="BE12" s="966">
        <v>1</v>
      </c>
      <c r="BF12" s="941">
        <f t="shared" si="0"/>
        <v>0</v>
      </c>
      <c r="BG12" s="936"/>
      <c r="BH12" s="965"/>
      <c r="BI12" s="964"/>
      <c r="BJ12" s="959" t="str">
        <f t="shared" ref="BJ12:BJ17" si="9">IF(BI12=0," ",BH12/BI12)</f>
        <v xml:space="preserve"> </v>
      </c>
      <c r="BK12" s="966"/>
      <c r="BL12" s="941" t="str">
        <f t="shared" si="1"/>
        <v xml:space="preserve"> </v>
      </c>
      <c r="BM12" s="961"/>
      <c r="BN12" s="965"/>
      <c r="BO12" s="964"/>
      <c r="BP12" s="959" t="str">
        <f t="shared" ref="BP12:BP17" si="10">IF(BO12=0," ",BN12/BO12)</f>
        <v xml:space="preserve"> </v>
      </c>
      <c r="BQ12" s="966"/>
      <c r="BR12" s="941" t="str">
        <f t="shared" si="2"/>
        <v xml:space="preserve"> </v>
      </c>
      <c r="BS12" s="961"/>
      <c r="BT12" s="1000" t="str">
        <f>'[13]Consolidado Resultados'!C7</f>
        <v>NO APLICA EVALUACIÓN EN EL PERIODO</v>
      </c>
      <c r="BU12" s="964"/>
      <c r="BV12" s="959" t="str">
        <f t="shared" ref="BV12:BV17" si="11">IF(BU12=0," ",BT12/BU12)</f>
        <v xml:space="preserve"> </v>
      </c>
      <c r="BW12" s="966">
        <v>1</v>
      </c>
      <c r="BX12" s="941" t="str">
        <f t="shared" si="3"/>
        <v xml:space="preserve"> </v>
      </c>
      <c r="BY12" s="1001" t="s">
        <v>1748</v>
      </c>
      <c r="BZ12" s="965"/>
      <c r="CA12" s="964"/>
      <c r="CB12" s="959" t="str">
        <f>IF(CA12=0," ",BZ12/CA12)</f>
        <v xml:space="preserve"> </v>
      </c>
      <c r="CC12" s="966"/>
      <c r="CD12" s="941" t="str">
        <f t="shared" si="6"/>
        <v xml:space="preserve"> </v>
      </c>
      <c r="CE12" s="936" t="s">
        <v>1708</v>
      </c>
      <c r="CF12" s="995"/>
      <c r="CG12" s="956"/>
      <c r="CH12" s="969" t="str">
        <f t="shared" si="7"/>
        <v xml:space="preserve"> </v>
      </c>
      <c r="CI12" s="972"/>
      <c r="CJ12" s="970" t="str">
        <f t="shared" si="4"/>
        <v xml:space="preserve"> </v>
      </c>
      <c r="CK12" s="944" t="s">
        <v>1709</v>
      </c>
      <c r="CL12" s="950" t="s">
        <v>57</v>
      </c>
      <c r="CM12" s="1000" t="str">
        <f>'[14]Consolidado Resultados'!C8</f>
        <v>NO APLICA EVALUACIÓN EN EL PERIODO</v>
      </c>
      <c r="CN12" s="1002">
        <v>100</v>
      </c>
      <c r="CO12" s="947" t="s">
        <v>1110</v>
      </c>
      <c r="CP12" s="966">
        <v>1</v>
      </c>
      <c r="CQ12" s="942" t="s">
        <v>1110</v>
      </c>
      <c r="CR12" s="943" t="s">
        <v>326</v>
      </c>
      <c r="CS12" s="1003" t="s">
        <v>1108</v>
      </c>
      <c r="CT12" s="1004">
        <v>100</v>
      </c>
      <c r="CU12" s="947" t="s">
        <v>1110</v>
      </c>
      <c r="CV12" s="966">
        <v>1</v>
      </c>
      <c r="CW12" s="942" t="s">
        <v>1110</v>
      </c>
      <c r="CX12" s="943" t="s">
        <v>327</v>
      </c>
    </row>
    <row r="13" spans="1:102" ht="188.25" customHeight="1">
      <c r="A13" s="912"/>
      <c r="B13" s="929" t="s">
        <v>55</v>
      </c>
      <c r="C13" s="930" t="s">
        <v>88</v>
      </c>
      <c r="D13" s="930" t="s">
        <v>1511</v>
      </c>
      <c r="E13" s="950" t="s">
        <v>57</v>
      </c>
      <c r="F13" s="930" t="s">
        <v>62</v>
      </c>
      <c r="G13" s="951" t="s">
        <v>53</v>
      </c>
      <c r="H13" s="930" t="s">
        <v>1512</v>
      </c>
      <c r="I13" s="930" t="s">
        <v>1513</v>
      </c>
      <c r="J13" s="930" t="s">
        <v>54</v>
      </c>
      <c r="K13" s="932"/>
      <c r="L13" s="932">
        <v>1</v>
      </c>
      <c r="M13" s="932"/>
      <c r="N13" s="932">
        <v>1</v>
      </c>
      <c r="O13" s="932"/>
      <c r="P13" s="953">
        <v>1</v>
      </c>
      <c r="Q13" s="953"/>
      <c r="R13" s="953">
        <v>1</v>
      </c>
      <c r="S13" s="953"/>
      <c r="T13" s="953">
        <v>1</v>
      </c>
      <c r="U13" s="953"/>
      <c r="V13" s="953">
        <v>1</v>
      </c>
      <c r="W13" s="954"/>
      <c r="X13" s="956"/>
      <c r="Y13" s="956"/>
      <c r="Z13" s="918" t="str">
        <f>IF(Y13=0," ",X13/Y13)</f>
        <v xml:space="preserve"> </v>
      </c>
      <c r="AA13" s="941"/>
      <c r="AB13" s="941" t="str">
        <f t="shared" si="8"/>
        <v xml:space="preserve"> </v>
      </c>
      <c r="AC13" s="997"/>
      <c r="AD13" s="955" t="s">
        <v>423</v>
      </c>
      <c r="AE13" s="955">
        <v>100</v>
      </c>
      <c r="AF13" s="959" t="s">
        <v>423</v>
      </c>
      <c r="AG13" s="966">
        <v>1</v>
      </c>
      <c r="AH13" s="941" t="s">
        <v>423</v>
      </c>
      <c r="AI13" s="999" t="s">
        <v>1747</v>
      </c>
      <c r="AJ13" s="998"/>
      <c r="AK13" s="998"/>
      <c r="AL13" s="959"/>
      <c r="AM13" s="941"/>
      <c r="AN13" s="941"/>
      <c r="AO13" s="960"/>
      <c r="AP13" s="1005" t="s">
        <v>423</v>
      </c>
      <c r="AQ13" s="998" t="s">
        <v>423</v>
      </c>
      <c r="AR13" s="959" t="s">
        <v>423</v>
      </c>
      <c r="AS13" s="941">
        <v>1</v>
      </c>
      <c r="AT13" s="941"/>
      <c r="AU13" s="1006" t="s">
        <v>148</v>
      </c>
      <c r="AV13" s="964"/>
      <c r="AW13" s="964"/>
      <c r="AX13" s="959"/>
      <c r="AY13" s="941"/>
      <c r="AZ13" s="941"/>
      <c r="BA13" s="936" t="s">
        <v>1706</v>
      </c>
      <c r="BB13" s="964"/>
      <c r="BC13" s="964"/>
      <c r="BD13" s="959"/>
      <c r="BE13" s="941"/>
      <c r="BF13" s="941" t="str">
        <f t="shared" si="0"/>
        <v xml:space="preserve"> </v>
      </c>
      <c r="BG13" s="961"/>
      <c r="BH13" s="964"/>
      <c r="BI13" s="964"/>
      <c r="BJ13" s="959" t="str">
        <f t="shared" si="9"/>
        <v xml:space="preserve"> </v>
      </c>
      <c r="BK13" s="941"/>
      <c r="BL13" s="941" t="str">
        <f t="shared" si="1"/>
        <v xml:space="preserve"> </v>
      </c>
      <c r="BM13" s="961"/>
      <c r="BN13" s="964" t="s">
        <v>325</v>
      </c>
      <c r="BO13" s="964"/>
      <c r="BP13" s="959" t="str">
        <f t="shared" si="10"/>
        <v xml:space="preserve"> </v>
      </c>
      <c r="BQ13" s="941" t="s">
        <v>325</v>
      </c>
      <c r="BR13" s="941" t="str">
        <f t="shared" si="2"/>
        <v xml:space="preserve"> </v>
      </c>
      <c r="BS13" s="1007" t="s">
        <v>148</v>
      </c>
      <c r="BT13" s="964"/>
      <c r="BU13" s="964"/>
      <c r="BV13" s="959" t="str">
        <f t="shared" si="11"/>
        <v xml:space="preserve"> </v>
      </c>
      <c r="BW13" s="941"/>
      <c r="BX13" s="941" t="str">
        <f t="shared" si="3"/>
        <v xml:space="preserve"> </v>
      </c>
      <c r="BY13" s="961" t="s">
        <v>1749</v>
      </c>
      <c r="BZ13" s="1008">
        <v>100</v>
      </c>
      <c r="CA13" s="939">
        <v>100</v>
      </c>
      <c r="CB13" s="947">
        <f>IF(CA13=0," ",BZ13/CA13)</f>
        <v>1</v>
      </c>
      <c r="CC13" s="1009">
        <v>1</v>
      </c>
      <c r="CD13" s="940">
        <f t="shared" si="6"/>
        <v>1</v>
      </c>
      <c r="CE13" s="1010" t="s">
        <v>1750</v>
      </c>
      <c r="CF13" s="956"/>
      <c r="CG13" s="956"/>
      <c r="CH13" s="969" t="str">
        <f t="shared" si="7"/>
        <v xml:space="preserve"> </v>
      </c>
      <c r="CI13" s="970"/>
      <c r="CJ13" s="970" t="str">
        <f t="shared" si="4"/>
        <v xml:space="preserve"> </v>
      </c>
      <c r="CK13" s="944" t="s">
        <v>1709</v>
      </c>
      <c r="CL13" s="950" t="s">
        <v>57</v>
      </c>
      <c r="CM13" s="1008" t="s">
        <v>325</v>
      </c>
      <c r="CN13" s="939"/>
      <c r="CO13" s="947" t="str">
        <f>IF(CN13=0," ",CM13/CN13)</f>
        <v xml:space="preserve"> </v>
      </c>
      <c r="CP13" s="1009" t="s">
        <v>325</v>
      </c>
      <c r="CQ13" s="940" t="str">
        <f>IF(CN13=0," ",CO13/CP13)</f>
        <v xml:space="preserve"> </v>
      </c>
      <c r="CR13" s="1007" t="s">
        <v>162</v>
      </c>
      <c r="CS13" s="21"/>
      <c r="CT13" s="21"/>
      <c r="CU13" s="22" t="str">
        <f>IF(CT13=0," ",CS13/CT13)</f>
        <v xml:space="preserve"> </v>
      </c>
      <c r="CV13" s="23"/>
      <c r="CW13" s="281">
        <f>IF((SUM(AH13,AT13,BF13,BR13,CD13,CQ13)&gt;0),(SUM(AH13,AT13,BF13,BR13,CD13,CQ13)/COUNT(AH13,AT13,BF13,BR13,CD13,CQ13)),("NO APLICA EVALUACIÓN DEL INDICADOR EN LA VIGENCIA 2014"))</f>
        <v>1</v>
      </c>
      <c r="CX13" s="1007" t="s">
        <v>162</v>
      </c>
    </row>
    <row r="14" spans="1:102" ht="162" customHeight="1">
      <c r="A14" s="912"/>
      <c r="B14" s="929" t="s">
        <v>260</v>
      </c>
      <c r="C14" s="930" t="s">
        <v>261</v>
      </c>
      <c r="D14" s="930" t="s">
        <v>262</v>
      </c>
      <c r="E14" s="950" t="s">
        <v>263</v>
      </c>
      <c r="F14" s="930" t="s">
        <v>730</v>
      </c>
      <c r="G14" s="951" t="s">
        <v>98</v>
      </c>
      <c r="H14" s="930" t="s">
        <v>731</v>
      </c>
      <c r="I14" s="930" t="s">
        <v>267</v>
      </c>
      <c r="J14" s="930" t="s">
        <v>391</v>
      </c>
      <c r="K14" s="1011">
        <v>0</v>
      </c>
      <c r="L14" s="1011">
        <v>0</v>
      </c>
      <c r="M14" s="1011">
        <v>0.248</v>
      </c>
      <c r="N14" s="1011">
        <v>0.06</v>
      </c>
      <c r="O14" s="1011">
        <v>0.1</v>
      </c>
      <c r="P14" s="1011">
        <v>0</v>
      </c>
      <c r="Q14" s="1011">
        <v>0.1</v>
      </c>
      <c r="R14" s="1011">
        <v>0.1</v>
      </c>
      <c r="S14" s="1011">
        <v>0.1</v>
      </c>
      <c r="T14" s="1011">
        <v>0.1</v>
      </c>
      <c r="U14" s="1011">
        <v>0.1</v>
      </c>
      <c r="V14" s="953">
        <v>0.09</v>
      </c>
      <c r="W14" s="954"/>
      <c r="X14" s="1012">
        <v>0</v>
      </c>
      <c r="Y14" s="1012">
        <v>0</v>
      </c>
      <c r="Z14" s="956">
        <v>0</v>
      </c>
      <c r="AA14" s="1013">
        <v>0</v>
      </c>
      <c r="AB14" s="1014" t="str">
        <f t="shared" si="8"/>
        <v xml:space="preserve"> </v>
      </c>
      <c r="AC14" s="1015" t="s">
        <v>1751</v>
      </c>
      <c r="AD14" s="1012">
        <v>0</v>
      </c>
      <c r="AE14" s="1012">
        <v>100</v>
      </c>
      <c r="AF14" s="1016">
        <f>IF(AE14=0," ",AD14/AE14)</f>
        <v>0</v>
      </c>
      <c r="AG14" s="1017">
        <v>0.1</v>
      </c>
      <c r="AH14" s="1014">
        <f>IF(AE14=0," ",AF14/AG14)</f>
        <v>0</v>
      </c>
      <c r="AI14" s="938" t="s">
        <v>1752</v>
      </c>
      <c r="AJ14" s="1018">
        <v>219932663</v>
      </c>
      <c r="AK14" s="1018">
        <v>886670069</v>
      </c>
      <c r="AL14" s="1019">
        <f>IF( AK14=0," ",AJ14/AK14)</f>
        <v>0.24804340497028776</v>
      </c>
      <c r="AM14" s="1017">
        <v>0.25</v>
      </c>
      <c r="AN14" s="1014">
        <f>IF(AK14=0," ",AL14/AM14)</f>
        <v>0.99217361988115105</v>
      </c>
      <c r="AO14" s="960" t="s">
        <v>1753</v>
      </c>
      <c r="AP14" s="1020">
        <v>54502920</v>
      </c>
      <c r="AQ14" s="1018">
        <v>886670069</v>
      </c>
      <c r="AR14" s="1016">
        <f>IF(AQ14=0," ",AP14/AQ14)</f>
        <v>6.1469222775805687E-2</v>
      </c>
      <c r="AS14" s="1017">
        <v>0.1</v>
      </c>
      <c r="AT14" s="1014">
        <f>IF(AQ14=0," ",AR14/AS14)</f>
        <v>0.61469222775805687</v>
      </c>
      <c r="AU14" s="960" t="s">
        <v>1754</v>
      </c>
      <c r="AV14" s="1021">
        <v>90141495</v>
      </c>
      <c r="AW14" s="1018">
        <v>886670069</v>
      </c>
      <c r="AX14" s="1016">
        <f>IF(AW14=0," ",AV14/AW14)</f>
        <v>0.10166295012265718</v>
      </c>
      <c r="AY14" s="1017">
        <v>0.1</v>
      </c>
      <c r="AZ14" s="1014">
        <f>IF(AW14=0," ",AX14/AY14)</f>
        <v>1.0166295012265718</v>
      </c>
      <c r="BA14" s="1022" t="s">
        <v>1755</v>
      </c>
      <c r="BB14" s="1023">
        <v>0</v>
      </c>
      <c r="BC14" s="1024"/>
      <c r="BD14" s="1025" t="str">
        <f>IF(BC14=0," ",BB14/BC14)</f>
        <v xml:space="preserve"> </v>
      </c>
      <c r="BE14" s="1026">
        <v>0</v>
      </c>
      <c r="BF14" s="1027" t="str">
        <f t="shared" si="0"/>
        <v xml:space="preserve"> </v>
      </c>
      <c r="BG14" s="1022" t="s">
        <v>1756</v>
      </c>
      <c r="BH14" s="1028">
        <v>0</v>
      </c>
      <c r="BI14" s="1029">
        <v>886670069</v>
      </c>
      <c r="BJ14" s="1030">
        <f t="shared" si="9"/>
        <v>0</v>
      </c>
      <c r="BK14" s="1031">
        <v>0.1</v>
      </c>
      <c r="BL14" s="1014">
        <f t="shared" si="1"/>
        <v>0</v>
      </c>
      <c r="BM14" s="1032" t="s">
        <v>1757</v>
      </c>
      <c r="BN14" s="1033">
        <v>0</v>
      </c>
      <c r="BO14" s="1018">
        <v>886670069</v>
      </c>
      <c r="BP14" s="1016">
        <f t="shared" si="10"/>
        <v>0</v>
      </c>
      <c r="BQ14" s="1017">
        <v>0.1</v>
      </c>
      <c r="BR14" s="1014">
        <f t="shared" si="2"/>
        <v>0</v>
      </c>
      <c r="BS14" s="1032" t="s">
        <v>1757</v>
      </c>
      <c r="BT14" s="1033">
        <v>0</v>
      </c>
      <c r="BU14" s="1018"/>
      <c r="BV14" s="1016" t="str">
        <f t="shared" si="11"/>
        <v xml:space="preserve"> </v>
      </c>
      <c r="BW14" s="1017">
        <v>0.1</v>
      </c>
      <c r="BX14" s="1014" t="str">
        <f t="shared" si="3"/>
        <v xml:space="preserve"> </v>
      </c>
      <c r="BY14" s="1022" t="s">
        <v>1757</v>
      </c>
      <c r="BZ14" s="1033">
        <v>0</v>
      </c>
      <c r="CA14" s="1018">
        <v>886670069</v>
      </c>
      <c r="CB14" s="1014">
        <v>0</v>
      </c>
      <c r="CC14" s="1017">
        <v>0.1</v>
      </c>
      <c r="CD14" s="941">
        <f t="shared" si="6"/>
        <v>0</v>
      </c>
      <c r="CE14" s="1022" t="s">
        <v>1757</v>
      </c>
      <c r="CF14" s="1034">
        <v>0</v>
      </c>
      <c r="CG14" s="1018">
        <v>886670069</v>
      </c>
      <c r="CH14" s="1019">
        <f t="shared" si="7"/>
        <v>0</v>
      </c>
      <c r="CI14" s="1013"/>
      <c r="CJ14" s="1035"/>
      <c r="CK14" s="1036" t="s">
        <v>1757</v>
      </c>
      <c r="CL14" s="950" t="s">
        <v>263</v>
      </c>
      <c r="CM14" s="1024">
        <v>522092991</v>
      </c>
      <c r="CN14" s="1018">
        <v>886670069</v>
      </c>
      <c r="CO14" s="1019">
        <f>IF(CN14=0," ",CM14/CN14)</f>
        <v>0.58882442213124941</v>
      </c>
      <c r="CP14" s="1013">
        <v>0.09</v>
      </c>
      <c r="CQ14" s="1035">
        <f t="shared" si="5"/>
        <v>6.5424935792361048</v>
      </c>
      <c r="CR14" s="1022" t="s">
        <v>1758</v>
      </c>
      <c r="CS14" s="1023">
        <v>886670069</v>
      </c>
      <c r="CT14" s="1018">
        <v>886670069</v>
      </c>
      <c r="CU14" s="1016">
        <f>IF(CT14=0," ",CS14/CT14)</f>
        <v>1</v>
      </c>
      <c r="CV14" s="1017">
        <v>1</v>
      </c>
      <c r="CW14" s="1014">
        <f>IF(CT14=0," ",CU14/CV14)</f>
        <v>1</v>
      </c>
      <c r="CX14" s="1037" t="s">
        <v>1759</v>
      </c>
    </row>
    <row r="15" spans="1:102" ht="183" customHeight="1">
      <c r="A15" s="912"/>
      <c r="B15" s="929" t="s">
        <v>260</v>
      </c>
      <c r="C15" s="930" t="s">
        <v>273</v>
      </c>
      <c r="D15" s="930" t="s">
        <v>274</v>
      </c>
      <c r="E15" s="950" t="s">
        <v>275</v>
      </c>
      <c r="F15" s="930" t="s">
        <v>749</v>
      </c>
      <c r="G15" s="951" t="s">
        <v>98</v>
      </c>
      <c r="H15" s="930" t="s">
        <v>750</v>
      </c>
      <c r="I15" s="930" t="s">
        <v>267</v>
      </c>
      <c r="J15" s="930" t="s">
        <v>391</v>
      </c>
      <c r="K15" s="932">
        <v>0</v>
      </c>
      <c r="L15" s="932">
        <v>0.1</v>
      </c>
      <c r="M15" s="932">
        <v>0.05</v>
      </c>
      <c r="N15" s="1011">
        <v>0.15</v>
      </c>
      <c r="O15" s="1011">
        <v>0.1</v>
      </c>
      <c r="P15" s="1011">
        <v>0.1</v>
      </c>
      <c r="Q15" s="1011">
        <v>0.1</v>
      </c>
      <c r="R15" s="1011">
        <v>0.1</v>
      </c>
      <c r="S15" s="1011">
        <v>0.1</v>
      </c>
      <c r="T15" s="1011">
        <v>0.1</v>
      </c>
      <c r="U15" s="1011">
        <v>0.1</v>
      </c>
      <c r="V15" s="1011">
        <v>0.1</v>
      </c>
      <c r="W15" s="954"/>
      <c r="X15" s="1012">
        <v>0</v>
      </c>
      <c r="Y15" s="1018">
        <v>3689233816</v>
      </c>
      <c r="Z15" s="956">
        <v>0</v>
      </c>
      <c r="AA15" s="1017">
        <v>0</v>
      </c>
      <c r="AB15" s="1014">
        <v>0</v>
      </c>
      <c r="AC15" s="1015" t="s">
        <v>1751</v>
      </c>
      <c r="AD15" s="998">
        <v>383115457</v>
      </c>
      <c r="AE15" s="998">
        <v>3689233816</v>
      </c>
      <c r="AF15" s="959">
        <f>IF(AE15=0," ",AD15/AE15)</f>
        <v>0.10384688965455369</v>
      </c>
      <c r="AG15" s="941">
        <v>0.1</v>
      </c>
      <c r="AH15" s="941">
        <f>IF(AE15=0," ",AF15/AG15)</f>
        <v>1.0384688965455369</v>
      </c>
      <c r="AI15" s="960" t="s">
        <v>1760</v>
      </c>
      <c r="AJ15" s="998">
        <v>174573895</v>
      </c>
      <c r="AK15" s="998">
        <v>3689233816</v>
      </c>
      <c r="AL15" s="959">
        <f>IF(AK15=0," ",AJ15/AK15)</f>
        <v>4.7319824035788355E-2</v>
      </c>
      <c r="AM15" s="941">
        <v>0.05</v>
      </c>
      <c r="AN15" s="941">
        <f>IF(AK15=0," ",AL15/AM15)</f>
        <v>0.9463964807157671</v>
      </c>
      <c r="AO15" s="960" t="s">
        <v>1760</v>
      </c>
      <c r="AP15" s="1005">
        <v>374566071</v>
      </c>
      <c r="AQ15" s="998">
        <v>3689233816</v>
      </c>
      <c r="AR15" s="959">
        <f>IF(AQ15=0," ",AP15/AQ15)</f>
        <v>0.10152950170182437</v>
      </c>
      <c r="AS15" s="941">
        <v>0.1</v>
      </c>
      <c r="AT15" s="941">
        <f>IF(AQ15=0," ",AR15/AS15)</f>
        <v>1.0152950170182435</v>
      </c>
      <c r="AU15" s="960" t="s">
        <v>1760</v>
      </c>
      <c r="AV15" s="1038">
        <v>17936064</v>
      </c>
      <c r="AW15" s="998">
        <v>3689233816</v>
      </c>
      <c r="AX15" s="1016">
        <f>IF(AW15=0," ",AV15/AW15)</f>
        <v>4.8617314311205475E-3</v>
      </c>
      <c r="AY15" s="1017">
        <v>0.1</v>
      </c>
      <c r="AZ15" s="1014">
        <f>IF(AW15=0," ",AX15/AY15)</f>
        <v>4.8617314311205473E-2</v>
      </c>
      <c r="BA15" s="1022" t="s">
        <v>1761</v>
      </c>
      <c r="BB15" s="1023">
        <v>377047653</v>
      </c>
      <c r="BC15" s="1024">
        <v>3689233815.9999995</v>
      </c>
      <c r="BD15" s="1025">
        <f>IF(BC15=0," ",BB15/BC15)</f>
        <v>0.1022021568177017</v>
      </c>
      <c r="BE15" s="1026">
        <v>0.1</v>
      </c>
      <c r="BF15" s="1039">
        <f t="shared" si="0"/>
        <v>1.0220215681770168</v>
      </c>
      <c r="BG15" s="1022" t="s">
        <v>1762</v>
      </c>
      <c r="BH15" s="1028">
        <v>393051649</v>
      </c>
      <c r="BI15" s="1029">
        <v>3689233815.9999995</v>
      </c>
      <c r="BJ15" s="1030">
        <f t="shared" si="9"/>
        <v>0.10654018384396162</v>
      </c>
      <c r="BK15" s="1031">
        <v>0.1</v>
      </c>
      <c r="BL15" s="1014">
        <f t="shared" si="1"/>
        <v>1.0654018384396162</v>
      </c>
      <c r="BM15" s="1032" t="s">
        <v>1763</v>
      </c>
      <c r="BN15" s="1020">
        <v>357890715</v>
      </c>
      <c r="BO15" s="998">
        <v>3689233816</v>
      </c>
      <c r="BP15" s="1016">
        <f t="shared" si="10"/>
        <v>9.7009496510589294E-2</v>
      </c>
      <c r="BQ15" s="1017">
        <v>0.1</v>
      </c>
      <c r="BR15" s="1014">
        <f t="shared" si="2"/>
        <v>0.97009496510589288</v>
      </c>
      <c r="BS15" s="1040" t="s">
        <v>1764</v>
      </c>
      <c r="BT15" s="1023">
        <v>14427210</v>
      </c>
      <c r="BU15" s="1024">
        <v>3689233815.9999995</v>
      </c>
      <c r="BV15" s="1016">
        <f t="shared" si="11"/>
        <v>3.9106250022511455E-3</v>
      </c>
      <c r="BW15" s="1017">
        <v>0.1</v>
      </c>
      <c r="BX15" s="1014">
        <f t="shared" si="3"/>
        <v>3.9106250022511453E-2</v>
      </c>
      <c r="BY15" s="1022" t="s">
        <v>1765</v>
      </c>
      <c r="BZ15" s="1023">
        <v>949572515</v>
      </c>
      <c r="CA15" s="998">
        <v>3689233816</v>
      </c>
      <c r="CB15" s="1014">
        <f>IF(CA15=0," ",BZ15/CA15)</f>
        <v>0.25739016889679295</v>
      </c>
      <c r="CC15" s="1017">
        <v>0.1</v>
      </c>
      <c r="CD15" s="941">
        <f>IF(CA15=0," ",CB15/CC15)</f>
        <v>2.5739016889679291</v>
      </c>
      <c r="CE15" s="1022" t="s">
        <v>1766</v>
      </c>
      <c r="CF15" s="1023">
        <v>23602493</v>
      </c>
      <c r="CG15" s="998">
        <v>3689233816</v>
      </c>
      <c r="CH15" s="1019">
        <f t="shared" si="7"/>
        <v>6.3976679649951473E-3</v>
      </c>
      <c r="CI15" s="1013">
        <v>0.1</v>
      </c>
      <c r="CJ15" s="1035">
        <f t="shared" si="4"/>
        <v>6.3976679649951462E-2</v>
      </c>
      <c r="CK15" s="1041" t="s">
        <v>1767</v>
      </c>
      <c r="CL15" s="950" t="s">
        <v>275</v>
      </c>
      <c r="CM15" s="1024">
        <v>270000000</v>
      </c>
      <c r="CN15" s="998">
        <v>3689233816</v>
      </c>
      <c r="CO15" s="1019">
        <f>IF(CN15=0," ",CM15/CN15)</f>
        <v>7.3185927882647384E-2</v>
      </c>
      <c r="CP15" s="1042">
        <v>0.1</v>
      </c>
      <c r="CQ15" s="1035">
        <f t="shared" si="5"/>
        <v>0.73185927882647384</v>
      </c>
      <c r="CR15" s="1022" t="s">
        <v>1768</v>
      </c>
      <c r="CS15" s="1023">
        <v>3335783722</v>
      </c>
      <c r="CT15" s="998">
        <v>3689233816</v>
      </c>
      <c r="CU15" s="1016">
        <f>IF(CT15=0," ",CS15/CT15)</f>
        <v>0.9041941737422261</v>
      </c>
      <c r="CV15" s="1017">
        <v>1.1000000000000001</v>
      </c>
      <c r="CW15" s="1014">
        <f>IF(CT15=0," ",CU15/CV15)</f>
        <v>0.82199470340202363</v>
      </c>
      <c r="CX15" s="1037" t="s">
        <v>1769</v>
      </c>
    </row>
    <row r="16" spans="1:102" ht="389.25" customHeight="1">
      <c r="A16" s="912"/>
      <c r="B16" s="929" t="s">
        <v>67</v>
      </c>
      <c r="C16" s="930" t="s">
        <v>90</v>
      </c>
      <c r="D16" s="930" t="s">
        <v>1522</v>
      </c>
      <c r="E16" s="950" t="s">
        <v>68</v>
      </c>
      <c r="F16" s="930" t="s">
        <v>69</v>
      </c>
      <c r="G16" s="930" t="s">
        <v>53</v>
      </c>
      <c r="H16" s="930" t="s">
        <v>70</v>
      </c>
      <c r="I16" s="930" t="s">
        <v>71</v>
      </c>
      <c r="J16" s="930" t="s">
        <v>54</v>
      </c>
      <c r="K16" s="932">
        <v>0</v>
      </c>
      <c r="L16" s="932">
        <v>0</v>
      </c>
      <c r="M16" s="932">
        <v>0</v>
      </c>
      <c r="N16" s="932">
        <v>0</v>
      </c>
      <c r="O16" s="932">
        <v>0</v>
      </c>
      <c r="P16" s="953">
        <v>0</v>
      </c>
      <c r="Q16" s="953">
        <v>0</v>
      </c>
      <c r="R16" s="953">
        <v>0</v>
      </c>
      <c r="S16" s="953">
        <v>0</v>
      </c>
      <c r="T16" s="953">
        <v>0</v>
      </c>
      <c r="U16" s="953">
        <v>0</v>
      </c>
      <c r="V16" s="953">
        <v>1</v>
      </c>
      <c r="W16" s="954"/>
      <c r="X16" s="1012">
        <v>0</v>
      </c>
      <c r="Y16" s="1012">
        <v>0</v>
      </c>
      <c r="Z16" s="956">
        <v>0</v>
      </c>
      <c r="AA16" s="1013">
        <v>0</v>
      </c>
      <c r="AB16" s="1014" t="str">
        <f t="shared" si="8"/>
        <v xml:space="preserve"> </v>
      </c>
      <c r="AC16" s="1043" t="s">
        <v>1770</v>
      </c>
      <c r="AD16" s="1012"/>
      <c r="AE16" s="1012">
        <v>0</v>
      </c>
      <c r="AF16" s="1016">
        <v>0</v>
      </c>
      <c r="AG16" s="1017">
        <v>0</v>
      </c>
      <c r="AH16" s="1014" t="str">
        <f>IF(AE16=0," ",AF16/AG16)</f>
        <v xml:space="preserve"> </v>
      </c>
      <c r="AI16" s="938" t="s">
        <v>1770</v>
      </c>
      <c r="AJ16" s="1012">
        <v>0</v>
      </c>
      <c r="AK16" s="1012">
        <v>0</v>
      </c>
      <c r="AL16" s="1019">
        <v>0</v>
      </c>
      <c r="AM16" s="1013">
        <v>0</v>
      </c>
      <c r="AN16" s="1035" t="str">
        <f>IF(AK16=0," ",AL16/AM16)</f>
        <v xml:space="preserve"> </v>
      </c>
      <c r="AO16" s="938" t="s">
        <v>1770</v>
      </c>
      <c r="AP16" s="1044">
        <v>0</v>
      </c>
      <c r="AQ16" s="1012">
        <v>0</v>
      </c>
      <c r="AR16" s="1019">
        <v>0</v>
      </c>
      <c r="AS16" s="1013">
        <v>0</v>
      </c>
      <c r="AT16" s="1035" t="str">
        <f>IF(AQ16=0," ",AR16/AS16)</f>
        <v xml:space="preserve"> </v>
      </c>
      <c r="AU16" s="938" t="s">
        <v>1770</v>
      </c>
      <c r="AV16" s="1044">
        <v>0</v>
      </c>
      <c r="AW16" s="1012">
        <v>0</v>
      </c>
      <c r="AX16" s="1016">
        <v>0</v>
      </c>
      <c r="AY16" s="1017">
        <v>0</v>
      </c>
      <c r="AZ16" s="1014">
        <v>0</v>
      </c>
      <c r="BA16" s="938" t="s">
        <v>1770</v>
      </c>
      <c r="BB16" s="1012">
        <v>0</v>
      </c>
      <c r="BC16" s="1012">
        <v>0</v>
      </c>
      <c r="BD16" s="1025">
        <v>0</v>
      </c>
      <c r="BE16" s="1013">
        <v>0</v>
      </c>
      <c r="BF16" s="1014" t="str">
        <f t="shared" si="0"/>
        <v xml:space="preserve"> </v>
      </c>
      <c r="BG16" s="938" t="s">
        <v>1770</v>
      </c>
      <c r="BH16" s="1033">
        <v>0</v>
      </c>
      <c r="BI16" s="1045">
        <v>0</v>
      </c>
      <c r="BJ16" s="1016">
        <v>0</v>
      </c>
      <c r="BK16" s="1017">
        <v>0</v>
      </c>
      <c r="BL16" s="994"/>
      <c r="BM16" s="938" t="s">
        <v>1770</v>
      </c>
      <c r="BN16" s="1033">
        <v>0</v>
      </c>
      <c r="BO16" s="1045">
        <v>0</v>
      </c>
      <c r="BP16" s="1016">
        <v>0</v>
      </c>
      <c r="BQ16" s="1017">
        <v>0</v>
      </c>
      <c r="BR16" s="1014">
        <v>0</v>
      </c>
      <c r="BS16" s="938" t="s">
        <v>1770</v>
      </c>
      <c r="BT16" s="1033">
        <v>0</v>
      </c>
      <c r="BU16" s="1045">
        <v>0</v>
      </c>
      <c r="BV16" s="1016">
        <v>0</v>
      </c>
      <c r="BW16" s="1017">
        <v>0</v>
      </c>
      <c r="BX16" s="1014">
        <v>0</v>
      </c>
      <c r="BY16" s="938" t="s">
        <v>1771</v>
      </c>
      <c r="BZ16" s="1033">
        <v>0</v>
      </c>
      <c r="CA16" s="1045">
        <v>0</v>
      </c>
      <c r="CB16" s="1014">
        <v>0</v>
      </c>
      <c r="CC16" s="1017">
        <v>0</v>
      </c>
      <c r="CD16" s="941">
        <v>0</v>
      </c>
      <c r="CE16" s="1046" t="s">
        <v>1772</v>
      </c>
      <c r="CF16" s="1044">
        <v>0</v>
      </c>
      <c r="CG16" s="1012">
        <v>0</v>
      </c>
      <c r="CH16" s="1019">
        <v>0</v>
      </c>
      <c r="CI16" s="1013">
        <v>0</v>
      </c>
      <c r="CJ16" s="1035">
        <v>0</v>
      </c>
      <c r="CK16" s="1047" t="s">
        <v>1772</v>
      </c>
      <c r="CL16" s="950" t="s">
        <v>68</v>
      </c>
      <c r="CM16" s="955">
        <v>0</v>
      </c>
      <c r="CN16" s="955">
        <v>0</v>
      </c>
      <c r="CO16" s="969">
        <v>0</v>
      </c>
      <c r="CP16" s="972">
        <v>0</v>
      </c>
      <c r="CQ16" s="970">
        <v>0</v>
      </c>
      <c r="CR16" s="1048" t="s">
        <v>1773</v>
      </c>
      <c r="CS16" s="962">
        <v>0</v>
      </c>
      <c r="CT16" s="955">
        <v>0</v>
      </c>
      <c r="CU16" s="959">
        <v>0</v>
      </c>
      <c r="CV16" s="966">
        <v>0</v>
      </c>
      <c r="CW16" s="941">
        <v>0</v>
      </c>
      <c r="CX16" s="960" t="s">
        <v>1774</v>
      </c>
    </row>
    <row r="17" spans="1:102" ht="227.25" customHeight="1">
      <c r="A17" s="912"/>
      <c r="B17" s="929" t="s">
        <v>73</v>
      </c>
      <c r="C17" s="930" t="s">
        <v>91</v>
      </c>
      <c r="D17" s="930" t="s">
        <v>74</v>
      </c>
      <c r="E17" s="950" t="s">
        <v>75</v>
      </c>
      <c r="F17" s="930" t="s">
        <v>296</v>
      </c>
      <c r="G17" s="930" t="s">
        <v>53</v>
      </c>
      <c r="H17" s="930" t="s">
        <v>776</v>
      </c>
      <c r="I17" s="930" t="s">
        <v>78</v>
      </c>
      <c r="J17" s="930" t="s">
        <v>54</v>
      </c>
      <c r="K17" s="932">
        <v>1</v>
      </c>
      <c r="L17" s="932">
        <v>0.28999999999999998</v>
      </c>
      <c r="M17" s="1049">
        <v>0.88</v>
      </c>
      <c r="N17" s="932">
        <v>0.83</v>
      </c>
      <c r="O17" s="932">
        <v>0.8</v>
      </c>
      <c r="P17" s="953">
        <v>0.8</v>
      </c>
      <c r="Q17" s="953">
        <v>0.8</v>
      </c>
      <c r="R17" s="953">
        <v>0.8</v>
      </c>
      <c r="S17" s="953">
        <v>0.8</v>
      </c>
      <c r="T17" s="953">
        <v>0.8</v>
      </c>
      <c r="U17" s="953">
        <v>0.8</v>
      </c>
      <c r="V17" s="953">
        <v>0.8</v>
      </c>
      <c r="W17" s="954"/>
      <c r="X17" s="1012">
        <v>0</v>
      </c>
      <c r="Y17" s="1012">
        <v>0</v>
      </c>
      <c r="Z17" s="956">
        <v>0</v>
      </c>
      <c r="AA17" s="1017">
        <v>1</v>
      </c>
      <c r="AB17" s="1014" t="str">
        <f t="shared" si="8"/>
        <v xml:space="preserve"> </v>
      </c>
      <c r="AC17" s="997" t="s">
        <v>1775</v>
      </c>
      <c r="AD17" s="1012">
        <v>70</v>
      </c>
      <c r="AE17" s="1012">
        <v>100</v>
      </c>
      <c r="AF17" s="1016">
        <f>IF(AE17=0," ",AD17/AE17)</f>
        <v>0.7</v>
      </c>
      <c r="AG17" s="1017">
        <v>0.28999999999999998</v>
      </c>
      <c r="AH17" s="1014">
        <f>IF(AE17=0," ",AF17/AG17)</f>
        <v>2.4137931034482758</v>
      </c>
      <c r="AI17" s="961" t="s">
        <v>1776</v>
      </c>
      <c r="AJ17" s="1012">
        <v>60</v>
      </c>
      <c r="AK17" s="1012">
        <v>100</v>
      </c>
      <c r="AL17" s="1016">
        <f>IF(AK17=0," ",AJ17/AK17)</f>
        <v>0.6</v>
      </c>
      <c r="AM17" s="1017">
        <v>0.88</v>
      </c>
      <c r="AN17" s="1014">
        <f>IF(AK17=0," ",AL17/AM17)</f>
        <v>0.68181818181818177</v>
      </c>
      <c r="AO17" s="961" t="s">
        <v>1777</v>
      </c>
      <c r="AP17" s="1044">
        <v>60</v>
      </c>
      <c r="AQ17" s="1012">
        <v>100</v>
      </c>
      <c r="AR17" s="1016">
        <f>IF(AQ17=0," ",AP17/AQ17)</f>
        <v>0.6</v>
      </c>
      <c r="AS17" s="1017">
        <v>0.83</v>
      </c>
      <c r="AT17" s="1014">
        <f>IF(AQ17=0," ",AR17/AS17)</f>
        <v>0.72289156626506024</v>
      </c>
      <c r="AU17" s="961" t="s">
        <v>1776</v>
      </c>
      <c r="AV17" s="1044">
        <v>65</v>
      </c>
      <c r="AW17" s="1012">
        <v>100</v>
      </c>
      <c r="AX17" s="1016">
        <f>IF(AW17=0," ",AV17/AW17)</f>
        <v>0.65</v>
      </c>
      <c r="AY17" s="1017">
        <v>0.8</v>
      </c>
      <c r="AZ17" s="1014">
        <f>IF(AW17=0," ",AX17/AY17)</f>
        <v>0.8125</v>
      </c>
      <c r="BA17" s="961" t="s">
        <v>1778</v>
      </c>
      <c r="BB17" s="1045">
        <v>50</v>
      </c>
      <c r="BC17" s="1045">
        <v>100</v>
      </c>
      <c r="BD17" s="1025">
        <f>IF(BC17=0," ",BB17/BC17)</f>
        <v>0.5</v>
      </c>
      <c r="BE17" s="1026">
        <v>0.8</v>
      </c>
      <c r="BF17" s="1050">
        <f t="shared" si="0"/>
        <v>0.625</v>
      </c>
      <c r="BG17" s="1051" t="s">
        <v>1779</v>
      </c>
      <c r="BH17" s="1033">
        <v>50</v>
      </c>
      <c r="BI17" s="1045">
        <v>100</v>
      </c>
      <c r="BJ17" s="1016">
        <f t="shared" si="9"/>
        <v>0.5</v>
      </c>
      <c r="BK17" s="1017">
        <v>0.8</v>
      </c>
      <c r="BL17" s="1014">
        <f t="shared" si="1"/>
        <v>0.625</v>
      </c>
      <c r="BM17" s="961" t="s">
        <v>1780</v>
      </c>
      <c r="BN17" s="1033">
        <v>65</v>
      </c>
      <c r="BO17" s="1045">
        <v>100</v>
      </c>
      <c r="BP17" s="1016">
        <f t="shared" si="10"/>
        <v>0.65</v>
      </c>
      <c r="BQ17" s="1017">
        <v>0.8</v>
      </c>
      <c r="BR17" s="1014">
        <f t="shared" si="2"/>
        <v>0.8125</v>
      </c>
      <c r="BS17" s="1052" t="s">
        <v>1781</v>
      </c>
      <c r="BT17" s="1033">
        <v>40</v>
      </c>
      <c r="BU17" s="1045">
        <v>100</v>
      </c>
      <c r="BV17" s="1016">
        <f t="shared" si="11"/>
        <v>0.4</v>
      </c>
      <c r="BW17" s="1017">
        <v>0.8</v>
      </c>
      <c r="BX17" s="1014">
        <f t="shared" si="3"/>
        <v>0.5</v>
      </c>
      <c r="BY17" s="1053" t="s">
        <v>1782</v>
      </c>
      <c r="BZ17" s="1033">
        <v>50</v>
      </c>
      <c r="CA17" s="1045">
        <v>100</v>
      </c>
      <c r="CB17" s="1016">
        <f>IF(CA17=0," ",BZ17/CA17)</f>
        <v>0.5</v>
      </c>
      <c r="CC17" s="1017">
        <v>0.8</v>
      </c>
      <c r="CD17" s="941">
        <f t="shared" si="6"/>
        <v>0.625</v>
      </c>
      <c r="CE17" s="1051" t="s">
        <v>1783</v>
      </c>
      <c r="CF17" s="1054">
        <v>5</v>
      </c>
      <c r="CG17" s="1055">
        <v>100</v>
      </c>
      <c r="CH17" s="1019">
        <f t="shared" si="7"/>
        <v>0.05</v>
      </c>
      <c r="CI17" s="1013">
        <v>0.8</v>
      </c>
      <c r="CJ17" s="1035">
        <f t="shared" si="4"/>
        <v>6.25E-2</v>
      </c>
      <c r="CK17" s="1056" t="s">
        <v>1784</v>
      </c>
      <c r="CL17" s="950" t="s">
        <v>75</v>
      </c>
      <c r="CM17" s="1012">
        <v>40</v>
      </c>
      <c r="CN17" s="1012">
        <v>100</v>
      </c>
      <c r="CO17" s="1016">
        <f>IF(CN17=0," ",CM17/CN17)</f>
        <v>0.4</v>
      </c>
      <c r="CP17" s="1017">
        <v>0.8</v>
      </c>
      <c r="CQ17" s="1017">
        <f>IF(CN17=0," ",CO17/CP17)</f>
        <v>0.5</v>
      </c>
      <c r="CR17" s="1051" t="s">
        <v>1785</v>
      </c>
      <c r="CS17" s="1044"/>
      <c r="CT17" s="1012"/>
      <c r="CU17" s="1016"/>
      <c r="CV17" s="1017"/>
      <c r="CW17" s="1017"/>
      <c r="CX17" s="1057" t="s">
        <v>1786</v>
      </c>
    </row>
    <row r="18" spans="1:102" ht="225" customHeight="1">
      <c r="A18" s="912"/>
      <c r="B18" s="1058" t="s">
        <v>81</v>
      </c>
      <c r="C18" s="930" t="s">
        <v>92</v>
      </c>
      <c r="D18" s="908" t="s">
        <v>83</v>
      </c>
      <c r="E18" s="950" t="s">
        <v>1787</v>
      </c>
      <c r="F18" s="1059" t="s">
        <v>82</v>
      </c>
      <c r="G18" s="930" t="s">
        <v>66</v>
      </c>
      <c r="H18" s="930" t="s">
        <v>1788</v>
      </c>
      <c r="I18" s="930" t="s">
        <v>85</v>
      </c>
      <c r="J18" s="930" t="s">
        <v>54</v>
      </c>
      <c r="K18" s="932"/>
      <c r="L18" s="932"/>
      <c r="M18" s="932">
        <v>1</v>
      </c>
      <c r="N18" s="932"/>
      <c r="O18" s="932"/>
      <c r="P18" s="932">
        <v>1</v>
      </c>
      <c r="Q18" s="932"/>
      <c r="R18" s="932"/>
      <c r="S18" s="932">
        <v>1</v>
      </c>
      <c r="T18" s="932"/>
      <c r="U18" s="932"/>
      <c r="V18" s="932">
        <v>1</v>
      </c>
      <c r="W18" s="930" t="s">
        <v>79</v>
      </c>
      <c r="X18" s="964"/>
      <c r="Y18" s="964"/>
      <c r="Z18" s="918" t="str">
        <f>IF(Y18=0," ",X18/Y18)</f>
        <v xml:space="preserve"> </v>
      </c>
      <c r="AA18" s="941"/>
      <c r="AB18" s="941"/>
      <c r="AC18" s="997" t="s">
        <v>1789</v>
      </c>
      <c r="AD18" s="955"/>
      <c r="AE18" s="955"/>
      <c r="AF18" s="959"/>
      <c r="AG18" s="941"/>
      <c r="AH18" s="941"/>
      <c r="AI18" s="1060" t="s">
        <v>1789</v>
      </c>
      <c r="AJ18" s="936">
        <v>177</v>
      </c>
      <c r="AK18" s="936">
        <v>182</v>
      </c>
      <c r="AL18" s="959">
        <f>AJ18/AK18</f>
        <v>0.97252747252747251</v>
      </c>
      <c r="AM18" s="941">
        <v>1</v>
      </c>
      <c r="AN18" s="1061"/>
      <c r="AO18" s="1061" t="s">
        <v>1790</v>
      </c>
      <c r="AP18" s="965"/>
      <c r="AQ18" s="964"/>
      <c r="AR18" s="959"/>
      <c r="AS18" s="941"/>
      <c r="AT18" s="941"/>
      <c r="AU18" s="961"/>
      <c r="AV18" s="964"/>
      <c r="AW18" s="964"/>
      <c r="AX18" s="959"/>
      <c r="AY18" s="941"/>
      <c r="AZ18" s="941"/>
      <c r="BA18" s="936" t="s">
        <v>1706</v>
      </c>
      <c r="BB18" s="1000">
        <v>181</v>
      </c>
      <c r="BC18" s="936">
        <v>182</v>
      </c>
      <c r="BD18" s="941">
        <f>BB18/BC18</f>
        <v>0.99450549450549453</v>
      </c>
      <c r="BE18" s="941">
        <v>1</v>
      </c>
      <c r="BF18" s="994"/>
      <c r="BG18" s="1062" t="s">
        <v>1791</v>
      </c>
      <c r="BH18" s="964"/>
      <c r="BI18" s="964"/>
      <c r="BJ18" s="959"/>
      <c r="BK18" s="941"/>
      <c r="BL18" s="941"/>
      <c r="BM18" s="961"/>
      <c r="BN18" s="964"/>
      <c r="BO18" s="964"/>
      <c r="BP18" s="959"/>
      <c r="BQ18" s="941"/>
      <c r="BR18" s="941"/>
      <c r="BS18" s="961"/>
      <c r="BT18" s="936">
        <v>253</v>
      </c>
      <c r="BU18" s="1000">
        <v>260</v>
      </c>
      <c r="BV18" s="992">
        <f>BT18/BU18</f>
        <v>0.97307692307692306</v>
      </c>
      <c r="BW18" s="1063">
        <v>1</v>
      </c>
      <c r="BX18" s="1063">
        <f>BV18/BW18</f>
        <v>0.97307692307692306</v>
      </c>
      <c r="BY18" s="1064" t="s">
        <v>1792</v>
      </c>
      <c r="BZ18" s="964"/>
      <c r="CA18" s="964"/>
      <c r="CB18" s="959"/>
      <c r="CC18" s="941"/>
      <c r="CD18" s="941" t="str">
        <f t="shared" si="6"/>
        <v xml:space="preserve"> </v>
      </c>
      <c r="CE18" s="936" t="s">
        <v>1708</v>
      </c>
      <c r="CF18" s="956"/>
      <c r="CG18" s="956"/>
      <c r="CH18" s="969"/>
      <c r="CI18" s="970"/>
      <c r="CJ18" s="970"/>
      <c r="CK18" s="944" t="s">
        <v>1709</v>
      </c>
      <c r="CL18" s="950" t="s">
        <v>1787</v>
      </c>
      <c r="CM18" s="1000">
        <v>282</v>
      </c>
      <c r="CN18" s="1000">
        <v>287</v>
      </c>
      <c r="CO18" s="1065">
        <f>CM18/CN18</f>
        <v>0.98257839721254359</v>
      </c>
      <c r="CP18" s="1066">
        <v>1</v>
      </c>
      <c r="CQ18" s="942">
        <f t="shared" si="5"/>
        <v>0.98257839721254359</v>
      </c>
      <c r="CR18" s="1067" t="s">
        <v>1793</v>
      </c>
      <c r="CS18" s="941">
        <f>AVERAGE(BX18,CD18,CJ18,CQ18)</f>
        <v>0.97782766014473332</v>
      </c>
      <c r="CT18" s="941">
        <v>1</v>
      </c>
      <c r="CU18" s="959">
        <f>CS18/CT18</f>
        <v>0.97782766014473332</v>
      </c>
      <c r="CV18" s="941">
        <v>1</v>
      </c>
      <c r="CW18" s="937">
        <f>CU18/CV18</f>
        <v>0.97782766014473332</v>
      </c>
      <c r="CX18" s="1068" t="s">
        <v>315</v>
      </c>
    </row>
    <row r="19" spans="1:102" ht="15" customHeight="1">
      <c r="B19" s="1069"/>
      <c r="C19" s="1069"/>
      <c r="D19" s="1069"/>
      <c r="E19" s="1069"/>
      <c r="F19" s="1069"/>
      <c r="G19" s="1069"/>
      <c r="H19" s="1069"/>
      <c r="I19" s="1069"/>
      <c r="J19" s="1069"/>
      <c r="K19" s="1070"/>
      <c r="L19" s="1070"/>
      <c r="M19" s="1071"/>
      <c r="N19" s="1070"/>
      <c r="O19" s="1070"/>
      <c r="P19" s="1072"/>
      <c r="Q19" s="1072"/>
      <c r="R19" s="1072"/>
      <c r="S19" s="1072"/>
      <c r="T19" s="1072"/>
      <c r="U19" s="1072"/>
      <c r="V19" s="1072"/>
      <c r="W19" s="1069"/>
      <c r="X19" s="985"/>
      <c r="Y19" s="985"/>
      <c r="Z19" s="982"/>
      <c r="AA19" s="980"/>
      <c r="AB19" s="980"/>
      <c r="AC19" s="983"/>
      <c r="AD19" s="985"/>
      <c r="AE19" s="985"/>
      <c r="AF19" s="982"/>
      <c r="AG19" s="980"/>
      <c r="AH19" s="980"/>
      <c r="AI19" s="983"/>
      <c r="AJ19" s="985"/>
      <c r="AK19" s="985"/>
      <c r="AL19" s="982"/>
      <c r="AM19" s="980"/>
      <c r="AN19" s="980"/>
      <c r="AO19" s="983"/>
      <c r="AP19" s="985"/>
      <c r="AQ19" s="985"/>
      <c r="AR19" s="982"/>
      <c r="AS19" s="980"/>
      <c r="AT19" s="980"/>
      <c r="AU19" s="983"/>
      <c r="AV19" s="985"/>
      <c r="AW19" s="985"/>
      <c r="AX19" s="982"/>
      <c r="AY19" s="980"/>
      <c r="AZ19" s="980"/>
      <c r="BA19" s="983"/>
      <c r="BB19" s="985"/>
      <c r="BC19" s="985"/>
      <c r="BD19" s="982"/>
      <c r="BE19" s="980"/>
      <c r="BF19" s="980"/>
      <c r="BG19" s="983"/>
      <c r="BH19" s="985"/>
      <c r="BI19" s="985"/>
      <c r="BJ19" s="982"/>
      <c r="BK19" s="980"/>
      <c r="BL19" s="980"/>
      <c r="BM19" s="983"/>
      <c r="BN19" s="985"/>
      <c r="BO19" s="985"/>
      <c r="BP19" s="982"/>
      <c r="BQ19" s="980"/>
      <c r="BR19" s="980"/>
      <c r="BS19" s="983"/>
      <c r="BT19" s="985"/>
      <c r="BU19" s="985"/>
      <c r="BV19" s="982"/>
      <c r="BW19" s="980"/>
      <c r="BX19" s="980"/>
      <c r="BY19" s="983"/>
      <c r="BZ19" s="985"/>
      <c r="CA19" s="985"/>
      <c r="CB19" s="982"/>
      <c r="CC19" s="982"/>
      <c r="CD19" s="980"/>
      <c r="CE19" s="983"/>
      <c r="CF19" s="985"/>
      <c r="CG19" s="985"/>
      <c r="CH19" s="982"/>
      <c r="CI19" s="980"/>
      <c r="CJ19" s="980"/>
      <c r="CK19" s="983"/>
      <c r="CL19" s="983"/>
      <c r="CM19" s="985"/>
      <c r="CN19" s="985"/>
      <c r="CO19" s="982"/>
      <c r="CP19" s="980"/>
      <c r="CQ19" s="980"/>
      <c r="CR19" s="983"/>
      <c r="CS19" s="985"/>
      <c r="CT19" s="985"/>
      <c r="CU19" s="982"/>
      <c r="CV19" s="980"/>
      <c r="CW19" s="980"/>
      <c r="CX19" s="983"/>
    </row>
    <row r="20" spans="1:102" ht="15" customHeight="1">
      <c r="B20" s="1069"/>
      <c r="C20" s="1069"/>
      <c r="D20" s="1069"/>
      <c r="E20" s="1069"/>
      <c r="F20" s="1069"/>
      <c r="G20" s="1069"/>
      <c r="H20" s="1069"/>
      <c r="I20" s="1069"/>
      <c r="J20" s="1069"/>
      <c r="K20" s="1070"/>
      <c r="L20" s="1070"/>
      <c r="M20" s="1071"/>
      <c r="N20" s="1070"/>
      <c r="O20" s="1070"/>
      <c r="P20" s="1072"/>
      <c r="Q20" s="1072"/>
      <c r="R20" s="1072"/>
      <c r="S20" s="1072"/>
      <c r="T20" s="1072"/>
      <c r="U20" s="1072"/>
      <c r="V20" s="1072"/>
      <c r="W20" s="1069"/>
      <c r="X20" s="985"/>
      <c r="Y20" s="985"/>
      <c r="Z20" s="982"/>
      <c r="AA20" s="980"/>
      <c r="AB20" s="980"/>
      <c r="AC20" s="983"/>
      <c r="AD20" s="985"/>
      <c r="AE20" s="985"/>
      <c r="AF20" s="982"/>
      <c r="AG20" s="980"/>
      <c r="AH20" s="980"/>
      <c r="AI20" s="983"/>
      <c r="AJ20" s="985"/>
      <c r="AK20" s="985"/>
      <c r="AL20" s="982"/>
      <c r="AM20" s="980"/>
      <c r="AN20" s="980"/>
      <c r="AO20" s="983"/>
      <c r="AP20" s="985"/>
      <c r="AQ20" s="985"/>
      <c r="AR20" s="982"/>
      <c r="AS20" s="980"/>
      <c r="AT20" s="980"/>
      <c r="AU20" s="983"/>
      <c r="AV20" s="985"/>
      <c r="AW20" s="985"/>
      <c r="AX20" s="982"/>
      <c r="AY20" s="980"/>
      <c r="AZ20" s="980"/>
      <c r="BA20" s="983"/>
      <c r="BB20" s="985"/>
      <c r="BC20" s="985"/>
      <c r="BD20" s="982"/>
      <c r="BE20" s="980"/>
      <c r="BF20" s="980"/>
      <c r="BG20" s="983"/>
      <c r="BH20" s="985"/>
      <c r="BI20" s="985"/>
      <c r="BJ20" s="982"/>
      <c r="BK20" s="980"/>
      <c r="BL20" s="980"/>
      <c r="BM20" s="983"/>
      <c r="BN20" s="985"/>
      <c r="BO20" s="985"/>
      <c r="BP20" s="982"/>
      <c r="BQ20" s="980"/>
      <c r="BR20" s="980"/>
      <c r="BS20" s="983"/>
      <c r="BT20" s="985"/>
      <c r="BU20" s="985"/>
      <c r="BV20" s="982"/>
      <c r="BW20" s="980"/>
      <c r="BX20" s="980"/>
      <c r="BY20" s="983"/>
      <c r="BZ20" s="985"/>
      <c r="CA20" s="985"/>
      <c r="CB20" s="982"/>
      <c r="CC20" s="982"/>
      <c r="CD20" s="980"/>
      <c r="CE20" s="983"/>
      <c r="CF20" s="985"/>
      <c r="CG20" s="985"/>
      <c r="CH20" s="982"/>
      <c r="CI20" s="980"/>
      <c r="CJ20" s="980"/>
      <c r="CK20" s="983"/>
      <c r="CL20" s="983"/>
      <c r="CM20" s="985"/>
      <c r="CN20" s="985"/>
      <c r="CO20" s="982"/>
      <c r="CP20" s="980"/>
      <c r="CQ20" s="980"/>
      <c r="CR20" s="983"/>
      <c r="CS20" s="985"/>
      <c r="CT20" s="985"/>
      <c r="CU20" s="982"/>
      <c r="CV20" s="980"/>
      <c r="CW20" s="980"/>
      <c r="CX20" s="983"/>
    </row>
    <row r="21" spans="1:102" ht="15" customHeight="1">
      <c r="B21" s="1069"/>
      <c r="C21" s="1069"/>
      <c r="D21" s="1069"/>
      <c r="E21" s="1069"/>
      <c r="F21" s="1069"/>
      <c r="G21" s="1069"/>
      <c r="H21" s="1069"/>
      <c r="I21" s="1069"/>
      <c r="J21" s="1069"/>
      <c r="K21" s="1070"/>
      <c r="L21" s="1070"/>
      <c r="M21" s="1071"/>
      <c r="N21" s="1070"/>
      <c r="O21" s="1070"/>
      <c r="P21" s="1072"/>
      <c r="Q21" s="1072"/>
      <c r="R21" s="1072"/>
      <c r="S21" s="1072"/>
      <c r="T21" s="1072"/>
      <c r="U21" s="1072"/>
      <c r="V21" s="1072"/>
      <c r="W21" s="1069"/>
      <c r="X21" s="985"/>
      <c r="Y21" s="985"/>
      <c r="Z21" s="982"/>
      <c r="AA21" s="980"/>
      <c r="AB21" s="980"/>
      <c r="AC21" s="983"/>
      <c r="AD21" s="985"/>
      <c r="AE21" s="985"/>
      <c r="AF21" s="982"/>
      <c r="AG21" s="980"/>
      <c r="AH21" s="980"/>
      <c r="AI21" s="983"/>
      <c r="AJ21" s="985"/>
      <c r="AK21" s="985"/>
      <c r="AL21" s="982"/>
      <c r="AM21" s="980"/>
      <c r="AN21" s="980"/>
      <c r="AO21" s="983"/>
      <c r="AP21" s="985"/>
      <c r="AQ21" s="985"/>
      <c r="AR21" s="982"/>
      <c r="AS21" s="980"/>
      <c r="AT21" s="980"/>
      <c r="AU21" s="983"/>
      <c r="AV21" s="985"/>
      <c r="AW21" s="985"/>
      <c r="AX21" s="982"/>
      <c r="AY21" s="980"/>
      <c r="AZ21" s="980"/>
      <c r="BA21" s="983"/>
      <c r="BB21" s="985"/>
      <c r="BC21" s="985"/>
      <c r="BD21" s="982"/>
      <c r="BE21" s="980"/>
      <c r="BF21" s="980"/>
      <c r="BG21" s="983"/>
      <c r="BH21" s="985"/>
      <c r="BI21" s="985"/>
      <c r="BJ21" s="982"/>
      <c r="BK21" s="980"/>
      <c r="BL21" s="980"/>
      <c r="BM21" s="983"/>
      <c r="BN21" s="985"/>
      <c r="BO21" s="985"/>
      <c r="BP21" s="982"/>
      <c r="BQ21" s="980"/>
      <c r="BR21" s="980"/>
      <c r="BS21" s="983"/>
      <c r="BT21" s="985"/>
      <c r="BU21" s="985"/>
      <c r="BV21" s="982"/>
      <c r="BW21" s="980"/>
      <c r="BX21" s="980"/>
      <c r="BY21" s="983"/>
      <c r="BZ21" s="985"/>
      <c r="CA21" s="985"/>
      <c r="CB21" s="982"/>
      <c r="CC21" s="982"/>
      <c r="CD21" s="980"/>
      <c r="CE21" s="983"/>
      <c r="CF21" s="985"/>
      <c r="CG21" s="985"/>
      <c r="CH21" s="982"/>
      <c r="CI21" s="980"/>
      <c r="CJ21" s="980"/>
      <c r="CK21" s="983"/>
      <c r="CL21" s="983"/>
      <c r="CM21" s="985"/>
      <c r="CN21" s="985"/>
      <c r="CO21" s="982"/>
      <c r="CP21" s="980"/>
      <c r="CQ21" s="980"/>
      <c r="CR21" s="983"/>
      <c r="CS21" s="985"/>
      <c r="CT21" s="985"/>
      <c r="CU21" s="982"/>
      <c r="CV21" s="980"/>
      <c r="CW21" s="980"/>
      <c r="CX21" s="983"/>
    </row>
    <row r="22" spans="1:102" ht="15" customHeight="1">
      <c r="B22" s="1069"/>
      <c r="C22" s="1069"/>
      <c r="D22" s="1069"/>
      <c r="E22" s="1069"/>
      <c r="F22" s="1069"/>
      <c r="G22" s="1069"/>
      <c r="H22" s="1069"/>
      <c r="I22" s="1069"/>
      <c r="J22" s="1069"/>
      <c r="K22" s="1070"/>
      <c r="L22" s="1070"/>
      <c r="M22" s="1071"/>
      <c r="N22" s="1070"/>
      <c r="O22" s="1070"/>
      <c r="P22" s="1072"/>
      <c r="Q22" s="1072"/>
      <c r="R22" s="1072"/>
      <c r="S22" s="1072"/>
      <c r="T22" s="1072"/>
      <c r="U22" s="1072"/>
      <c r="V22" s="1072"/>
      <c r="W22" s="1069"/>
      <c r="X22" s="985"/>
      <c r="Y22" s="985"/>
      <c r="Z22" s="982"/>
      <c r="AA22" s="980"/>
      <c r="AB22" s="980"/>
      <c r="AC22" s="983"/>
      <c r="AD22" s="985"/>
      <c r="AE22" s="985"/>
      <c r="AF22" s="982"/>
      <c r="AG22" s="980"/>
      <c r="AH22" s="980"/>
      <c r="AI22" s="983"/>
      <c r="AJ22" s="985"/>
      <c r="AK22" s="985"/>
      <c r="AL22" s="982"/>
      <c r="AM22" s="980"/>
      <c r="AN22" s="980"/>
      <c r="AO22" s="983"/>
      <c r="AP22" s="985"/>
      <c r="AQ22" s="985"/>
      <c r="AR22" s="982"/>
      <c r="AS22" s="980"/>
      <c r="AT22" s="980"/>
      <c r="AU22" s="983"/>
      <c r="AV22" s="985"/>
      <c r="AW22" s="985"/>
      <c r="AX22" s="982"/>
      <c r="AY22" s="980"/>
      <c r="AZ22" s="980"/>
      <c r="BA22" s="983"/>
      <c r="BB22" s="985"/>
      <c r="BC22" s="985"/>
      <c r="BD22" s="982"/>
      <c r="BE22" s="980"/>
      <c r="BF22" s="980"/>
      <c r="BG22" s="983"/>
      <c r="BH22" s="985"/>
      <c r="BI22" s="985"/>
      <c r="BJ22" s="982"/>
      <c r="BK22" s="980"/>
      <c r="BL22" s="980"/>
      <c r="BM22" s="983"/>
      <c r="BN22" s="985"/>
      <c r="BO22" s="985"/>
      <c r="BP22" s="982"/>
      <c r="BQ22" s="980"/>
      <c r="BR22" s="980"/>
      <c r="BS22" s="983"/>
      <c r="BT22" s="985"/>
      <c r="BU22" s="985"/>
      <c r="BV22" s="982"/>
      <c r="BW22" s="980"/>
      <c r="BX22" s="980"/>
      <c r="BY22" s="983"/>
      <c r="BZ22" s="985"/>
      <c r="CA22" s="985"/>
      <c r="CB22" s="982"/>
      <c r="CC22" s="982"/>
      <c r="CD22" s="980"/>
      <c r="CE22" s="983"/>
      <c r="CF22" s="985"/>
      <c r="CG22" s="985"/>
      <c r="CH22" s="982"/>
      <c r="CI22" s="980"/>
      <c r="CJ22" s="980"/>
      <c r="CK22" s="983"/>
      <c r="CL22" s="983"/>
      <c r="CM22" s="985"/>
      <c r="CN22" s="985"/>
      <c r="CO22" s="982"/>
      <c r="CP22" s="980"/>
      <c r="CQ22" s="980"/>
      <c r="CR22" s="983"/>
      <c r="CS22" s="985"/>
      <c r="CT22" s="985"/>
      <c r="CU22" s="982"/>
      <c r="CV22" s="980"/>
      <c r="CW22" s="980"/>
      <c r="CX22" s="983"/>
    </row>
    <row r="23" spans="1:102" ht="15" customHeight="1">
      <c r="B23" s="1069"/>
      <c r="C23" s="1069"/>
      <c r="D23" s="1069"/>
      <c r="E23" s="1069"/>
      <c r="F23" s="1069"/>
      <c r="G23" s="1069"/>
      <c r="H23" s="1069"/>
      <c r="I23" s="1069"/>
      <c r="J23" s="1069"/>
      <c r="K23" s="1070"/>
      <c r="L23" s="1070"/>
      <c r="M23" s="1071"/>
      <c r="N23" s="1070"/>
      <c r="O23" s="1070"/>
      <c r="P23" s="1072"/>
      <c r="Q23" s="1072"/>
      <c r="R23" s="1072"/>
      <c r="S23" s="1072"/>
      <c r="T23" s="1072"/>
      <c r="U23" s="1072"/>
      <c r="V23" s="1072"/>
      <c r="W23" s="1069"/>
      <c r="X23" s="985"/>
      <c r="Y23" s="985"/>
      <c r="Z23" s="982"/>
      <c r="AA23" s="980"/>
      <c r="AB23" s="980"/>
      <c r="AC23" s="983"/>
      <c r="AD23" s="985"/>
      <c r="AE23" s="985"/>
      <c r="AF23" s="982"/>
      <c r="AG23" s="980"/>
      <c r="AH23" s="980"/>
      <c r="AI23" s="983"/>
      <c r="AJ23" s="985"/>
      <c r="AK23" s="985"/>
      <c r="AL23" s="982"/>
      <c r="AM23" s="980"/>
      <c r="AN23" s="980"/>
      <c r="AO23" s="983"/>
      <c r="AP23" s="985"/>
      <c r="AQ23" s="985"/>
      <c r="AR23" s="982"/>
      <c r="AS23" s="980"/>
      <c r="AT23" s="980"/>
      <c r="AU23" s="983"/>
      <c r="AV23" s="985"/>
      <c r="AW23" s="985"/>
      <c r="AX23" s="982"/>
      <c r="AY23" s="980"/>
      <c r="AZ23" s="980"/>
      <c r="BA23" s="983"/>
      <c r="BB23" s="985"/>
      <c r="BC23" s="985"/>
      <c r="BD23" s="982"/>
      <c r="BE23" s="980"/>
      <c r="BF23" s="980"/>
      <c r="BG23" s="983"/>
      <c r="BH23" s="985"/>
      <c r="BI23" s="985"/>
      <c r="BJ23" s="982"/>
      <c r="BK23" s="980"/>
      <c r="BL23" s="980"/>
      <c r="BM23" s="983"/>
      <c r="BN23" s="985"/>
      <c r="BO23" s="985"/>
      <c r="BP23" s="982"/>
      <c r="BQ23" s="980"/>
      <c r="BR23" s="980"/>
      <c r="BS23" s="983"/>
      <c r="BT23" s="985"/>
      <c r="BU23" s="985"/>
      <c r="BV23" s="982"/>
      <c r="BW23" s="980"/>
      <c r="BX23" s="980"/>
      <c r="BY23" s="983"/>
      <c r="BZ23" s="985"/>
      <c r="CA23" s="985"/>
      <c r="CB23" s="982"/>
      <c r="CC23" s="982"/>
      <c r="CD23" s="980"/>
      <c r="CE23" s="983"/>
      <c r="CF23" s="985"/>
      <c r="CG23" s="985"/>
      <c r="CH23" s="982"/>
      <c r="CI23" s="980"/>
      <c r="CJ23" s="980"/>
      <c r="CK23" s="983"/>
      <c r="CL23" s="983"/>
      <c r="CM23" s="985"/>
      <c r="CN23" s="985"/>
      <c r="CO23" s="982"/>
      <c r="CP23" s="980"/>
      <c r="CQ23" s="980"/>
      <c r="CR23" s="983"/>
      <c r="CS23" s="985"/>
      <c r="CT23" s="985"/>
      <c r="CU23" s="982"/>
      <c r="CV23" s="980"/>
      <c r="CW23" s="980"/>
      <c r="CX23" s="983"/>
    </row>
    <row r="24" spans="1:102" ht="15" customHeight="1">
      <c r="B24" s="1069"/>
      <c r="C24" s="1069"/>
      <c r="D24" s="1069"/>
      <c r="E24" s="1069"/>
      <c r="F24" s="1069"/>
      <c r="G24" s="1069"/>
      <c r="H24" s="1069"/>
      <c r="I24" s="1069"/>
      <c r="J24" s="1069"/>
      <c r="K24" s="1070"/>
      <c r="L24" s="1070"/>
      <c r="M24" s="1071"/>
      <c r="N24" s="1070"/>
      <c r="O24" s="1070"/>
      <c r="P24" s="1072"/>
      <c r="Q24" s="1072"/>
      <c r="R24" s="1072"/>
      <c r="S24" s="1072"/>
      <c r="T24" s="1072"/>
      <c r="U24" s="1072"/>
      <c r="V24" s="1072"/>
      <c r="W24" s="1069"/>
      <c r="X24" s="985"/>
      <c r="Y24" s="985"/>
      <c r="Z24" s="982"/>
      <c r="AA24" s="980"/>
      <c r="AB24" s="980"/>
      <c r="AC24" s="983"/>
      <c r="AD24" s="985"/>
      <c r="AE24" s="985"/>
      <c r="AF24" s="982"/>
      <c r="AG24" s="980"/>
      <c r="AH24" s="980"/>
      <c r="AI24" s="983"/>
      <c r="AJ24" s="985"/>
      <c r="AK24" s="985"/>
      <c r="AL24" s="982"/>
      <c r="AM24" s="980"/>
      <c r="AN24" s="980"/>
      <c r="AO24" s="983"/>
      <c r="AP24" s="985"/>
      <c r="AQ24" s="985"/>
      <c r="AR24" s="982"/>
      <c r="AS24" s="980"/>
      <c r="AT24" s="980"/>
      <c r="AU24" s="983"/>
      <c r="AV24" s="985"/>
      <c r="AW24" s="985"/>
      <c r="AX24" s="982"/>
      <c r="AY24" s="980"/>
      <c r="AZ24" s="980"/>
      <c r="BA24" s="983"/>
      <c r="BB24" s="985"/>
      <c r="BC24" s="985"/>
      <c r="BD24" s="982"/>
      <c r="BE24" s="980"/>
      <c r="BF24" s="980"/>
      <c r="BG24" s="983"/>
      <c r="BH24" s="985"/>
      <c r="BI24" s="985"/>
      <c r="BJ24" s="982"/>
      <c r="BK24" s="980"/>
      <c r="BL24" s="980"/>
      <c r="BM24" s="983"/>
      <c r="BN24" s="985"/>
      <c r="BO24" s="985"/>
      <c r="BP24" s="982"/>
      <c r="BQ24" s="980"/>
      <c r="BR24" s="980"/>
      <c r="BS24" s="983"/>
      <c r="BT24" s="985"/>
      <c r="BU24" s="985"/>
      <c r="BV24" s="982"/>
      <c r="BW24" s="980"/>
      <c r="BX24" s="980"/>
      <c r="BY24" s="983"/>
      <c r="BZ24" s="985"/>
      <c r="CA24" s="985"/>
      <c r="CB24" s="982"/>
      <c r="CC24" s="982"/>
      <c r="CD24" s="980"/>
      <c r="CE24" s="983"/>
      <c r="CF24" s="985"/>
      <c r="CG24" s="985"/>
      <c r="CH24" s="982"/>
      <c r="CI24" s="980"/>
      <c r="CJ24" s="980"/>
      <c r="CK24" s="983"/>
      <c r="CL24" s="983"/>
      <c r="CM24" s="985"/>
      <c r="CN24" s="985"/>
      <c r="CO24" s="982"/>
      <c r="CP24" s="980"/>
      <c r="CQ24" s="980"/>
      <c r="CR24" s="983"/>
      <c r="CS24" s="985"/>
      <c r="CT24" s="985"/>
      <c r="CU24" s="982"/>
      <c r="CV24" s="980"/>
      <c r="CW24" s="980"/>
      <c r="CX24" s="983"/>
    </row>
    <row r="25" spans="1:102" ht="39" customHeight="1">
      <c r="B25" s="2363" t="s">
        <v>1794</v>
      </c>
      <c r="C25" s="2363"/>
      <c r="D25" s="2363"/>
      <c r="E25" s="2363"/>
      <c r="F25" s="911"/>
      <c r="G25" s="911"/>
      <c r="H25" s="911"/>
      <c r="I25" s="911"/>
      <c r="J25" s="911"/>
      <c r="K25" s="1072"/>
      <c r="L25" s="1072"/>
      <c r="M25" s="1072"/>
      <c r="N25" s="1072"/>
      <c r="O25" s="1072"/>
      <c r="P25" s="1072"/>
      <c r="Q25" s="1072"/>
      <c r="R25" s="1072"/>
      <c r="S25" s="1072"/>
      <c r="T25" s="1072"/>
      <c r="U25" s="1072"/>
      <c r="V25" s="1072"/>
    </row>
    <row r="26" spans="1:102">
      <c r="E26" s="2364"/>
      <c r="F26" s="2364"/>
      <c r="G26" s="2364"/>
      <c r="H26" s="2364"/>
    </row>
    <row r="27" spans="1:102">
      <c r="E27" s="1073"/>
      <c r="F27" s="1073"/>
      <c r="G27" s="1073"/>
      <c r="H27" s="1073"/>
    </row>
    <row r="28" spans="1:102">
      <c r="E28" s="1073"/>
      <c r="F28" s="1073"/>
      <c r="G28" s="1073"/>
      <c r="H28" s="1073"/>
    </row>
    <row r="29" spans="1:102">
      <c r="E29" s="1073"/>
      <c r="F29" s="1073"/>
      <c r="G29" s="1073"/>
      <c r="H29" s="1073"/>
    </row>
    <row r="30" spans="1:102">
      <c r="E30" s="1073"/>
      <c r="F30" s="1073"/>
      <c r="G30" s="1073"/>
      <c r="H30" s="1073"/>
    </row>
    <row r="31" spans="1:102">
      <c r="E31" s="1073"/>
      <c r="F31" s="1073"/>
      <c r="G31" s="1073"/>
      <c r="H31" s="1073"/>
    </row>
    <row r="32" spans="1:102">
      <c r="E32" s="1073"/>
      <c r="F32" s="1073"/>
      <c r="G32" s="1073"/>
      <c r="H32" s="1073"/>
    </row>
    <row r="33" spans="5:8">
      <c r="E33" s="1073"/>
      <c r="F33" s="1073"/>
      <c r="G33" s="1073"/>
      <c r="H33" s="1073"/>
    </row>
    <row r="34" spans="5:8">
      <c r="E34" s="2363" t="s">
        <v>1795</v>
      </c>
      <c r="F34" s="2363"/>
      <c r="G34" s="2363"/>
      <c r="H34" s="2363"/>
    </row>
    <row r="35" spans="5:8">
      <c r="E35" s="2364" t="s">
        <v>1796</v>
      </c>
      <c r="F35" s="2364"/>
      <c r="G35" s="2364"/>
      <c r="H35" s="2364"/>
    </row>
    <row r="36" spans="5:8">
      <c r="E36" s="2363" t="s">
        <v>1797</v>
      </c>
      <c r="F36" s="2363"/>
      <c r="G36" s="2363"/>
      <c r="H36" s="2363"/>
    </row>
  </sheetData>
  <mergeCells count="50">
    <mergeCell ref="E26:H26"/>
    <mergeCell ref="E34:H34"/>
    <mergeCell ref="E35:H35"/>
    <mergeCell ref="E36:H36"/>
    <mergeCell ref="BT6:BY6"/>
    <mergeCell ref="BZ6:CE6"/>
    <mergeCell ref="H6:H7"/>
    <mergeCell ref="I6:I7"/>
    <mergeCell ref="J6:J7"/>
    <mergeCell ref="K6:V6"/>
    <mergeCell ref="CF6:CK6"/>
    <mergeCell ref="CM6:CR6"/>
    <mergeCell ref="CS6:CX6"/>
    <mergeCell ref="B25:E25"/>
    <mergeCell ref="AJ6:AO6"/>
    <mergeCell ref="AP6:AU6"/>
    <mergeCell ref="AV6:BA6"/>
    <mergeCell ref="BB6:BG6"/>
    <mergeCell ref="BH6:BM6"/>
    <mergeCell ref="BN6:BS6"/>
    <mergeCell ref="X6:AC6"/>
    <mergeCell ref="AD6:AI6"/>
    <mergeCell ref="BZ4:CE4"/>
    <mergeCell ref="CF4:CK4"/>
    <mergeCell ref="CM4:CR4"/>
    <mergeCell ref="CS4:CX4"/>
    <mergeCell ref="AP4:AU4"/>
    <mergeCell ref="AV4:BA4"/>
    <mergeCell ref="BB4:BG4"/>
    <mergeCell ref="BH4:BM4"/>
    <mergeCell ref="B6:B7"/>
    <mergeCell ref="C6:C7"/>
    <mergeCell ref="D6:D7"/>
    <mergeCell ref="E6:E7"/>
    <mergeCell ref="F6:F7"/>
    <mergeCell ref="G6:G7"/>
    <mergeCell ref="BN4:BS4"/>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9:AB11">
    <cfRule type="colorScale" priority="135">
      <colorScale>
        <cfvo type="num" val="0.69"/>
        <cfvo type="num" val="0.8"/>
        <cfvo type="num" val="0.9"/>
        <color rgb="FFF8696B"/>
        <color rgb="FFFFEB84"/>
        <color rgb="FF63BE7B"/>
      </colorScale>
    </cfRule>
  </conditionalFormatting>
  <conditionalFormatting sqref="AH9:AH10">
    <cfRule type="colorScale" priority="134">
      <colorScale>
        <cfvo type="num" val="0.69"/>
        <cfvo type="num" val="0.8"/>
        <cfvo type="num" val="0.9"/>
        <color rgb="FFF8696B"/>
        <color rgb="FFFFEB84"/>
        <color rgb="FF63BE7B"/>
      </colorScale>
    </cfRule>
  </conditionalFormatting>
  <conditionalFormatting sqref="AN9:AN10">
    <cfRule type="colorScale" priority="133">
      <colorScale>
        <cfvo type="num" val="0.69"/>
        <cfvo type="num" val="0.8"/>
        <cfvo type="num" val="0.9"/>
        <color rgb="FFF8696B"/>
        <color rgb="FFFFEB84"/>
        <color rgb="FF63BE7B"/>
      </colorScale>
    </cfRule>
  </conditionalFormatting>
  <conditionalFormatting sqref="AT9:AT10">
    <cfRule type="colorScale" priority="132">
      <colorScale>
        <cfvo type="num" val="0.69"/>
        <cfvo type="num" val="0.8"/>
        <cfvo type="num" val="0.9"/>
        <color rgb="FFF8696B"/>
        <color rgb="FFFFEB84"/>
        <color rgb="FF63BE7B"/>
      </colorScale>
    </cfRule>
  </conditionalFormatting>
  <conditionalFormatting sqref="AZ9:AZ10">
    <cfRule type="colorScale" priority="131">
      <colorScale>
        <cfvo type="num" val="0.69"/>
        <cfvo type="num" val="0.8"/>
        <cfvo type="num" val="0.9"/>
        <color rgb="FFF8696B"/>
        <color rgb="FFFFEB84"/>
        <color rgb="FF63BE7B"/>
      </colorScale>
    </cfRule>
  </conditionalFormatting>
  <conditionalFormatting sqref="BF9:BF10">
    <cfRule type="colorScale" priority="130">
      <colorScale>
        <cfvo type="num" val="0.69"/>
        <cfvo type="num" val="0.8"/>
        <cfvo type="num" val="0.9"/>
        <color rgb="FFF8696B"/>
        <color rgb="FFFFEB84"/>
        <color rgb="FF63BE7B"/>
      </colorScale>
    </cfRule>
  </conditionalFormatting>
  <conditionalFormatting sqref="BL9:BL10">
    <cfRule type="colorScale" priority="129">
      <colorScale>
        <cfvo type="num" val="0.69"/>
        <cfvo type="num" val="0.8"/>
        <cfvo type="num" val="0.9"/>
        <color rgb="FFF8696B"/>
        <color rgb="FFFFEB84"/>
        <color rgb="FF63BE7B"/>
      </colorScale>
    </cfRule>
  </conditionalFormatting>
  <conditionalFormatting sqref="BR9:BR10">
    <cfRule type="colorScale" priority="128">
      <colorScale>
        <cfvo type="num" val="0.69"/>
        <cfvo type="num" val="0.8"/>
        <cfvo type="num" val="0.9"/>
        <color rgb="FFF8696B"/>
        <color rgb="FFFFEB84"/>
        <color rgb="FF63BE7B"/>
      </colorScale>
    </cfRule>
  </conditionalFormatting>
  <conditionalFormatting sqref="BX9:BX10">
    <cfRule type="colorScale" priority="127">
      <colorScale>
        <cfvo type="num" val="0.69"/>
        <cfvo type="num" val="0.8"/>
        <cfvo type="num" val="0.9"/>
        <color rgb="FFF8696B"/>
        <color rgb="FFFFEB84"/>
        <color rgb="FF63BE7B"/>
      </colorScale>
    </cfRule>
  </conditionalFormatting>
  <conditionalFormatting sqref="CD9:CD12 CD14:CD18">
    <cfRule type="colorScale" priority="126">
      <colorScale>
        <cfvo type="num" val="0.69"/>
        <cfvo type="num" val="0.8"/>
        <cfvo type="num" val="0.9"/>
        <color rgb="FFF8696B"/>
        <color rgb="FFFFEB84"/>
        <color rgb="FF63BE7B"/>
      </colorScale>
    </cfRule>
  </conditionalFormatting>
  <conditionalFormatting sqref="CJ9:CJ10">
    <cfRule type="colorScale" priority="125">
      <colorScale>
        <cfvo type="num" val="0.69"/>
        <cfvo type="num" val="0.8"/>
        <cfvo type="num" val="0.9"/>
        <color rgb="FFF8696B"/>
        <color rgb="FFFFEB84"/>
        <color rgb="FF63BE7B"/>
      </colorScale>
    </cfRule>
  </conditionalFormatting>
  <conditionalFormatting sqref="CQ9:CQ10">
    <cfRule type="colorScale" priority="124">
      <colorScale>
        <cfvo type="num" val="0.69"/>
        <cfvo type="num" val="0.8"/>
        <cfvo type="num" val="0.9"/>
        <color rgb="FFF8696B"/>
        <color rgb="FFFFEB84"/>
        <color rgb="FF63BE7B"/>
      </colorScale>
    </cfRule>
  </conditionalFormatting>
  <conditionalFormatting sqref="CW10">
    <cfRule type="colorScale" priority="123">
      <colorScale>
        <cfvo type="num" val="0.69"/>
        <cfvo type="num" val="0.8"/>
        <cfvo type="num" val="0.9"/>
        <color rgb="FFF8696B"/>
        <color rgb="FFFFEB84"/>
        <color rgb="FF63BE7B"/>
      </colorScale>
    </cfRule>
  </conditionalFormatting>
  <conditionalFormatting sqref="AN11">
    <cfRule type="colorScale" priority="122">
      <colorScale>
        <cfvo type="num" val="0.69"/>
        <cfvo type="num" val="0.8"/>
        <cfvo type="num" val="0.9"/>
        <color rgb="FFF8696B"/>
        <color rgb="FFFFEB84"/>
        <color rgb="FF63BE7B"/>
      </colorScale>
    </cfRule>
  </conditionalFormatting>
  <conditionalFormatting sqref="AT11">
    <cfRule type="colorScale" priority="121">
      <colorScale>
        <cfvo type="num" val="0.69"/>
        <cfvo type="num" val="0.8"/>
        <cfvo type="num" val="0.9"/>
        <color rgb="FFF8696B"/>
        <color rgb="FFFFEB84"/>
        <color rgb="FF63BE7B"/>
      </colorScale>
    </cfRule>
  </conditionalFormatting>
  <conditionalFormatting sqref="AZ11">
    <cfRule type="colorScale" priority="120">
      <colorScale>
        <cfvo type="num" val="0.69"/>
        <cfvo type="num" val="0.8"/>
        <cfvo type="num" val="0.9"/>
        <color rgb="FFF8696B"/>
        <color rgb="FFFFEB84"/>
        <color rgb="FF63BE7B"/>
      </colorScale>
    </cfRule>
  </conditionalFormatting>
  <conditionalFormatting sqref="BF11">
    <cfRule type="colorScale" priority="119">
      <colorScale>
        <cfvo type="num" val="0.69"/>
        <cfvo type="num" val="0.8"/>
        <cfvo type="num" val="0.9"/>
        <color rgb="FFF8696B"/>
        <color rgb="FFFFEB84"/>
        <color rgb="FF63BE7B"/>
      </colorScale>
    </cfRule>
  </conditionalFormatting>
  <conditionalFormatting sqref="BX11">
    <cfRule type="colorScale" priority="118">
      <colorScale>
        <cfvo type="num" val="0.69"/>
        <cfvo type="num" val="0.8"/>
        <cfvo type="num" val="0.9"/>
        <color rgb="FFF8696B"/>
        <color rgb="FFFFEB84"/>
        <color rgb="FF63BE7B"/>
      </colorScale>
    </cfRule>
  </conditionalFormatting>
  <conditionalFormatting sqref="CJ11">
    <cfRule type="colorScale" priority="117">
      <colorScale>
        <cfvo type="num" val="0.69"/>
        <cfvo type="num" val="0.8"/>
        <cfvo type="num" val="0.9"/>
        <color rgb="FFF8696B"/>
        <color rgb="FFFFEB84"/>
        <color rgb="FF63BE7B"/>
      </colorScale>
    </cfRule>
  </conditionalFormatting>
  <conditionalFormatting sqref="CQ11">
    <cfRule type="colorScale" priority="116">
      <colorScale>
        <cfvo type="num" val="0.69"/>
        <cfvo type="num" val="0.8"/>
        <cfvo type="num" val="0.9"/>
        <color rgb="FFF8696B"/>
        <color rgb="FFFFEB84"/>
        <color rgb="FF63BE7B"/>
      </colorScale>
    </cfRule>
  </conditionalFormatting>
  <conditionalFormatting sqref="CW11">
    <cfRule type="colorScale" priority="115">
      <colorScale>
        <cfvo type="num" val="0.69"/>
        <cfvo type="num" val="0.8"/>
        <cfvo type="num" val="0.9"/>
        <color rgb="FFF8696B"/>
        <color rgb="FFFFEB84"/>
        <color rgb="FF63BE7B"/>
      </colorScale>
    </cfRule>
  </conditionalFormatting>
  <conditionalFormatting sqref="AB12">
    <cfRule type="colorScale" priority="114">
      <colorScale>
        <cfvo type="num" val="0.69"/>
        <cfvo type="num" val="0.8"/>
        <cfvo type="num" val="0.9"/>
        <color rgb="FFF8696B"/>
        <color rgb="FFFFEB84"/>
        <color rgb="FF63BE7B"/>
      </colorScale>
    </cfRule>
  </conditionalFormatting>
  <conditionalFormatting sqref="AH12">
    <cfRule type="colorScale" priority="113">
      <colorScale>
        <cfvo type="num" val="0.69"/>
        <cfvo type="num" val="0.8"/>
        <cfvo type="num" val="0.9"/>
        <color rgb="FFF8696B"/>
        <color rgb="FFFFEB84"/>
        <color rgb="FF63BE7B"/>
      </colorScale>
    </cfRule>
  </conditionalFormatting>
  <conditionalFormatting sqref="AN12">
    <cfRule type="colorScale" priority="112">
      <colorScale>
        <cfvo type="num" val="0.69"/>
        <cfvo type="num" val="0.8"/>
        <cfvo type="num" val="0.9"/>
        <color rgb="FFF8696B"/>
        <color rgb="FFFFEB84"/>
        <color rgb="FF63BE7B"/>
      </colorScale>
    </cfRule>
  </conditionalFormatting>
  <conditionalFormatting sqref="AT12">
    <cfRule type="colorScale" priority="111">
      <colorScale>
        <cfvo type="num" val="0.69"/>
        <cfvo type="num" val="0.8"/>
        <cfvo type="num" val="0.9"/>
        <color rgb="FFF8696B"/>
        <color rgb="FFFFEB84"/>
        <color rgb="FF63BE7B"/>
      </colorScale>
    </cfRule>
  </conditionalFormatting>
  <conditionalFormatting sqref="AZ12">
    <cfRule type="colorScale" priority="110">
      <colorScale>
        <cfvo type="num" val="0.69"/>
        <cfvo type="num" val="0.8"/>
        <cfvo type="num" val="0.9"/>
        <color rgb="FFF8696B"/>
        <color rgb="FFFFEB84"/>
        <color rgb="FF63BE7B"/>
      </colorScale>
    </cfRule>
  </conditionalFormatting>
  <conditionalFormatting sqref="BF12">
    <cfRule type="colorScale" priority="109">
      <colorScale>
        <cfvo type="num" val="0.69"/>
        <cfvo type="num" val="0.8"/>
        <cfvo type="num" val="0.9"/>
        <color rgb="FFF8696B"/>
        <color rgb="FFFFEB84"/>
        <color rgb="FF63BE7B"/>
      </colorScale>
    </cfRule>
  </conditionalFormatting>
  <conditionalFormatting sqref="BL12">
    <cfRule type="colorScale" priority="108">
      <colorScale>
        <cfvo type="num" val="0.69"/>
        <cfvo type="num" val="0.8"/>
        <cfvo type="num" val="0.9"/>
        <color rgb="FFF8696B"/>
        <color rgb="FFFFEB84"/>
        <color rgb="FF63BE7B"/>
      </colorScale>
    </cfRule>
  </conditionalFormatting>
  <conditionalFormatting sqref="BR12">
    <cfRule type="colorScale" priority="107">
      <colorScale>
        <cfvo type="num" val="0.69"/>
        <cfvo type="num" val="0.8"/>
        <cfvo type="num" val="0.9"/>
        <color rgb="FFF8696B"/>
        <color rgb="FFFFEB84"/>
        <color rgb="FF63BE7B"/>
      </colorScale>
    </cfRule>
  </conditionalFormatting>
  <conditionalFormatting sqref="BX12">
    <cfRule type="colorScale" priority="106">
      <colorScale>
        <cfvo type="num" val="0.69"/>
        <cfvo type="num" val="0.8"/>
        <cfvo type="num" val="0.9"/>
        <color rgb="FFF8696B"/>
        <color rgb="FFFFEB84"/>
        <color rgb="FF63BE7B"/>
      </colorScale>
    </cfRule>
  </conditionalFormatting>
  <conditionalFormatting sqref="CJ12">
    <cfRule type="colorScale" priority="105">
      <colorScale>
        <cfvo type="num" val="0.69"/>
        <cfvo type="num" val="0.8"/>
        <cfvo type="num" val="0.9"/>
        <color rgb="FFF8696B"/>
        <color rgb="FFFFEB84"/>
        <color rgb="FF63BE7B"/>
      </colorScale>
    </cfRule>
  </conditionalFormatting>
  <conditionalFormatting sqref="AB13">
    <cfRule type="colorScale" priority="104">
      <colorScale>
        <cfvo type="num" val="0.69"/>
        <cfvo type="num" val="0.8"/>
        <cfvo type="num" val="0.9"/>
        <color rgb="FFF8696B"/>
        <color rgb="FFFFEB84"/>
        <color rgb="FF63BE7B"/>
      </colorScale>
    </cfRule>
  </conditionalFormatting>
  <conditionalFormatting sqref="AN13">
    <cfRule type="colorScale" priority="103">
      <colorScale>
        <cfvo type="num" val="0.69"/>
        <cfvo type="num" val="0.8"/>
        <cfvo type="num" val="0.9"/>
        <color rgb="FFF8696B"/>
        <color rgb="FFFFEB84"/>
        <color rgb="FF63BE7B"/>
      </colorScale>
    </cfRule>
  </conditionalFormatting>
  <conditionalFormatting sqref="AT13">
    <cfRule type="colorScale" priority="102">
      <colorScale>
        <cfvo type="num" val="0.69"/>
        <cfvo type="num" val="0.8"/>
        <cfvo type="num" val="0.9"/>
        <color rgb="FFF8696B"/>
        <color rgb="FFFFEB84"/>
        <color rgb="FF63BE7B"/>
      </colorScale>
    </cfRule>
  </conditionalFormatting>
  <conditionalFormatting sqref="AZ13">
    <cfRule type="colorScale" priority="101">
      <colorScale>
        <cfvo type="num" val="0.69"/>
        <cfvo type="num" val="0.8"/>
        <cfvo type="num" val="0.9"/>
        <color rgb="FFF8696B"/>
        <color rgb="FFFFEB84"/>
        <color rgb="FF63BE7B"/>
      </colorScale>
    </cfRule>
  </conditionalFormatting>
  <conditionalFormatting sqref="BF13">
    <cfRule type="colorScale" priority="100">
      <colorScale>
        <cfvo type="num" val="0.69"/>
        <cfvo type="num" val="0.8"/>
        <cfvo type="num" val="0.9"/>
        <color rgb="FFF8696B"/>
        <color rgb="FFFFEB84"/>
        <color rgb="FF63BE7B"/>
      </colorScale>
    </cfRule>
  </conditionalFormatting>
  <conditionalFormatting sqref="BL13">
    <cfRule type="colorScale" priority="99">
      <colorScale>
        <cfvo type="num" val="0.69"/>
        <cfvo type="num" val="0.8"/>
        <cfvo type="num" val="0.9"/>
        <color rgb="FFF8696B"/>
        <color rgb="FFFFEB84"/>
        <color rgb="FF63BE7B"/>
      </colorScale>
    </cfRule>
  </conditionalFormatting>
  <conditionalFormatting sqref="BR13">
    <cfRule type="colorScale" priority="98">
      <colorScale>
        <cfvo type="num" val="0.69"/>
        <cfvo type="num" val="0.8"/>
        <cfvo type="num" val="0.9"/>
        <color rgb="FFF8696B"/>
        <color rgb="FFFFEB84"/>
        <color rgb="FF63BE7B"/>
      </colorScale>
    </cfRule>
  </conditionalFormatting>
  <conditionalFormatting sqref="BX13">
    <cfRule type="colorScale" priority="97">
      <colorScale>
        <cfvo type="num" val="0.69"/>
        <cfvo type="num" val="0.8"/>
        <cfvo type="num" val="0.9"/>
        <color rgb="FFF8696B"/>
        <color rgb="FFFFEB84"/>
        <color rgb="FF63BE7B"/>
      </colorScale>
    </cfRule>
  </conditionalFormatting>
  <conditionalFormatting sqref="CJ13">
    <cfRule type="colorScale" priority="96">
      <colorScale>
        <cfvo type="num" val="0.69"/>
        <cfvo type="num" val="0.8"/>
        <cfvo type="num" val="0.9"/>
        <color rgb="FFF8696B"/>
        <color rgb="FFFFEB84"/>
        <color rgb="FF63BE7B"/>
      </colorScale>
    </cfRule>
  </conditionalFormatting>
  <conditionalFormatting sqref="BL15">
    <cfRule type="colorScale" priority="82">
      <colorScale>
        <cfvo type="num" val="0.69"/>
        <cfvo type="num" val="0.8"/>
        <cfvo type="num" val="0.9"/>
        <color rgb="FFF8696B"/>
        <color rgb="FFFFEB84"/>
        <color rgb="FF63BE7B"/>
      </colorScale>
    </cfRule>
  </conditionalFormatting>
  <conditionalFormatting sqref="BX15">
    <cfRule type="colorScale" priority="80">
      <colorScale>
        <cfvo type="num" val="0.69"/>
        <cfvo type="num" val="0.8"/>
        <cfvo type="num" val="0.9"/>
        <color rgb="FFF8696B"/>
        <color rgb="FFFFEB84"/>
        <color rgb="FF63BE7B"/>
      </colorScale>
    </cfRule>
  </conditionalFormatting>
  <conditionalFormatting sqref="CJ15">
    <cfRule type="colorScale" priority="79">
      <colorScale>
        <cfvo type="num" val="0.69"/>
        <cfvo type="num" val="0.8"/>
        <cfvo type="num" val="0.9"/>
        <color rgb="FFF8696B"/>
        <color rgb="FFFFEB84"/>
        <color rgb="FF63BE7B"/>
      </colorScale>
    </cfRule>
  </conditionalFormatting>
  <conditionalFormatting sqref="CW15">
    <cfRule type="colorScale" priority="77">
      <colorScale>
        <cfvo type="num" val="0.69"/>
        <cfvo type="num" val="0.8"/>
        <cfvo type="num" val="0.9"/>
        <color rgb="FFF8696B"/>
        <color rgb="FFFFEB84"/>
        <color rgb="FF63BE7B"/>
      </colorScale>
    </cfRule>
  </conditionalFormatting>
  <conditionalFormatting sqref="AH16">
    <cfRule type="colorScale" priority="75">
      <colorScale>
        <cfvo type="num" val="0.69"/>
        <cfvo type="num" val="0.8"/>
        <cfvo type="num" val="0.9"/>
        <color rgb="FFF8696B"/>
        <color rgb="FFFFEB84"/>
        <color rgb="FF63BE7B"/>
      </colorScale>
    </cfRule>
  </conditionalFormatting>
  <conditionalFormatting sqref="AT16">
    <cfRule type="colorScale" priority="73">
      <colorScale>
        <cfvo type="num" val="0.69"/>
        <cfvo type="num" val="0.8"/>
        <cfvo type="num" val="0.9"/>
        <color rgb="FFF8696B"/>
        <color rgb="FFFFEB84"/>
        <color rgb="FF63BE7B"/>
      </colorScale>
    </cfRule>
  </conditionalFormatting>
  <conditionalFormatting sqref="AB14">
    <cfRule type="colorScale" priority="95">
      <colorScale>
        <cfvo type="num" val="0.69"/>
        <cfvo type="num" val="0.8"/>
        <cfvo type="num" val="0.9"/>
        <color rgb="FFF8696B"/>
        <color rgb="FFFFEB84"/>
        <color rgb="FF63BE7B"/>
      </colorScale>
    </cfRule>
  </conditionalFormatting>
  <conditionalFormatting sqref="AH14">
    <cfRule type="colorScale" priority="94">
      <colorScale>
        <cfvo type="num" val="0.69"/>
        <cfvo type="num" val="0.8"/>
        <cfvo type="num" val="0.9"/>
        <color rgb="FFF8696B"/>
        <color rgb="FFFFEB84"/>
        <color rgb="FF63BE7B"/>
      </colorScale>
    </cfRule>
  </conditionalFormatting>
  <conditionalFormatting sqref="AN14">
    <cfRule type="colorScale" priority="93">
      <colorScale>
        <cfvo type="num" val="0.69"/>
        <cfvo type="num" val="0.8"/>
        <cfvo type="num" val="0.9"/>
        <color rgb="FFF8696B"/>
        <color rgb="FFFFEB84"/>
        <color rgb="FF63BE7B"/>
      </colorScale>
    </cfRule>
  </conditionalFormatting>
  <conditionalFormatting sqref="AT14">
    <cfRule type="colorScale" priority="92">
      <colorScale>
        <cfvo type="num" val="0.69"/>
        <cfvo type="num" val="0.8"/>
        <cfvo type="num" val="0.9"/>
        <color rgb="FFF8696B"/>
        <color rgb="FFFFEB84"/>
        <color rgb="FF63BE7B"/>
      </colorScale>
    </cfRule>
  </conditionalFormatting>
  <conditionalFormatting sqref="AZ14">
    <cfRule type="colorScale" priority="91">
      <colorScale>
        <cfvo type="num" val="0.69"/>
        <cfvo type="num" val="0.8"/>
        <cfvo type="num" val="0.9"/>
        <color rgb="FFF8696B"/>
        <color rgb="FFFFEB84"/>
        <color rgb="FF63BE7B"/>
      </colorScale>
    </cfRule>
  </conditionalFormatting>
  <conditionalFormatting sqref="BR14">
    <cfRule type="colorScale" priority="89">
      <colorScale>
        <cfvo type="num" val="0.69"/>
        <cfvo type="num" val="0.8"/>
        <cfvo type="num" val="0.9"/>
        <color rgb="FFF8696B"/>
        <color rgb="FFFFEB84"/>
        <color rgb="FF63BE7B"/>
      </colorScale>
    </cfRule>
  </conditionalFormatting>
  <conditionalFormatting sqref="BL14">
    <cfRule type="colorScale" priority="90">
      <colorScale>
        <cfvo type="num" val="0.69"/>
        <cfvo type="num" val="0.8"/>
        <cfvo type="num" val="0.9"/>
        <color rgb="FFF8696B"/>
        <color rgb="FFFFEB84"/>
        <color rgb="FF63BE7B"/>
      </colorScale>
    </cfRule>
  </conditionalFormatting>
  <conditionalFormatting sqref="BX14">
    <cfRule type="colorScale" priority="88">
      <colorScale>
        <cfvo type="num" val="0.69"/>
        <cfvo type="num" val="0.8"/>
        <cfvo type="num" val="0.9"/>
        <color rgb="FFF8696B"/>
        <color rgb="FFFFEB84"/>
        <color rgb="FF63BE7B"/>
      </colorScale>
    </cfRule>
  </conditionalFormatting>
  <conditionalFormatting sqref="CJ14">
    <cfRule type="colorScale" priority="87">
      <colorScale>
        <cfvo type="num" val="0.69"/>
        <cfvo type="num" val="0.8"/>
        <cfvo type="num" val="0.9"/>
        <color rgb="FFF8696B"/>
        <color rgb="FFFFEB84"/>
        <color rgb="FF63BE7B"/>
      </colorScale>
    </cfRule>
  </conditionalFormatting>
  <conditionalFormatting sqref="CQ14">
    <cfRule type="colorScale" priority="86">
      <colorScale>
        <cfvo type="num" val="0.69"/>
        <cfvo type="num" val="0.8"/>
        <cfvo type="num" val="0.9"/>
        <color rgb="FFF8696B"/>
        <color rgb="FFFFEB84"/>
        <color rgb="FF63BE7B"/>
      </colorScale>
    </cfRule>
  </conditionalFormatting>
  <conditionalFormatting sqref="CW14">
    <cfRule type="colorScale" priority="85">
      <colorScale>
        <cfvo type="num" val="0.69"/>
        <cfvo type="num" val="0.8"/>
        <cfvo type="num" val="0.9"/>
        <color rgb="FFF8696B"/>
        <color rgb="FFFFEB84"/>
        <color rgb="FF63BE7B"/>
      </colorScale>
    </cfRule>
  </conditionalFormatting>
  <conditionalFormatting sqref="BL17:BL24">
    <cfRule type="colorScale" priority="61">
      <colorScale>
        <cfvo type="num" val="0.69"/>
        <cfvo type="num" val="0.8"/>
        <cfvo type="num" val="0.9"/>
        <color rgb="FFF8696B"/>
        <color rgb="FFFFEB84"/>
        <color rgb="FF63BE7B"/>
      </colorScale>
    </cfRule>
  </conditionalFormatting>
  <conditionalFormatting sqref="BR17:BR24">
    <cfRule type="colorScale" priority="60">
      <colorScale>
        <cfvo type="num" val="0.69"/>
        <cfvo type="num" val="0.8"/>
        <cfvo type="num" val="0.9"/>
        <color rgb="FFF8696B"/>
        <color rgb="FFFFEB84"/>
        <color rgb="FF63BE7B"/>
      </colorScale>
    </cfRule>
  </conditionalFormatting>
  <conditionalFormatting sqref="BX19:BX24 BX17">
    <cfRule type="colorScale" priority="59">
      <colorScale>
        <cfvo type="num" val="0.69"/>
        <cfvo type="num" val="0.8"/>
        <cfvo type="num" val="0.9"/>
        <color rgb="FFF8696B"/>
        <color rgb="FFFFEB84"/>
        <color rgb="FF63BE7B"/>
      </colorScale>
    </cfRule>
  </conditionalFormatting>
  <conditionalFormatting sqref="CD19:CD24">
    <cfRule type="colorScale" priority="58">
      <colorScale>
        <cfvo type="num" val="0.69"/>
        <cfvo type="num" val="0.8"/>
        <cfvo type="num" val="0.9"/>
        <color rgb="FFF8696B"/>
        <color rgb="FFFFEB84"/>
        <color rgb="FF63BE7B"/>
      </colorScale>
    </cfRule>
  </conditionalFormatting>
  <conditionalFormatting sqref="CJ17:CJ24">
    <cfRule type="colorScale" priority="57">
      <colorScale>
        <cfvo type="num" val="0.69"/>
        <cfvo type="num" val="0.8"/>
        <cfvo type="num" val="0.9"/>
        <color rgb="FFF8696B"/>
        <color rgb="FFFFEB84"/>
        <color rgb="FF63BE7B"/>
      </colorScale>
    </cfRule>
  </conditionalFormatting>
  <conditionalFormatting sqref="CQ19:CQ24">
    <cfRule type="colorScale" priority="56">
      <colorScale>
        <cfvo type="num" val="0.69"/>
        <cfvo type="num" val="0.8"/>
        <cfvo type="num" val="0.9"/>
        <color rgb="FFF8696B"/>
        <color rgb="FFFFEB84"/>
        <color rgb="FF63BE7B"/>
      </colorScale>
    </cfRule>
  </conditionalFormatting>
  <conditionalFormatting sqref="CW19:CW24 CW17">
    <cfRule type="colorScale" priority="55">
      <colorScale>
        <cfvo type="num" val="0.69"/>
        <cfvo type="num" val="0.8"/>
        <cfvo type="num" val="0.9"/>
        <color rgb="FFF8696B"/>
        <color rgb="FFFFEB84"/>
        <color rgb="FF63BE7B"/>
      </colorScale>
    </cfRule>
  </conditionalFormatting>
  <conditionalFormatting sqref="AB15">
    <cfRule type="colorScale" priority="84">
      <colorScale>
        <cfvo type="num" val="0.69"/>
        <cfvo type="num" val="0.8"/>
        <cfvo type="num" val="0.9"/>
        <color rgb="FFF8696B"/>
        <color rgb="FFFFEB84"/>
        <color rgb="FF63BE7B"/>
      </colorScale>
    </cfRule>
  </conditionalFormatting>
  <conditionalFormatting sqref="AZ15">
    <cfRule type="colorScale" priority="83">
      <colorScale>
        <cfvo type="num" val="0.69"/>
        <cfvo type="num" val="0.8"/>
        <cfvo type="num" val="0.9"/>
        <color rgb="FFF8696B"/>
        <color rgb="FFFFEB84"/>
        <color rgb="FF63BE7B"/>
      </colorScale>
    </cfRule>
  </conditionalFormatting>
  <conditionalFormatting sqref="AZ16">
    <cfRule type="colorScale" priority="72">
      <colorScale>
        <cfvo type="num" val="0.69"/>
        <cfvo type="num" val="0.8"/>
        <cfvo type="num" val="0.9"/>
        <color rgb="FFF8696B"/>
        <color rgb="FFFFEB84"/>
        <color rgb="FF63BE7B"/>
      </colorScale>
    </cfRule>
  </conditionalFormatting>
  <conditionalFormatting sqref="BR15">
    <cfRule type="colorScale" priority="81">
      <colorScale>
        <cfvo type="num" val="0.69"/>
        <cfvo type="num" val="0.8"/>
        <cfvo type="num" val="0.9"/>
        <color rgb="FFF8696B"/>
        <color rgb="FFFFEB84"/>
        <color rgb="FF63BE7B"/>
      </colorScale>
    </cfRule>
  </conditionalFormatting>
  <conditionalFormatting sqref="CQ15">
    <cfRule type="colorScale" priority="78">
      <colorScale>
        <cfvo type="num" val="0.69"/>
        <cfvo type="num" val="0.8"/>
        <cfvo type="num" val="0.9"/>
        <color rgb="FFF8696B"/>
        <color rgb="FFFFEB84"/>
        <color rgb="FF63BE7B"/>
      </colorScale>
    </cfRule>
  </conditionalFormatting>
  <conditionalFormatting sqref="AB16">
    <cfRule type="colorScale" priority="76">
      <colorScale>
        <cfvo type="num" val="0.69"/>
        <cfvo type="num" val="0.8"/>
        <cfvo type="num" val="0.9"/>
        <color rgb="FFF8696B"/>
        <color rgb="FFFFEB84"/>
        <color rgb="FF63BE7B"/>
      </colorScale>
    </cfRule>
  </conditionalFormatting>
  <conditionalFormatting sqref="AN16">
    <cfRule type="colorScale" priority="74">
      <colorScale>
        <cfvo type="num" val="0.69"/>
        <cfvo type="num" val="0.8"/>
        <cfvo type="num" val="0.9"/>
        <color rgb="FFF8696B"/>
        <color rgb="FFFFEB84"/>
        <color rgb="FF63BE7B"/>
      </colorScale>
    </cfRule>
  </conditionalFormatting>
  <conditionalFormatting sqref="BR16">
    <cfRule type="colorScale" priority="71">
      <colorScale>
        <cfvo type="num" val="0.69"/>
        <cfvo type="num" val="0.8"/>
        <cfvo type="num" val="0.9"/>
        <color rgb="FFF8696B"/>
        <color rgb="FFFFEB84"/>
        <color rgb="FF63BE7B"/>
      </colorScale>
    </cfRule>
  </conditionalFormatting>
  <conditionalFormatting sqref="CJ16">
    <cfRule type="colorScale" priority="70">
      <colorScale>
        <cfvo type="num" val="0.69"/>
        <cfvo type="num" val="0.8"/>
        <cfvo type="num" val="0.9"/>
        <color rgb="FFF8696B"/>
        <color rgb="FFFFEB84"/>
        <color rgb="FF63BE7B"/>
      </colorScale>
    </cfRule>
  </conditionalFormatting>
  <conditionalFormatting sqref="CQ16">
    <cfRule type="colorScale" priority="69">
      <colorScale>
        <cfvo type="num" val="0.69"/>
        <cfvo type="num" val="0.8"/>
        <cfvo type="num" val="0.9"/>
        <color rgb="FFF8696B"/>
        <color rgb="FFFFEB84"/>
        <color rgb="FF63BE7B"/>
      </colorScale>
    </cfRule>
  </conditionalFormatting>
  <conditionalFormatting sqref="CW16">
    <cfRule type="colorScale" priority="68">
      <colorScale>
        <cfvo type="num" val="0.69"/>
        <cfvo type="num" val="0.8"/>
        <cfvo type="num" val="0.9"/>
        <color rgb="FFF8696B"/>
        <color rgb="FFFFEB84"/>
        <color rgb="FF63BE7B"/>
      </colorScale>
    </cfRule>
  </conditionalFormatting>
  <conditionalFormatting sqref="AB17:AB24">
    <cfRule type="colorScale" priority="67">
      <colorScale>
        <cfvo type="num" val="0.69"/>
        <cfvo type="num" val="0.8"/>
        <cfvo type="num" val="0.9"/>
        <color rgb="FFF8696B"/>
        <color rgb="FFFFEB84"/>
        <color rgb="FF63BE7B"/>
      </colorScale>
    </cfRule>
  </conditionalFormatting>
  <conditionalFormatting sqref="AH17:AH24">
    <cfRule type="colorScale" priority="66">
      <colorScale>
        <cfvo type="num" val="0.69"/>
        <cfvo type="num" val="0.8"/>
        <cfvo type="num" val="0.9"/>
        <color rgb="FFF8696B"/>
        <color rgb="FFFFEB84"/>
        <color rgb="FF63BE7B"/>
      </colorScale>
    </cfRule>
  </conditionalFormatting>
  <conditionalFormatting sqref="AN19:AN24 AN17">
    <cfRule type="colorScale" priority="65">
      <colorScale>
        <cfvo type="num" val="0.69"/>
        <cfvo type="num" val="0.8"/>
        <cfvo type="num" val="0.9"/>
        <color rgb="FFF8696B"/>
        <color rgb="FFFFEB84"/>
        <color rgb="FF63BE7B"/>
      </colorScale>
    </cfRule>
  </conditionalFormatting>
  <conditionalFormatting sqref="AT17:AT24">
    <cfRule type="colorScale" priority="64">
      <colorScale>
        <cfvo type="num" val="0.69"/>
        <cfvo type="num" val="0.8"/>
        <cfvo type="num" val="0.9"/>
        <color rgb="FFF8696B"/>
        <color rgb="FFFFEB84"/>
        <color rgb="FF63BE7B"/>
      </colorScale>
    </cfRule>
  </conditionalFormatting>
  <conditionalFormatting sqref="AZ18:AZ24">
    <cfRule type="colorScale" priority="63">
      <colorScale>
        <cfvo type="num" val="0.69"/>
        <cfvo type="num" val="0.8"/>
        <cfvo type="num" val="0.9"/>
        <color rgb="FFF8696B"/>
        <color rgb="FFFFEB84"/>
        <color rgb="FF63BE7B"/>
      </colorScale>
    </cfRule>
  </conditionalFormatting>
  <conditionalFormatting sqref="BF19:BF24">
    <cfRule type="colorScale" priority="62">
      <colorScale>
        <cfvo type="num" val="0.69"/>
        <cfvo type="num" val="0.8"/>
        <cfvo type="num" val="0.9"/>
        <color rgb="FFF8696B"/>
        <color rgb="FFFFEB84"/>
        <color rgb="FF63BE7B"/>
      </colorScale>
    </cfRule>
  </conditionalFormatting>
  <conditionalFormatting sqref="AB11">
    <cfRule type="colorScale" priority="50">
      <colorScale>
        <cfvo type="num" val="0.69"/>
        <cfvo type="num" val="0.8"/>
        <cfvo type="num" val="0.9"/>
        <color rgb="FFF8696B"/>
        <color rgb="FFFFEB84"/>
        <color rgb="FF63BE7B"/>
      </colorScale>
    </cfRule>
  </conditionalFormatting>
  <conditionalFormatting sqref="AB11">
    <cfRule type="colorScale" priority="54">
      <colorScale>
        <cfvo type="num" val="0.69"/>
        <cfvo type="num" val="0.8"/>
        <cfvo type="num" val="0.9"/>
        <color rgb="FFF8696B"/>
        <color rgb="FFFFEB84"/>
        <color rgb="FF63BE7B"/>
      </colorScale>
    </cfRule>
  </conditionalFormatting>
  <conditionalFormatting sqref="AB11">
    <cfRule type="colorScale" priority="53">
      <colorScale>
        <cfvo type="num" val="0.69"/>
        <cfvo type="num" val="0.8"/>
        <cfvo type="num" val="0.9"/>
        <color rgb="FFF8696B"/>
        <color rgb="FFFFEB84"/>
        <color rgb="FF63BE7B"/>
      </colorScale>
    </cfRule>
  </conditionalFormatting>
  <conditionalFormatting sqref="AB11">
    <cfRule type="colorScale" priority="52">
      <colorScale>
        <cfvo type="num" val="0.69"/>
        <cfvo type="num" val="0.8"/>
        <cfvo type="num" val="0.9"/>
        <color rgb="FFF8696B"/>
        <color rgb="FFFFEB84"/>
        <color rgb="FF63BE7B"/>
      </colorScale>
    </cfRule>
  </conditionalFormatting>
  <conditionalFormatting sqref="AB11">
    <cfRule type="colorScale" priority="51">
      <colorScale>
        <cfvo type="num" val="0.69"/>
        <cfvo type="num" val="0.8"/>
        <cfvo type="num" val="0.9"/>
        <color rgb="FFF8696B"/>
        <color rgb="FFFFEB84"/>
        <color rgb="FF63BE7B"/>
      </colorScale>
    </cfRule>
  </conditionalFormatting>
  <conditionalFormatting sqref="AB11">
    <cfRule type="colorScale" priority="49">
      <colorScale>
        <cfvo type="num" val="0.69"/>
        <cfvo type="num" val="0.8"/>
        <cfvo type="num" val="0.9"/>
        <color rgb="FFF8696B"/>
        <color rgb="FFFFEB84"/>
        <color rgb="FF63BE7B"/>
      </colorScale>
    </cfRule>
  </conditionalFormatting>
  <conditionalFormatting sqref="AB11">
    <cfRule type="colorScale" priority="48">
      <colorScale>
        <cfvo type="num" val="0.69"/>
        <cfvo type="num" val="0.8"/>
        <cfvo type="num" val="0.9"/>
        <color rgb="FFF8696B"/>
        <color rgb="FFFFEB84"/>
        <color rgb="FF63BE7B"/>
      </colorScale>
    </cfRule>
  </conditionalFormatting>
  <conditionalFormatting sqref="AB11">
    <cfRule type="colorScale" priority="47">
      <colorScale>
        <cfvo type="num" val="0.69"/>
        <cfvo type="num" val="0.8"/>
        <cfvo type="num" val="0.9"/>
        <color rgb="FFF8696B"/>
        <color rgb="FFFFEB84"/>
        <color rgb="FF63BE7B"/>
      </colorScale>
    </cfRule>
  </conditionalFormatting>
  <conditionalFormatting sqref="AB11">
    <cfRule type="colorScale" priority="46">
      <colorScale>
        <cfvo type="num" val="0.69"/>
        <cfvo type="num" val="0.8"/>
        <cfvo type="num" val="0.9"/>
        <color rgb="FFF8696B"/>
        <color rgb="FFFFEB84"/>
        <color rgb="FF63BE7B"/>
      </colorScale>
    </cfRule>
  </conditionalFormatting>
  <conditionalFormatting sqref="AB11">
    <cfRule type="colorScale" priority="45">
      <colorScale>
        <cfvo type="num" val="0.69"/>
        <cfvo type="num" val="0.8"/>
        <cfvo type="num" val="0.9"/>
        <color rgb="FFF8696B"/>
        <color rgb="FFFFEB84"/>
        <color rgb="FF63BE7B"/>
      </colorScale>
    </cfRule>
  </conditionalFormatting>
  <conditionalFormatting sqref="AB11">
    <cfRule type="colorScale" priority="44">
      <colorScale>
        <cfvo type="num" val="0.69"/>
        <cfvo type="num" val="0.8"/>
        <cfvo type="num" val="0.9"/>
        <color rgb="FFF8696B"/>
        <color rgb="FFFFEB84"/>
        <color rgb="FF63BE7B"/>
      </colorScale>
    </cfRule>
  </conditionalFormatting>
  <conditionalFormatting sqref="AB11">
    <cfRule type="colorScale" priority="43">
      <colorScale>
        <cfvo type="num" val="0.69"/>
        <cfvo type="num" val="0.8"/>
        <cfvo type="num" val="0.9"/>
        <color rgb="FFF8696B"/>
        <color rgb="FFFFEB84"/>
        <color rgb="FF63BE7B"/>
      </colorScale>
    </cfRule>
  </conditionalFormatting>
  <conditionalFormatting sqref="AB11">
    <cfRule type="colorScale" priority="42">
      <colorScale>
        <cfvo type="num" val="0.69"/>
        <cfvo type="num" val="0.8"/>
        <cfvo type="num" val="0.9"/>
        <color rgb="FFF8696B"/>
        <color rgb="FFFFEB84"/>
        <color rgb="FF63BE7B"/>
      </colorScale>
    </cfRule>
  </conditionalFormatting>
  <conditionalFormatting sqref="AB11">
    <cfRule type="colorScale" priority="41">
      <colorScale>
        <cfvo type="num" val="0.69"/>
        <cfvo type="num" val="0.8"/>
        <cfvo type="num" val="0.9"/>
        <color rgb="FFF8696B"/>
        <color rgb="FFFFEB84"/>
        <color rgb="FF63BE7B"/>
      </colorScale>
    </cfRule>
  </conditionalFormatting>
  <conditionalFormatting sqref="AH11">
    <cfRule type="colorScale" priority="35">
      <colorScale>
        <cfvo type="num" val="0.69"/>
        <cfvo type="num" val="0.8"/>
        <cfvo type="num" val="0.9"/>
        <color rgb="FFF8696B"/>
        <color rgb="FFFFEB84"/>
        <color rgb="FF63BE7B"/>
      </colorScale>
    </cfRule>
  </conditionalFormatting>
  <conditionalFormatting sqref="AH11">
    <cfRule type="colorScale" priority="40">
      <colorScale>
        <cfvo type="num" val="0.69"/>
        <cfvo type="num" val="0.8"/>
        <cfvo type="num" val="0.9"/>
        <color rgb="FFF8696B"/>
        <color rgb="FFFFEB84"/>
        <color rgb="FF63BE7B"/>
      </colorScale>
    </cfRule>
  </conditionalFormatting>
  <conditionalFormatting sqref="AH11">
    <cfRule type="colorScale" priority="39">
      <colorScale>
        <cfvo type="num" val="0.69"/>
        <cfvo type="num" val="0.8"/>
        <cfvo type="num" val="0.9"/>
        <color rgb="FFF8696B"/>
        <color rgb="FFFFEB84"/>
        <color rgb="FF63BE7B"/>
      </colorScale>
    </cfRule>
  </conditionalFormatting>
  <conditionalFormatting sqref="AH11">
    <cfRule type="colorScale" priority="38">
      <colorScale>
        <cfvo type="num" val="0.69"/>
        <cfvo type="num" val="0.8"/>
        <cfvo type="num" val="0.9"/>
        <color rgb="FFF8696B"/>
        <color rgb="FFFFEB84"/>
        <color rgb="FF63BE7B"/>
      </colorScale>
    </cfRule>
  </conditionalFormatting>
  <conditionalFormatting sqref="AH11">
    <cfRule type="colorScale" priority="37">
      <colorScale>
        <cfvo type="num" val="0.69"/>
        <cfvo type="num" val="0.8"/>
        <cfvo type="num" val="0.9"/>
        <color rgb="FFF8696B"/>
        <color rgb="FFFFEB84"/>
        <color rgb="FF63BE7B"/>
      </colorScale>
    </cfRule>
  </conditionalFormatting>
  <conditionalFormatting sqref="AH11">
    <cfRule type="colorScale" priority="36">
      <colorScale>
        <cfvo type="num" val="0.69"/>
        <cfvo type="num" val="0.8"/>
        <cfvo type="num" val="0.9"/>
        <color rgb="FFF8696B"/>
        <color rgb="FFFFEB84"/>
        <color rgb="FF63BE7B"/>
      </colorScale>
    </cfRule>
  </conditionalFormatting>
  <conditionalFormatting sqref="AH11">
    <cfRule type="colorScale" priority="34">
      <colorScale>
        <cfvo type="num" val="0.69"/>
        <cfvo type="num" val="0.8"/>
        <cfvo type="num" val="0.9"/>
        <color rgb="FFF8696B"/>
        <color rgb="FFFFEB84"/>
        <color rgb="FF63BE7B"/>
      </colorScale>
    </cfRule>
  </conditionalFormatting>
  <conditionalFormatting sqref="AH11">
    <cfRule type="colorScale" priority="33">
      <colorScale>
        <cfvo type="num" val="0.69"/>
        <cfvo type="num" val="0.8"/>
        <cfvo type="num" val="0.9"/>
        <color rgb="FFF8696B"/>
        <color rgb="FFFFEB84"/>
        <color rgb="FF63BE7B"/>
      </colorScale>
    </cfRule>
  </conditionalFormatting>
  <conditionalFormatting sqref="AH11">
    <cfRule type="colorScale" priority="32">
      <colorScale>
        <cfvo type="num" val="0.69"/>
        <cfvo type="num" val="0.8"/>
        <cfvo type="num" val="0.9"/>
        <color rgb="FFF8696B"/>
        <color rgb="FFFFEB84"/>
        <color rgb="FF63BE7B"/>
      </colorScale>
    </cfRule>
  </conditionalFormatting>
  <conditionalFormatting sqref="AH11">
    <cfRule type="colorScale" priority="31">
      <colorScale>
        <cfvo type="num" val="0.69"/>
        <cfvo type="num" val="0.8"/>
        <cfvo type="num" val="0.9"/>
        <color rgb="FFF8696B"/>
        <color rgb="FFFFEB84"/>
        <color rgb="FF63BE7B"/>
      </colorScale>
    </cfRule>
  </conditionalFormatting>
  <conditionalFormatting sqref="AH11">
    <cfRule type="colorScale" priority="30">
      <colorScale>
        <cfvo type="num" val="0.69"/>
        <cfvo type="num" val="0.8"/>
        <cfvo type="num" val="0.9"/>
        <color rgb="FFF8696B"/>
        <color rgb="FFFFEB84"/>
        <color rgb="FF63BE7B"/>
      </colorScale>
    </cfRule>
  </conditionalFormatting>
  <conditionalFormatting sqref="AH11">
    <cfRule type="colorScale" priority="29">
      <colorScale>
        <cfvo type="num" val="0.69"/>
        <cfvo type="num" val="0.8"/>
        <cfvo type="num" val="0.9"/>
        <color rgb="FFF8696B"/>
        <color rgb="FFFFEB84"/>
        <color rgb="FF63BE7B"/>
      </colorScale>
    </cfRule>
  </conditionalFormatting>
  <conditionalFormatting sqref="AH11">
    <cfRule type="colorScale" priority="28">
      <colorScale>
        <cfvo type="num" val="0.69"/>
        <cfvo type="num" val="0.8"/>
        <cfvo type="num" val="0.9"/>
        <color rgb="FFF8696B"/>
        <color rgb="FFFFEB84"/>
        <color rgb="FF63BE7B"/>
      </colorScale>
    </cfRule>
  </conditionalFormatting>
  <conditionalFormatting sqref="AH11">
    <cfRule type="colorScale" priority="27">
      <colorScale>
        <cfvo type="num" val="0.69"/>
        <cfvo type="num" val="0.8"/>
        <cfvo type="num" val="0.9"/>
        <color rgb="FFF8696B"/>
        <color rgb="FFFFEB84"/>
        <color rgb="FF63BE7B"/>
      </colorScale>
    </cfRule>
  </conditionalFormatting>
  <conditionalFormatting sqref="AH11">
    <cfRule type="colorScale" priority="26">
      <colorScale>
        <cfvo type="num" val="0.69"/>
        <cfvo type="num" val="0.8"/>
        <cfvo type="num" val="0.9"/>
        <color rgb="FFF8696B"/>
        <color rgb="FFFFEB84"/>
        <color rgb="FF63BE7B"/>
      </colorScale>
    </cfRule>
  </conditionalFormatting>
  <conditionalFormatting sqref="AH15">
    <cfRule type="colorScale" priority="25">
      <colorScale>
        <cfvo type="num" val="0.69"/>
        <cfvo type="num" val="0.8"/>
        <cfvo type="num" val="0.9"/>
        <color rgb="FFF8696B"/>
        <color rgb="FFFFEB84"/>
        <color rgb="FF63BE7B"/>
      </colorScale>
    </cfRule>
  </conditionalFormatting>
  <conditionalFormatting sqref="AN15">
    <cfRule type="colorScale" priority="24">
      <colorScale>
        <cfvo type="num" val="0.69"/>
        <cfvo type="num" val="0.8"/>
        <cfvo type="num" val="0.9"/>
        <color rgb="FFF8696B"/>
        <color rgb="FFFFEB84"/>
        <color rgb="FF63BE7B"/>
      </colorScale>
    </cfRule>
  </conditionalFormatting>
  <conditionalFormatting sqref="AT15">
    <cfRule type="colorScale" priority="23">
      <colorScale>
        <cfvo type="num" val="0.69"/>
        <cfvo type="num" val="0.8"/>
        <cfvo type="num" val="0.9"/>
        <color rgb="FFF8696B"/>
        <color rgb="FFFFEB84"/>
        <color rgb="FF63BE7B"/>
      </colorScale>
    </cfRule>
  </conditionalFormatting>
  <conditionalFormatting sqref="AZ17">
    <cfRule type="colorScale" priority="22">
      <colorScale>
        <cfvo type="num" val="0.69"/>
        <cfvo type="num" val="0.8"/>
        <cfvo type="num" val="0.9"/>
        <color rgb="FFF8696B"/>
        <color rgb="FFFFEB84"/>
        <color rgb="FF63BE7B"/>
      </colorScale>
    </cfRule>
  </conditionalFormatting>
  <conditionalFormatting sqref="AH13">
    <cfRule type="colorScale" priority="21">
      <colorScale>
        <cfvo type="num" val="0.69"/>
        <cfvo type="num" val="0.8"/>
        <cfvo type="num" val="0.9"/>
        <color rgb="FFF8696B"/>
        <color rgb="FFFFEB84"/>
        <color rgb="FF63BE7B"/>
      </colorScale>
    </cfRule>
  </conditionalFormatting>
  <conditionalFormatting sqref="BF14">
    <cfRule type="colorScale" priority="20">
      <colorScale>
        <cfvo type="num" val="0.69"/>
        <cfvo type="num" val="0.8"/>
        <cfvo type="num" val="0.9"/>
        <color rgb="FFF8696B"/>
        <color rgb="FFFFEB84"/>
        <color rgb="FF63BE7B"/>
      </colorScale>
    </cfRule>
  </conditionalFormatting>
  <conditionalFormatting sqref="BF15">
    <cfRule type="colorScale" priority="19">
      <colorScale>
        <cfvo type="num" val="0.69"/>
        <cfvo type="num" val="0.8"/>
        <cfvo type="num" val="0.9"/>
        <color rgb="FFF8696B"/>
        <color rgb="FFFFEB84"/>
        <color rgb="FF63BE7B"/>
      </colorScale>
    </cfRule>
  </conditionalFormatting>
  <conditionalFormatting sqref="BF16">
    <cfRule type="colorScale" priority="18">
      <colorScale>
        <cfvo type="num" val="0.69"/>
        <cfvo type="num" val="0.8"/>
        <cfvo type="num" val="0.9"/>
        <color rgb="FFF8696B"/>
        <color rgb="FFFFEB84"/>
        <color rgb="FF63BE7B"/>
      </colorScale>
    </cfRule>
  </conditionalFormatting>
  <conditionalFormatting sqref="BX16">
    <cfRule type="colorScale" priority="17">
      <colorScale>
        <cfvo type="num" val="0.69"/>
        <cfvo type="num" val="0.8"/>
        <cfvo type="num" val="0.9"/>
        <color rgb="FFF8696B"/>
        <color rgb="FFFFEB84"/>
        <color rgb="FF63BE7B"/>
      </colorScale>
    </cfRule>
  </conditionalFormatting>
  <conditionalFormatting sqref="BX8">
    <cfRule type="colorScale" priority="16">
      <colorScale>
        <cfvo type="num" val="0.69"/>
        <cfvo type="num" val="0.8"/>
        <cfvo type="num" val="0.9"/>
        <color rgb="FFF8696B"/>
        <color rgb="FFFFEB84"/>
        <color rgb="FF63BE7B"/>
      </colorScale>
    </cfRule>
  </conditionalFormatting>
  <conditionalFormatting sqref="CD13">
    <cfRule type="colorScale" priority="15">
      <colorScale>
        <cfvo type="num" val="0.69"/>
        <cfvo type="num" val="0.8"/>
        <cfvo type="num" val="0.9"/>
        <color rgb="FFF8696B"/>
        <color rgb="FFFFEB84"/>
        <color rgb="FF63BE7B"/>
      </colorScale>
    </cfRule>
  </conditionalFormatting>
  <conditionalFormatting sqref="CD13">
    <cfRule type="colorScale" priority="14">
      <colorScale>
        <cfvo type="num" val="0.69"/>
        <cfvo type="num" val="0.8"/>
        <cfvo type="num" val="0.9"/>
        <color rgb="FFF8696B"/>
        <color rgb="FFFFEB84"/>
        <color rgb="FF63BE7B"/>
      </colorScale>
    </cfRule>
  </conditionalFormatting>
  <conditionalFormatting sqref="CD13">
    <cfRule type="colorScale" priority="13">
      <colorScale>
        <cfvo type="num" val="0.69"/>
        <cfvo type="num" val="0.8"/>
        <cfvo type="num" val="0.9"/>
        <color rgb="FFF8696B"/>
        <color rgb="FFFFEB84"/>
        <color rgb="FF63BE7B"/>
      </colorScale>
    </cfRule>
  </conditionalFormatting>
  <conditionalFormatting sqref="CQ8">
    <cfRule type="colorScale" priority="12">
      <colorScale>
        <cfvo type="num" val="0.69"/>
        <cfvo type="num" val="0.8"/>
        <cfvo type="num" val="0.9"/>
        <color rgb="FFF8696B"/>
        <color rgb="FFFFEB84"/>
        <color rgb="FF63BE7B"/>
      </colorScale>
    </cfRule>
  </conditionalFormatting>
  <conditionalFormatting sqref="CW8">
    <cfRule type="colorScale" priority="11">
      <colorScale>
        <cfvo type="num" val="0.69"/>
        <cfvo type="num" val="0.8"/>
        <cfvo type="num" val="0.9"/>
        <color rgb="FFF8696B"/>
        <color rgb="FFFFEB84"/>
        <color rgb="FF63BE7B"/>
      </colorScale>
    </cfRule>
  </conditionalFormatting>
  <conditionalFormatting sqref="CQ18">
    <cfRule type="colorScale" priority="10">
      <colorScale>
        <cfvo type="num" val="0.69"/>
        <cfvo type="num" val="0.8"/>
        <cfvo type="num" val="0.9"/>
        <color rgb="FFF8696B"/>
        <color rgb="FFFFEB84"/>
        <color rgb="FF63BE7B"/>
      </colorScale>
    </cfRule>
  </conditionalFormatting>
  <conditionalFormatting sqref="CQ17">
    <cfRule type="colorScale" priority="9">
      <colorScale>
        <cfvo type="num" val="0.69"/>
        <cfvo type="num" val="0.8"/>
        <cfvo type="num" val="0.9"/>
        <color rgb="FFF8696B"/>
        <color rgb="FFFFEB84"/>
        <color rgb="FF63BE7B"/>
      </colorScale>
    </cfRule>
  </conditionalFormatting>
  <conditionalFormatting sqref="CW9">
    <cfRule type="colorScale" priority="8">
      <colorScale>
        <cfvo type="num" val="0.69"/>
        <cfvo type="num" val="0.8"/>
        <cfvo type="num" val="0.9"/>
        <color rgb="FFF8696B"/>
        <color rgb="FFFFEB84"/>
        <color rgb="FF63BE7B"/>
      </colorScale>
    </cfRule>
  </conditionalFormatting>
  <conditionalFormatting sqref="CQ12">
    <cfRule type="colorScale" priority="7">
      <colorScale>
        <cfvo type="num" val="0.69"/>
        <cfvo type="num" val="0.8"/>
        <cfvo type="num" val="0.9"/>
        <color rgb="FFF8696B"/>
        <color rgb="FFFFEB84"/>
        <color rgb="FF63BE7B"/>
      </colorScale>
    </cfRule>
  </conditionalFormatting>
  <conditionalFormatting sqref="CQ12">
    <cfRule type="colorScale" priority="6">
      <colorScale>
        <cfvo type="num" val="0.69"/>
        <cfvo type="num" val="0.8"/>
        <cfvo type="num" val="0.9"/>
        <color rgb="FFF8696B"/>
        <color rgb="FFFFEB84"/>
        <color rgb="FF63BE7B"/>
      </colorScale>
    </cfRule>
  </conditionalFormatting>
  <conditionalFormatting sqref="CW12">
    <cfRule type="colorScale" priority="5">
      <colorScale>
        <cfvo type="num" val="0.69"/>
        <cfvo type="num" val="0.8"/>
        <cfvo type="num" val="0.9"/>
        <color rgb="FFF8696B"/>
        <color rgb="FFFFEB84"/>
        <color rgb="FF63BE7B"/>
      </colorScale>
    </cfRule>
  </conditionalFormatting>
  <conditionalFormatting sqref="CQ13">
    <cfRule type="colorScale" priority="4">
      <colorScale>
        <cfvo type="num" val="0.69"/>
        <cfvo type="num" val="0.8"/>
        <cfvo type="num" val="0.9"/>
        <color rgb="FFF8696B"/>
        <color rgb="FFFFEB84"/>
        <color rgb="FF63BE7B"/>
      </colorScale>
    </cfRule>
  </conditionalFormatting>
  <conditionalFormatting sqref="CQ13">
    <cfRule type="colorScale" priority="3">
      <colorScale>
        <cfvo type="num" val="0.69"/>
        <cfvo type="num" val="0.8"/>
        <cfvo type="num" val="0.9"/>
        <color rgb="FFF8696B"/>
        <color rgb="FFFFEB84"/>
        <color rgb="FF63BE7B"/>
      </colorScale>
    </cfRule>
  </conditionalFormatting>
  <conditionalFormatting sqref="CQ13">
    <cfRule type="colorScale" priority="2">
      <colorScale>
        <cfvo type="num" val="0.69"/>
        <cfvo type="num" val="0.8"/>
        <cfvo type="num" val="0.9"/>
        <color rgb="FFF8696B"/>
        <color rgb="FFFFEB84"/>
        <color rgb="FF63BE7B"/>
      </colorScale>
    </cfRule>
  </conditionalFormatting>
  <conditionalFormatting sqref="CW13">
    <cfRule type="colorScale" priority="1">
      <colorScale>
        <cfvo type="num" val="0.69"/>
        <cfvo type="num" val="0.8"/>
        <cfvo type="num" val="0.9"/>
        <color rgb="FFF8696B"/>
        <color rgb="FFFFEB84"/>
        <color rgb="FF63BE7B"/>
      </colorScale>
    </cfRule>
  </conditionalFormatting>
  <pageMargins left="0.39370078740157483" right="0.70866141732283472" top="0.39370078740157483" bottom="0.74803149606299213" header="0.31496062992125984" footer="0.31496062992125984"/>
  <pageSetup scale="23" fitToHeight="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pageSetUpPr fitToPage="1"/>
  </sheetPr>
  <dimension ref="A1:CW25"/>
  <sheetViews>
    <sheetView showGridLines="0" view="pageBreakPreview" zoomScaleNormal="100" zoomScaleSheetLayoutView="100" workbookViewId="0">
      <pane xSplit="7" ySplit="7" topLeftCell="H8" activePane="bottomRight" state="frozen"/>
      <selection pane="topRight" activeCell="H1" sqref="H1"/>
      <selection pane="bottomLeft" activeCell="A8" sqref="A8"/>
      <selection pane="bottomRight" activeCell="C4" sqref="C4:J4"/>
    </sheetView>
  </sheetViews>
  <sheetFormatPr baseColWidth="10" defaultRowHeight="12.75"/>
  <cols>
    <col min="1" max="1" width="0.42578125" style="15" customWidth="1"/>
    <col min="2" max="2" width="27.140625" style="15" customWidth="1"/>
    <col min="3" max="3" width="5" style="2" customWidth="1"/>
    <col min="4" max="4" width="25.140625" style="15" customWidth="1"/>
    <col min="5" max="5" width="13.7109375" style="15" customWidth="1"/>
    <col min="6" max="6" width="20.5703125" style="15" customWidth="1"/>
    <col min="7" max="7" width="10.28515625" style="15" customWidth="1"/>
    <col min="8" max="8" width="20.85546875" style="15" customWidth="1"/>
    <col min="9" max="9" width="19.28515625" style="15" customWidth="1"/>
    <col min="10" max="10" width="8.7109375" style="15" customWidth="1"/>
    <col min="11" max="11" width="4.140625" style="15" customWidth="1"/>
    <col min="12" max="12" width="4.28515625" style="15" customWidth="1"/>
    <col min="13" max="13" width="4.85546875" style="15" customWidth="1"/>
    <col min="14" max="14" width="4.5703125" style="15" customWidth="1"/>
    <col min="15" max="15" width="5.28515625" style="15" customWidth="1"/>
    <col min="16" max="17" width="4.7109375" style="15" customWidth="1"/>
    <col min="18" max="18" width="4.140625" style="15" customWidth="1"/>
    <col min="19" max="20" width="3.85546875" style="15" bestFit="1" customWidth="1"/>
    <col min="21" max="21" width="4.140625" style="15" customWidth="1"/>
    <col min="22" max="22" width="4.42578125" style="15" customWidth="1"/>
    <col min="23" max="23" width="8.42578125" style="15" bestFit="1" customWidth="1"/>
    <col min="24" max="24" width="9.28515625" style="15" customWidth="1"/>
    <col min="25" max="26" width="8.42578125" style="15" customWidth="1"/>
    <col min="27" max="27" width="9.42578125" style="15" customWidth="1"/>
    <col min="28" max="28" width="8.42578125" style="15" customWidth="1"/>
    <col min="29" max="29" width="14.42578125" style="15" customWidth="1"/>
    <col min="30" max="30" width="9.42578125" style="15" customWidth="1"/>
    <col min="31" max="31" width="11.140625" style="15" customWidth="1"/>
    <col min="32" max="34" width="8.42578125" style="15" customWidth="1"/>
    <col min="35" max="35" width="20.28515625" style="15" customWidth="1"/>
    <col min="36" max="36" width="10.42578125" style="15" customWidth="1"/>
    <col min="37" max="37" width="10.85546875" style="15" customWidth="1"/>
    <col min="38" max="38" width="8.42578125" style="15" customWidth="1"/>
    <col min="39" max="39" width="10" style="15" customWidth="1"/>
    <col min="40" max="40" width="8.42578125" style="15" customWidth="1"/>
    <col min="41" max="41" width="17.85546875" style="15" customWidth="1"/>
    <col min="42" max="46" width="8.42578125" style="15" customWidth="1"/>
    <col min="47" max="47" width="20.85546875" style="15" customWidth="1"/>
    <col min="48" max="48" width="9.140625" style="15" customWidth="1"/>
    <col min="49" max="49" width="11" style="15" customWidth="1"/>
    <col min="50" max="50" width="8.42578125" style="15" customWidth="1"/>
    <col min="51" max="51" width="9.140625" style="15" customWidth="1"/>
    <col min="52" max="52" width="8.42578125" style="15" customWidth="1"/>
    <col min="53" max="53" width="21.5703125" style="15" customWidth="1"/>
    <col min="54" max="54" width="9.5703125" style="15" customWidth="1"/>
    <col min="55" max="55" width="10.85546875" style="15" customWidth="1"/>
    <col min="56" max="56" width="8.42578125" style="15" customWidth="1"/>
    <col min="57" max="57" width="9.7109375" style="15" customWidth="1"/>
    <col min="58" max="58" width="8.42578125" style="15" customWidth="1"/>
    <col min="59" max="59" width="19.5703125" style="15" customWidth="1"/>
    <col min="60" max="60" width="10.7109375" style="15" customWidth="1"/>
    <col min="61" max="62" width="8.42578125" style="15" customWidth="1"/>
    <col min="63" max="63" width="9.42578125" style="15" customWidth="1"/>
    <col min="64" max="64" width="8.42578125" style="15" customWidth="1"/>
    <col min="65" max="65" width="16.42578125" style="15" customWidth="1"/>
    <col min="66" max="66" width="10.28515625" style="15" customWidth="1"/>
    <col min="67" max="68" width="8.42578125" style="15" customWidth="1"/>
    <col min="69" max="69" width="10.28515625" style="15" customWidth="1"/>
    <col min="70" max="70" width="8.42578125" style="15" customWidth="1"/>
    <col min="71" max="71" width="23.140625" style="15" customWidth="1"/>
    <col min="72" max="76" width="8.42578125" style="15" customWidth="1"/>
    <col min="77" max="77" width="28" style="15" customWidth="1"/>
    <col min="78" max="78" width="9.28515625" style="15" bestFit="1" customWidth="1"/>
    <col min="79" max="79" width="11" style="15" bestFit="1" customWidth="1"/>
    <col min="80" max="80" width="8.42578125" style="15" bestFit="1" customWidth="1"/>
    <col min="81" max="81" width="9.5703125" style="15" bestFit="1" customWidth="1"/>
    <col min="82" max="82" width="11.85546875" style="15" bestFit="1" customWidth="1"/>
    <col min="83" max="83" width="31.7109375" style="15" bestFit="1" customWidth="1"/>
    <col min="84" max="84" width="9.28515625" style="15" bestFit="1" customWidth="1"/>
    <col min="85" max="85" width="11" style="15" bestFit="1" customWidth="1"/>
    <col min="86" max="86" width="8.42578125" style="15" bestFit="1" customWidth="1"/>
    <col min="87" max="87" width="9.5703125" style="15" bestFit="1" customWidth="1"/>
    <col min="88" max="88" width="11.85546875" style="15" bestFit="1" customWidth="1"/>
    <col min="89" max="89" width="32.140625" style="15" bestFit="1" customWidth="1"/>
    <col min="90" max="90" width="9.28515625" style="15" customWidth="1"/>
    <col min="91" max="91" width="11" style="15" bestFit="1" customWidth="1"/>
    <col min="92" max="92" width="8.42578125" style="15" bestFit="1" customWidth="1"/>
    <col min="93" max="93" width="9.42578125" style="15" customWidth="1"/>
    <col min="94" max="94" width="11.85546875" style="15" bestFit="1" customWidth="1"/>
    <col min="95" max="95" width="32.28515625" style="15" customWidth="1"/>
    <col min="96" max="100" width="11.42578125" style="15"/>
    <col min="101" max="101" width="38.7109375" style="15" customWidth="1"/>
    <col min="102" max="16384" width="11.42578125" style="15"/>
  </cols>
  <sheetData>
    <row r="1" spans="1:101"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1"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row>
    <row r="3" spans="1:101" ht="5.25" customHeight="1" thickBot="1"/>
    <row r="4" spans="1:101" ht="19.5" customHeight="1">
      <c r="B4" s="49" t="s">
        <v>18</v>
      </c>
      <c r="C4" s="1979" t="s">
        <v>1798</v>
      </c>
      <c r="D4" s="1979"/>
      <c r="E4" s="1979"/>
      <c r="F4" s="1979"/>
      <c r="G4" s="1979"/>
      <c r="H4" s="1979"/>
      <c r="I4" s="1979"/>
      <c r="J4" s="1979"/>
      <c r="K4" s="1996" t="s">
        <v>21</v>
      </c>
      <c r="L4" s="1996"/>
      <c r="M4" s="1996"/>
      <c r="N4" s="1999">
        <v>2014</v>
      </c>
      <c r="O4" s="2000"/>
      <c r="P4" s="2000"/>
      <c r="Q4" s="2000"/>
      <c r="R4" s="2000"/>
      <c r="S4" s="2000"/>
      <c r="T4" s="2000"/>
      <c r="U4" s="2000"/>
      <c r="V4" s="2001"/>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2366" t="s">
        <v>29</v>
      </c>
      <c r="CA4" s="2367"/>
      <c r="CB4" s="2367"/>
      <c r="CC4" s="2367"/>
      <c r="CD4" s="2367"/>
      <c r="CE4" s="2368"/>
      <c r="CF4" s="2366" t="s">
        <v>29</v>
      </c>
      <c r="CG4" s="2367"/>
      <c r="CH4" s="2367"/>
      <c r="CI4" s="2367"/>
      <c r="CJ4" s="2367"/>
      <c r="CK4" s="2368"/>
      <c r="CL4" s="2369" t="s">
        <v>29</v>
      </c>
      <c r="CM4" s="2370"/>
      <c r="CN4" s="2370"/>
      <c r="CO4" s="2370"/>
      <c r="CP4" s="2370"/>
      <c r="CQ4" s="2371"/>
      <c r="CR4" s="2372" t="s">
        <v>30</v>
      </c>
      <c r="CS4" s="2373"/>
      <c r="CT4" s="2373"/>
      <c r="CU4" s="2373"/>
      <c r="CV4" s="2373"/>
      <c r="CW4" s="2373"/>
    </row>
    <row r="5" spans="1:101" ht="6" customHeight="1">
      <c r="A5" s="128"/>
      <c r="B5" s="128"/>
      <c r="C5" s="44"/>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CR5" s="1074"/>
      <c r="CS5" s="1074"/>
      <c r="CT5" s="1074"/>
      <c r="CU5" s="1074"/>
      <c r="CV5" s="1074"/>
      <c r="CW5" s="1074"/>
    </row>
    <row r="6" spans="1:101" s="2" customFormat="1" ht="13.5" customHeight="1">
      <c r="B6" s="1968" t="s">
        <v>26</v>
      </c>
      <c r="C6" s="2374"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1075"/>
      <c r="X6" s="2378" t="s">
        <v>37</v>
      </c>
      <c r="Y6" s="2379"/>
      <c r="Z6" s="2379"/>
      <c r="AA6" s="2379"/>
      <c r="AB6" s="2379"/>
      <c r="AC6" s="2380"/>
      <c r="AD6" s="2381" t="s">
        <v>38</v>
      </c>
      <c r="AE6" s="2382"/>
      <c r="AF6" s="2382"/>
      <c r="AG6" s="2382"/>
      <c r="AH6" s="2382"/>
      <c r="AI6" s="2383"/>
      <c r="AJ6" s="2384" t="s">
        <v>39</v>
      </c>
      <c r="AK6" s="2385"/>
      <c r="AL6" s="2385"/>
      <c r="AM6" s="2385"/>
      <c r="AN6" s="2385"/>
      <c r="AO6" s="2386"/>
      <c r="AP6" s="2387" t="s">
        <v>40</v>
      </c>
      <c r="AQ6" s="2377"/>
      <c r="AR6" s="2377"/>
      <c r="AS6" s="2377"/>
      <c r="AT6" s="2377"/>
      <c r="AU6" s="2315"/>
      <c r="AV6" s="2376" t="s">
        <v>41</v>
      </c>
      <c r="AW6" s="2377"/>
      <c r="AX6" s="2377"/>
      <c r="AY6" s="2377"/>
      <c r="AZ6" s="2377"/>
      <c r="BA6" s="2315"/>
      <c r="BB6" s="2376" t="s">
        <v>42</v>
      </c>
      <c r="BC6" s="2377"/>
      <c r="BD6" s="2377"/>
      <c r="BE6" s="2377"/>
      <c r="BF6" s="2377"/>
      <c r="BG6" s="2315"/>
      <c r="BH6" s="2376" t="s">
        <v>43</v>
      </c>
      <c r="BI6" s="2377"/>
      <c r="BJ6" s="2377"/>
      <c r="BK6" s="2377"/>
      <c r="BL6" s="2377"/>
      <c r="BM6" s="2315"/>
      <c r="BN6" s="2376" t="s">
        <v>44</v>
      </c>
      <c r="BO6" s="2377"/>
      <c r="BP6" s="2377"/>
      <c r="BQ6" s="2377"/>
      <c r="BR6" s="2377"/>
      <c r="BS6" s="2315"/>
      <c r="BT6" s="2376" t="s">
        <v>45</v>
      </c>
      <c r="BU6" s="2377"/>
      <c r="BV6" s="2377"/>
      <c r="BW6" s="2377"/>
      <c r="BX6" s="2377"/>
      <c r="BY6" s="2315"/>
      <c r="BZ6" s="2376" t="s">
        <v>46</v>
      </c>
      <c r="CA6" s="2377"/>
      <c r="CB6" s="2377"/>
      <c r="CC6" s="2377"/>
      <c r="CD6" s="2377"/>
      <c r="CE6" s="2315"/>
      <c r="CF6" s="2376" t="s">
        <v>47</v>
      </c>
      <c r="CG6" s="2377"/>
      <c r="CH6" s="2377"/>
      <c r="CI6" s="2377"/>
      <c r="CJ6" s="2377"/>
      <c r="CK6" s="2315"/>
      <c r="CL6" s="2315" t="s">
        <v>87</v>
      </c>
      <c r="CM6" s="1963"/>
      <c r="CN6" s="1963"/>
      <c r="CO6" s="1963"/>
      <c r="CP6" s="1963"/>
      <c r="CQ6" s="1963"/>
      <c r="CR6" s="2389" t="s">
        <v>411</v>
      </c>
      <c r="CS6" s="2390"/>
      <c r="CT6" s="2390"/>
      <c r="CU6" s="2390"/>
      <c r="CV6" s="2390"/>
      <c r="CW6" s="2390"/>
    </row>
    <row r="7" spans="1:101" s="2" customFormat="1" ht="51.75" customHeight="1">
      <c r="B7" s="1968"/>
      <c r="C7" s="2375"/>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5" t="s">
        <v>412</v>
      </c>
      <c r="X7" s="1077" t="s">
        <v>31</v>
      </c>
      <c r="Y7" s="56" t="s">
        <v>32</v>
      </c>
      <c r="Z7" s="57" t="s">
        <v>33</v>
      </c>
      <c r="AA7" s="56" t="s">
        <v>34</v>
      </c>
      <c r="AB7" s="19" t="s">
        <v>35</v>
      </c>
      <c r="AC7" s="1078" t="s">
        <v>36</v>
      </c>
      <c r="AD7" s="1077" t="s">
        <v>31</v>
      </c>
      <c r="AE7" s="56" t="s">
        <v>32</v>
      </c>
      <c r="AF7" s="57" t="s">
        <v>33</v>
      </c>
      <c r="AG7" s="56" t="s">
        <v>34</v>
      </c>
      <c r="AH7" s="19" t="s">
        <v>35</v>
      </c>
      <c r="AI7" s="1078" t="s">
        <v>36</v>
      </c>
      <c r="AJ7" s="1077" t="s">
        <v>31</v>
      </c>
      <c r="AK7" s="56" t="s">
        <v>32</v>
      </c>
      <c r="AL7" s="57" t="s">
        <v>33</v>
      </c>
      <c r="AM7" s="56" t="s">
        <v>34</v>
      </c>
      <c r="AN7" s="19" t="s">
        <v>35</v>
      </c>
      <c r="AO7" s="1078" t="s">
        <v>36</v>
      </c>
      <c r="AP7" s="1077" t="s">
        <v>31</v>
      </c>
      <c r="AQ7" s="56" t="s">
        <v>32</v>
      </c>
      <c r="AR7" s="57" t="s">
        <v>33</v>
      </c>
      <c r="AS7" s="56" t="s">
        <v>34</v>
      </c>
      <c r="AT7" s="19" t="s">
        <v>35</v>
      </c>
      <c r="AU7" s="1078" t="s">
        <v>36</v>
      </c>
      <c r="AV7" s="1077" t="s">
        <v>31</v>
      </c>
      <c r="AW7" s="56" t="s">
        <v>32</v>
      </c>
      <c r="AX7" s="57" t="s">
        <v>33</v>
      </c>
      <c r="AY7" s="56" t="s">
        <v>34</v>
      </c>
      <c r="AZ7" s="19" t="s">
        <v>35</v>
      </c>
      <c r="BA7" s="1078" t="s">
        <v>36</v>
      </c>
      <c r="BB7" s="1077" t="s">
        <v>31</v>
      </c>
      <c r="BC7" s="56" t="s">
        <v>32</v>
      </c>
      <c r="BD7" s="57" t="s">
        <v>33</v>
      </c>
      <c r="BE7" s="56" t="s">
        <v>34</v>
      </c>
      <c r="BF7" s="19" t="s">
        <v>35</v>
      </c>
      <c r="BG7" s="1078" t="s">
        <v>36</v>
      </c>
      <c r="BH7" s="1077" t="s">
        <v>31</v>
      </c>
      <c r="BI7" s="56" t="s">
        <v>32</v>
      </c>
      <c r="BJ7" s="57" t="s">
        <v>33</v>
      </c>
      <c r="BK7" s="56" t="s">
        <v>34</v>
      </c>
      <c r="BL7" s="19" t="s">
        <v>35</v>
      </c>
      <c r="BM7" s="1078" t="s">
        <v>36</v>
      </c>
      <c r="BN7" s="1077" t="s">
        <v>31</v>
      </c>
      <c r="BO7" s="56" t="s">
        <v>32</v>
      </c>
      <c r="BP7" s="57" t="s">
        <v>33</v>
      </c>
      <c r="BQ7" s="56" t="s">
        <v>34</v>
      </c>
      <c r="BR7" s="19" t="s">
        <v>35</v>
      </c>
      <c r="BS7" s="1078" t="s">
        <v>36</v>
      </c>
      <c r="BT7" s="1077" t="s">
        <v>31</v>
      </c>
      <c r="BU7" s="56" t="s">
        <v>32</v>
      </c>
      <c r="BV7" s="57" t="s">
        <v>33</v>
      </c>
      <c r="BW7" s="56" t="s">
        <v>34</v>
      </c>
      <c r="BX7" s="19" t="s">
        <v>35</v>
      </c>
      <c r="BY7" s="1078" t="s">
        <v>36</v>
      </c>
      <c r="BZ7" s="1077" t="s">
        <v>31</v>
      </c>
      <c r="CA7" s="56" t="s">
        <v>32</v>
      </c>
      <c r="CB7" s="57" t="s">
        <v>33</v>
      </c>
      <c r="CC7" s="56" t="s">
        <v>34</v>
      </c>
      <c r="CD7" s="19" t="s">
        <v>35</v>
      </c>
      <c r="CE7" s="1078" t="s">
        <v>36</v>
      </c>
      <c r="CF7" s="1077" t="s">
        <v>31</v>
      </c>
      <c r="CG7" s="56" t="s">
        <v>32</v>
      </c>
      <c r="CH7" s="57" t="s">
        <v>33</v>
      </c>
      <c r="CI7" s="56" t="s">
        <v>34</v>
      </c>
      <c r="CJ7" s="19" t="s">
        <v>35</v>
      </c>
      <c r="CK7" s="1078" t="s">
        <v>36</v>
      </c>
      <c r="CL7" s="1077" t="s">
        <v>31</v>
      </c>
      <c r="CM7" s="56" t="s">
        <v>32</v>
      </c>
      <c r="CN7" s="57" t="s">
        <v>33</v>
      </c>
      <c r="CO7" s="56" t="s">
        <v>34</v>
      </c>
      <c r="CP7" s="19" t="s">
        <v>35</v>
      </c>
      <c r="CQ7" s="1078" t="s">
        <v>36</v>
      </c>
      <c r="CR7" s="1079" t="s">
        <v>31</v>
      </c>
      <c r="CS7" s="1079" t="s">
        <v>32</v>
      </c>
      <c r="CT7" s="1080" t="s">
        <v>33</v>
      </c>
      <c r="CU7" s="1081" t="s">
        <v>34</v>
      </c>
      <c r="CV7" s="1082" t="s">
        <v>35</v>
      </c>
      <c r="CW7" s="1083" t="s">
        <v>36</v>
      </c>
    </row>
    <row r="8" spans="1:101" ht="95.25" customHeight="1">
      <c r="B8" s="9" t="s">
        <v>1355</v>
      </c>
      <c r="C8" s="8" t="s">
        <v>1799</v>
      </c>
      <c r="D8" s="13" t="s">
        <v>1800</v>
      </c>
      <c r="E8" s="96" t="s">
        <v>1801</v>
      </c>
      <c r="F8" s="9" t="s">
        <v>1802</v>
      </c>
      <c r="G8" s="9" t="s">
        <v>53</v>
      </c>
      <c r="H8" s="96" t="s">
        <v>1803</v>
      </c>
      <c r="I8" s="9" t="s">
        <v>1804</v>
      </c>
      <c r="J8" s="9" t="s">
        <v>54</v>
      </c>
      <c r="K8" s="7">
        <v>100</v>
      </c>
      <c r="L8" s="7">
        <v>100</v>
      </c>
      <c r="M8" s="7">
        <v>100</v>
      </c>
      <c r="N8" s="7">
        <v>100</v>
      </c>
      <c r="O8" s="7">
        <v>100</v>
      </c>
      <c r="P8" s="7">
        <v>100</v>
      </c>
      <c r="Q8" s="7">
        <v>100</v>
      </c>
      <c r="R8" s="7">
        <v>100</v>
      </c>
      <c r="S8" s="7">
        <v>100</v>
      </c>
      <c r="T8" s="7">
        <v>100</v>
      </c>
      <c r="U8" s="7">
        <v>100</v>
      </c>
      <c r="V8" s="7">
        <v>100</v>
      </c>
      <c r="W8" s="75" t="s">
        <v>1805</v>
      </c>
      <c r="X8" s="1084">
        <v>0</v>
      </c>
      <c r="Y8" s="1085">
        <v>0</v>
      </c>
      <c r="Z8" s="1086">
        <v>1</v>
      </c>
      <c r="AA8" s="1086">
        <v>1</v>
      </c>
      <c r="AB8" s="1086">
        <f>+Z8/AA8</f>
        <v>1</v>
      </c>
      <c r="AC8" s="1087" t="s">
        <v>1806</v>
      </c>
      <c r="AD8" s="1084">
        <v>6</v>
      </c>
      <c r="AE8" s="1085">
        <v>6</v>
      </c>
      <c r="AF8" s="1086">
        <f>+AD8/AE8</f>
        <v>1</v>
      </c>
      <c r="AG8" s="1086">
        <v>1</v>
      </c>
      <c r="AH8" s="1086">
        <f>+AF8/AG8</f>
        <v>1</v>
      </c>
      <c r="AI8" s="8" t="s">
        <v>1807</v>
      </c>
      <c r="AJ8" s="1084">
        <v>31</v>
      </c>
      <c r="AK8" s="1085">
        <v>31</v>
      </c>
      <c r="AL8" s="1086">
        <f>+AJ8/AK8</f>
        <v>1</v>
      </c>
      <c r="AM8" s="1086">
        <v>1</v>
      </c>
      <c r="AN8" s="1086">
        <f>+AL8/AM8</f>
        <v>1</v>
      </c>
      <c r="AO8" s="1088" t="s">
        <v>1808</v>
      </c>
      <c r="AP8" s="1084">
        <v>13</v>
      </c>
      <c r="AQ8" s="1085">
        <v>13</v>
      </c>
      <c r="AR8" s="1086">
        <f>+AP8/AQ8</f>
        <v>1</v>
      </c>
      <c r="AS8" s="1086">
        <v>1</v>
      </c>
      <c r="AT8" s="1086">
        <v>1</v>
      </c>
      <c r="AU8" s="1088" t="s">
        <v>1809</v>
      </c>
      <c r="AV8" s="1084">
        <v>20</v>
      </c>
      <c r="AW8" s="1085">
        <v>20</v>
      </c>
      <c r="AX8" s="1086">
        <f>+AV8/AW8</f>
        <v>1</v>
      </c>
      <c r="AY8" s="1086">
        <v>1</v>
      </c>
      <c r="AZ8" s="1086">
        <v>1</v>
      </c>
      <c r="BA8" s="1088" t="s">
        <v>1810</v>
      </c>
      <c r="BB8" s="1084">
        <v>17</v>
      </c>
      <c r="BC8" s="1085">
        <v>17</v>
      </c>
      <c r="BD8" s="1086">
        <f>+BB8/BC8</f>
        <v>1</v>
      </c>
      <c r="BE8" s="1086">
        <v>1</v>
      </c>
      <c r="BF8" s="1086">
        <v>1</v>
      </c>
      <c r="BG8" s="1088" t="s">
        <v>1811</v>
      </c>
      <c r="BH8" s="1084">
        <v>7</v>
      </c>
      <c r="BI8" s="1085">
        <v>7</v>
      </c>
      <c r="BJ8" s="1086">
        <f>+BH8/BI8</f>
        <v>1</v>
      </c>
      <c r="BK8" s="1086">
        <v>1</v>
      </c>
      <c r="BL8" s="1086">
        <v>1</v>
      </c>
      <c r="BM8" s="1088" t="s">
        <v>1812</v>
      </c>
      <c r="BN8" s="1084">
        <v>19</v>
      </c>
      <c r="BO8" s="1085">
        <v>19</v>
      </c>
      <c r="BP8" s="1086">
        <f>+BN8/BO8</f>
        <v>1</v>
      </c>
      <c r="BQ8" s="1086">
        <v>1</v>
      </c>
      <c r="BR8" s="1086">
        <v>1</v>
      </c>
      <c r="BS8" s="1088" t="s">
        <v>1813</v>
      </c>
      <c r="BT8" s="1084">
        <v>24</v>
      </c>
      <c r="BU8" s="1085">
        <v>24</v>
      </c>
      <c r="BV8" s="1086">
        <f>+BT8/BU8</f>
        <v>1</v>
      </c>
      <c r="BW8" s="1086">
        <v>1</v>
      </c>
      <c r="BX8" s="1086">
        <v>1</v>
      </c>
      <c r="BY8" s="1088" t="s">
        <v>1814</v>
      </c>
      <c r="BZ8" s="1084">
        <v>16</v>
      </c>
      <c r="CA8" s="1085">
        <v>16</v>
      </c>
      <c r="CB8" s="1086">
        <f>+BZ8/CA8</f>
        <v>1</v>
      </c>
      <c r="CC8" s="1086">
        <v>1</v>
      </c>
      <c r="CD8" s="1086">
        <v>1</v>
      </c>
      <c r="CE8" s="1088" t="s">
        <v>1815</v>
      </c>
      <c r="CF8" s="1084">
        <v>8</v>
      </c>
      <c r="CG8" s="1085">
        <v>8</v>
      </c>
      <c r="CH8" s="1086">
        <f>+CF8/CG8</f>
        <v>1</v>
      </c>
      <c r="CI8" s="1086">
        <v>1</v>
      </c>
      <c r="CJ8" s="1086">
        <v>1</v>
      </c>
      <c r="CK8" s="1088" t="s">
        <v>1816</v>
      </c>
      <c r="CL8" s="1084">
        <v>7</v>
      </c>
      <c r="CM8" s="1085">
        <v>7</v>
      </c>
      <c r="CN8" s="1086">
        <f>+CL8/CM8</f>
        <v>1</v>
      </c>
      <c r="CO8" s="1086">
        <v>1</v>
      </c>
      <c r="CP8" s="1086">
        <v>1</v>
      </c>
      <c r="CQ8" s="1088" t="s">
        <v>1817</v>
      </c>
      <c r="CR8" s="1089">
        <f t="shared" ref="CR8:CS10" si="0">+X8+AD8+AJ8+AP8+AV8+BB8+BH8+BN8+BT8+BZ8+CF8+CL8</f>
        <v>168</v>
      </c>
      <c r="CS8" s="1090">
        <f t="shared" si="0"/>
        <v>168</v>
      </c>
      <c r="CT8" s="1091">
        <f>+(Z8+AF8+AL8+AR8+AX8+BD8+BJ8+BP8+BV8+CB8+CH8+CN8)/12</f>
        <v>1</v>
      </c>
      <c r="CU8" s="360">
        <v>1</v>
      </c>
      <c r="CV8" s="1092">
        <v>1</v>
      </c>
      <c r="CW8" s="1093" t="s">
        <v>1818</v>
      </c>
    </row>
    <row r="9" spans="1:101" ht="82.5" customHeight="1">
      <c r="B9" s="9" t="s">
        <v>358</v>
      </c>
      <c r="C9" s="8" t="s">
        <v>1819</v>
      </c>
      <c r="D9" s="13" t="s">
        <v>1820</v>
      </c>
      <c r="E9" s="96" t="s">
        <v>1821</v>
      </c>
      <c r="F9" s="9" t="s">
        <v>1822</v>
      </c>
      <c r="G9" s="9" t="s">
        <v>53</v>
      </c>
      <c r="H9" s="96" t="s">
        <v>1823</v>
      </c>
      <c r="I9" s="9" t="s">
        <v>1824</v>
      </c>
      <c r="J9" s="9" t="s">
        <v>1825</v>
      </c>
      <c r="K9" s="7">
        <v>100</v>
      </c>
      <c r="L9" s="7">
        <v>100</v>
      </c>
      <c r="M9" s="7">
        <v>100</v>
      </c>
      <c r="N9" s="7">
        <v>100</v>
      </c>
      <c r="O9" s="7">
        <v>100</v>
      </c>
      <c r="P9" s="7">
        <v>100</v>
      </c>
      <c r="Q9" s="7">
        <v>100</v>
      </c>
      <c r="R9" s="7">
        <v>100</v>
      </c>
      <c r="S9" s="7">
        <v>100</v>
      </c>
      <c r="T9" s="7">
        <v>100</v>
      </c>
      <c r="U9" s="7">
        <v>100</v>
      </c>
      <c r="V9" s="7">
        <v>100</v>
      </c>
      <c r="W9" s="75" t="s">
        <v>1805</v>
      </c>
      <c r="X9" s="1084">
        <v>0</v>
      </c>
      <c r="Y9" s="1085">
        <v>0</v>
      </c>
      <c r="Z9" s="1084">
        <v>0</v>
      </c>
      <c r="AA9" s="1085">
        <v>0</v>
      </c>
      <c r="AB9" s="1086">
        <v>0</v>
      </c>
      <c r="AC9" s="1088" t="s">
        <v>1826</v>
      </c>
      <c r="AD9" s="1084">
        <v>3</v>
      </c>
      <c r="AE9" s="1085">
        <v>3</v>
      </c>
      <c r="AF9" s="1086">
        <f>+AD9/AE9</f>
        <v>1</v>
      </c>
      <c r="AG9" s="1085">
        <v>100</v>
      </c>
      <c r="AH9" s="1086">
        <v>1</v>
      </c>
      <c r="AI9" s="1094" t="s">
        <v>1827</v>
      </c>
      <c r="AJ9" s="1084">
        <v>6</v>
      </c>
      <c r="AK9" s="1085">
        <v>7</v>
      </c>
      <c r="AL9" s="1086">
        <f>+AJ9/AK9</f>
        <v>0.8571428571428571</v>
      </c>
      <c r="AM9" s="1086">
        <v>1</v>
      </c>
      <c r="AN9" s="1086">
        <f>+AL9/AM9</f>
        <v>0.8571428571428571</v>
      </c>
      <c r="AO9" s="1088" t="s">
        <v>1828</v>
      </c>
      <c r="AP9" s="1084">
        <v>5</v>
      </c>
      <c r="AQ9" s="1085">
        <v>5</v>
      </c>
      <c r="AR9" s="1086">
        <f>+AP9/AQ9</f>
        <v>1</v>
      </c>
      <c r="AS9" s="1086">
        <v>1</v>
      </c>
      <c r="AT9" s="1086">
        <f>+AS9/AR9</f>
        <v>1</v>
      </c>
      <c r="AU9" s="1088" t="s">
        <v>1829</v>
      </c>
      <c r="AV9" s="1084">
        <v>16</v>
      </c>
      <c r="AW9" s="1085">
        <v>16</v>
      </c>
      <c r="AX9" s="1086">
        <f>+AV9/AW9</f>
        <v>1</v>
      </c>
      <c r="AY9" s="1086">
        <v>1</v>
      </c>
      <c r="AZ9" s="1086">
        <v>1</v>
      </c>
      <c r="BA9" s="1088" t="s">
        <v>1830</v>
      </c>
      <c r="BB9" s="1084">
        <v>15</v>
      </c>
      <c r="BC9" s="1085">
        <v>21</v>
      </c>
      <c r="BD9" s="1086">
        <f>+BB9/BC9</f>
        <v>0.7142857142857143</v>
      </c>
      <c r="BE9" s="1086">
        <v>1</v>
      </c>
      <c r="BF9" s="1086">
        <v>1</v>
      </c>
      <c r="BG9" s="1088" t="s">
        <v>1831</v>
      </c>
      <c r="BH9" s="1084">
        <v>9</v>
      </c>
      <c r="BI9" s="1085">
        <v>11</v>
      </c>
      <c r="BJ9" s="1086">
        <f>+BH9/BI9</f>
        <v>0.81818181818181823</v>
      </c>
      <c r="BK9" s="1086">
        <v>1</v>
      </c>
      <c r="BL9" s="1086">
        <f>+BJ9/BK9</f>
        <v>0.81818181818181823</v>
      </c>
      <c r="BM9" s="1088" t="s">
        <v>1832</v>
      </c>
      <c r="BN9" s="1084">
        <v>6</v>
      </c>
      <c r="BO9" s="1085">
        <v>8</v>
      </c>
      <c r="BP9" s="1086">
        <f>+BN9/BO9</f>
        <v>0.75</v>
      </c>
      <c r="BQ9" s="1086">
        <v>1</v>
      </c>
      <c r="BR9" s="1086">
        <f>+BP9/BQ9</f>
        <v>0.75</v>
      </c>
      <c r="BS9" s="1088" t="s">
        <v>1833</v>
      </c>
      <c r="BT9" s="1084">
        <v>5</v>
      </c>
      <c r="BU9" s="1085">
        <v>6</v>
      </c>
      <c r="BV9" s="1095">
        <f>+BT9/BU9</f>
        <v>0.83333333333333337</v>
      </c>
      <c r="BW9" s="1086">
        <v>1</v>
      </c>
      <c r="BX9" s="1086">
        <f>+BV9/BW9</f>
        <v>0.83333333333333337</v>
      </c>
      <c r="BY9" s="1088" t="s">
        <v>1834</v>
      </c>
      <c r="BZ9" s="1084">
        <v>25</v>
      </c>
      <c r="CA9" s="1085">
        <v>31</v>
      </c>
      <c r="CB9" s="1095">
        <f>+BZ9/CA9</f>
        <v>0.80645161290322576</v>
      </c>
      <c r="CC9" s="1086">
        <v>1</v>
      </c>
      <c r="CD9" s="1086">
        <f>+CB9/CC9</f>
        <v>0.80645161290322576</v>
      </c>
      <c r="CE9" s="1088" t="s">
        <v>1835</v>
      </c>
      <c r="CF9" s="1084">
        <v>25</v>
      </c>
      <c r="CG9" s="1085">
        <v>27</v>
      </c>
      <c r="CH9" s="1095">
        <f>+CF9/CG9</f>
        <v>0.92592592592592593</v>
      </c>
      <c r="CI9" s="1086">
        <v>1</v>
      </c>
      <c r="CJ9" s="1086">
        <f>+CH9/CI9</f>
        <v>0.92592592592592593</v>
      </c>
      <c r="CK9" s="1088" t="s">
        <v>1836</v>
      </c>
      <c r="CL9" s="1084">
        <v>4</v>
      </c>
      <c r="CM9" s="1085">
        <v>4</v>
      </c>
      <c r="CN9" s="1095">
        <f>+CL9/CM9</f>
        <v>1</v>
      </c>
      <c r="CO9" s="1086">
        <v>1</v>
      </c>
      <c r="CP9" s="1086">
        <f>+CN9/CO9</f>
        <v>1</v>
      </c>
      <c r="CQ9" s="1088" t="s">
        <v>1837</v>
      </c>
      <c r="CR9" s="1089">
        <f t="shared" si="0"/>
        <v>119</v>
      </c>
      <c r="CS9" s="1090">
        <f t="shared" si="0"/>
        <v>139</v>
      </c>
      <c r="CT9" s="1091">
        <f>+(Z9+AF9+AL9+AR9+AX9+BD9+BJ9+BP9+BV9+CB9+CH9+CN9)/12</f>
        <v>0.80877677181440621</v>
      </c>
      <c r="CU9" s="360">
        <v>1</v>
      </c>
      <c r="CV9" s="1092">
        <v>0.81</v>
      </c>
      <c r="CW9" s="1093" t="s">
        <v>1838</v>
      </c>
    </row>
    <row r="10" spans="1:101" ht="74.25" customHeight="1">
      <c r="B10" s="9" t="s">
        <v>358</v>
      </c>
      <c r="C10" s="8" t="s">
        <v>1839</v>
      </c>
      <c r="D10" s="13" t="s">
        <v>1840</v>
      </c>
      <c r="E10" s="96" t="s">
        <v>1841</v>
      </c>
      <c r="F10" s="9" t="s">
        <v>1842</v>
      </c>
      <c r="G10" s="9" t="s">
        <v>53</v>
      </c>
      <c r="H10" s="96" t="s">
        <v>1843</v>
      </c>
      <c r="I10" s="9" t="s">
        <v>1844</v>
      </c>
      <c r="J10" s="9" t="s">
        <v>1825</v>
      </c>
      <c r="K10" s="7">
        <v>100</v>
      </c>
      <c r="L10" s="7">
        <v>100</v>
      </c>
      <c r="M10" s="7">
        <v>100</v>
      </c>
      <c r="N10" s="7">
        <v>100</v>
      </c>
      <c r="O10" s="7">
        <v>100</v>
      </c>
      <c r="P10" s="7">
        <v>100</v>
      </c>
      <c r="Q10" s="7">
        <v>100</v>
      </c>
      <c r="R10" s="7">
        <v>100</v>
      </c>
      <c r="S10" s="7">
        <v>100</v>
      </c>
      <c r="T10" s="7">
        <v>100</v>
      </c>
      <c r="U10" s="7">
        <v>100</v>
      </c>
      <c r="V10" s="7">
        <v>100</v>
      </c>
      <c r="W10" s="75" t="s">
        <v>1805</v>
      </c>
      <c r="X10" s="1084">
        <v>0</v>
      </c>
      <c r="Y10" s="1085">
        <v>0</v>
      </c>
      <c r="Z10" s="1086">
        <v>1</v>
      </c>
      <c r="AA10" s="1086">
        <v>1</v>
      </c>
      <c r="AB10" s="1086">
        <f>+Z10/AA10</f>
        <v>1</v>
      </c>
      <c r="AC10" s="1088" t="s">
        <v>1845</v>
      </c>
      <c r="AD10" s="1084">
        <v>3</v>
      </c>
      <c r="AE10" s="1085">
        <v>3</v>
      </c>
      <c r="AF10" s="1086">
        <f>+AD10/AE10</f>
        <v>1</v>
      </c>
      <c r="AG10" s="1086">
        <v>1</v>
      </c>
      <c r="AH10" s="1086">
        <f>+AF10/AG10</f>
        <v>1</v>
      </c>
      <c r="AI10" s="1094" t="s">
        <v>1846</v>
      </c>
      <c r="AJ10" s="1084">
        <v>1</v>
      </c>
      <c r="AK10" s="1085">
        <v>1</v>
      </c>
      <c r="AL10" s="1086">
        <f>+AJ10/AK10</f>
        <v>1</v>
      </c>
      <c r="AM10" s="1086">
        <v>1</v>
      </c>
      <c r="AN10" s="1086">
        <f>+AL10/AM10</f>
        <v>1</v>
      </c>
      <c r="AO10" s="1088" t="s">
        <v>1847</v>
      </c>
      <c r="AP10" s="1084">
        <v>2</v>
      </c>
      <c r="AQ10" s="1085">
        <v>2</v>
      </c>
      <c r="AR10" s="1086">
        <f>+AP10/AQ10</f>
        <v>1</v>
      </c>
      <c r="AS10" s="1086">
        <v>1</v>
      </c>
      <c r="AT10" s="1086">
        <v>1</v>
      </c>
      <c r="AU10" s="1088" t="s">
        <v>1848</v>
      </c>
      <c r="AV10" s="1084">
        <v>6</v>
      </c>
      <c r="AW10" s="1085">
        <v>6</v>
      </c>
      <c r="AX10" s="1086">
        <f>+AV10/AW10</f>
        <v>1</v>
      </c>
      <c r="AY10" s="1086">
        <v>1</v>
      </c>
      <c r="AZ10" s="1086">
        <v>1</v>
      </c>
      <c r="BA10" s="1088" t="s">
        <v>1849</v>
      </c>
      <c r="BB10" s="1084">
        <v>5</v>
      </c>
      <c r="BC10" s="1085">
        <v>5</v>
      </c>
      <c r="BD10" s="1086">
        <f>+BB10/BC10</f>
        <v>1</v>
      </c>
      <c r="BE10" s="1086">
        <v>1</v>
      </c>
      <c r="BF10" s="1086">
        <v>1</v>
      </c>
      <c r="BG10" s="1088" t="s">
        <v>1850</v>
      </c>
      <c r="BH10" s="1084">
        <v>15</v>
      </c>
      <c r="BI10" s="1085">
        <v>15</v>
      </c>
      <c r="BJ10" s="1086">
        <f>+BH10/BI10</f>
        <v>1</v>
      </c>
      <c r="BK10" s="1086">
        <v>1</v>
      </c>
      <c r="BL10" s="1086">
        <v>1</v>
      </c>
      <c r="BM10" s="1088" t="s">
        <v>1851</v>
      </c>
      <c r="BN10" s="1084">
        <v>13</v>
      </c>
      <c r="BO10" s="1085">
        <v>14</v>
      </c>
      <c r="BP10" s="1086">
        <f>+BN10/BO10</f>
        <v>0.9285714285714286</v>
      </c>
      <c r="BQ10" s="1086">
        <v>1</v>
      </c>
      <c r="BR10" s="1086">
        <v>0.93</v>
      </c>
      <c r="BS10" s="1088" t="s">
        <v>1852</v>
      </c>
      <c r="BT10" s="1084">
        <v>26</v>
      </c>
      <c r="BU10" s="1085">
        <v>26</v>
      </c>
      <c r="BV10" s="1086">
        <f>+BT10/BU10</f>
        <v>1</v>
      </c>
      <c r="BW10" s="1086">
        <v>1</v>
      </c>
      <c r="BX10" s="1086">
        <f>+BV10/BW10</f>
        <v>1</v>
      </c>
      <c r="BY10" s="1088" t="s">
        <v>1853</v>
      </c>
      <c r="BZ10" s="1084">
        <v>15</v>
      </c>
      <c r="CA10" s="1085">
        <v>17</v>
      </c>
      <c r="CB10" s="1086">
        <f>+BZ10/CA10</f>
        <v>0.88235294117647056</v>
      </c>
      <c r="CC10" s="1086">
        <v>1</v>
      </c>
      <c r="CD10" s="1086">
        <f>+CB10/CC10</f>
        <v>0.88235294117647056</v>
      </c>
      <c r="CE10" s="1088" t="s">
        <v>1854</v>
      </c>
      <c r="CF10" s="1084">
        <v>8</v>
      </c>
      <c r="CG10" s="1085">
        <v>9</v>
      </c>
      <c r="CH10" s="1086">
        <f>+CF10/CG10</f>
        <v>0.88888888888888884</v>
      </c>
      <c r="CI10" s="1086">
        <v>1</v>
      </c>
      <c r="CJ10" s="1086">
        <f>+CH10/CI10</f>
        <v>0.88888888888888884</v>
      </c>
      <c r="CK10" s="1088" t="s">
        <v>1855</v>
      </c>
      <c r="CL10" s="1084">
        <v>30</v>
      </c>
      <c r="CM10" s="1085">
        <v>35</v>
      </c>
      <c r="CN10" s="1086">
        <f>+CL10/CM10</f>
        <v>0.8571428571428571</v>
      </c>
      <c r="CO10" s="1086">
        <v>1</v>
      </c>
      <c r="CP10" s="1086">
        <f>+CN10/CO10</f>
        <v>0.8571428571428571</v>
      </c>
      <c r="CQ10" s="1088" t="s">
        <v>1856</v>
      </c>
      <c r="CR10" s="1089">
        <f t="shared" si="0"/>
        <v>124</v>
      </c>
      <c r="CS10" s="1090">
        <f t="shared" si="0"/>
        <v>133</v>
      </c>
      <c r="CT10" s="1091">
        <f>+(Z10+AF10+AL10+AR10+AX10+BD10+BJ10+BP10+BV10+CB10+CH10+CN10)/12</f>
        <v>0.9630796763149706</v>
      </c>
      <c r="CU10" s="360">
        <v>1</v>
      </c>
      <c r="CV10" s="1092">
        <v>0.96</v>
      </c>
      <c r="CW10" s="1093" t="s">
        <v>1857</v>
      </c>
    </row>
    <row r="11" spans="1:101" ht="14.25" customHeight="1">
      <c r="B11" s="33"/>
      <c r="C11" s="34"/>
      <c r="D11" s="35"/>
      <c r="E11" s="35"/>
      <c r="F11" s="36"/>
      <c r="G11" s="36"/>
      <c r="H11" s="1096" t="s">
        <v>49</v>
      </c>
      <c r="I11" s="36"/>
      <c r="J11" s="36"/>
      <c r="K11" s="37"/>
      <c r="L11" s="37"/>
      <c r="M11" s="38"/>
      <c r="N11" s="37"/>
      <c r="O11" s="37"/>
      <c r="P11" s="39"/>
      <c r="Q11" s="39"/>
      <c r="R11" s="39"/>
      <c r="S11" s="39"/>
      <c r="T11" s="39"/>
      <c r="U11" s="39"/>
      <c r="V11" s="39"/>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2391"/>
      <c r="CS11" s="2391"/>
      <c r="CT11" s="2391"/>
      <c r="CU11" s="2391"/>
      <c r="CV11" s="2391"/>
      <c r="CW11" s="2391"/>
    </row>
    <row r="12" spans="1:101" ht="77.25" customHeight="1">
      <c r="B12" s="9" t="s">
        <v>155</v>
      </c>
      <c r="C12" s="8" t="s">
        <v>156</v>
      </c>
      <c r="D12" s="13" t="s">
        <v>157</v>
      </c>
      <c r="E12" s="96" t="s">
        <v>158</v>
      </c>
      <c r="F12" s="9" t="s">
        <v>251</v>
      </c>
      <c r="G12" s="9" t="s">
        <v>53</v>
      </c>
      <c r="H12" s="13" t="s">
        <v>160</v>
      </c>
      <c r="I12" s="8" t="s">
        <v>161</v>
      </c>
      <c r="J12" s="8" t="s">
        <v>54</v>
      </c>
      <c r="K12" s="7"/>
      <c r="L12" s="7"/>
      <c r="M12" s="12"/>
      <c r="N12" s="7">
        <v>100</v>
      </c>
      <c r="O12" s="7"/>
      <c r="P12" s="7">
        <v>100</v>
      </c>
      <c r="Q12" s="74"/>
      <c r="R12" s="74"/>
      <c r="S12" s="7">
        <v>100</v>
      </c>
      <c r="T12" s="74"/>
      <c r="U12" s="74"/>
      <c r="V12" s="7">
        <v>100</v>
      </c>
      <c r="W12" s="75" t="s">
        <v>259</v>
      </c>
      <c r="X12" s="1097"/>
      <c r="Y12" s="1097"/>
      <c r="Z12" s="1097"/>
      <c r="AA12" s="1097"/>
      <c r="AC12" s="1088" t="s">
        <v>1858</v>
      </c>
      <c r="AD12" s="1084"/>
      <c r="AE12" s="1085"/>
      <c r="AF12" s="1085"/>
      <c r="AG12" s="1085"/>
      <c r="AH12" s="1085"/>
      <c r="AI12" s="1088" t="s">
        <v>1858</v>
      </c>
      <c r="AJ12" s="1084"/>
      <c r="AK12" s="1085"/>
      <c r="AL12" s="1085"/>
      <c r="AM12" s="1085"/>
      <c r="AN12" s="1085"/>
      <c r="AO12" s="1088" t="s">
        <v>1858</v>
      </c>
      <c r="AP12" s="1084">
        <v>3</v>
      </c>
      <c r="AQ12" s="1085">
        <v>4</v>
      </c>
      <c r="AR12" s="1086">
        <f>+AP12/AQ12</f>
        <v>0.75</v>
      </c>
      <c r="AS12" s="1098">
        <v>1</v>
      </c>
      <c r="AT12" s="1086">
        <f>+AR12/AS12</f>
        <v>0.75</v>
      </c>
      <c r="AU12" s="1088" t="s">
        <v>1859</v>
      </c>
      <c r="AV12" s="1084"/>
      <c r="AW12" s="1085"/>
      <c r="AX12" s="1086"/>
      <c r="AY12" s="1098"/>
      <c r="AZ12" s="1086"/>
      <c r="BA12" s="1088" t="s">
        <v>1858</v>
      </c>
      <c r="BB12" s="1099">
        <v>6</v>
      </c>
      <c r="BC12" s="1097">
        <v>9</v>
      </c>
      <c r="BD12" s="1100">
        <f>+BB12/BC12</f>
        <v>0.66666666666666663</v>
      </c>
      <c r="BE12" s="1101">
        <v>1</v>
      </c>
      <c r="BF12" s="1100">
        <v>0.67</v>
      </c>
      <c r="BG12" s="1102" t="s">
        <v>1860</v>
      </c>
      <c r="BH12" s="1099"/>
      <c r="BI12" s="1097"/>
      <c r="BJ12" s="1100"/>
      <c r="BK12" s="1101"/>
      <c r="BL12" s="1100"/>
      <c r="BM12" s="1088" t="s">
        <v>1858</v>
      </c>
      <c r="BN12" s="1099"/>
      <c r="BO12" s="1097"/>
      <c r="BP12" s="1100"/>
      <c r="BQ12" s="1101"/>
      <c r="BR12" s="1100"/>
      <c r="BS12" s="1102" t="s">
        <v>1861</v>
      </c>
      <c r="BT12" s="1084">
        <v>6</v>
      </c>
      <c r="BU12" s="1085">
        <v>9</v>
      </c>
      <c r="BV12" s="1086">
        <f>+BT12/BU12</f>
        <v>0.66666666666666663</v>
      </c>
      <c r="BW12" s="1098">
        <v>1</v>
      </c>
      <c r="BX12" s="1086">
        <v>0.67</v>
      </c>
      <c r="BY12" s="1088" t="s">
        <v>256</v>
      </c>
      <c r="BZ12" s="1099"/>
      <c r="CA12" s="1097"/>
      <c r="CB12" s="1100"/>
      <c r="CC12" s="1101"/>
      <c r="CD12" s="1100"/>
      <c r="CE12" s="1103" t="s">
        <v>1862</v>
      </c>
      <c r="CF12" s="1099"/>
      <c r="CG12" s="1097"/>
      <c r="CH12" s="1100"/>
      <c r="CI12" s="1101"/>
      <c r="CJ12" s="1100"/>
      <c r="CK12" s="1103" t="s">
        <v>1862</v>
      </c>
      <c r="CL12" s="56">
        <v>9</v>
      </c>
      <c r="CM12" s="56">
        <v>9</v>
      </c>
      <c r="CN12" s="1104">
        <f>IF(CM12=0," ",CL12/CM12)</f>
        <v>1</v>
      </c>
      <c r="CO12" s="1104">
        <v>1</v>
      </c>
      <c r="CP12" s="1104">
        <f>IF(CM12=0," ",CN12/CO12)</f>
        <v>1</v>
      </c>
      <c r="CQ12" s="1105" t="s">
        <v>1421</v>
      </c>
      <c r="CR12" s="1106">
        <v>9</v>
      </c>
      <c r="CS12" s="1106">
        <v>9</v>
      </c>
      <c r="CT12" s="1107">
        <f>IF(CS12=0," ",CR12/CS12)</f>
        <v>1</v>
      </c>
      <c r="CU12" s="1107">
        <v>1</v>
      </c>
      <c r="CV12" s="1107">
        <f>IF(CS12=0," ",CT12/CU12)</f>
        <v>1</v>
      </c>
      <c r="CW12" s="364" t="s">
        <v>1421</v>
      </c>
    </row>
    <row r="13" spans="1:101" ht="84.75" customHeight="1" thickBot="1">
      <c r="B13" s="9" t="s">
        <v>55</v>
      </c>
      <c r="C13" s="8" t="s">
        <v>89</v>
      </c>
      <c r="D13" s="8" t="s">
        <v>56</v>
      </c>
      <c r="E13" s="9" t="s">
        <v>57</v>
      </c>
      <c r="F13" s="84" t="s">
        <v>58</v>
      </c>
      <c r="G13" s="9" t="s">
        <v>53</v>
      </c>
      <c r="H13" s="403" t="s">
        <v>258</v>
      </c>
      <c r="I13" s="8" t="s">
        <v>60</v>
      </c>
      <c r="J13" s="8" t="s">
        <v>54</v>
      </c>
      <c r="K13" s="7"/>
      <c r="L13" s="12"/>
      <c r="M13" s="12">
        <v>1</v>
      </c>
      <c r="N13" s="12"/>
      <c r="O13" s="12"/>
      <c r="P13" s="12">
        <v>1</v>
      </c>
      <c r="Q13" s="12"/>
      <c r="R13" s="12"/>
      <c r="S13" s="12">
        <v>1</v>
      </c>
      <c r="T13" s="12"/>
      <c r="U13" s="12"/>
      <c r="V13" s="12">
        <v>1</v>
      </c>
      <c r="W13" s="8" t="s">
        <v>259</v>
      </c>
      <c r="X13" s="1099"/>
      <c r="Y13" s="1097"/>
      <c r="Z13" s="1097"/>
      <c r="AA13" s="1097"/>
      <c r="AB13" s="1097"/>
      <c r="AC13" s="1088" t="s">
        <v>1858</v>
      </c>
      <c r="AD13" s="1084"/>
      <c r="AE13" s="1085"/>
      <c r="AF13" s="1085"/>
      <c r="AG13" s="1085"/>
      <c r="AH13" s="1085"/>
      <c r="AI13" s="1088" t="s">
        <v>1858</v>
      </c>
      <c r="AJ13" s="1084"/>
      <c r="AK13" s="1085"/>
      <c r="AL13" s="1085"/>
      <c r="AM13" s="1085"/>
      <c r="AN13" s="1085"/>
      <c r="AO13" s="1088" t="s">
        <v>1858</v>
      </c>
      <c r="AP13" s="1084"/>
      <c r="AQ13" s="1085"/>
      <c r="AR13" s="1085"/>
      <c r="AS13" s="1085"/>
      <c r="AT13" s="1085"/>
      <c r="AU13" s="1088" t="s">
        <v>1858</v>
      </c>
      <c r="AV13" s="1084"/>
      <c r="AW13" s="1085"/>
      <c r="AX13" s="1085"/>
      <c r="AY13" s="1085"/>
      <c r="AZ13" s="1085"/>
      <c r="BA13" s="1088" t="s">
        <v>1858</v>
      </c>
      <c r="BB13" s="1108">
        <v>4</v>
      </c>
      <c r="BC13" s="1109">
        <v>4</v>
      </c>
      <c r="BD13" s="1110">
        <v>1</v>
      </c>
      <c r="BE13" s="1110">
        <v>1</v>
      </c>
      <c r="BF13" s="1086">
        <v>1</v>
      </c>
      <c r="BG13" s="1111" t="s">
        <v>1863</v>
      </c>
      <c r="BH13" s="1112"/>
      <c r="BI13" s="1113"/>
      <c r="BJ13" s="1114"/>
      <c r="BK13" s="1114"/>
      <c r="BL13" s="1100"/>
      <c r="BM13" s="1088" t="s">
        <v>1858</v>
      </c>
      <c r="BN13" s="1112"/>
      <c r="BO13" s="1113"/>
      <c r="BP13" s="1114"/>
      <c r="BQ13" s="1114"/>
      <c r="BR13" s="1100"/>
      <c r="BS13" s="1088" t="s">
        <v>1861</v>
      </c>
      <c r="BT13" s="1106" t="s">
        <v>1864</v>
      </c>
      <c r="BU13" s="1107"/>
      <c r="BV13" s="1115"/>
      <c r="BW13" s="309">
        <v>1</v>
      </c>
      <c r="BX13" s="1110" t="s">
        <v>1864</v>
      </c>
      <c r="BY13" s="1116" t="s">
        <v>324</v>
      </c>
      <c r="BZ13" s="1117"/>
      <c r="CA13" s="1118"/>
      <c r="CB13" s="1119"/>
      <c r="CC13" s="1118"/>
      <c r="CD13" s="1120"/>
      <c r="CE13" s="1116" t="s">
        <v>1865</v>
      </c>
      <c r="CF13" s="1117"/>
      <c r="CG13" s="728"/>
      <c r="CH13" s="157"/>
      <c r="CI13" s="158"/>
      <c r="CJ13" s="1121"/>
      <c r="CK13" s="1105" t="s">
        <v>1866</v>
      </c>
      <c r="CL13" s="1106" t="s">
        <v>1867</v>
      </c>
      <c r="CM13" s="1106">
        <v>100</v>
      </c>
      <c r="CN13" s="1107" t="s">
        <v>1110</v>
      </c>
      <c r="CO13" s="1107">
        <v>1</v>
      </c>
      <c r="CP13" s="1107" t="s">
        <v>1110</v>
      </c>
      <c r="CQ13" s="1122" t="s">
        <v>326</v>
      </c>
      <c r="CR13" s="309">
        <v>1</v>
      </c>
      <c r="CS13" s="309">
        <v>1</v>
      </c>
      <c r="CT13" s="309">
        <f>IF(CS13=0," ",CR13/CS13)</f>
        <v>1</v>
      </c>
      <c r="CU13" s="309">
        <v>1</v>
      </c>
      <c r="CV13" s="316">
        <f>IF(CS13=0," ",CT13/CU13)</f>
        <v>1</v>
      </c>
      <c r="CW13" s="364" t="s">
        <v>327</v>
      </c>
    </row>
    <row r="14" spans="1:101" ht="91.5" customHeight="1" thickBot="1">
      <c r="B14" s="9" t="s">
        <v>55</v>
      </c>
      <c r="C14" s="8" t="s">
        <v>88</v>
      </c>
      <c r="D14" s="8" t="s">
        <v>61</v>
      </c>
      <c r="E14" s="9" t="s">
        <v>57</v>
      </c>
      <c r="F14" s="84" t="s">
        <v>62</v>
      </c>
      <c r="G14" s="9" t="s">
        <v>53</v>
      </c>
      <c r="H14" s="8" t="s">
        <v>63</v>
      </c>
      <c r="I14" s="8" t="s">
        <v>64</v>
      </c>
      <c r="J14" s="8" t="s">
        <v>54</v>
      </c>
      <c r="K14" s="713"/>
      <c r="L14" s="12">
        <v>1</v>
      </c>
      <c r="M14" s="12"/>
      <c r="N14" s="12">
        <v>1</v>
      </c>
      <c r="O14" s="12"/>
      <c r="P14" s="12">
        <v>1</v>
      </c>
      <c r="Q14" s="12"/>
      <c r="R14" s="12">
        <v>1</v>
      </c>
      <c r="S14" s="12"/>
      <c r="T14" s="12">
        <v>1</v>
      </c>
      <c r="U14" s="12"/>
      <c r="V14" s="12">
        <v>1</v>
      </c>
      <c r="W14" s="8" t="s">
        <v>259</v>
      </c>
      <c r="X14" s="1123"/>
      <c r="Y14" s="687"/>
      <c r="Z14" s="1124"/>
      <c r="AA14" s="1124"/>
      <c r="AB14" s="1124"/>
      <c r="AC14" s="1088" t="s">
        <v>148</v>
      </c>
      <c r="AD14" s="1084"/>
      <c r="AE14" s="1085"/>
      <c r="AF14" s="1085"/>
      <c r="AG14" s="1085"/>
      <c r="AH14" s="1085"/>
      <c r="AI14" s="1088" t="s">
        <v>148</v>
      </c>
      <c r="AJ14" s="1110"/>
      <c r="AK14" s="1085"/>
      <c r="AL14" s="1110"/>
      <c r="AM14" s="1110"/>
      <c r="AN14" s="1110"/>
      <c r="AO14" s="1088" t="s">
        <v>1858</v>
      </c>
      <c r="AP14" s="1084"/>
      <c r="AQ14" s="1085"/>
      <c r="AR14" s="1085"/>
      <c r="AS14" s="1085"/>
      <c r="AT14" s="1085"/>
      <c r="AU14" s="1088" t="s">
        <v>148</v>
      </c>
      <c r="AV14" s="1084"/>
      <c r="AW14" s="1085"/>
      <c r="AX14" s="1085"/>
      <c r="AY14" s="1085"/>
      <c r="AZ14" s="1085"/>
      <c r="BA14" s="1088" t="s">
        <v>1858</v>
      </c>
      <c r="BB14" s="1110">
        <v>1</v>
      </c>
      <c r="BC14" s="1085">
        <v>1</v>
      </c>
      <c r="BD14" s="1110">
        <v>1</v>
      </c>
      <c r="BE14" s="1110">
        <v>1</v>
      </c>
      <c r="BF14" s="1110">
        <v>1</v>
      </c>
      <c r="BG14" s="1125" t="s">
        <v>1509</v>
      </c>
      <c r="BH14" s="1114"/>
      <c r="BI14" s="687"/>
      <c r="BJ14" s="1114"/>
      <c r="BK14" s="1114"/>
      <c r="BL14" s="1114"/>
      <c r="BM14" s="1088" t="s">
        <v>1858</v>
      </c>
      <c r="BN14" s="1114"/>
      <c r="BO14" s="687"/>
      <c r="BP14" s="1114"/>
      <c r="BQ14" s="1114"/>
      <c r="BR14" s="1114"/>
      <c r="BS14" s="1088" t="s">
        <v>1861</v>
      </c>
      <c r="BT14" s="1110" t="s">
        <v>1864</v>
      </c>
      <c r="BU14" s="1085"/>
      <c r="BV14" s="1110"/>
      <c r="BW14" s="309">
        <v>1</v>
      </c>
      <c r="BX14" s="1110" t="s">
        <v>1864</v>
      </c>
      <c r="BY14" s="1116" t="s">
        <v>148</v>
      </c>
      <c r="BZ14" s="1126">
        <v>100</v>
      </c>
      <c r="CA14" s="1127">
        <v>100</v>
      </c>
      <c r="CB14" s="1118">
        <f>IF(CA14=0," ",BZ14/CA14)</f>
        <v>1</v>
      </c>
      <c r="CC14" s="1128">
        <v>1</v>
      </c>
      <c r="CD14" s="1120">
        <f>IF(CA14=0," ",CB14/CC14)</f>
        <v>1</v>
      </c>
      <c r="CE14" s="1129" t="s">
        <v>1868</v>
      </c>
      <c r="CF14" s="1126"/>
      <c r="CG14" s="256"/>
      <c r="CH14" s="158" t="str">
        <f>IF(CG14=0," ",CF14/CG14)</f>
        <v xml:space="preserve"> </v>
      </c>
      <c r="CI14" s="1130"/>
      <c r="CJ14" s="158" t="str">
        <f>IF(CG14=0," ",CH14/CI14)</f>
        <v xml:space="preserve"> </v>
      </c>
      <c r="CK14" s="1103" t="s">
        <v>1862</v>
      </c>
      <c r="CL14" s="1131" t="s">
        <v>325</v>
      </c>
      <c r="CM14" s="1132"/>
      <c r="CN14" s="1133" t="str">
        <f>IF(CM14=0," ",CL14/CM14)</f>
        <v xml:space="preserve"> </v>
      </c>
      <c r="CO14" s="1134" t="s">
        <v>325</v>
      </c>
      <c r="CP14" s="1133" t="str">
        <f>IF(CM14=0," ",CN14/CO14)</f>
        <v xml:space="preserve"> </v>
      </c>
      <c r="CQ14" s="1135" t="s">
        <v>162</v>
      </c>
      <c r="CR14" s="309">
        <v>1</v>
      </c>
      <c r="CS14" s="309">
        <v>1</v>
      </c>
      <c r="CT14" s="309">
        <f>CR14/CS14</f>
        <v>1</v>
      </c>
      <c r="CU14" s="309">
        <v>1</v>
      </c>
      <c r="CV14" s="316">
        <f>CT14/CU14</f>
        <v>1</v>
      </c>
      <c r="CW14" s="1093" t="s">
        <v>1869</v>
      </c>
    </row>
    <row r="15" spans="1:101" ht="103.5" customHeight="1" thickBot="1">
      <c r="B15" s="59" t="s">
        <v>81</v>
      </c>
      <c r="C15" s="8" t="s">
        <v>92</v>
      </c>
      <c r="D15" s="1136" t="s">
        <v>83</v>
      </c>
      <c r="E15" s="9" t="s">
        <v>84</v>
      </c>
      <c r="F15" s="84" t="s">
        <v>1322</v>
      </c>
      <c r="G15" s="9" t="s">
        <v>98</v>
      </c>
      <c r="H15" s="8" t="s">
        <v>1323</v>
      </c>
      <c r="I15" s="8" t="s">
        <v>85</v>
      </c>
      <c r="J15" s="8" t="s">
        <v>54</v>
      </c>
      <c r="K15" s="12"/>
      <c r="L15" s="12"/>
      <c r="M15" s="12">
        <v>1</v>
      </c>
      <c r="N15" s="12"/>
      <c r="O15" s="12"/>
      <c r="P15" s="12">
        <v>1</v>
      </c>
      <c r="Q15" s="12"/>
      <c r="R15" s="12"/>
      <c r="S15" s="12">
        <v>1</v>
      </c>
      <c r="T15" s="12"/>
      <c r="U15" s="12"/>
      <c r="V15" s="12">
        <v>1</v>
      </c>
      <c r="W15" s="1137" t="s">
        <v>259</v>
      </c>
      <c r="X15" s="1112"/>
      <c r="Y15" s="1113"/>
      <c r="Z15" s="1113"/>
      <c r="AA15" s="1113"/>
      <c r="AB15" s="1113"/>
      <c r="AC15" s="1138" t="s">
        <v>1870</v>
      </c>
      <c r="AD15" s="1108"/>
      <c r="AE15" s="1109"/>
      <c r="AF15" s="1109"/>
      <c r="AG15" s="1109"/>
      <c r="AH15" s="1109"/>
      <c r="AI15" s="1088" t="s">
        <v>1858</v>
      </c>
      <c r="AJ15" s="1108">
        <v>37</v>
      </c>
      <c r="AK15" s="1109">
        <v>37</v>
      </c>
      <c r="AL15" s="1110">
        <v>1</v>
      </c>
      <c r="AM15" s="1110">
        <f>+AJ15/AK15</f>
        <v>1</v>
      </c>
      <c r="AN15" s="1109"/>
      <c r="AO15" s="1088" t="s">
        <v>1871</v>
      </c>
      <c r="AP15" s="1108"/>
      <c r="AQ15" s="1109"/>
      <c r="AR15" s="1109"/>
      <c r="AS15" s="1109"/>
      <c r="AT15" s="1109"/>
      <c r="AU15" s="1088" t="s">
        <v>1858</v>
      </c>
      <c r="AV15" s="1108"/>
      <c r="AW15" s="1109"/>
      <c r="AX15" s="1109"/>
      <c r="AY15" s="1109"/>
      <c r="AZ15" s="1109"/>
      <c r="BA15" s="1088" t="s">
        <v>1858</v>
      </c>
      <c r="BB15" s="1108">
        <v>37</v>
      </c>
      <c r="BC15" s="1109">
        <v>37</v>
      </c>
      <c r="BD15" s="1110">
        <f>+BB15/BC15</f>
        <v>1</v>
      </c>
      <c r="BE15" s="1110">
        <v>1</v>
      </c>
      <c r="BF15" s="1086">
        <f>+BD15/BE15</f>
        <v>1</v>
      </c>
      <c r="BG15" s="1088" t="s">
        <v>1872</v>
      </c>
      <c r="BH15" s="1112"/>
      <c r="BI15" s="1113"/>
      <c r="BJ15" s="1114"/>
      <c r="BK15" s="1114"/>
      <c r="BL15" s="1100"/>
      <c r="BM15" s="1088" t="s">
        <v>1858</v>
      </c>
      <c r="BN15" s="1112"/>
      <c r="BO15" s="1113"/>
      <c r="BP15" s="1114"/>
      <c r="BQ15" s="1114"/>
      <c r="BR15" s="1100"/>
      <c r="BS15" s="1088" t="s">
        <v>1861</v>
      </c>
      <c r="BT15" s="1085">
        <v>54</v>
      </c>
      <c r="BU15" s="1085">
        <v>54</v>
      </c>
      <c r="BV15" s="1110">
        <f>BT15/BU15</f>
        <v>1</v>
      </c>
      <c r="BW15" s="309">
        <v>1</v>
      </c>
      <c r="BX15" s="1110">
        <f>BV15/BW15</f>
        <v>1</v>
      </c>
      <c r="BY15" s="1139" t="s">
        <v>1873</v>
      </c>
      <c r="BZ15" s="1097"/>
      <c r="CA15" s="1097"/>
      <c r="CB15" s="1114"/>
      <c r="CC15" s="112"/>
      <c r="CD15" s="1114"/>
      <c r="CE15" s="1103" t="s">
        <v>1862</v>
      </c>
      <c r="CF15" s="1097"/>
      <c r="CG15" s="1097"/>
      <c r="CH15" s="1114"/>
      <c r="CI15" s="112"/>
      <c r="CJ15" s="1114"/>
      <c r="CK15" s="1103" t="s">
        <v>1862</v>
      </c>
      <c r="CL15" s="56">
        <v>66</v>
      </c>
      <c r="CM15" s="1106">
        <v>66</v>
      </c>
      <c r="CN15" s="1107">
        <f>CL15/CM15</f>
        <v>1</v>
      </c>
      <c r="CO15" s="1107">
        <v>1</v>
      </c>
      <c r="CP15" s="1107">
        <f>IF(CM15=0," ",CN15/CO15)</f>
        <v>1</v>
      </c>
      <c r="CQ15" s="1103" t="s">
        <v>1873</v>
      </c>
      <c r="CR15" s="309">
        <f>AVERAGE(V15,CD15,CJ15,CP15)</f>
        <v>1</v>
      </c>
      <c r="CS15" s="309">
        <v>1</v>
      </c>
      <c r="CT15" s="309">
        <f>CR15/CS15</f>
        <v>1</v>
      </c>
      <c r="CU15" s="309">
        <v>1</v>
      </c>
      <c r="CV15" s="316">
        <f>CT15/CU15</f>
        <v>1</v>
      </c>
      <c r="CW15" s="364" t="s">
        <v>1456</v>
      </c>
    </row>
    <row r="16" spans="1:101" ht="15.75" customHeight="1">
      <c r="B16" s="1972" t="s">
        <v>17</v>
      </c>
      <c r="C16" s="1972"/>
      <c r="D16" s="1972"/>
      <c r="E16" s="1972"/>
      <c r="F16" s="5"/>
      <c r="G16" s="5"/>
      <c r="H16" s="5"/>
      <c r="I16" s="5"/>
      <c r="J16" s="5"/>
      <c r="K16" s="6"/>
      <c r="L16" s="6"/>
      <c r="M16" s="6"/>
      <c r="N16" s="6"/>
      <c r="O16" s="6"/>
      <c r="P16" s="6"/>
      <c r="Q16" s="6"/>
      <c r="R16" s="6"/>
      <c r="S16" s="6"/>
      <c r="T16" s="6"/>
      <c r="U16" s="6"/>
      <c r="V16" s="6"/>
      <c r="AI16" s="1140"/>
    </row>
    <row r="17" spans="2:22" ht="15.75" customHeight="1">
      <c r="B17" s="125"/>
      <c r="C17" s="125"/>
      <c r="D17" s="125"/>
      <c r="E17" s="125"/>
      <c r="F17" s="5"/>
      <c r="G17" s="5"/>
      <c r="H17" s="5"/>
      <c r="I17" s="5"/>
      <c r="J17" s="5"/>
      <c r="K17" s="6"/>
      <c r="L17" s="6"/>
      <c r="M17" s="6"/>
      <c r="N17" s="6"/>
      <c r="O17" s="6"/>
      <c r="P17" s="6"/>
      <c r="Q17" s="6"/>
      <c r="R17" s="6"/>
      <c r="S17" s="6"/>
      <c r="T17" s="6"/>
      <c r="U17" s="6"/>
      <c r="V17" s="6"/>
    </row>
    <row r="19" spans="2:22">
      <c r="E19" s="2392"/>
      <c r="F19" s="2392"/>
      <c r="G19" s="2392"/>
      <c r="H19" s="2392"/>
    </row>
    <row r="20" spans="2:22" ht="18" customHeight="1">
      <c r="H20" s="2393" t="s">
        <v>1874</v>
      </c>
      <c r="I20" s="2393"/>
      <c r="J20" s="2393"/>
      <c r="K20" s="2393"/>
      <c r="L20" s="2393"/>
      <c r="M20" s="2393"/>
      <c r="N20" s="2393"/>
      <c r="O20" s="2393"/>
    </row>
    <row r="21" spans="2:22" ht="26.25" customHeight="1">
      <c r="H21" s="2388" t="s">
        <v>1875</v>
      </c>
      <c r="I21" s="2388"/>
      <c r="J21" s="2388"/>
      <c r="K21" s="2388"/>
      <c r="L21" s="2388"/>
      <c r="M21" s="2388"/>
      <c r="N21" s="2388"/>
      <c r="O21" s="2388"/>
    </row>
    <row r="22" spans="2:22">
      <c r="C22" s="15"/>
      <c r="E22" s="128"/>
      <c r="F22" s="128"/>
      <c r="G22" s="128"/>
      <c r="H22" s="128"/>
    </row>
    <row r="23" spans="2:22" ht="19.5" customHeight="1">
      <c r="C23" s="15"/>
    </row>
    <row r="24" spans="2:22" ht="12.75" customHeight="1">
      <c r="C24" s="15"/>
    </row>
    <row r="25" spans="2:22" ht="12.75" customHeight="1">
      <c r="C25" s="15"/>
    </row>
  </sheetData>
  <mergeCells count="41">
    <mergeCell ref="H21:O21"/>
    <mergeCell ref="CL6:CQ6"/>
    <mergeCell ref="CR6:CW6"/>
    <mergeCell ref="CR11:CW11"/>
    <mergeCell ref="B16:E16"/>
    <mergeCell ref="E19:H19"/>
    <mergeCell ref="H20:O20"/>
    <mergeCell ref="BB6:BG6"/>
    <mergeCell ref="BH6:BM6"/>
    <mergeCell ref="BN6:BS6"/>
    <mergeCell ref="BT6:BY6"/>
    <mergeCell ref="BZ6:CE6"/>
    <mergeCell ref="CF6:CK6"/>
    <mergeCell ref="K6:V6"/>
    <mergeCell ref="X6:AC6"/>
    <mergeCell ref="AD6:AI6"/>
    <mergeCell ref="AJ6:AO6"/>
    <mergeCell ref="AP6:AU6"/>
    <mergeCell ref="AV6:BA6"/>
    <mergeCell ref="CR4:CW4"/>
    <mergeCell ref="B6:B7"/>
    <mergeCell ref="C6:C7"/>
    <mergeCell ref="D6:D7"/>
    <mergeCell ref="E6:E7"/>
    <mergeCell ref="F6:F7"/>
    <mergeCell ref="G6:G7"/>
    <mergeCell ref="H6:H7"/>
    <mergeCell ref="I6:I7"/>
    <mergeCell ref="J6:J7"/>
    <mergeCell ref="C4:J4"/>
    <mergeCell ref="K4:M4"/>
    <mergeCell ref="N4:V4"/>
    <mergeCell ref="BZ4:CE4"/>
    <mergeCell ref="CF4:CK4"/>
    <mergeCell ref="CL4:CQ4"/>
    <mergeCell ref="B1:N1"/>
    <mergeCell ref="O1:R1"/>
    <mergeCell ref="S1:V2"/>
    <mergeCell ref="A2:B2"/>
    <mergeCell ref="D2:N2"/>
    <mergeCell ref="O2:R2"/>
  </mergeCells>
  <conditionalFormatting sqref="CJ14">
    <cfRule type="colorScale" priority="6">
      <colorScale>
        <cfvo type="num" val="0.69"/>
        <cfvo type="num" val="0.8"/>
        <cfvo type="num" val="0.9"/>
        <color rgb="FFF8696B"/>
        <color rgb="FFFFEB84"/>
        <color rgb="FF63BE7B"/>
      </colorScale>
    </cfRule>
  </conditionalFormatting>
  <conditionalFormatting sqref="CJ14">
    <cfRule type="colorScale" priority="5">
      <colorScale>
        <cfvo type="num" val="0.69"/>
        <cfvo type="num" val="0.8"/>
        <cfvo type="num" val="0.9"/>
        <color rgb="FFF8696B"/>
        <color rgb="FFFFEB84"/>
        <color rgb="FF63BE7B"/>
      </colorScale>
    </cfRule>
  </conditionalFormatting>
  <conditionalFormatting sqref="CJ14">
    <cfRule type="colorScale" priority="4">
      <colorScale>
        <cfvo type="num" val="0.69"/>
        <cfvo type="num" val="0.8"/>
        <cfvo type="num" val="0.9"/>
        <color rgb="FFF8696B"/>
        <color rgb="FFFFEB84"/>
        <color rgb="FF63BE7B"/>
      </colorScale>
    </cfRule>
  </conditionalFormatting>
  <conditionalFormatting sqref="CP14">
    <cfRule type="colorScale" priority="3">
      <colorScale>
        <cfvo type="num" val="0.69"/>
        <cfvo type="num" val="0.8"/>
        <cfvo type="num" val="0.9"/>
        <color rgb="FFF8696B"/>
        <color rgb="FFFFEB84"/>
        <color rgb="FF63BE7B"/>
      </colorScale>
    </cfRule>
  </conditionalFormatting>
  <conditionalFormatting sqref="CP14">
    <cfRule type="colorScale" priority="2">
      <colorScale>
        <cfvo type="num" val="0.69"/>
        <cfvo type="num" val="0.8"/>
        <cfvo type="num" val="0.9"/>
        <color rgb="FFF8696B"/>
        <color rgb="FFFFEB84"/>
        <color rgb="FF63BE7B"/>
      </colorScale>
    </cfRule>
  </conditionalFormatting>
  <conditionalFormatting sqref="CP14">
    <cfRule type="colorScale" priority="1">
      <colorScale>
        <cfvo type="num" val="0.69"/>
        <cfvo type="num" val="0.8"/>
        <cfvo type="num" val="0.9"/>
        <color rgb="FFF8696B"/>
        <color rgb="FFFFEB84"/>
        <color rgb="FF63BE7B"/>
      </colorScale>
    </cfRule>
  </conditionalFormatting>
  <printOptions horizontalCentered="1" verticalCentered="1"/>
  <pageMargins left="0.25" right="0.25" top="0.75" bottom="0.75" header="0.3" footer="0.3"/>
  <pageSetup paperSize="14" scale="48" fitToWidth="0" orientation="landscape" r:id="rId1"/>
  <headerFooter alignWithMargins="0"/>
  <colBreaks count="1" manualBreakCount="1">
    <brk id="95" max="22"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G20"/>
  <sheetViews>
    <sheetView workbookViewId="0">
      <selection activeCell="C4" sqref="C4:J4"/>
    </sheetView>
  </sheetViews>
  <sheetFormatPr baseColWidth="10" defaultColWidth="17.28515625" defaultRowHeight="12.75"/>
  <cols>
    <col min="1" max="1" width="1.140625" customWidth="1"/>
    <col min="2" max="2" width="14" customWidth="1"/>
    <col min="3" max="3" width="5.42578125" hidden="1" customWidth="1"/>
    <col min="4" max="4" width="16.140625" customWidth="1"/>
    <col min="5" max="5" width="14.7109375" customWidth="1"/>
    <col min="6" max="6" width="12.85546875" customWidth="1"/>
    <col min="7" max="7" width="10.7109375" customWidth="1"/>
    <col min="8" max="8" width="17.140625" customWidth="1"/>
    <col min="9" max="9" width="16.7109375" customWidth="1"/>
    <col min="10" max="10" width="10" customWidth="1"/>
    <col min="11" max="22" width="4.7109375" customWidth="1"/>
    <col min="23" max="23" width="8.7109375" customWidth="1"/>
    <col min="24" max="24" width="9.28515625" customWidth="1"/>
    <col min="25" max="25" width="11" customWidth="1"/>
    <col min="26" max="27" width="8.140625" customWidth="1"/>
    <col min="28" max="28" width="11.5703125" customWidth="1"/>
    <col min="29" max="29" width="37.7109375" customWidth="1"/>
    <col min="30" max="30" width="9.28515625" customWidth="1"/>
    <col min="31" max="31" width="11" customWidth="1"/>
    <col min="32" max="33" width="8.140625" customWidth="1"/>
    <col min="34" max="34" width="11.5703125" customWidth="1"/>
    <col min="35" max="35" width="37.7109375" customWidth="1"/>
    <col min="36" max="36" width="9.28515625" customWidth="1"/>
    <col min="37" max="37" width="11" customWidth="1"/>
    <col min="38" max="39" width="8.140625" customWidth="1"/>
    <col min="40" max="40" width="11.5703125" customWidth="1"/>
    <col min="41" max="41" width="37.7109375" customWidth="1"/>
    <col min="42" max="42" width="9.28515625" customWidth="1"/>
    <col min="43" max="43" width="11" customWidth="1"/>
    <col min="44" max="45" width="8.140625" customWidth="1"/>
    <col min="46" max="46" width="11.5703125" customWidth="1"/>
    <col min="47" max="47" width="37.7109375" customWidth="1"/>
    <col min="48" max="48" width="9.28515625" customWidth="1"/>
    <col min="49" max="49" width="11" customWidth="1"/>
    <col min="50" max="51" width="8.140625" customWidth="1"/>
    <col min="52" max="52" width="11.5703125" customWidth="1"/>
    <col min="53" max="53" width="37.7109375" customWidth="1"/>
    <col min="54" max="54" width="9.28515625" customWidth="1"/>
    <col min="55" max="55" width="11" customWidth="1"/>
    <col min="56" max="57" width="8.140625" customWidth="1"/>
    <col min="58" max="58" width="11.5703125" customWidth="1"/>
    <col min="59" max="59" width="37.7109375" customWidth="1"/>
    <col min="60" max="60" width="9.28515625" customWidth="1"/>
    <col min="61" max="61" width="11" customWidth="1"/>
    <col min="62" max="63" width="8.140625" customWidth="1"/>
    <col min="64" max="64" width="11.5703125" customWidth="1"/>
    <col min="65" max="65" width="37.7109375" customWidth="1"/>
    <col min="66" max="66" width="9.28515625" customWidth="1"/>
    <col min="67" max="67" width="11" customWidth="1"/>
    <col min="68" max="69" width="8.140625" customWidth="1"/>
    <col min="70" max="70" width="11.5703125" customWidth="1"/>
    <col min="71" max="71" width="37.7109375" customWidth="1"/>
    <col min="72" max="72" width="9.28515625" customWidth="1"/>
    <col min="73" max="73" width="11" customWidth="1"/>
    <col min="74" max="75" width="8.140625" customWidth="1"/>
    <col min="76" max="76" width="11.5703125" customWidth="1"/>
    <col min="77" max="77" width="37.7109375" customWidth="1"/>
    <col min="78" max="78" width="9.28515625" customWidth="1"/>
    <col min="79" max="79" width="11" customWidth="1"/>
    <col min="80" max="81" width="8.140625" customWidth="1"/>
    <col min="82" max="82" width="11.5703125" customWidth="1"/>
    <col min="83" max="83" width="37.7109375" customWidth="1"/>
    <col min="84" max="84" width="9.28515625" customWidth="1"/>
    <col min="85" max="85" width="11" customWidth="1"/>
    <col min="86" max="87" width="8.140625" customWidth="1"/>
    <col min="88" max="88" width="11.5703125" customWidth="1"/>
    <col min="89" max="89" width="37.7109375" customWidth="1"/>
    <col min="90" max="90" width="9.28515625" customWidth="1"/>
    <col min="91" max="91" width="11" customWidth="1"/>
    <col min="92" max="93" width="8.140625" customWidth="1"/>
    <col min="94" max="94" width="11.5703125" customWidth="1"/>
    <col min="95" max="95" width="37.7109375" customWidth="1"/>
    <col min="96" max="96" width="9.28515625" customWidth="1"/>
    <col min="97" max="97" width="11" customWidth="1"/>
    <col min="98" max="98" width="8.140625" customWidth="1"/>
    <col min="99" max="99" width="9.140625" customWidth="1"/>
    <col min="100" max="100" width="16.28515625" customWidth="1"/>
    <col min="101" max="101" width="37.7109375" customWidth="1"/>
    <col min="102" max="110" width="11.42578125" customWidth="1"/>
    <col min="111" max="111" width="11.42578125" hidden="1" customWidth="1"/>
  </cols>
  <sheetData>
    <row r="1" spans="1:111" ht="12" customHeight="1">
      <c r="A1" s="1188"/>
      <c r="B1" s="2394" t="s">
        <v>1876</v>
      </c>
      <c r="C1" s="2395"/>
      <c r="D1" s="2395"/>
      <c r="E1" s="2395"/>
      <c r="F1" s="2395"/>
      <c r="G1" s="2395"/>
      <c r="H1" s="2395"/>
      <c r="I1" s="2395"/>
      <c r="J1" s="2395"/>
      <c r="K1" s="2395"/>
      <c r="L1" s="2395"/>
      <c r="M1" s="2395"/>
      <c r="N1" s="2395"/>
      <c r="O1" s="2396"/>
      <c r="P1" s="2397"/>
      <c r="Q1" s="2397"/>
      <c r="R1" s="2397"/>
      <c r="S1" s="2398"/>
      <c r="T1" s="2397"/>
      <c r="U1" s="2397"/>
      <c r="V1" s="2397"/>
      <c r="W1" s="1141"/>
      <c r="X1" s="1141"/>
      <c r="Y1" s="1141"/>
      <c r="Z1" s="1141"/>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1"/>
      <c r="AW1" s="1141"/>
      <c r="AX1" s="1141"/>
      <c r="AY1" s="1141"/>
      <c r="AZ1" s="1141"/>
      <c r="BA1" s="1141"/>
      <c r="BB1" s="1141"/>
      <c r="BC1" s="1141"/>
      <c r="BD1" s="1141"/>
      <c r="BE1" s="1141"/>
      <c r="BF1" s="1141"/>
      <c r="BG1" s="1141"/>
      <c r="BH1" s="1141"/>
      <c r="BI1" s="1141"/>
      <c r="BJ1" s="1141"/>
      <c r="BK1" s="1141"/>
      <c r="BL1" s="1141"/>
      <c r="BM1" s="1141"/>
      <c r="BN1" s="1141"/>
      <c r="BO1" s="1141"/>
      <c r="BP1" s="1141"/>
      <c r="BQ1" s="1141"/>
      <c r="BR1" s="1141"/>
      <c r="BS1" s="1141"/>
      <c r="BT1" s="1141"/>
      <c r="BU1" s="1141"/>
      <c r="BV1" s="1141"/>
      <c r="BW1" s="1141"/>
      <c r="BX1" s="1141"/>
      <c r="BY1" s="1141"/>
      <c r="BZ1" s="1141"/>
      <c r="CA1" s="1141"/>
      <c r="CB1" s="1141"/>
      <c r="CC1" s="1141"/>
      <c r="CD1" s="1141"/>
      <c r="CE1" s="1141"/>
      <c r="CF1" s="1141"/>
      <c r="CG1" s="1141"/>
      <c r="CH1" s="1141"/>
      <c r="CI1" s="1141"/>
      <c r="CJ1" s="1141"/>
      <c r="CK1" s="1141"/>
      <c r="CL1" s="1142"/>
      <c r="CM1" s="1142"/>
      <c r="CN1" s="1142"/>
      <c r="CO1" s="1142"/>
      <c r="CP1" s="1142"/>
      <c r="CQ1" s="1142"/>
      <c r="CR1" s="1141"/>
      <c r="CS1" s="1141"/>
      <c r="CT1" s="1141"/>
      <c r="CU1" s="1141"/>
      <c r="CV1" s="1141"/>
      <c r="CW1" s="1141"/>
      <c r="CX1" s="1141"/>
      <c r="CY1" s="1141"/>
      <c r="CZ1" s="1141"/>
      <c r="DA1" s="1141"/>
      <c r="DB1" s="1141"/>
      <c r="DC1" s="1141"/>
      <c r="DD1" s="1141"/>
      <c r="DE1" s="1141"/>
      <c r="DF1" s="1141"/>
      <c r="DG1" s="1141"/>
    </row>
    <row r="2" spans="1:111" ht="12" customHeight="1">
      <c r="A2" s="2399" t="s">
        <v>1877</v>
      </c>
      <c r="B2" s="2400"/>
      <c r="C2" s="1189"/>
      <c r="D2" s="2401" t="s">
        <v>1878</v>
      </c>
      <c r="E2" s="2400"/>
      <c r="F2" s="2400"/>
      <c r="G2" s="2400"/>
      <c r="H2" s="2400"/>
      <c r="I2" s="2400"/>
      <c r="J2" s="2400"/>
      <c r="K2" s="2400"/>
      <c r="L2" s="2400"/>
      <c r="M2" s="2400"/>
      <c r="N2" s="2400"/>
      <c r="O2" s="2399" t="s">
        <v>1879</v>
      </c>
      <c r="P2" s="2395"/>
      <c r="Q2" s="2395"/>
      <c r="R2" s="2395"/>
      <c r="S2" s="2397"/>
      <c r="T2" s="2397"/>
      <c r="U2" s="2397"/>
      <c r="V2" s="2397"/>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3"/>
      <c r="AW2" s="1143"/>
      <c r="AX2" s="1143"/>
      <c r="AY2" s="1143"/>
      <c r="AZ2" s="1143"/>
      <c r="BA2" s="1143"/>
      <c r="BB2" s="1143"/>
      <c r="BC2" s="1143"/>
      <c r="BD2" s="1143"/>
      <c r="BE2" s="1143"/>
      <c r="BF2" s="1143"/>
      <c r="BG2" s="1143"/>
      <c r="BH2" s="1143"/>
      <c r="BI2" s="1143"/>
      <c r="BJ2" s="1143"/>
      <c r="BK2" s="1143"/>
      <c r="BL2" s="1143"/>
      <c r="BM2" s="1143"/>
      <c r="BN2" s="1143"/>
      <c r="BO2" s="1143"/>
      <c r="BP2" s="1143"/>
      <c r="BQ2" s="1143"/>
      <c r="BR2" s="1143"/>
      <c r="BS2" s="1143"/>
      <c r="BT2" s="1143"/>
      <c r="BU2" s="1143"/>
      <c r="BV2" s="1143"/>
      <c r="BW2" s="1143"/>
      <c r="BX2" s="1143"/>
      <c r="BY2" s="1143"/>
      <c r="BZ2" s="1143"/>
      <c r="CA2" s="1143"/>
      <c r="CB2" s="1143"/>
      <c r="CC2" s="1143"/>
      <c r="CD2" s="1143"/>
      <c r="CE2" s="1143"/>
      <c r="CF2" s="1143"/>
      <c r="CG2" s="1143"/>
      <c r="CH2" s="1143"/>
      <c r="CI2" s="1143"/>
      <c r="CJ2" s="1143"/>
      <c r="CK2" s="1143"/>
      <c r="CL2" s="1144"/>
      <c r="CM2" s="1144"/>
      <c r="CN2" s="1144"/>
      <c r="CO2" s="1144"/>
      <c r="CP2" s="1144"/>
      <c r="CQ2" s="1144"/>
      <c r="CR2" s="1143"/>
      <c r="CS2" s="1143"/>
      <c r="CT2" s="1143"/>
      <c r="CU2" s="1143"/>
      <c r="CV2" s="1143"/>
      <c r="CW2" s="1143"/>
      <c r="CX2" s="1143"/>
      <c r="CY2" s="1143"/>
      <c r="CZ2" s="1143"/>
      <c r="DA2" s="1143"/>
      <c r="DB2" s="1143"/>
      <c r="DC2" s="1143"/>
      <c r="DD2" s="1143"/>
      <c r="DE2" s="1143"/>
      <c r="DF2" s="1143"/>
      <c r="DG2" s="1143"/>
    </row>
    <row r="3" spans="1:111" ht="12.75" customHeight="1">
      <c r="A3" s="1143"/>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c r="AT3" s="1143"/>
      <c r="AU3" s="1143"/>
      <c r="AV3" s="1143"/>
      <c r="AW3" s="1143"/>
      <c r="AX3" s="1143"/>
      <c r="AY3" s="1143"/>
      <c r="AZ3" s="1143"/>
      <c r="BA3" s="1143"/>
      <c r="BB3" s="1143"/>
      <c r="BC3" s="1143"/>
      <c r="BD3" s="1143"/>
      <c r="BE3" s="1143"/>
      <c r="BF3" s="1143"/>
      <c r="BG3" s="1143"/>
      <c r="BH3" s="1143"/>
      <c r="BI3" s="1143"/>
      <c r="BJ3" s="1143"/>
      <c r="BK3" s="1143"/>
      <c r="BL3" s="1143"/>
      <c r="BM3" s="1143"/>
      <c r="BN3" s="1143"/>
      <c r="BO3" s="1143"/>
      <c r="BP3" s="1143"/>
      <c r="BQ3" s="1143"/>
      <c r="BR3" s="1143"/>
      <c r="BS3" s="1143"/>
      <c r="BT3" s="1143"/>
      <c r="BU3" s="1143"/>
      <c r="BV3" s="1143"/>
      <c r="BW3" s="1143"/>
      <c r="BX3" s="1143"/>
      <c r="BY3" s="1143"/>
      <c r="BZ3" s="1143"/>
      <c r="CA3" s="1143"/>
      <c r="CB3" s="1143"/>
      <c r="CC3" s="1143"/>
      <c r="CD3" s="1143"/>
      <c r="CE3" s="1143"/>
      <c r="CF3" s="1143"/>
      <c r="CG3" s="1143"/>
      <c r="CH3" s="1143"/>
      <c r="CI3" s="1143"/>
      <c r="CJ3" s="1143"/>
      <c r="CK3" s="1143"/>
      <c r="CL3" s="1144"/>
      <c r="CM3" s="1144"/>
      <c r="CN3" s="1144"/>
      <c r="CO3" s="1144"/>
      <c r="CP3" s="1144"/>
      <c r="CQ3" s="1144"/>
      <c r="CR3" s="1143"/>
      <c r="CS3" s="1143"/>
      <c r="CT3" s="1143"/>
      <c r="CU3" s="1143"/>
      <c r="CV3" s="1143"/>
      <c r="CW3" s="1143"/>
      <c r="CX3" s="1143"/>
      <c r="CY3" s="1143"/>
      <c r="CZ3" s="1143"/>
      <c r="DA3" s="1143"/>
      <c r="DB3" s="1143"/>
      <c r="DC3" s="1143"/>
      <c r="DD3" s="1143"/>
      <c r="DE3" s="1143"/>
      <c r="DF3" s="1143"/>
      <c r="DG3" s="1143"/>
    </row>
    <row r="4" spans="1:111" ht="12.75" customHeight="1">
      <c r="A4" s="1143"/>
      <c r="B4" s="1187" t="s">
        <v>18</v>
      </c>
      <c r="C4" s="2399" t="s">
        <v>1880</v>
      </c>
      <c r="D4" s="2395"/>
      <c r="E4" s="2395"/>
      <c r="F4" s="2395"/>
      <c r="G4" s="2395"/>
      <c r="H4" s="2395"/>
      <c r="I4" s="2395"/>
      <c r="J4" s="2395"/>
      <c r="K4" s="2403" t="s">
        <v>21</v>
      </c>
      <c r="L4" s="2395"/>
      <c r="M4" s="2395"/>
      <c r="N4" s="2403"/>
      <c r="O4" s="2395"/>
      <c r="P4" s="2395"/>
      <c r="Q4" s="2395"/>
      <c r="R4" s="2395"/>
      <c r="S4" s="2395"/>
      <c r="T4" s="2395"/>
      <c r="U4" s="2395"/>
      <c r="V4" s="2395"/>
      <c r="W4" s="1143"/>
      <c r="X4" s="2404" t="s">
        <v>29</v>
      </c>
      <c r="Y4" s="2397"/>
      <c r="Z4" s="2397"/>
      <c r="AA4" s="2397"/>
      <c r="AB4" s="2397"/>
      <c r="AC4" s="2397"/>
      <c r="AD4" s="2402" t="s">
        <v>29</v>
      </c>
      <c r="AE4" s="2397"/>
      <c r="AF4" s="2397"/>
      <c r="AG4" s="2397"/>
      <c r="AH4" s="2397"/>
      <c r="AI4" s="2397"/>
      <c r="AJ4" s="2402" t="s">
        <v>29</v>
      </c>
      <c r="AK4" s="2397"/>
      <c r="AL4" s="2397"/>
      <c r="AM4" s="2397"/>
      <c r="AN4" s="2397"/>
      <c r="AO4" s="2397"/>
      <c r="AP4" s="2402" t="s">
        <v>29</v>
      </c>
      <c r="AQ4" s="2397"/>
      <c r="AR4" s="2397"/>
      <c r="AS4" s="2397"/>
      <c r="AT4" s="2397"/>
      <c r="AU4" s="2397"/>
      <c r="AV4" s="2402" t="s">
        <v>29</v>
      </c>
      <c r="AW4" s="2397"/>
      <c r="AX4" s="2397"/>
      <c r="AY4" s="2397"/>
      <c r="AZ4" s="2397"/>
      <c r="BA4" s="2397"/>
      <c r="BB4" s="2402" t="s">
        <v>29</v>
      </c>
      <c r="BC4" s="2397"/>
      <c r="BD4" s="2397"/>
      <c r="BE4" s="2397"/>
      <c r="BF4" s="2397"/>
      <c r="BG4" s="2397"/>
      <c r="BH4" s="2402" t="s">
        <v>29</v>
      </c>
      <c r="BI4" s="2397"/>
      <c r="BJ4" s="2397"/>
      <c r="BK4" s="2397"/>
      <c r="BL4" s="2397"/>
      <c r="BM4" s="2397"/>
      <c r="BN4" s="2402" t="s">
        <v>29</v>
      </c>
      <c r="BO4" s="2397"/>
      <c r="BP4" s="2397"/>
      <c r="BQ4" s="2397"/>
      <c r="BR4" s="2397"/>
      <c r="BS4" s="2397"/>
      <c r="BT4" s="2402" t="s">
        <v>29</v>
      </c>
      <c r="BU4" s="2397"/>
      <c r="BV4" s="2397"/>
      <c r="BW4" s="2397"/>
      <c r="BX4" s="2397"/>
      <c r="BY4" s="2397"/>
      <c r="BZ4" s="2402" t="s">
        <v>29</v>
      </c>
      <c r="CA4" s="2397"/>
      <c r="CB4" s="2397"/>
      <c r="CC4" s="2397"/>
      <c r="CD4" s="2397"/>
      <c r="CE4" s="2397"/>
      <c r="CF4" s="2402" t="s">
        <v>29</v>
      </c>
      <c r="CG4" s="2397"/>
      <c r="CH4" s="2397"/>
      <c r="CI4" s="2397"/>
      <c r="CJ4" s="2397"/>
      <c r="CK4" s="2397"/>
      <c r="CL4" s="2407" t="s">
        <v>29</v>
      </c>
      <c r="CM4" s="2397"/>
      <c r="CN4" s="2397"/>
      <c r="CO4" s="2397"/>
      <c r="CP4" s="2397"/>
      <c r="CQ4" s="2397"/>
      <c r="CR4" s="2402" t="s">
        <v>30</v>
      </c>
      <c r="CS4" s="2397"/>
      <c r="CT4" s="2397"/>
      <c r="CU4" s="2397"/>
      <c r="CV4" s="2397"/>
      <c r="CW4" s="2397"/>
      <c r="CX4" s="1143"/>
      <c r="CY4" s="1143"/>
      <c r="CZ4" s="1143"/>
      <c r="DA4" s="1143"/>
      <c r="DB4" s="1143"/>
      <c r="DC4" s="1143"/>
      <c r="DD4" s="1143"/>
      <c r="DE4" s="1143"/>
      <c r="DF4" s="1143"/>
      <c r="DG4" s="1143"/>
    </row>
    <row r="5" spans="1:111" ht="12.75" customHeight="1">
      <c r="A5" s="1143"/>
      <c r="B5" s="1143"/>
      <c r="C5" s="1145"/>
      <c r="D5" s="1143"/>
      <c r="E5" s="1143"/>
      <c r="F5" s="1143"/>
      <c r="G5" s="1143"/>
      <c r="H5" s="1143"/>
      <c r="I5" s="1143"/>
      <c r="J5" s="1143"/>
      <c r="K5" s="1143"/>
      <c r="L5" s="1143"/>
      <c r="M5" s="1143"/>
      <c r="N5" s="1143"/>
      <c r="O5" s="1143"/>
      <c r="P5" s="1143"/>
      <c r="Q5" s="1143"/>
      <c r="R5" s="1143"/>
      <c r="S5" s="1143"/>
      <c r="T5" s="1143"/>
      <c r="U5" s="1143"/>
      <c r="V5" s="1143"/>
      <c r="W5" s="1143"/>
      <c r="X5" s="1143"/>
      <c r="Y5" s="1143"/>
      <c r="Z5" s="1143"/>
      <c r="AA5" s="1143"/>
      <c r="AB5" s="1143"/>
      <c r="AC5" s="1143"/>
      <c r="AD5" s="1143"/>
      <c r="AE5" s="1143"/>
      <c r="AF5" s="1143"/>
      <c r="AG5" s="1143"/>
      <c r="AH5" s="1143"/>
      <c r="AI5" s="1143"/>
      <c r="AJ5" s="1143"/>
      <c r="AK5" s="1143"/>
      <c r="AL5" s="1143"/>
      <c r="AM5" s="1143"/>
      <c r="AN5" s="1143"/>
      <c r="AO5" s="1143"/>
      <c r="AP5" s="1143"/>
      <c r="AQ5" s="1143"/>
      <c r="AR5" s="1143"/>
      <c r="AS5" s="1143"/>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c r="BP5" s="1143"/>
      <c r="BQ5" s="1143"/>
      <c r="BR5" s="1143"/>
      <c r="BS5" s="1143"/>
      <c r="BT5" s="1143"/>
      <c r="BU5" s="1143"/>
      <c r="BV5" s="1143"/>
      <c r="BW5" s="1143"/>
      <c r="BX5" s="1143"/>
      <c r="BY5" s="1143"/>
      <c r="BZ5" s="1143"/>
      <c r="CA5" s="1143"/>
      <c r="CB5" s="1143"/>
      <c r="CC5" s="1143"/>
      <c r="CD5" s="1143"/>
      <c r="CE5" s="1143"/>
      <c r="CF5" s="1143"/>
      <c r="CG5" s="1143"/>
      <c r="CH5" s="1143"/>
      <c r="CI5" s="1143"/>
      <c r="CJ5" s="1143"/>
      <c r="CK5" s="1143"/>
      <c r="CL5" s="1144"/>
      <c r="CM5" s="1144"/>
      <c r="CN5" s="1144"/>
      <c r="CO5" s="1144"/>
      <c r="CP5" s="1144"/>
      <c r="CQ5" s="1144"/>
      <c r="CR5" s="1143"/>
      <c r="CS5" s="1143"/>
      <c r="CT5" s="1143"/>
      <c r="CU5" s="1143"/>
      <c r="CV5" s="1143"/>
      <c r="CW5" s="1143"/>
      <c r="CX5" s="1143"/>
      <c r="CY5" s="1143"/>
      <c r="CZ5" s="1143"/>
      <c r="DA5" s="1143"/>
      <c r="DB5" s="1143"/>
      <c r="DC5" s="1143"/>
      <c r="DD5" s="1143"/>
      <c r="DE5" s="1143"/>
      <c r="DF5" s="1143"/>
      <c r="DG5" s="1143"/>
    </row>
    <row r="6" spans="1:111" ht="11.25" customHeight="1">
      <c r="A6" s="1143"/>
      <c r="B6" s="2405" t="s">
        <v>26</v>
      </c>
      <c r="C6" s="2405" t="s">
        <v>10</v>
      </c>
      <c r="D6" s="2405" t="s">
        <v>23</v>
      </c>
      <c r="E6" s="2405" t="s">
        <v>19</v>
      </c>
      <c r="F6" s="2405" t="s">
        <v>11</v>
      </c>
      <c r="G6" s="2405" t="s">
        <v>15</v>
      </c>
      <c r="H6" s="2405" t="s">
        <v>12</v>
      </c>
      <c r="I6" s="2405" t="s">
        <v>20</v>
      </c>
      <c r="J6" s="2405" t="s">
        <v>16</v>
      </c>
      <c r="K6" s="2405" t="s">
        <v>24</v>
      </c>
      <c r="L6" s="2395"/>
      <c r="M6" s="2395"/>
      <c r="N6" s="2395"/>
      <c r="O6" s="2395"/>
      <c r="P6" s="2395"/>
      <c r="Q6" s="2395"/>
      <c r="R6" s="2395"/>
      <c r="S6" s="2395"/>
      <c r="T6" s="2395"/>
      <c r="U6" s="2395"/>
      <c r="V6" s="2395"/>
      <c r="W6" s="1186"/>
      <c r="X6" s="2412" t="s">
        <v>37</v>
      </c>
      <c r="Y6" s="2395"/>
      <c r="Z6" s="2395"/>
      <c r="AA6" s="2395"/>
      <c r="AB6" s="2395"/>
      <c r="AC6" s="2395"/>
      <c r="AD6" s="2406" t="s">
        <v>38</v>
      </c>
      <c r="AE6" s="2395"/>
      <c r="AF6" s="2395"/>
      <c r="AG6" s="2395"/>
      <c r="AH6" s="2395"/>
      <c r="AI6" s="2395"/>
      <c r="AJ6" s="2410" t="s">
        <v>39</v>
      </c>
      <c r="AK6" s="2395"/>
      <c r="AL6" s="2395"/>
      <c r="AM6" s="2395"/>
      <c r="AN6" s="2395"/>
      <c r="AO6" s="2395"/>
      <c r="AP6" s="2411" t="s">
        <v>40</v>
      </c>
      <c r="AQ6" s="2395"/>
      <c r="AR6" s="2395"/>
      <c r="AS6" s="2395"/>
      <c r="AT6" s="2395"/>
      <c r="AU6" s="2395"/>
      <c r="AV6" s="2412" t="s">
        <v>41</v>
      </c>
      <c r="AW6" s="2395"/>
      <c r="AX6" s="2395"/>
      <c r="AY6" s="2395"/>
      <c r="AZ6" s="2395"/>
      <c r="BA6" s="2395"/>
      <c r="BB6" s="2413" t="s">
        <v>42</v>
      </c>
      <c r="BC6" s="2395"/>
      <c r="BD6" s="2395"/>
      <c r="BE6" s="2395"/>
      <c r="BF6" s="2395"/>
      <c r="BG6" s="2395"/>
      <c r="BH6" s="2414" t="s">
        <v>43</v>
      </c>
      <c r="BI6" s="2395"/>
      <c r="BJ6" s="2395"/>
      <c r="BK6" s="2395"/>
      <c r="BL6" s="2395"/>
      <c r="BM6" s="2395"/>
      <c r="BN6" s="2415" t="s">
        <v>44</v>
      </c>
      <c r="BO6" s="2395"/>
      <c r="BP6" s="2395"/>
      <c r="BQ6" s="2395"/>
      <c r="BR6" s="2395"/>
      <c r="BS6" s="2395"/>
      <c r="BT6" s="2406" t="s">
        <v>45</v>
      </c>
      <c r="BU6" s="2395"/>
      <c r="BV6" s="2395"/>
      <c r="BW6" s="2395"/>
      <c r="BX6" s="2395"/>
      <c r="BY6" s="2395"/>
      <c r="BZ6" s="2410" t="s">
        <v>46</v>
      </c>
      <c r="CA6" s="2395"/>
      <c r="CB6" s="2395"/>
      <c r="CC6" s="2395"/>
      <c r="CD6" s="2395"/>
      <c r="CE6" s="2395"/>
      <c r="CF6" s="2411" t="s">
        <v>47</v>
      </c>
      <c r="CG6" s="2395"/>
      <c r="CH6" s="2395"/>
      <c r="CI6" s="2395"/>
      <c r="CJ6" s="2395"/>
      <c r="CK6" s="2395"/>
      <c r="CL6" s="2408" t="s">
        <v>87</v>
      </c>
      <c r="CM6" s="2395"/>
      <c r="CN6" s="2395"/>
      <c r="CO6" s="2395"/>
      <c r="CP6" s="2395"/>
      <c r="CQ6" s="2395"/>
      <c r="CR6" s="2409" t="s">
        <v>51</v>
      </c>
      <c r="CS6" s="2395"/>
      <c r="CT6" s="2395"/>
      <c r="CU6" s="2395"/>
      <c r="CV6" s="2395"/>
      <c r="CW6" s="2395"/>
      <c r="CX6" s="1143"/>
      <c r="CY6" s="1143"/>
      <c r="CZ6" s="1143"/>
      <c r="DA6" s="1143"/>
      <c r="DB6" s="1143"/>
      <c r="DC6" s="1143"/>
      <c r="DD6" s="1143"/>
      <c r="DE6" s="1143"/>
      <c r="DF6" s="1143"/>
      <c r="DG6" s="1143"/>
    </row>
    <row r="7" spans="1:111" ht="33.75" customHeight="1">
      <c r="A7" s="1143"/>
      <c r="B7" s="2395"/>
      <c r="C7" s="2395"/>
      <c r="D7" s="2395"/>
      <c r="E7" s="2395"/>
      <c r="F7" s="2395"/>
      <c r="G7" s="2395"/>
      <c r="H7" s="2395"/>
      <c r="I7" s="2395"/>
      <c r="J7" s="2395"/>
      <c r="K7" s="1181" t="s">
        <v>13</v>
      </c>
      <c r="L7" s="1182" t="s">
        <v>0</v>
      </c>
      <c r="M7" s="1182" t="s">
        <v>1</v>
      </c>
      <c r="N7" s="1182" t="s">
        <v>14</v>
      </c>
      <c r="O7" s="1182" t="s">
        <v>2</v>
      </c>
      <c r="P7" s="1182" t="s">
        <v>3</v>
      </c>
      <c r="Q7" s="1182" t="s">
        <v>4</v>
      </c>
      <c r="R7" s="1182" t="s">
        <v>5</v>
      </c>
      <c r="S7" s="1182" t="s">
        <v>6</v>
      </c>
      <c r="T7" s="1182" t="s">
        <v>7</v>
      </c>
      <c r="U7" s="1182" t="s">
        <v>8</v>
      </c>
      <c r="V7" s="1182" t="s">
        <v>9</v>
      </c>
      <c r="W7" s="1183" t="s">
        <v>27</v>
      </c>
      <c r="X7" s="1184" t="s">
        <v>31</v>
      </c>
      <c r="Y7" s="1184" t="s">
        <v>32</v>
      </c>
      <c r="Z7" s="1184" t="s">
        <v>33</v>
      </c>
      <c r="AA7" s="1184" t="s">
        <v>34</v>
      </c>
      <c r="AB7" s="1184" t="s">
        <v>35</v>
      </c>
      <c r="AC7" s="1184" t="s">
        <v>36</v>
      </c>
      <c r="AD7" s="1184" t="s">
        <v>31</v>
      </c>
      <c r="AE7" s="1184" t="s">
        <v>32</v>
      </c>
      <c r="AF7" s="1184" t="s">
        <v>33</v>
      </c>
      <c r="AG7" s="1184" t="s">
        <v>34</v>
      </c>
      <c r="AH7" s="1184" t="s">
        <v>35</v>
      </c>
      <c r="AI7" s="1184" t="s">
        <v>36</v>
      </c>
      <c r="AJ7" s="1184" t="s">
        <v>31</v>
      </c>
      <c r="AK7" s="1184" t="s">
        <v>32</v>
      </c>
      <c r="AL7" s="1184" t="s">
        <v>33</v>
      </c>
      <c r="AM7" s="1184" t="s">
        <v>34</v>
      </c>
      <c r="AN7" s="1184" t="s">
        <v>35</v>
      </c>
      <c r="AO7" s="1184" t="s">
        <v>36</v>
      </c>
      <c r="AP7" s="1184" t="s">
        <v>31</v>
      </c>
      <c r="AQ7" s="1184" t="s">
        <v>32</v>
      </c>
      <c r="AR7" s="1184" t="s">
        <v>33</v>
      </c>
      <c r="AS7" s="1184" t="s">
        <v>34</v>
      </c>
      <c r="AT7" s="1184" t="s">
        <v>35</v>
      </c>
      <c r="AU7" s="1184" t="s">
        <v>36</v>
      </c>
      <c r="AV7" s="1184" t="s">
        <v>31</v>
      </c>
      <c r="AW7" s="1184" t="s">
        <v>32</v>
      </c>
      <c r="AX7" s="1184" t="s">
        <v>33</v>
      </c>
      <c r="AY7" s="1184" t="s">
        <v>34</v>
      </c>
      <c r="AZ7" s="1184" t="s">
        <v>35</v>
      </c>
      <c r="BA7" s="1184" t="s">
        <v>36</v>
      </c>
      <c r="BB7" s="1184" t="s">
        <v>31</v>
      </c>
      <c r="BC7" s="1184" t="s">
        <v>32</v>
      </c>
      <c r="BD7" s="1184" t="s">
        <v>33</v>
      </c>
      <c r="BE7" s="1184" t="s">
        <v>34</v>
      </c>
      <c r="BF7" s="1184" t="s">
        <v>35</v>
      </c>
      <c r="BG7" s="1184" t="s">
        <v>36</v>
      </c>
      <c r="BH7" s="1184" t="s">
        <v>31</v>
      </c>
      <c r="BI7" s="1184" t="s">
        <v>32</v>
      </c>
      <c r="BJ7" s="1184" t="s">
        <v>33</v>
      </c>
      <c r="BK7" s="1184" t="s">
        <v>34</v>
      </c>
      <c r="BL7" s="1184" t="s">
        <v>35</v>
      </c>
      <c r="BM7" s="1184" t="s">
        <v>36</v>
      </c>
      <c r="BN7" s="1184" t="s">
        <v>31</v>
      </c>
      <c r="BO7" s="1184" t="s">
        <v>32</v>
      </c>
      <c r="BP7" s="1184" t="s">
        <v>33</v>
      </c>
      <c r="BQ7" s="1184" t="s">
        <v>34</v>
      </c>
      <c r="BR7" s="1184" t="s">
        <v>35</v>
      </c>
      <c r="BS7" s="1184" t="s">
        <v>36</v>
      </c>
      <c r="BT7" s="1184" t="s">
        <v>31</v>
      </c>
      <c r="BU7" s="1184" t="s">
        <v>32</v>
      </c>
      <c r="BV7" s="1184" t="s">
        <v>33</v>
      </c>
      <c r="BW7" s="1184" t="s">
        <v>34</v>
      </c>
      <c r="BX7" s="1184" t="s">
        <v>35</v>
      </c>
      <c r="BY7" s="1184" t="s">
        <v>36</v>
      </c>
      <c r="BZ7" s="1184" t="s">
        <v>31</v>
      </c>
      <c r="CA7" s="1184" t="s">
        <v>32</v>
      </c>
      <c r="CB7" s="1184" t="s">
        <v>33</v>
      </c>
      <c r="CC7" s="1184" t="s">
        <v>34</v>
      </c>
      <c r="CD7" s="1184" t="s">
        <v>35</v>
      </c>
      <c r="CE7" s="1184" t="s">
        <v>36</v>
      </c>
      <c r="CF7" s="1184" t="s">
        <v>31</v>
      </c>
      <c r="CG7" s="1184" t="s">
        <v>32</v>
      </c>
      <c r="CH7" s="1184" t="s">
        <v>33</v>
      </c>
      <c r="CI7" s="1184" t="s">
        <v>34</v>
      </c>
      <c r="CJ7" s="1184" t="s">
        <v>35</v>
      </c>
      <c r="CK7" s="1184" t="s">
        <v>36</v>
      </c>
      <c r="CL7" s="1185" t="s">
        <v>31</v>
      </c>
      <c r="CM7" s="1185" t="s">
        <v>32</v>
      </c>
      <c r="CN7" s="1185" t="s">
        <v>33</v>
      </c>
      <c r="CO7" s="1185" t="s">
        <v>34</v>
      </c>
      <c r="CP7" s="1185" t="s">
        <v>35</v>
      </c>
      <c r="CQ7" s="1185" t="s">
        <v>36</v>
      </c>
      <c r="CR7" s="1184" t="s">
        <v>31</v>
      </c>
      <c r="CS7" s="1184" t="s">
        <v>32</v>
      </c>
      <c r="CT7" s="1184" t="s">
        <v>33</v>
      </c>
      <c r="CU7" s="1184" t="s">
        <v>34</v>
      </c>
      <c r="CV7" s="1184" t="s">
        <v>35</v>
      </c>
      <c r="CW7" s="1184" t="s">
        <v>36</v>
      </c>
      <c r="CX7" s="1143"/>
      <c r="CY7" s="1143"/>
      <c r="CZ7" s="1143"/>
      <c r="DA7" s="1143"/>
      <c r="DB7" s="1143"/>
      <c r="DC7" s="1143"/>
      <c r="DD7" s="1143"/>
      <c r="DE7" s="1143"/>
      <c r="DF7" s="1143"/>
      <c r="DG7" s="1143"/>
    </row>
    <row r="8" spans="1:111" ht="93" customHeight="1">
      <c r="A8" s="1143"/>
      <c r="B8" s="2401" t="s">
        <v>1881</v>
      </c>
      <c r="C8" s="1178"/>
      <c r="D8" s="1178" t="s">
        <v>1882</v>
      </c>
      <c r="E8" s="1179" t="s">
        <v>1883</v>
      </c>
      <c r="F8" s="1178" t="s">
        <v>1884</v>
      </c>
      <c r="G8" s="1178" t="s">
        <v>53</v>
      </c>
      <c r="H8" s="1178" t="s">
        <v>1885</v>
      </c>
      <c r="I8" s="1178" t="s">
        <v>1886</v>
      </c>
      <c r="J8" s="1180" t="s">
        <v>54</v>
      </c>
      <c r="K8" s="1148"/>
      <c r="L8" s="1148"/>
      <c r="M8" s="1148">
        <v>0.25</v>
      </c>
      <c r="N8" s="1148"/>
      <c r="O8" s="1148"/>
      <c r="P8" s="1148">
        <v>0.25</v>
      </c>
      <c r="Q8" s="1148"/>
      <c r="R8" s="1148"/>
      <c r="S8" s="1148">
        <v>0.25</v>
      </c>
      <c r="T8" s="1148"/>
      <c r="U8" s="1148"/>
      <c r="V8" s="1148">
        <v>0.25</v>
      </c>
      <c r="W8" s="1147"/>
      <c r="X8" s="1149">
        <f>[17]Prensa!G23</f>
        <v>985</v>
      </c>
      <c r="Y8" s="1149">
        <f>[17]Prensa!C3</f>
        <v>21792</v>
      </c>
      <c r="Z8" s="1150">
        <f>(X8/Y8)</f>
        <v>4.5200073421439058E-2</v>
      </c>
      <c r="AA8" s="1148"/>
      <c r="AB8" s="1151" t="e">
        <f>IF(Y8=0," ",Z8/AA8)</f>
        <v>#DIV/0!</v>
      </c>
      <c r="AC8" s="1146" t="s">
        <v>1887</v>
      </c>
      <c r="AD8" s="1149">
        <f>[17]Prensa!G24</f>
        <v>2945</v>
      </c>
      <c r="AE8" s="1149">
        <f>[17]Prensa!C3</f>
        <v>21792</v>
      </c>
      <c r="AF8" s="1150">
        <f>IF(AE8=0," ",AD8/AE8)</f>
        <v>0.1351413362701909</v>
      </c>
      <c r="AG8" s="1148"/>
      <c r="AH8" s="1151" t="e">
        <f>IF(AE8=0," ",AF8/AG8)</f>
        <v>#DIV/0!</v>
      </c>
      <c r="AI8" s="1146" t="s">
        <v>1888</v>
      </c>
      <c r="AJ8" s="1149">
        <f>[17]Prensa!G25</f>
        <v>4200</v>
      </c>
      <c r="AK8" s="1149">
        <f>[17]Prensa!C3</f>
        <v>21792</v>
      </c>
      <c r="AL8" s="1150">
        <f>IF(AK8=0," ",AJ8/AK8)</f>
        <v>0.19273127753303965</v>
      </c>
      <c r="AM8" s="1148"/>
      <c r="AN8" s="1151" t="e">
        <f>IF(AK8=0," ",AL8/AM8)</f>
        <v>#DIV/0!</v>
      </c>
      <c r="AO8" s="1146" t="s">
        <v>1889</v>
      </c>
      <c r="AP8" s="1149">
        <f>[17]Prensa!G26</f>
        <v>6429</v>
      </c>
      <c r="AQ8" s="1149">
        <f>[17]Prensa!C3</f>
        <v>21792</v>
      </c>
      <c r="AR8" s="1150">
        <f>IF(AQ8=0," ",AP8/AQ8)</f>
        <v>0.29501651982378857</v>
      </c>
      <c r="AS8" s="1148"/>
      <c r="AT8" s="1151" t="e">
        <f>IF(AQ8=0," ",AR8/AS8)</f>
        <v>#DIV/0!</v>
      </c>
      <c r="AU8" s="1146" t="s">
        <v>1890</v>
      </c>
      <c r="AV8" s="1149">
        <v>7755</v>
      </c>
      <c r="AW8" s="1149">
        <v>21792</v>
      </c>
      <c r="AX8" s="1150">
        <f>AV8/AW8</f>
        <v>0.3558645374449339</v>
      </c>
      <c r="AY8" s="1148"/>
      <c r="AZ8" s="1151"/>
      <c r="BA8" s="1146" t="s">
        <v>1891</v>
      </c>
      <c r="BB8" s="1149">
        <v>8679</v>
      </c>
      <c r="BC8" s="1149">
        <v>21792</v>
      </c>
      <c r="BD8" s="1150">
        <f t="shared" ref="BD8:BD17" si="0">BB8/BC8</f>
        <v>0.39826541850220265</v>
      </c>
      <c r="BE8" s="1148"/>
      <c r="BF8" s="1151"/>
      <c r="BG8" s="1146" t="s">
        <v>1892</v>
      </c>
      <c r="BH8" s="1149">
        <v>10283</v>
      </c>
      <c r="BI8" s="1149">
        <v>21792</v>
      </c>
      <c r="BJ8" s="1150">
        <f>BH8/BI8</f>
        <v>0.47187041116005873</v>
      </c>
      <c r="BK8" s="1148"/>
      <c r="BL8" s="1151"/>
      <c r="BM8" s="1146" t="s">
        <v>1893</v>
      </c>
      <c r="BN8" s="1152">
        <v>12199</v>
      </c>
      <c r="BO8" s="1152">
        <v>21792</v>
      </c>
      <c r="BP8" s="1153">
        <f>BN8/BO8</f>
        <v>0.55979258443465496</v>
      </c>
      <c r="BQ8" s="1154"/>
      <c r="BR8" s="1154"/>
      <c r="BS8" s="1146" t="s">
        <v>1894</v>
      </c>
      <c r="BT8" s="1149">
        <v>14068</v>
      </c>
      <c r="BU8" s="1149">
        <v>21792</v>
      </c>
      <c r="BV8" s="1150">
        <f t="shared" ref="BV8:BV16" si="1">BT8/BU8</f>
        <v>0.64555800293685761</v>
      </c>
      <c r="BW8" s="1148"/>
      <c r="BX8" s="1151"/>
      <c r="BY8" s="1146" t="s">
        <v>1895</v>
      </c>
      <c r="BZ8" s="1149">
        <v>17916</v>
      </c>
      <c r="CA8" s="1149">
        <v>21792</v>
      </c>
      <c r="CB8" s="1150">
        <f>BZ8/CA8</f>
        <v>0.82213656387665202</v>
      </c>
      <c r="CC8" s="1148"/>
      <c r="CD8" s="1151"/>
      <c r="CE8" s="1146" t="s">
        <v>1896</v>
      </c>
      <c r="CF8" s="1149">
        <v>19814</v>
      </c>
      <c r="CG8" s="1149">
        <v>21792</v>
      </c>
      <c r="CH8" s="1150">
        <f>(CF8/CG8)</f>
        <v>0.9092327459618208</v>
      </c>
      <c r="CI8" s="1148"/>
      <c r="CJ8" s="1151"/>
      <c r="CK8" s="1146" t="s">
        <v>1897</v>
      </c>
      <c r="CL8" s="1152">
        <v>21702</v>
      </c>
      <c r="CM8" s="1152">
        <v>21792</v>
      </c>
      <c r="CN8" s="1153">
        <f t="shared" ref="CN8:CN16" si="2">CL8/CM8</f>
        <v>0.99587004405286339</v>
      </c>
      <c r="CO8" s="1154"/>
      <c r="CP8" s="1154"/>
      <c r="CQ8" s="1155" t="s">
        <v>1898</v>
      </c>
      <c r="CR8" s="1152">
        <v>21702</v>
      </c>
      <c r="CS8" s="1152">
        <v>21792</v>
      </c>
      <c r="CT8" s="1156">
        <f>CR8/CS8</f>
        <v>0.99587004405286339</v>
      </c>
      <c r="CU8" s="1154"/>
      <c r="CV8" s="1157">
        <f t="shared" ref="CV8:CV16" si="3">CR8/CS8</f>
        <v>0.99587004405286339</v>
      </c>
      <c r="CW8" s="1158" t="s">
        <v>1899</v>
      </c>
      <c r="CX8" s="1143"/>
      <c r="CY8" s="1143"/>
      <c r="CZ8" s="1143"/>
      <c r="DA8" s="1143"/>
      <c r="DB8" s="1143"/>
      <c r="DC8" s="1143"/>
      <c r="DD8" s="1143"/>
      <c r="DE8" s="1143"/>
      <c r="DF8" s="1143"/>
      <c r="DG8" s="1143"/>
    </row>
    <row r="9" spans="1:111" ht="81" customHeight="1">
      <c r="A9" s="1143"/>
      <c r="B9" s="2395"/>
      <c r="C9" s="1174"/>
      <c r="D9" s="1174" t="s">
        <v>1900</v>
      </c>
      <c r="E9" s="1175" t="s">
        <v>1901</v>
      </c>
      <c r="F9" s="1174" t="s">
        <v>1902</v>
      </c>
      <c r="G9" s="1174" t="s">
        <v>53</v>
      </c>
      <c r="H9" s="1174" t="s">
        <v>1903</v>
      </c>
      <c r="I9" s="1174" t="s">
        <v>1886</v>
      </c>
      <c r="J9" s="1172" t="s">
        <v>54</v>
      </c>
      <c r="K9" s="1148"/>
      <c r="L9" s="1148"/>
      <c r="M9" s="1148">
        <v>0.25</v>
      </c>
      <c r="N9" s="1148"/>
      <c r="O9" s="1148"/>
      <c r="P9" s="1148">
        <v>0.25</v>
      </c>
      <c r="Q9" s="1148"/>
      <c r="R9" s="1148"/>
      <c r="S9" s="1148">
        <v>0.25</v>
      </c>
      <c r="T9" s="1148"/>
      <c r="U9" s="1148"/>
      <c r="V9" s="1148">
        <v>0.25</v>
      </c>
      <c r="W9" s="1147"/>
      <c r="X9" s="1159">
        <f>[17]externa!G25</f>
        <v>56</v>
      </c>
      <c r="Y9" s="1149">
        <f>[17]externa!S20</f>
        <v>1164</v>
      </c>
      <c r="Z9" s="1150">
        <f>IF(Y9=0," ",X9/Y9)</f>
        <v>4.8109965635738834E-2</v>
      </c>
      <c r="AA9" s="1148"/>
      <c r="AB9" s="1151" t="e">
        <f>IF(Y9=0," ",Z9/AA9)</f>
        <v>#DIV/0!</v>
      </c>
      <c r="AC9" s="1146" t="s">
        <v>1904</v>
      </c>
      <c r="AD9" s="1149">
        <f>[17]externa!G26</f>
        <v>162</v>
      </c>
      <c r="AE9" s="1149">
        <f>[17]externa!S20</f>
        <v>1164</v>
      </c>
      <c r="AF9" s="1150">
        <f>IF(AE9=0," ",AD9/AE9)</f>
        <v>0.13917525773195877</v>
      </c>
      <c r="AG9" s="1148"/>
      <c r="AH9" s="1151" t="e">
        <f>IF(AE9=0," ",AF9/AG9)</f>
        <v>#DIV/0!</v>
      </c>
      <c r="AI9" s="1146" t="s">
        <v>1905</v>
      </c>
      <c r="AJ9" s="1149">
        <f>[17]externa!G27</f>
        <v>251</v>
      </c>
      <c r="AK9" s="1149">
        <f>[17]externa!S20</f>
        <v>1164</v>
      </c>
      <c r="AL9" s="1150">
        <f>IF(AK9=0," ",AJ9/AK9)</f>
        <v>0.21563573883161513</v>
      </c>
      <c r="AM9" s="1148"/>
      <c r="AN9" s="1151" t="e">
        <f>IF(AK9=0," ",AL9/AM9)</f>
        <v>#DIV/0!</v>
      </c>
      <c r="AO9" s="1146" t="s">
        <v>1906</v>
      </c>
      <c r="AP9" s="1149">
        <f>[17]externa!G28</f>
        <v>410</v>
      </c>
      <c r="AQ9" s="1149">
        <f>[17]externa!S20</f>
        <v>1164</v>
      </c>
      <c r="AR9" s="1150">
        <f>IF(AQ9=0," ",AP9/AQ9)</f>
        <v>0.35223367697594504</v>
      </c>
      <c r="AS9" s="1148"/>
      <c r="AT9" s="1151" t="e">
        <f>IF(AQ9=0," ",AR9/AS9)</f>
        <v>#DIV/0!</v>
      </c>
      <c r="AU9" s="1146" t="s">
        <v>1907</v>
      </c>
      <c r="AV9" s="1149">
        <v>574</v>
      </c>
      <c r="AW9" s="1149">
        <v>1164</v>
      </c>
      <c r="AX9" s="1150">
        <f>AV9/AW9</f>
        <v>0.49312714776632305</v>
      </c>
      <c r="AY9" s="1148"/>
      <c r="AZ9" s="1151"/>
      <c r="BA9" s="1146" t="s">
        <v>1908</v>
      </c>
      <c r="BB9" s="1149">
        <v>753</v>
      </c>
      <c r="BC9" s="1149">
        <v>1164</v>
      </c>
      <c r="BD9" s="1150">
        <f t="shared" si="0"/>
        <v>0.64690721649484539</v>
      </c>
      <c r="BE9" s="1148"/>
      <c r="BF9" s="1151"/>
      <c r="BG9" s="1146" t="s">
        <v>1909</v>
      </c>
      <c r="BH9" s="1149">
        <v>976</v>
      </c>
      <c r="BI9" s="1149">
        <v>1164</v>
      </c>
      <c r="BJ9" s="1150">
        <f>BH9/BI9</f>
        <v>0.83848797250859108</v>
      </c>
      <c r="BK9" s="1148"/>
      <c r="BL9" s="1151"/>
      <c r="BM9" s="1146" t="s">
        <v>1910</v>
      </c>
      <c r="BN9" s="1152">
        <v>1184</v>
      </c>
      <c r="BO9" s="1152">
        <v>1164</v>
      </c>
      <c r="BP9" s="1153">
        <f>BN9/BO9</f>
        <v>1.0171821305841924</v>
      </c>
      <c r="BQ9" s="1154"/>
      <c r="BR9" s="1154"/>
      <c r="BS9" s="1146" t="s">
        <v>1911</v>
      </c>
      <c r="BT9" s="1149">
        <v>1393</v>
      </c>
      <c r="BU9" s="1149">
        <v>1164</v>
      </c>
      <c r="BV9" s="1150">
        <f t="shared" si="1"/>
        <v>1.1967353951890034</v>
      </c>
      <c r="BW9" s="1148"/>
      <c r="BX9" s="1151"/>
      <c r="BY9" s="1146" t="s">
        <v>1912</v>
      </c>
      <c r="BZ9" s="1149">
        <v>1590</v>
      </c>
      <c r="CA9" s="1149">
        <v>1164</v>
      </c>
      <c r="CB9" s="1150">
        <f>BZ9/CA9</f>
        <v>1.365979381443299</v>
      </c>
      <c r="CC9" s="1148"/>
      <c r="CD9" s="1151"/>
      <c r="CE9" s="1146" t="s">
        <v>1913</v>
      </c>
      <c r="CF9" s="1149">
        <v>1811</v>
      </c>
      <c r="CG9" s="1149">
        <v>1164</v>
      </c>
      <c r="CH9" s="1150">
        <f t="shared" ref="CH9:CH16" si="4">CF9/CG9</f>
        <v>1.5558419243986255</v>
      </c>
      <c r="CI9" s="1148"/>
      <c r="CJ9" s="1151"/>
      <c r="CK9" s="1146" t="s">
        <v>1914</v>
      </c>
      <c r="CL9" s="1152">
        <v>1988</v>
      </c>
      <c r="CM9" s="1152">
        <v>1164</v>
      </c>
      <c r="CN9" s="1153">
        <f t="shared" si="2"/>
        <v>1.7079037800687284</v>
      </c>
      <c r="CO9" s="1154"/>
      <c r="CP9" s="1154"/>
      <c r="CQ9" s="1155" t="s">
        <v>1915</v>
      </c>
      <c r="CR9" s="1152">
        <v>1988</v>
      </c>
      <c r="CS9" s="1152">
        <v>1164</v>
      </c>
      <c r="CT9" s="1153">
        <f t="shared" ref="CT9:CT16" si="5">CR9/CS9</f>
        <v>1.7079037800687284</v>
      </c>
      <c r="CU9" s="1154"/>
      <c r="CV9" s="1154">
        <f t="shared" si="3"/>
        <v>1.7079037800687284</v>
      </c>
      <c r="CW9" s="1158" t="s">
        <v>1916</v>
      </c>
      <c r="CX9" s="1143"/>
      <c r="CY9" s="1143"/>
      <c r="CZ9" s="1143"/>
      <c r="DA9" s="1143"/>
      <c r="DB9" s="1143"/>
      <c r="DC9" s="1143"/>
      <c r="DD9" s="1143"/>
      <c r="DE9" s="1143"/>
      <c r="DF9" s="1143"/>
      <c r="DG9" s="1143"/>
    </row>
    <row r="10" spans="1:111" ht="63" customHeight="1">
      <c r="A10" s="1143"/>
      <c r="B10" s="2395"/>
      <c r="C10" s="1174"/>
      <c r="D10" s="1174" t="s">
        <v>1917</v>
      </c>
      <c r="E10" s="1175" t="s">
        <v>1918</v>
      </c>
      <c r="F10" s="1174" t="s">
        <v>1919</v>
      </c>
      <c r="G10" s="1174" t="s">
        <v>53</v>
      </c>
      <c r="H10" s="1174" t="s">
        <v>1920</v>
      </c>
      <c r="I10" s="1174" t="s">
        <v>1921</v>
      </c>
      <c r="J10" s="1172" t="s">
        <v>54</v>
      </c>
      <c r="K10" s="1148"/>
      <c r="L10" s="1148"/>
      <c r="M10" s="1148">
        <v>0.25</v>
      </c>
      <c r="N10" s="1148"/>
      <c r="O10" s="1148"/>
      <c r="P10" s="1148">
        <v>0.25</v>
      </c>
      <c r="Q10" s="1148"/>
      <c r="R10" s="1148"/>
      <c r="S10" s="1148">
        <v>0.25</v>
      </c>
      <c r="T10" s="1148"/>
      <c r="U10" s="1148"/>
      <c r="V10" s="1148">
        <v>0.25</v>
      </c>
      <c r="W10" s="1147"/>
      <c r="X10" s="1149">
        <f>[17]Redes!G15</f>
        <v>1669</v>
      </c>
      <c r="Y10" s="1149">
        <f>[17]Redes!C2</f>
        <v>24526</v>
      </c>
      <c r="Z10" s="1150">
        <f>IF(Y10=0," ",X10/Y10)</f>
        <v>6.805023240642584E-2</v>
      </c>
      <c r="AA10" s="1148"/>
      <c r="AB10" s="1151" t="e">
        <f>IF(Y10=0," ",Z10/AA10)</f>
        <v>#DIV/0!</v>
      </c>
      <c r="AC10" s="1146" t="s">
        <v>1922</v>
      </c>
      <c r="AD10" s="1149">
        <f>[17]Redes!H15</f>
        <v>3534</v>
      </c>
      <c r="AE10" s="1149">
        <f>[17]Redes!C2</f>
        <v>24526</v>
      </c>
      <c r="AF10" s="1150">
        <f>IF(AE10=0," ",AD10/AE10)</f>
        <v>0.14409198401696161</v>
      </c>
      <c r="AG10" s="1148"/>
      <c r="AH10" s="1151" t="e">
        <f>IF(AE10=0," ",AF10/AG10)</f>
        <v>#DIV/0!</v>
      </c>
      <c r="AI10" s="1146" t="s">
        <v>1923</v>
      </c>
      <c r="AJ10" s="1149">
        <f>[17]Redes!I15</f>
        <v>5615</v>
      </c>
      <c r="AK10" s="1149">
        <f>[17]Redes!C2</f>
        <v>24526</v>
      </c>
      <c r="AL10" s="1150">
        <f>IF(AK10=0," ",AJ10/AK10)</f>
        <v>0.2289407159748838</v>
      </c>
      <c r="AM10" s="1148"/>
      <c r="AN10" s="1151" t="e">
        <f>IF(AK10=0," ",AL10/AM10)</f>
        <v>#DIV/0!</v>
      </c>
      <c r="AO10" s="1146" t="s">
        <v>1924</v>
      </c>
      <c r="AP10" s="1149">
        <f>[17]Redes!J15</f>
        <v>7739</v>
      </c>
      <c r="AQ10" s="1149">
        <f>[17]Redes!C2</f>
        <v>24526</v>
      </c>
      <c r="AR10" s="1150">
        <f>IF(AQ10=0," ",AP10/AQ10)</f>
        <v>0.31554268939085051</v>
      </c>
      <c r="AS10" s="1148"/>
      <c r="AT10" s="1151" t="e">
        <f>IF(AQ10=0," ",AR10/AS10)</f>
        <v>#DIV/0!</v>
      </c>
      <c r="AU10" s="1146" t="s">
        <v>1925</v>
      </c>
      <c r="AV10" s="1149">
        <v>9649</v>
      </c>
      <c r="AW10" s="1149">
        <v>21240</v>
      </c>
      <c r="AX10" s="1150">
        <f>AV10/AW10</f>
        <v>0.45428436911487757</v>
      </c>
      <c r="AY10" s="1148"/>
      <c r="AZ10" s="1151"/>
      <c r="BA10" s="1146" t="s">
        <v>1926</v>
      </c>
      <c r="BB10" s="1149">
        <v>11195</v>
      </c>
      <c r="BC10" s="1149">
        <v>21240</v>
      </c>
      <c r="BD10" s="1150">
        <f t="shared" si="0"/>
        <v>0.52707156308851222</v>
      </c>
      <c r="BE10" s="1148"/>
      <c r="BF10" s="1151"/>
      <c r="BG10" s="1146" t="s">
        <v>1927</v>
      </c>
      <c r="BH10" s="1149">
        <v>13102</v>
      </c>
      <c r="BI10" s="1149">
        <v>21240</v>
      </c>
      <c r="BJ10" s="1150">
        <f>BH10/BI10</f>
        <v>0.61685499058380411</v>
      </c>
      <c r="BK10" s="1148"/>
      <c r="BL10" s="1151"/>
      <c r="BM10" s="1146" t="s">
        <v>1928</v>
      </c>
      <c r="BN10" s="1152">
        <v>15029</v>
      </c>
      <c r="BO10" s="1152">
        <v>21240</v>
      </c>
      <c r="BP10" s="1153">
        <f>BN10/BO10</f>
        <v>0.70758003766478339</v>
      </c>
      <c r="BQ10" s="1154"/>
      <c r="BR10" s="1154"/>
      <c r="BS10" s="1146" t="s">
        <v>1929</v>
      </c>
      <c r="BT10" s="1149">
        <v>17149</v>
      </c>
      <c r="BU10" s="1149">
        <v>21240</v>
      </c>
      <c r="BV10" s="1150">
        <f t="shared" si="1"/>
        <v>0.80739171374764596</v>
      </c>
      <c r="BW10" s="1148"/>
      <c r="BX10" s="1151"/>
      <c r="BY10" s="1146" t="s">
        <v>1930</v>
      </c>
      <c r="BZ10" s="1149">
        <v>20225</v>
      </c>
      <c r="CA10" s="1149">
        <v>21240</v>
      </c>
      <c r="CB10" s="1150">
        <f>BZ10/CA10</f>
        <v>0.95221280602636538</v>
      </c>
      <c r="CC10" s="1148"/>
      <c r="CD10" s="1151"/>
      <c r="CE10" s="1146" t="s">
        <v>1931</v>
      </c>
      <c r="CF10" s="1149">
        <v>22177</v>
      </c>
      <c r="CG10" s="1149">
        <v>21240</v>
      </c>
      <c r="CH10" s="1150">
        <f t="shared" si="4"/>
        <v>1.0441148775894538</v>
      </c>
      <c r="CI10" s="1148"/>
      <c r="CJ10" s="1151"/>
      <c r="CK10" s="1146" t="s">
        <v>1932</v>
      </c>
      <c r="CL10" s="1152">
        <v>24526</v>
      </c>
      <c r="CM10" s="1152">
        <v>21240</v>
      </c>
      <c r="CN10" s="1153">
        <f t="shared" si="2"/>
        <v>1.154708097928437</v>
      </c>
      <c r="CO10" s="1154"/>
      <c r="CP10" s="1154"/>
      <c r="CQ10" s="1155" t="s">
        <v>1933</v>
      </c>
      <c r="CR10" s="1152">
        <v>24526</v>
      </c>
      <c r="CS10" s="1152">
        <v>21240</v>
      </c>
      <c r="CT10" s="1153">
        <f t="shared" si="5"/>
        <v>1.154708097928437</v>
      </c>
      <c r="CU10" s="1154"/>
      <c r="CV10" s="1154">
        <f t="shared" si="3"/>
        <v>1.154708097928437</v>
      </c>
      <c r="CW10" s="1158" t="s">
        <v>1916</v>
      </c>
      <c r="CX10" s="1143"/>
      <c r="CY10" s="1143"/>
      <c r="CZ10" s="1143"/>
      <c r="DA10" s="1143"/>
      <c r="DB10" s="1143"/>
      <c r="DC10" s="1143"/>
      <c r="DD10" s="1143"/>
      <c r="DE10" s="1143"/>
      <c r="DF10" s="1143"/>
      <c r="DG10" s="1143"/>
    </row>
    <row r="11" spans="1:111" ht="102.6" customHeight="1">
      <c r="A11" s="1143"/>
      <c r="B11" s="2399" t="s">
        <v>1934</v>
      </c>
      <c r="C11" s="1174"/>
      <c r="D11" s="1174" t="s">
        <v>1935</v>
      </c>
      <c r="E11" s="1175" t="s">
        <v>1936</v>
      </c>
      <c r="F11" s="1174" t="s">
        <v>1937</v>
      </c>
      <c r="G11" s="1174" t="s">
        <v>53</v>
      </c>
      <c r="H11" s="1174" t="s">
        <v>1938</v>
      </c>
      <c r="I11" s="1174" t="s">
        <v>1886</v>
      </c>
      <c r="J11" s="1172" t="s">
        <v>54</v>
      </c>
      <c r="K11" s="1148"/>
      <c r="L11" s="1148"/>
      <c r="M11" s="1148">
        <v>0.25</v>
      </c>
      <c r="N11" s="1148"/>
      <c r="O11" s="1148"/>
      <c r="P11" s="1148">
        <v>0.25</v>
      </c>
      <c r="Q11" s="1148"/>
      <c r="R11" s="1148"/>
      <c r="S11" s="1148">
        <v>0.25</v>
      </c>
      <c r="T11" s="1148"/>
      <c r="U11" s="1148"/>
      <c r="V11" s="1148">
        <v>0.25</v>
      </c>
      <c r="W11" s="1147"/>
      <c r="X11" s="1149">
        <f>'[17]Com interna'!G24</f>
        <v>89</v>
      </c>
      <c r="Y11" s="1149">
        <f>'[17]Com interna'!C2</f>
        <v>660</v>
      </c>
      <c r="Z11" s="1150">
        <f>IF(Y11=0," ",X11/Y11)</f>
        <v>0.13484848484848486</v>
      </c>
      <c r="AA11" s="1148"/>
      <c r="AB11" s="1151" t="e">
        <f>IF(Y11=0," ",Z11/AA11)</f>
        <v>#DIV/0!</v>
      </c>
      <c r="AC11" s="1146" t="s">
        <v>1939</v>
      </c>
      <c r="AD11" s="1149">
        <f>'[17]Com interna'!H24</f>
        <v>213</v>
      </c>
      <c r="AE11" s="1149">
        <f>'[17]Com interna'!C2</f>
        <v>660</v>
      </c>
      <c r="AF11" s="1150">
        <f>IF(AE11=0," ",AD11/AE11)</f>
        <v>0.32272727272727275</v>
      </c>
      <c r="AG11" s="1148"/>
      <c r="AH11" s="1151" t="e">
        <f>IF(AE11=0," ",AF11/AG11)</f>
        <v>#DIV/0!</v>
      </c>
      <c r="AI11" s="1146" t="s">
        <v>1940</v>
      </c>
      <c r="AJ11" s="1149">
        <f>'[17]Com interna'!I24</f>
        <v>358</v>
      </c>
      <c r="AK11" s="1149">
        <f>'[17]Com interna'!C2</f>
        <v>660</v>
      </c>
      <c r="AL11" s="1150">
        <f>IF(AK11=0," ",AJ11/AK11)</f>
        <v>0.54242424242424248</v>
      </c>
      <c r="AM11" s="1148"/>
      <c r="AN11" s="1151" t="e">
        <f>IF(AK11=0," ",AL11/AM11)</f>
        <v>#DIV/0!</v>
      </c>
      <c r="AO11" s="1146" t="s">
        <v>1941</v>
      </c>
      <c r="AP11" s="1149">
        <f>'[17]Com interna'!J24</f>
        <v>480</v>
      </c>
      <c r="AQ11" s="1149">
        <f>'[17]Com interna'!C2</f>
        <v>660</v>
      </c>
      <c r="AR11" s="1150">
        <f>IF(AQ11=0," ",AP11/AQ11)</f>
        <v>0.72727272727272729</v>
      </c>
      <c r="AS11" s="1148"/>
      <c r="AT11" s="1151" t="e">
        <f>IF(AQ11=0," ",AR11/AS11)</f>
        <v>#DIV/0!</v>
      </c>
      <c r="AU11" s="1146" t="s">
        <v>1942</v>
      </c>
      <c r="AV11" s="1149">
        <v>655</v>
      </c>
      <c r="AW11" s="1149">
        <v>660</v>
      </c>
      <c r="AX11" s="1150">
        <f>AV11/AW11</f>
        <v>0.99242424242424243</v>
      </c>
      <c r="AY11" s="1148"/>
      <c r="AZ11" s="1151"/>
      <c r="BA11" s="1146" t="s">
        <v>1943</v>
      </c>
      <c r="BB11" s="1149">
        <v>800</v>
      </c>
      <c r="BC11" s="1149">
        <v>660</v>
      </c>
      <c r="BD11" s="1150">
        <f t="shared" si="0"/>
        <v>1.2121212121212122</v>
      </c>
      <c r="BE11" s="1148"/>
      <c r="BF11" s="1151"/>
      <c r="BG11" s="1146" t="s">
        <v>1944</v>
      </c>
      <c r="BH11" s="1149">
        <v>967</v>
      </c>
      <c r="BI11" s="1149">
        <v>660</v>
      </c>
      <c r="BJ11" s="1150">
        <f>BH11/BI11</f>
        <v>1.4651515151515151</v>
      </c>
      <c r="BK11" s="1148"/>
      <c r="BL11" s="1151"/>
      <c r="BM11" s="1146" t="s">
        <v>1945</v>
      </c>
      <c r="BN11" s="1152">
        <v>1099</v>
      </c>
      <c r="BO11" s="1152">
        <v>660</v>
      </c>
      <c r="BP11" s="1153">
        <f>BN11/BO11</f>
        <v>1.665151515151515</v>
      </c>
      <c r="BQ11" s="1154"/>
      <c r="BR11" s="1154"/>
      <c r="BS11" s="1146" t="s">
        <v>1946</v>
      </c>
      <c r="BT11" s="1149">
        <v>1225</v>
      </c>
      <c r="BU11" s="1149">
        <v>660</v>
      </c>
      <c r="BV11" s="1150">
        <f t="shared" si="1"/>
        <v>1.856060606060606</v>
      </c>
      <c r="BW11" s="1148"/>
      <c r="BX11" s="1151"/>
      <c r="BY11" s="1146" t="s">
        <v>1947</v>
      </c>
      <c r="BZ11" s="1149">
        <v>1415</v>
      </c>
      <c r="CA11" s="1149">
        <v>660</v>
      </c>
      <c r="CB11" s="1150">
        <f>BZ11/CA11</f>
        <v>2.143939393939394</v>
      </c>
      <c r="CC11" s="1148"/>
      <c r="CD11" s="1151"/>
      <c r="CE11" s="1146" t="s">
        <v>1948</v>
      </c>
      <c r="CF11" s="1149">
        <v>1538</v>
      </c>
      <c r="CG11" s="1149">
        <v>660</v>
      </c>
      <c r="CH11" s="1150">
        <f t="shared" si="4"/>
        <v>2.3303030303030301</v>
      </c>
      <c r="CI11" s="1148"/>
      <c r="CJ11" s="1151"/>
      <c r="CK11" s="1146" t="s">
        <v>1949</v>
      </c>
      <c r="CL11" s="1152">
        <v>1725</v>
      </c>
      <c r="CM11" s="1152">
        <v>660</v>
      </c>
      <c r="CN11" s="1153">
        <f t="shared" si="2"/>
        <v>2.6136363636363638</v>
      </c>
      <c r="CO11" s="1154"/>
      <c r="CP11" s="1154"/>
      <c r="CQ11" s="1155" t="s">
        <v>1950</v>
      </c>
      <c r="CR11" s="1152">
        <v>1725</v>
      </c>
      <c r="CS11" s="1152">
        <v>660</v>
      </c>
      <c r="CT11" s="1153">
        <f t="shared" si="5"/>
        <v>2.6136363636363638</v>
      </c>
      <c r="CU11" s="1154"/>
      <c r="CV11" s="1154">
        <f t="shared" si="3"/>
        <v>2.6136363636363638</v>
      </c>
      <c r="CW11" s="1158" t="s">
        <v>1916</v>
      </c>
      <c r="CX11" s="1143"/>
      <c r="CY11" s="1143"/>
      <c r="CZ11" s="1143"/>
      <c r="DA11" s="1143"/>
      <c r="DB11" s="1143"/>
      <c r="DC11" s="1143"/>
      <c r="DD11" s="1143"/>
      <c r="DE11" s="1143"/>
      <c r="DF11" s="1143"/>
      <c r="DG11" s="1143"/>
    </row>
    <row r="12" spans="1:111" ht="63" customHeight="1">
      <c r="A12" s="1144"/>
      <c r="B12" s="2395"/>
      <c r="C12" s="1176"/>
      <c r="D12" s="1176" t="s">
        <v>1951</v>
      </c>
      <c r="E12" s="1177" t="s">
        <v>1952</v>
      </c>
      <c r="F12" s="1176" t="s">
        <v>1953</v>
      </c>
      <c r="G12" s="1176" t="s">
        <v>352</v>
      </c>
      <c r="H12" s="1176" t="s">
        <v>1954</v>
      </c>
      <c r="I12" s="1176" t="s">
        <v>1955</v>
      </c>
      <c r="J12" s="1173" t="s">
        <v>54</v>
      </c>
      <c r="K12" s="1154"/>
      <c r="L12" s="1154"/>
      <c r="M12" s="1154"/>
      <c r="N12" s="1154"/>
      <c r="O12" s="1154"/>
      <c r="P12" s="1154">
        <v>0.5</v>
      </c>
      <c r="Q12" s="1154"/>
      <c r="R12" s="1154"/>
      <c r="S12" s="1154"/>
      <c r="T12" s="1154"/>
      <c r="U12" s="1154"/>
      <c r="V12" s="1154">
        <v>0.5</v>
      </c>
      <c r="W12" s="1160">
        <v>0</v>
      </c>
      <c r="X12" s="1152">
        <v>0</v>
      </c>
      <c r="Y12" s="1152"/>
      <c r="Z12" s="1153">
        <v>0</v>
      </c>
      <c r="AA12" s="1154"/>
      <c r="AB12" s="1154"/>
      <c r="AC12" s="1160"/>
      <c r="AD12" s="1160">
        <v>0</v>
      </c>
      <c r="AE12" s="1152">
        <v>0</v>
      </c>
      <c r="AF12" s="1152"/>
      <c r="AG12" s="1153">
        <v>0</v>
      </c>
      <c r="AH12" s="1154"/>
      <c r="AI12" s="1154"/>
      <c r="AJ12" s="1160">
        <v>1</v>
      </c>
      <c r="AK12" s="1152">
        <v>1</v>
      </c>
      <c r="AL12" s="1154">
        <v>0.5</v>
      </c>
      <c r="AM12" s="1153">
        <v>0.5</v>
      </c>
      <c r="AN12" s="1154"/>
      <c r="AO12" s="1162" t="s">
        <v>1956</v>
      </c>
      <c r="AP12" s="1152"/>
      <c r="AQ12" s="1152"/>
      <c r="AR12" s="1153"/>
      <c r="AS12" s="1154"/>
      <c r="AT12" s="1154"/>
      <c r="AU12" s="1155"/>
      <c r="AV12" s="1160"/>
      <c r="AW12" s="1152"/>
      <c r="AX12" s="1152"/>
      <c r="AY12" s="1153"/>
      <c r="AZ12" s="1154"/>
      <c r="BA12" s="1154"/>
      <c r="BB12" s="1152">
        <v>1</v>
      </c>
      <c r="BC12" s="1152">
        <v>2</v>
      </c>
      <c r="BD12" s="1153">
        <f t="shared" si="0"/>
        <v>0.5</v>
      </c>
      <c r="BE12" s="1154"/>
      <c r="BF12" s="1154"/>
      <c r="BG12" s="1155" t="s">
        <v>1957</v>
      </c>
      <c r="BH12" s="1160"/>
      <c r="BI12" s="1152"/>
      <c r="BJ12" s="1152"/>
      <c r="BK12" s="1153"/>
      <c r="BL12" s="1154"/>
      <c r="BM12" s="1160" t="s">
        <v>1957</v>
      </c>
      <c r="BN12" s="1152"/>
      <c r="BO12" s="1152"/>
      <c r="BP12" s="1153"/>
      <c r="BQ12" s="1154"/>
      <c r="BR12" s="1154"/>
      <c r="BS12" s="1155" t="s">
        <v>1957</v>
      </c>
      <c r="BT12" s="1160">
        <v>2</v>
      </c>
      <c r="BU12" s="1152">
        <v>2</v>
      </c>
      <c r="BV12" s="1154">
        <f t="shared" si="1"/>
        <v>1</v>
      </c>
      <c r="BW12" s="1153"/>
      <c r="BX12" s="1154"/>
      <c r="BY12" s="1161" t="s">
        <v>1958</v>
      </c>
      <c r="BZ12" s="1152"/>
      <c r="CA12" s="1152"/>
      <c r="CB12" s="1153"/>
      <c r="CC12" s="1154"/>
      <c r="CD12" s="1154"/>
      <c r="CE12" s="1155"/>
      <c r="CF12" s="1160">
        <v>2</v>
      </c>
      <c r="CG12" s="1152">
        <v>2</v>
      </c>
      <c r="CH12" s="1152">
        <f t="shared" si="4"/>
        <v>1</v>
      </c>
      <c r="CI12" s="1153"/>
      <c r="CJ12" s="1154"/>
      <c r="CK12" s="1154"/>
      <c r="CL12" s="1152">
        <v>2</v>
      </c>
      <c r="CM12" s="1152">
        <v>2</v>
      </c>
      <c r="CN12" s="1153">
        <f t="shared" si="2"/>
        <v>1</v>
      </c>
      <c r="CO12" s="1154"/>
      <c r="CP12" s="1154"/>
      <c r="CQ12" s="1155"/>
      <c r="CR12" s="1152">
        <v>2</v>
      </c>
      <c r="CS12" s="1152">
        <v>2</v>
      </c>
      <c r="CT12" s="1153">
        <f t="shared" si="5"/>
        <v>1</v>
      </c>
      <c r="CU12" s="1154"/>
      <c r="CV12" s="1154">
        <f t="shared" si="3"/>
        <v>1</v>
      </c>
      <c r="CW12" s="1158" t="s">
        <v>1916</v>
      </c>
      <c r="CX12" s="1144"/>
      <c r="CY12" s="1144"/>
      <c r="CZ12" s="1144"/>
      <c r="DA12" s="1144"/>
      <c r="DB12" s="1144"/>
      <c r="DC12" s="1144"/>
      <c r="DD12" s="1144"/>
      <c r="DE12" s="1144"/>
      <c r="DF12" s="1144"/>
      <c r="DG12" s="1144"/>
    </row>
    <row r="13" spans="1:111" ht="124.15" customHeight="1">
      <c r="A13" s="1171"/>
      <c r="B13" s="2395"/>
      <c r="C13" s="1174"/>
      <c r="D13" s="1174" t="s">
        <v>1959</v>
      </c>
      <c r="E13" s="1175" t="s">
        <v>1960</v>
      </c>
      <c r="F13" s="1174" t="s">
        <v>1961</v>
      </c>
      <c r="G13" s="1174" t="s">
        <v>352</v>
      </c>
      <c r="H13" s="1174" t="s">
        <v>1962</v>
      </c>
      <c r="I13" s="1174" t="s">
        <v>1963</v>
      </c>
      <c r="J13" s="1172" t="s">
        <v>54</v>
      </c>
      <c r="K13" s="1148"/>
      <c r="L13" s="1148"/>
      <c r="M13" s="1148">
        <v>0.25</v>
      </c>
      <c r="N13" s="1148"/>
      <c r="O13" s="1148"/>
      <c r="P13" s="1148">
        <v>0.25</v>
      </c>
      <c r="Q13" s="1148"/>
      <c r="R13" s="1148"/>
      <c r="S13" s="1148">
        <v>0.25</v>
      </c>
      <c r="T13" s="1148"/>
      <c r="U13" s="1148"/>
      <c r="V13" s="1148">
        <v>0.25</v>
      </c>
      <c r="W13" s="1146">
        <v>0</v>
      </c>
      <c r="X13" s="1163">
        <v>0</v>
      </c>
      <c r="Y13" s="1163"/>
      <c r="Z13" s="1164">
        <v>0</v>
      </c>
      <c r="AA13" s="1163"/>
      <c r="AB13" s="1163"/>
      <c r="AC13" s="1163"/>
      <c r="AD13" s="1163">
        <v>0</v>
      </c>
      <c r="AE13" s="1163">
        <v>0</v>
      </c>
      <c r="AF13" s="1163"/>
      <c r="AG13" s="1164">
        <v>0</v>
      </c>
      <c r="AH13" s="1163"/>
      <c r="AI13" s="1163"/>
      <c r="AJ13" s="1163">
        <v>0</v>
      </c>
      <c r="AK13" s="1163">
        <v>0</v>
      </c>
      <c r="AL13" s="1163"/>
      <c r="AM13" s="1164">
        <v>0</v>
      </c>
      <c r="AN13" s="1163"/>
      <c r="AO13" s="1163"/>
      <c r="AP13" s="1163">
        <v>5</v>
      </c>
      <c r="AQ13" s="1163">
        <v>7</v>
      </c>
      <c r="AR13" s="1163">
        <f>IF(AQ13=0,"",AP13/AQ13)</f>
        <v>0.7142857142857143</v>
      </c>
      <c r="AS13" s="1164">
        <v>0.25</v>
      </c>
      <c r="AT13" s="1163"/>
      <c r="AU13" s="1163" t="s">
        <v>1964</v>
      </c>
      <c r="AV13" s="1146">
        <v>5</v>
      </c>
      <c r="AW13" s="1146">
        <v>7</v>
      </c>
      <c r="AX13" s="1146">
        <f>AV13/AW13</f>
        <v>0.7142857142857143</v>
      </c>
      <c r="AY13" s="1146"/>
      <c r="AZ13" s="1146"/>
      <c r="BA13" s="1146" t="s">
        <v>1965</v>
      </c>
      <c r="BB13" s="1146">
        <v>6</v>
      </c>
      <c r="BC13" s="1146">
        <v>7</v>
      </c>
      <c r="BD13" s="1146">
        <f t="shared" si="0"/>
        <v>0.8571428571428571</v>
      </c>
      <c r="BE13" s="1146"/>
      <c r="BF13" s="1146"/>
      <c r="BG13" s="1146" t="s">
        <v>1966</v>
      </c>
      <c r="BH13" s="1146">
        <v>7</v>
      </c>
      <c r="BI13" s="1146">
        <v>7</v>
      </c>
      <c r="BJ13" s="1146">
        <f>BH13/BI13</f>
        <v>1</v>
      </c>
      <c r="BK13" s="1146"/>
      <c r="BL13" s="1146"/>
      <c r="BM13" s="1146" t="s">
        <v>1967</v>
      </c>
      <c r="BN13" s="1155">
        <v>7</v>
      </c>
      <c r="BO13" s="1155">
        <v>7</v>
      </c>
      <c r="BP13" s="1155">
        <f>BN13/BO13</f>
        <v>1</v>
      </c>
      <c r="BQ13" s="1155"/>
      <c r="BR13" s="1155"/>
      <c r="BS13" s="1155" t="s">
        <v>1968</v>
      </c>
      <c r="BT13" s="1146">
        <v>7</v>
      </c>
      <c r="BU13" s="1146">
        <v>7</v>
      </c>
      <c r="BV13" s="1146">
        <f t="shared" si="1"/>
        <v>1</v>
      </c>
      <c r="BW13" s="1146"/>
      <c r="BX13" s="1146"/>
      <c r="BY13" s="1146" t="s">
        <v>1968</v>
      </c>
      <c r="BZ13" s="1146">
        <v>7</v>
      </c>
      <c r="CA13" s="1146">
        <v>7</v>
      </c>
      <c r="CB13" s="1146">
        <f>BZ13/CA13</f>
        <v>1</v>
      </c>
      <c r="CC13" s="1146"/>
      <c r="CD13" s="1146"/>
      <c r="CE13" s="1146" t="s">
        <v>1969</v>
      </c>
      <c r="CF13" s="1146">
        <v>7</v>
      </c>
      <c r="CG13" s="1146">
        <v>7</v>
      </c>
      <c r="CH13" s="1146">
        <f t="shared" si="4"/>
        <v>1</v>
      </c>
      <c r="CI13" s="1146"/>
      <c r="CJ13" s="1146"/>
      <c r="CK13" s="1146" t="s">
        <v>1969</v>
      </c>
      <c r="CL13" s="1155">
        <v>7</v>
      </c>
      <c r="CM13" s="1155">
        <v>7</v>
      </c>
      <c r="CN13" s="1155">
        <f t="shared" si="2"/>
        <v>1</v>
      </c>
      <c r="CO13" s="1155"/>
      <c r="CP13" s="1155"/>
      <c r="CQ13" s="1155" t="s">
        <v>1969</v>
      </c>
      <c r="CR13" s="1160">
        <v>7</v>
      </c>
      <c r="CS13" s="1160">
        <v>7</v>
      </c>
      <c r="CT13" s="1165">
        <f t="shared" si="5"/>
        <v>1</v>
      </c>
      <c r="CU13" s="1160"/>
      <c r="CV13" s="1166">
        <f t="shared" si="3"/>
        <v>1</v>
      </c>
      <c r="CW13" s="1158" t="s">
        <v>1916</v>
      </c>
      <c r="CX13" s="1146"/>
      <c r="CY13" s="1146"/>
      <c r="CZ13" s="1146"/>
      <c r="DA13" s="1146"/>
      <c r="DB13" s="1146"/>
      <c r="DC13" s="1146"/>
      <c r="DD13" s="1146"/>
      <c r="DE13" s="1146"/>
      <c r="DF13" s="1146"/>
      <c r="DG13" s="1146"/>
    </row>
    <row r="14" spans="1:111" ht="100.15" customHeight="1">
      <c r="A14" s="1143"/>
      <c r="B14" s="2399" t="s">
        <v>1288</v>
      </c>
      <c r="C14" s="1174"/>
      <c r="D14" s="1174" t="s">
        <v>262</v>
      </c>
      <c r="E14" s="1175" t="s">
        <v>263</v>
      </c>
      <c r="F14" s="1174" t="s">
        <v>264</v>
      </c>
      <c r="G14" s="1174" t="s">
        <v>53</v>
      </c>
      <c r="H14" s="1174" t="s">
        <v>390</v>
      </c>
      <c r="I14" s="1174" t="s">
        <v>267</v>
      </c>
      <c r="J14" s="1172" t="s">
        <v>391</v>
      </c>
      <c r="K14" s="1148"/>
      <c r="L14" s="1148"/>
      <c r="M14" s="1148"/>
      <c r="N14" s="1148"/>
      <c r="O14" s="1148"/>
      <c r="P14" s="1148">
        <v>1</v>
      </c>
      <c r="Q14" s="1148"/>
      <c r="R14" s="1148"/>
      <c r="S14" s="1148"/>
      <c r="T14" s="1148"/>
      <c r="U14" s="1148"/>
      <c r="V14" s="1148"/>
      <c r="W14" s="1146"/>
      <c r="X14" s="1146">
        <v>0</v>
      </c>
      <c r="Y14" s="1167">
        <v>0</v>
      </c>
      <c r="Z14" s="1146"/>
      <c r="AA14" s="1167">
        <v>0</v>
      </c>
      <c r="AB14" s="1146"/>
      <c r="AC14" s="1146" t="s">
        <v>271</v>
      </c>
      <c r="AD14" s="1146">
        <v>0</v>
      </c>
      <c r="AE14" s="1146">
        <v>0</v>
      </c>
      <c r="AF14" s="1146"/>
      <c r="AG14" s="1146"/>
      <c r="AH14" s="1167">
        <v>0</v>
      </c>
      <c r="AI14" s="1146" t="s">
        <v>271</v>
      </c>
      <c r="AJ14" s="1146">
        <v>0</v>
      </c>
      <c r="AK14" s="1146">
        <v>0</v>
      </c>
      <c r="AL14" s="1146"/>
      <c r="AM14" s="1167">
        <v>0</v>
      </c>
      <c r="AN14" s="1146"/>
      <c r="AO14" s="1146"/>
      <c r="AP14" s="1146">
        <v>8678132</v>
      </c>
      <c r="AQ14" s="1146">
        <v>0</v>
      </c>
      <c r="AR14" s="1146">
        <v>0</v>
      </c>
      <c r="AS14" s="1146"/>
      <c r="AT14" s="1146"/>
      <c r="AU14" s="1146" t="s">
        <v>1970</v>
      </c>
      <c r="AV14" s="1146" t="s">
        <v>1971</v>
      </c>
      <c r="AW14" s="1146" t="s">
        <v>1971</v>
      </c>
      <c r="AX14" s="1146" t="s">
        <v>1972</v>
      </c>
      <c r="AY14" s="1167">
        <v>0</v>
      </c>
      <c r="AZ14" s="1146" t="s">
        <v>1972</v>
      </c>
      <c r="BA14" s="1146" t="s">
        <v>1432</v>
      </c>
      <c r="BB14" s="1146">
        <v>14144277</v>
      </c>
      <c r="BC14" s="1146">
        <v>20669670</v>
      </c>
      <c r="BD14" s="1146">
        <f t="shared" si="0"/>
        <v>0.68430105560466137</v>
      </c>
      <c r="BE14" s="1146"/>
      <c r="BF14" s="1146"/>
      <c r="BG14" s="1146" t="s">
        <v>1973</v>
      </c>
      <c r="BH14" s="1146">
        <v>20603106</v>
      </c>
      <c r="BI14" s="1146">
        <v>20669670</v>
      </c>
      <c r="BJ14" s="1146">
        <f>BH14/BI14</f>
        <v>0.99677962928290587</v>
      </c>
      <c r="BK14" s="1146"/>
      <c r="BL14" s="1146"/>
      <c r="BM14" s="1146" t="s">
        <v>1974</v>
      </c>
      <c r="BN14" s="1146">
        <v>20669670</v>
      </c>
      <c r="BO14" s="1146">
        <v>20669670</v>
      </c>
      <c r="BP14" s="1168">
        <f>BN14/BO14</f>
        <v>1</v>
      </c>
      <c r="BQ14" s="1146"/>
      <c r="BR14" s="1146"/>
      <c r="BS14" s="1146" t="s">
        <v>1975</v>
      </c>
      <c r="BT14" s="1146">
        <v>20669670</v>
      </c>
      <c r="BU14" s="1146">
        <v>20669670</v>
      </c>
      <c r="BV14" s="1167">
        <f t="shared" si="1"/>
        <v>1</v>
      </c>
      <c r="BW14" s="1146"/>
      <c r="BX14" s="1146"/>
      <c r="BY14" s="1146" t="s">
        <v>1976</v>
      </c>
      <c r="BZ14" s="1146">
        <v>20669670</v>
      </c>
      <c r="CA14" s="1146">
        <v>20669670</v>
      </c>
      <c r="CB14" s="1146">
        <f>BZ14/CA14</f>
        <v>1</v>
      </c>
      <c r="CC14" s="1146"/>
      <c r="CD14" s="1146"/>
      <c r="CE14" s="1146" t="s">
        <v>1976</v>
      </c>
      <c r="CF14" s="1146">
        <v>20669670</v>
      </c>
      <c r="CG14" s="1146">
        <v>20669670</v>
      </c>
      <c r="CH14" s="1146">
        <f t="shared" si="4"/>
        <v>1</v>
      </c>
      <c r="CI14" s="1146"/>
      <c r="CJ14" s="1146"/>
      <c r="CK14" s="1146" t="s">
        <v>1977</v>
      </c>
      <c r="CL14" s="1155">
        <v>20669670</v>
      </c>
      <c r="CM14" s="1155">
        <v>20669670</v>
      </c>
      <c r="CN14" s="1155">
        <f t="shared" si="2"/>
        <v>1</v>
      </c>
      <c r="CO14" s="1155"/>
      <c r="CP14" s="1155"/>
      <c r="CQ14" s="1155"/>
      <c r="CR14" s="1160">
        <v>20669670</v>
      </c>
      <c r="CS14" s="1160">
        <v>20669670</v>
      </c>
      <c r="CT14" s="1165">
        <f t="shared" si="5"/>
        <v>1</v>
      </c>
      <c r="CU14" s="1160"/>
      <c r="CV14" s="1166">
        <f t="shared" si="3"/>
        <v>1</v>
      </c>
      <c r="CW14" s="1158" t="s">
        <v>1916</v>
      </c>
      <c r="CX14" s="1143"/>
      <c r="CY14" s="1143"/>
      <c r="CZ14" s="1143"/>
      <c r="DA14" s="1143"/>
      <c r="DB14" s="1143"/>
      <c r="DC14" s="1143"/>
      <c r="DD14" s="1143"/>
      <c r="DE14" s="1143"/>
      <c r="DF14" s="1143"/>
      <c r="DG14" s="1143"/>
    </row>
    <row r="15" spans="1:111" ht="90" customHeight="1">
      <c r="A15" s="1143"/>
      <c r="B15" s="2395"/>
      <c r="C15" s="1176"/>
      <c r="D15" s="1174" t="s">
        <v>274</v>
      </c>
      <c r="E15" s="1175" t="s">
        <v>1978</v>
      </c>
      <c r="F15" s="1174" t="s">
        <v>276</v>
      </c>
      <c r="G15" s="1174" t="s">
        <v>53</v>
      </c>
      <c r="H15" s="1174" t="s">
        <v>394</v>
      </c>
      <c r="I15" s="1174" t="s">
        <v>267</v>
      </c>
      <c r="J15" s="1172" t="s">
        <v>391</v>
      </c>
      <c r="K15" s="1148"/>
      <c r="L15" s="1148"/>
      <c r="M15" s="1148"/>
      <c r="N15" s="1148"/>
      <c r="O15" s="1148"/>
      <c r="P15" s="1148"/>
      <c r="Q15" s="1148"/>
      <c r="R15" s="1148"/>
      <c r="S15" s="1148"/>
      <c r="T15" s="1148"/>
      <c r="U15" s="1148"/>
      <c r="V15" s="1148">
        <v>1</v>
      </c>
      <c r="W15" s="1146"/>
      <c r="X15" s="1146" t="s">
        <v>1971</v>
      </c>
      <c r="Y15" s="1146" t="s">
        <v>1971</v>
      </c>
      <c r="Z15" s="1146" t="s">
        <v>1972</v>
      </c>
      <c r="AA15" s="1167">
        <v>0</v>
      </c>
      <c r="AB15" s="1146" t="s">
        <v>1972</v>
      </c>
      <c r="AC15" s="1146" t="s">
        <v>271</v>
      </c>
      <c r="AD15" s="1146" t="s">
        <v>1971</v>
      </c>
      <c r="AE15" s="1146" t="s">
        <v>1971</v>
      </c>
      <c r="AF15" s="1146" t="s">
        <v>1972</v>
      </c>
      <c r="AG15" s="1167">
        <v>0</v>
      </c>
      <c r="AH15" s="1146" t="s">
        <v>1972</v>
      </c>
      <c r="AI15" s="1146" t="s">
        <v>271</v>
      </c>
      <c r="AJ15" s="1146" t="s">
        <v>1979</v>
      </c>
      <c r="AK15" s="1146" t="s">
        <v>1971</v>
      </c>
      <c r="AL15" s="1146" t="s">
        <v>1972</v>
      </c>
      <c r="AM15" s="1167">
        <v>0</v>
      </c>
      <c r="AN15" s="1146" t="s">
        <v>1972</v>
      </c>
      <c r="AO15" s="1146" t="s">
        <v>1980</v>
      </c>
      <c r="AP15" s="1146" t="s">
        <v>1981</v>
      </c>
      <c r="AQ15" s="1146" t="s">
        <v>1971</v>
      </c>
      <c r="AR15" s="1146" t="s">
        <v>1972</v>
      </c>
      <c r="AS15" s="1167">
        <v>0</v>
      </c>
      <c r="AT15" s="1146" t="s">
        <v>1972</v>
      </c>
      <c r="AU15" s="1146" t="s">
        <v>1982</v>
      </c>
      <c r="AV15" s="1146" t="s">
        <v>1983</v>
      </c>
      <c r="AW15" s="1146" t="s">
        <v>1984</v>
      </c>
      <c r="AX15" s="1167">
        <v>0.1</v>
      </c>
      <c r="AY15" s="1167">
        <v>0</v>
      </c>
      <c r="AZ15" s="1146"/>
      <c r="BA15" s="1146" t="s">
        <v>1985</v>
      </c>
      <c r="BB15" s="1146">
        <v>112519938</v>
      </c>
      <c r="BC15" s="1146">
        <v>185320400</v>
      </c>
      <c r="BD15" s="1146">
        <f t="shared" si="0"/>
        <v>0.60716433808690251</v>
      </c>
      <c r="BE15" s="1146"/>
      <c r="BF15" s="1146"/>
      <c r="BG15" s="1146" t="s">
        <v>1986</v>
      </c>
      <c r="BH15" s="1146">
        <v>112519938</v>
      </c>
      <c r="BI15" s="1146">
        <v>185320400</v>
      </c>
      <c r="BJ15" s="1146">
        <f>BH15/BI15</f>
        <v>0.60716433808690251</v>
      </c>
      <c r="BK15" s="1146"/>
      <c r="BL15" s="1146"/>
      <c r="BM15" s="1146" t="s">
        <v>271</v>
      </c>
      <c r="BN15" s="1146">
        <v>119917548</v>
      </c>
      <c r="BO15" s="1146">
        <v>185320400</v>
      </c>
      <c r="BP15" s="1146">
        <f>BN15/BO15</f>
        <v>0.64708228559834746</v>
      </c>
      <c r="BQ15" s="1146"/>
      <c r="BR15" s="1146"/>
      <c r="BS15" s="1146" t="s">
        <v>1987</v>
      </c>
      <c r="BT15" s="1146">
        <v>139484508</v>
      </c>
      <c r="BU15" s="1146">
        <v>185320400</v>
      </c>
      <c r="BV15" s="1168">
        <f t="shared" si="1"/>
        <v>0.75266677602681631</v>
      </c>
      <c r="BW15" s="1146"/>
      <c r="BX15" s="1146"/>
      <c r="BY15" s="1146" t="s">
        <v>1988</v>
      </c>
      <c r="BZ15" s="1146">
        <v>174919724</v>
      </c>
      <c r="CA15" s="1146">
        <v>185320400</v>
      </c>
      <c r="CB15" s="1146">
        <f>BZ15/CA15</f>
        <v>0.94387732813009251</v>
      </c>
      <c r="CC15" s="1146"/>
      <c r="CD15" s="1146"/>
      <c r="CE15" s="1146"/>
      <c r="CF15" s="1146">
        <v>185320400</v>
      </c>
      <c r="CG15" s="1146">
        <v>185320400</v>
      </c>
      <c r="CH15" s="1146">
        <f t="shared" si="4"/>
        <v>1</v>
      </c>
      <c r="CI15" s="1146"/>
      <c r="CJ15" s="1146"/>
      <c r="CK15" s="1146" t="s">
        <v>1976</v>
      </c>
      <c r="CL15" s="1155">
        <v>185320400</v>
      </c>
      <c r="CM15" s="1155">
        <v>185320400</v>
      </c>
      <c r="CN15" s="1155">
        <f t="shared" si="2"/>
        <v>1</v>
      </c>
      <c r="CO15" s="1155"/>
      <c r="CP15" s="1155"/>
      <c r="CQ15" s="1155"/>
      <c r="CR15" s="1160">
        <v>185320400</v>
      </c>
      <c r="CS15" s="1160">
        <v>185320400</v>
      </c>
      <c r="CT15" s="1165">
        <f t="shared" si="5"/>
        <v>1</v>
      </c>
      <c r="CU15" s="1160"/>
      <c r="CV15" s="1166">
        <f t="shared" si="3"/>
        <v>1</v>
      </c>
      <c r="CW15" s="1158" t="s">
        <v>1916</v>
      </c>
      <c r="CX15" s="1143"/>
      <c r="CY15" s="1143"/>
      <c r="CZ15" s="1143"/>
      <c r="DA15" s="1143"/>
      <c r="DB15" s="1143"/>
      <c r="DC15" s="1143"/>
      <c r="DD15" s="1143"/>
      <c r="DE15" s="1143"/>
      <c r="DF15" s="1143"/>
      <c r="DG15" s="1143"/>
    </row>
    <row r="16" spans="1:111" ht="93" customHeight="1">
      <c r="A16" s="1143"/>
      <c r="B16" s="1174" t="s">
        <v>1303</v>
      </c>
      <c r="C16" s="1176"/>
      <c r="D16" s="1176" t="s">
        <v>1522</v>
      </c>
      <c r="E16" s="1177" t="s">
        <v>68</v>
      </c>
      <c r="F16" s="1176" t="s">
        <v>69</v>
      </c>
      <c r="G16" s="1176" t="s">
        <v>53</v>
      </c>
      <c r="H16" s="1176" t="s">
        <v>70</v>
      </c>
      <c r="I16" s="1176" t="s">
        <v>71</v>
      </c>
      <c r="J16" s="1173" t="s">
        <v>54</v>
      </c>
      <c r="K16" s="1148"/>
      <c r="L16" s="1148"/>
      <c r="M16" s="1148">
        <v>0.25</v>
      </c>
      <c r="N16" s="1148"/>
      <c r="O16" s="1148"/>
      <c r="P16" s="1148">
        <v>0.25</v>
      </c>
      <c r="Q16" s="1148"/>
      <c r="R16" s="1148"/>
      <c r="S16" s="1148">
        <v>0.25</v>
      </c>
      <c r="T16" s="1148"/>
      <c r="U16" s="1148"/>
      <c r="V16" s="1148">
        <v>0.25</v>
      </c>
      <c r="W16" s="1146"/>
      <c r="X16" s="1146"/>
      <c r="Y16" s="1146"/>
      <c r="Z16" s="1146"/>
      <c r="AA16" s="1146"/>
      <c r="AB16" s="1146"/>
      <c r="AC16" s="1146"/>
      <c r="AD16" s="1146"/>
      <c r="AE16" s="1146"/>
      <c r="AF16" s="1146"/>
      <c r="AG16" s="1146"/>
      <c r="AH16" s="1146"/>
      <c r="AI16" s="1146"/>
      <c r="AJ16" s="1146"/>
      <c r="AK16" s="1146"/>
      <c r="AL16" s="1146"/>
      <c r="AM16" s="1146"/>
      <c r="AN16" s="1146"/>
      <c r="AO16" s="1146"/>
      <c r="AP16" s="1146"/>
      <c r="AQ16" s="1146"/>
      <c r="AR16" s="1146"/>
      <c r="AS16" s="1146"/>
      <c r="AT16" s="1146"/>
      <c r="AU16" s="1146"/>
      <c r="AV16" s="1146"/>
      <c r="AW16" s="1146"/>
      <c r="AX16" s="1146"/>
      <c r="AY16" s="1146"/>
      <c r="AZ16" s="1146"/>
      <c r="BA16" s="1146"/>
      <c r="BB16" s="1146">
        <v>47114000</v>
      </c>
      <c r="BC16" s="1146">
        <v>81710000</v>
      </c>
      <c r="BD16" s="1146">
        <f t="shared" si="0"/>
        <v>0.57660017133765762</v>
      </c>
      <c r="BE16" s="1146"/>
      <c r="BF16" s="1146"/>
      <c r="BG16" s="1146" t="s">
        <v>1989</v>
      </c>
      <c r="BH16" s="1146">
        <v>47114000</v>
      </c>
      <c r="BI16" s="1146">
        <v>81710000</v>
      </c>
      <c r="BJ16" s="1146">
        <f>BH16/BI16</f>
        <v>0.57660017133765762</v>
      </c>
      <c r="BK16" s="1146"/>
      <c r="BL16" s="1146"/>
      <c r="BM16" s="1146" t="s">
        <v>1989</v>
      </c>
      <c r="BN16" s="1146">
        <v>77114000</v>
      </c>
      <c r="BO16" s="1146">
        <v>81710000</v>
      </c>
      <c r="BP16" s="1169">
        <f>BN16/BO16</f>
        <v>0.94375229470077104</v>
      </c>
      <c r="BQ16" s="1146"/>
      <c r="BR16" s="1146"/>
      <c r="BS16" s="1146" t="s">
        <v>1990</v>
      </c>
      <c r="BT16" s="1146">
        <v>77114000</v>
      </c>
      <c r="BU16" s="1146">
        <v>81710000</v>
      </c>
      <c r="BV16" s="1168">
        <f t="shared" si="1"/>
        <v>0.94375229470077104</v>
      </c>
      <c r="BW16" s="1146"/>
      <c r="BX16" s="1146"/>
      <c r="BY16" s="1146" t="s">
        <v>1990</v>
      </c>
      <c r="BZ16" s="1146">
        <v>77114000</v>
      </c>
      <c r="CA16" s="1146">
        <v>81710000</v>
      </c>
      <c r="CB16" s="1146">
        <f>BZ16/CA16</f>
        <v>0.94375229470077104</v>
      </c>
      <c r="CC16" s="1146"/>
      <c r="CD16" s="1146"/>
      <c r="CE16" s="1146" t="s">
        <v>1990</v>
      </c>
      <c r="CF16" s="1146">
        <v>77114000</v>
      </c>
      <c r="CG16" s="1146">
        <v>81710000</v>
      </c>
      <c r="CH16" s="1146">
        <f t="shared" si="4"/>
        <v>0.94375229470077104</v>
      </c>
      <c r="CI16" s="1146"/>
      <c r="CJ16" s="1146"/>
      <c r="CK16" s="1146" t="s">
        <v>1991</v>
      </c>
      <c r="CL16" s="1155">
        <v>77114000</v>
      </c>
      <c r="CM16" s="1155">
        <v>81710000</v>
      </c>
      <c r="CN16" s="1155">
        <f t="shared" si="2"/>
        <v>0.94375229470077104</v>
      </c>
      <c r="CO16" s="1155"/>
      <c r="CP16" s="1155"/>
      <c r="CQ16" s="1155"/>
      <c r="CR16" s="1160">
        <v>77114000</v>
      </c>
      <c r="CS16" s="1160">
        <v>81710000</v>
      </c>
      <c r="CT16" s="1165">
        <f t="shared" si="5"/>
        <v>0.94375229470077104</v>
      </c>
      <c r="CU16" s="1160"/>
      <c r="CV16" s="1166">
        <f t="shared" si="3"/>
        <v>0.94375229470077104</v>
      </c>
      <c r="CW16" s="1158" t="s">
        <v>1992</v>
      </c>
      <c r="CX16" s="1143"/>
      <c r="CY16" s="1143"/>
      <c r="CZ16" s="1143"/>
      <c r="DA16" s="1143"/>
      <c r="DB16" s="1143"/>
      <c r="DC16" s="1143"/>
      <c r="DD16" s="1143"/>
      <c r="DE16" s="1143"/>
      <c r="DF16" s="1143"/>
      <c r="DG16" s="1143"/>
    </row>
    <row r="17" spans="1:111" ht="157.9" customHeight="1">
      <c r="A17" s="1143"/>
      <c r="B17" s="2399" t="s">
        <v>55</v>
      </c>
      <c r="C17" s="1174"/>
      <c r="D17" s="1174" t="s">
        <v>1511</v>
      </c>
      <c r="E17" s="1175" t="s">
        <v>57</v>
      </c>
      <c r="F17" s="1174" t="s">
        <v>62</v>
      </c>
      <c r="G17" s="1174" t="s">
        <v>53</v>
      </c>
      <c r="H17" s="1174" t="s">
        <v>1512</v>
      </c>
      <c r="I17" s="1174" t="s">
        <v>1513</v>
      </c>
      <c r="J17" s="1172" t="s">
        <v>54</v>
      </c>
      <c r="K17" s="1148"/>
      <c r="L17" s="1148"/>
      <c r="M17" s="1148">
        <v>0.25</v>
      </c>
      <c r="N17" s="1148"/>
      <c r="O17" s="1148"/>
      <c r="P17" s="1148">
        <v>0.25</v>
      </c>
      <c r="Q17" s="1148"/>
      <c r="R17" s="1148"/>
      <c r="S17" s="1148">
        <v>0.25</v>
      </c>
      <c r="T17" s="1148"/>
      <c r="U17" s="1148"/>
      <c r="V17" s="1148">
        <v>0.25</v>
      </c>
      <c r="W17" s="1146"/>
      <c r="X17" s="1146">
        <v>0</v>
      </c>
      <c r="Y17" s="1146">
        <v>0</v>
      </c>
      <c r="Z17" s="1146"/>
      <c r="AA17" s="1167">
        <v>0</v>
      </c>
      <c r="AB17" s="1146"/>
      <c r="AC17" s="1146" t="s">
        <v>1993</v>
      </c>
      <c r="AD17" s="1146">
        <v>0</v>
      </c>
      <c r="AE17" s="1146">
        <v>0</v>
      </c>
      <c r="AF17" s="1146"/>
      <c r="AG17" s="1167">
        <v>0</v>
      </c>
      <c r="AH17" s="1146"/>
      <c r="AI17" s="1146" t="str">
        <f>AC17</f>
        <v>No se han requerido planes de mejoramiento</v>
      </c>
      <c r="AJ17" s="1146">
        <v>0</v>
      </c>
      <c r="AK17" s="1146">
        <v>0</v>
      </c>
      <c r="AL17" s="1146"/>
      <c r="AM17" s="1167">
        <v>0</v>
      </c>
      <c r="AN17" s="1146"/>
      <c r="AO17" s="1146" t="str">
        <f>AI17</f>
        <v>No se han requerido planes de mejoramiento</v>
      </c>
      <c r="AP17" s="1146">
        <v>0</v>
      </c>
      <c r="AQ17" s="1146">
        <v>0</v>
      </c>
      <c r="AR17" s="1146"/>
      <c r="AS17" s="1167">
        <v>0</v>
      </c>
      <c r="AT17" s="1146"/>
      <c r="AU17" s="1146" t="s">
        <v>1993</v>
      </c>
      <c r="AV17" s="1146"/>
      <c r="AW17" s="1146"/>
      <c r="AX17" s="1146"/>
      <c r="AY17" s="1146"/>
      <c r="AZ17" s="1146"/>
      <c r="BA17" s="1146"/>
      <c r="BB17" s="1146">
        <v>100</v>
      </c>
      <c r="BC17" s="1146">
        <v>100</v>
      </c>
      <c r="BD17" s="1146">
        <f t="shared" si="0"/>
        <v>1</v>
      </c>
      <c r="BE17" s="1146"/>
      <c r="BF17" s="1146"/>
      <c r="BG17" s="1146" t="s">
        <v>1509</v>
      </c>
      <c r="BH17" s="1146"/>
      <c r="BI17" s="1146"/>
      <c r="BJ17" s="1146"/>
      <c r="BK17" s="1146"/>
      <c r="BL17" s="1146"/>
      <c r="BM17" s="1146" t="s">
        <v>148</v>
      </c>
      <c r="BN17" s="1155"/>
      <c r="BO17" s="1155"/>
      <c r="BP17" s="1155"/>
      <c r="BQ17" s="1155"/>
      <c r="BR17" s="1155"/>
      <c r="BS17" s="1155" t="s">
        <v>148</v>
      </c>
      <c r="BT17" s="1146"/>
      <c r="BU17" s="1146"/>
      <c r="BV17" s="1146"/>
      <c r="BW17" s="1146"/>
      <c r="BX17" s="1146"/>
      <c r="BY17" s="1146" t="s">
        <v>148</v>
      </c>
      <c r="BZ17" s="1146"/>
      <c r="CA17" s="1146"/>
      <c r="CB17" s="1146"/>
      <c r="CC17" s="1146"/>
      <c r="CD17" s="1146"/>
      <c r="CE17" s="1146" t="s">
        <v>148</v>
      </c>
      <c r="CF17" s="1146"/>
      <c r="CG17" s="1146"/>
      <c r="CH17" s="1146"/>
      <c r="CI17" s="1146"/>
      <c r="CJ17" s="1146"/>
      <c r="CK17" s="1146" t="s">
        <v>148</v>
      </c>
      <c r="CL17" s="1155"/>
      <c r="CM17" s="1155"/>
      <c r="CN17" s="1155"/>
      <c r="CO17" s="1155"/>
      <c r="CP17" s="1155"/>
      <c r="CQ17" s="1155" t="s">
        <v>148</v>
      </c>
      <c r="CR17" s="1160"/>
      <c r="CS17" s="1160"/>
      <c r="CT17" s="1165"/>
      <c r="CU17" s="1160"/>
      <c r="CV17" s="1160"/>
      <c r="CW17" s="1158" t="s">
        <v>1916</v>
      </c>
      <c r="CX17" s="1143"/>
      <c r="CY17" s="1143"/>
      <c r="CZ17" s="1143"/>
      <c r="DA17" s="1143"/>
      <c r="DB17" s="1143"/>
      <c r="DC17" s="1143"/>
      <c r="DD17" s="1143"/>
      <c r="DE17" s="1143"/>
      <c r="DF17" s="1143"/>
      <c r="DG17" s="1143"/>
    </row>
    <row r="18" spans="1:111" ht="112.15" customHeight="1">
      <c r="A18" s="1143"/>
      <c r="B18" s="2395"/>
      <c r="C18" s="1174"/>
      <c r="D18" s="1174" t="s">
        <v>1503</v>
      </c>
      <c r="E18" s="1175" t="s">
        <v>57</v>
      </c>
      <c r="F18" s="1174" t="s">
        <v>316</v>
      </c>
      <c r="G18" s="1174" t="s">
        <v>53</v>
      </c>
      <c r="H18" s="1174" t="s">
        <v>1512</v>
      </c>
      <c r="I18" s="1174" t="s">
        <v>1994</v>
      </c>
      <c r="J18" s="1172" t="s">
        <v>54</v>
      </c>
      <c r="K18" s="1148"/>
      <c r="L18" s="1148"/>
      <c r="M18" s="1148">
        <v>0.25</v>
      </c>
      <c r="N18" s="1148"/>
      <c r="O18" s="1148"/>
      <c r="P18" s="1148">
        <v>0.25</v>
      </c>
      <c r="Q18" s="1148"/>
      <c r="R18" s="1148"/>
      <c r="S18" s="1148">
        <v>0.25</v>
      </c>
      <c r="T18" s="1148"/>
      <c r="U18" s="1148"/>
      <c r="V18" s="1148">
        <v>0.25</v>
      </c>
      <c r="W18" s="1146"/>
      <c r="X18" s="1146"/>
      <c r="Y18" s="1146"/>
      <c r="Z18" s="1146"/>
      <c r="AA18" s="1146"/>
      <c r="AB18" s="1146"/>
      <c r="AC18" s="1146"/>
      <c r="AD18" s="1146"/>
      <c r="AE18" s="1146"/>
      <c r="AF18" s="1146"/>
      <c r="AG18" s="1146"/>
      <c r="AH18" s="1146"/>
      <c r="AI18" s="1146"/>
      <c r="AJ18" s="1146"/>
      <c r="AK18" s="1146"/>
      <c r="AL18" s="1146"/>
      <c r="AM18" s="1146"/>
      <c r="AN18" s="1146"/>
      <c r="AO18" s="1146"/>
      <c r="AP18" s="1146" t="s">
        <v>1995</v>
      </c>
      <c r="AQ18" s="1146" t="s">
        <v>1995</v>
      </c>
      <c r="AR18" s="1167">
        <v>1</v>
      </c>
      <c r="AS18" s="1167">
        <v>1</v>
      </c>
      <c r="AT18" s="1167">
        <v>1</v>
      </c>
      <c r="AU18" s="1146" t="s">
        <v>1996</v>
      </c>
      <c r="AV18" s="1146"/>
      <c r="AW18" s="1146"/>
      <c r="AX18" s="1146"/>
      <c r="AY18" s="1146"/>
      <c r="AZ18" s="1146"/>
      <c r="BA18" s="1146"/>
      <c r="BB18" s="1146"/>
      <c r="BC18" s="1146"/>
      <c r="BD18" s="1146"/>
      <c r="BE18" s="1146"/>
      <c r="BF18" s="1146"/>
      <c r="BG18" s="1146" t="s">
        <v>148</v>
      </c>
      <c r="BH18" s="1146"/>
      <c r="BI18" s="1146"/>
      <c r="BJ18" s="1146"/>
      <c r="BK18" s="1146"/>
      <c r="BL18" s="1146"/>
      <c r="BM18" s="1146" t="s">
        <v>148</v>
      </c>
      <c r="BN18" s="1155"/>
      <c r="BO18" s="1155"/>
      <c r="BP18" s="1155"/>
      <c r="BQ18" s="1155"/>
      <c r="BR18" s="1155"/>
      <c r="BS18" s="1155" t="s">
        <v>148</v>
      </c>
      <c r="BT18" s="1146"/>
      <c r="BU18" s="1146"/>
      <c r="BV18" s="1146"/>
      <c r="BW18" s="1146"/>
      <c r="BX18" s="1146"/>
      <c r="BY18" s="1146" t="s">
        <v>148</v>
      </c>
      <c r="BZ18" s="1146"/>
      <c r="CA18" s="1146"/>
      <c r="CB18" s="1146"/>
      <c r="CC18" s="1146"/>
      <c r="CD18" s="1146"/>
      <c r="CE18" s="1146" t="s">
        <v>148</v>
      </c>
      <c r="CF18" s="1146"/>
      <c r="CG18" s="1146"/>
      <c r="CH18" s="1146"/>
      <c r="CI18" s="1146"/>
      <c r="CJ18" s="1146"/>
      <c r="CK18" s="1146" t="s">
        <v>148</v>
      </c>
      <c r="CL18" s="1155"/>
      <c r="CM18" s="1155"/>
      <c r="CN18" s="1155"/>
      <c r="CO18" s="1155"/>
      <c r="CP18" s="1155"/>
      <c r="CQ18" s="1155" t="s">
        <v>148</v>
      </c>
      <c r="CR18" s="1160"/>
      <c r="CS18" s="1160"/>
      <c r="CT18" s="1165"/>
      <c r="CU18" s="1160"/>
      <c r="CV18" s="1160"/>
      <c r="CW18" s="1158" t="s">
        <v>1916</v>
      </c>
      <c r="CX18" s="1143"/>
      <c r="CY18" s="1143"/>
      <c r="CZ18" s="1143"/>
      <c r="DA18" s="1143"/>
      <c r="DB18" s="1143"/>
      <c r="DC18" s="1143"/>
      <c r="DD18" s="1143"/>
      <c r="DE18" s="1143"/>
      <c r="DF18" s="1143"/>
      <c r="DG18" s="1143"/>
    </row>
    <row r="19" spans="1:111" ht="12.75" customHeight="1">
      <c r="A19" s="1143"/>
      <c r="B19" s="1143"/>
      <c r="C19" s="1143"/>
      <c r="D19" s="1143"/>
      <c r="E19" s="1143"/>
      <c r="F19" s="1143"/>
      <c r="G19" s="1143"/>
      <c r="H19" s="1143"/>
      <c r="I19" s="1143"/>
      <c r="J19" s="1143"/>
      <c r="K19" s="1143"/>
      <c r="L19" s="1143"/>
      <c r="M19" s="1143"/>
      <c r="N19" s="1143"/>
      <c r="O19" s="1143"/>
      <c r="P19" s="1143"/>
      <c r="Q19" s="1143"/>
      <c r="R19" s="1143"/>
      <c r="S19" s="1143"/>
      <c r="T19" s="1143"/>
      <c r="U19" s="1143"/>
      <c r="V19" s="1143"/>
      <c r="W19" s="1143"/>
      <c r="X19" s="1143"/>
      <c r="Y19" s="1143"/>
      <c r="Z19" s="1143"/>
      <c r="AA19" s="1143"/>
      <c r="AB19" s="1143"/>
      <c r="AC19" s="1143"/>
      <c r="AD19" s="1143"/>
      <c r="AE19" s="1143"/>
      <c r="AF19" s="1143"/>
      <c r="AG19" s="1143"/>
      <c r="AH19" s="1143"/>
      <c r="AI19" s="1143"/>
      <c r="AJ19" s="1143"/>
      <c r="AK19" s="1143"/>
      <c r="AL19" s="1143"/>
      <c r="AM19" s="1143"/>
      <c r="AN19" s="1143"/>
      <c r="AO19" s="1143"/>
      <c r="AP19" s="1143"/>
      <c r="AQ19" s="1143"/>
      <c r="AR19" s="1143"/>
      <c r="AS19" s="1143"/>
      <c r="AT19" s="1143"/>
      <c r="AU19" s="1143"/>
      <c r="AV19" s="1143"/>
      <c r="AW19" s="1143"/>
      <c r="AX19" s="1143"/>
      <c r="AY19" s="1143"/>
      <c r="AZ19" s="1143"/>
      <c r="BA19" s="1143"/>
      <c r="BB19" s="1143"/>
      <c r="BC19" s="1143"/>
      <c r="BD19" s="1143"/>
      <c r="BE19" s="1143"/>
      <c r="BF19" s="1143"/>
      <c r="BG19" s="1143"/>
      <c r="BH19" s="1143"/>
      <c r="BI19" s="1143"/>
      <c r="BJ19" s="1143"/>
      <c r="BK19" s="1143"/>
      <c r="BL19" s="1143"/>
      <c r="BM19" s="1143"/>
      <c r="BN19" s="1143"/>
      <c r="BO19" s="1143"/>
      <c r="BP19" s="1143"/>
      <c r="BQ19" s="1143"/>
      <c r="BR19" s="1143"/>
      <c r="BS19" s="1143"/>
      <c r="BT19" s="1143"/>
      <c r="BU19" s="1143"/>
      <c r="BV19" s="1143"/>
      <c r="BW19" s="1143"/>
      <c r="BX19" s="1143"/>
      <c r="BY19" s="1143"/>
      <c r="BZ19" s="1143"/>
      <c r="CA19" s="1143"/>
      <c r="CB19" s="1143"/>
      <c r="CC19" s="1143"/>
      <c r="CD19" s="1143"/>
      <c r="CE19" s="1143"/>
      <c r="CF19" s="1143"/>
      <c r="CG19" s="1143"/>
      <c r="CH19" s="1143"/>
      <c r="CI19" s="1143"/>
      <c r="CJ19" s="1143"/>
      <c r="CK19" s="1143"/>
      <c r="CL19" s="1144"/>
      <c r="CM19" s="1144"/>
      <c r="CN19" s="1144"/>
      <c r="CO19" s="1144"/>
      <c r="CP19" s="1144"/>
      <c r="CQ19" s="1144"/>
      <c r="CR19" s="1143"/>
      <c r="CS19" s="1143"/>
      <c r="CT19" s="1143"/>
      <c r="CU19" s="1143"/>
      <c r="CV19" s="1143"/>
      <c r="CW19" s="1143"/>
      <c r="CX19" s="1143"/>
      <c r="CY19" s="1143"/>
      <c r="CZ19" s="1143"/>
      <c r="DA19" s="1143"/>
      <c r="DB19" s="1143"/>
      <c r="DC19" s="1143"/>
      <c r="DD19" s="1143"/>
      <c r="DE19" s="1143"/>
      <c r="DF19" s="1143"/>
      <c r="DG19" s="1143"/>
    </row>
    <row r="20" spans="1:111" ht="12.75" customHeight="1">
      <c r="A20" s="1143"/>
      <c r="B20" s="1143"/>
      <c r="C20" s="1143"/>
      <c r="D20" s="1143"/>
      <c r="E20" s="1143"/>
      <c r="F20" s="1143"/>
      <c r="G20" s="1143"/>
      <c r="H20" s="1143"/>
      <c r="I20" s="1143"/>
      <c r="J20" s="1143"/>
      <c r="K20" s="1143"/>
      <c r="L20" s="1143"/>
      <c r="M20" s="1143"/>
      <c r="N20" s="1143"/>
      <c r="O20" s="1143"/>
      <c r="P20" s="1143"/>
      <c r="Q20" s="1143"/>
      <c r="R20" s="1143"/>
      <c r="S20" s="1143"/>
      <c r="T20" s="1143"/>
      <c r="U20" s="1143"/>
      <c r="V20" s="1143"/>
      <c r="W20" s="1143"/>
      <c r="X20" s="1143"/>
      <c r="Y20" s="1143"/>
      <c r="Z20" s="1143"/>
      <c r="AA20" s="1143"/>
      <c r="AB20" s="1143"/>
      <c r="AC20" s="1143"/>
      <c r="AD20" s="1143"/>
      <c r="AE20" s="1143"/>
      <c r="AF20" s="1143"/>
      <c r="AG20" s="1143"/>
      <c r="AH20" s="1143"/>
      <c r="AI20" s="1143"/>
      <c r="AJ20" s="1143"/>
      <c r="AK20" s="1143"/>
      <c r="AL20" s="1143"/>
      <c r="AM20" s="1143"/>
      <c r="AN20" s="1143"/>
      <c r="AO20" s="1143"/>
      <c r="AP20" s="1143"/>
      <c r="AQ20" s="1143"/>
      <c r="AR20" s="1143"/>
      <c r="AS20" s="1143"/>
      <c r="AT20" s="1143"/>
      <c r="AU20" s="1143"/>
      <c r="AV20" s="1143"/>
      <c r="AW20" s="1143"/>
      <c r="AX20" s="1143"/>
      <c r="AY20" s="1143"/>
      <c r="AZ20" s="1143"/>
      <c r="BA20" s="1143"/>
      <c r="BB20" s="1143"/>
      <c r="BC20" s="1143"/>
      <c r="BD20" s="1143"/>
      <c r="BE20" s="1143"/>
      <c r="BF20" s="1143"/>
      <c r="BG20" s="1143"/>
      <c r="BH20" s="1143"/>
      <c r="BI20" s="1143"/>
      <c r="BJ20" s="1143"/>
      <c r="BK20" s="1143"/>
      <c r="BL20" s="1143"/>
      <c r="BM20" s="1143"/>
      <c r="BN20" s="1143"/>
      <c r="BO20" s="1143"/>
      <c r="BP20" s="1143"/>
      <c r="BQ20" s="1143"/>
      <c r="BR20" s="1143"/>
      <c r="BS20" s="1143"/>
      <c r="BT20" s="1143"/>
      <c r="BU20" s="1143"/>
      <c r="BV20" s="1143"/>
      <c r="BW20" s="1143"/>
      <c r="BX20" s="1143"/>
      <c r="BY20" s="1143"/>
      <c r="BZ20" s="1143"/>
      <c r="CA20" s="1143"/>
      <c r="CB20" s="1143"/>
      <c r="CC20" s="1143"/>
      <c r="CD20" s="1143"/>
      <c r="CE20" s="1143"/>
      <c r="CF20" s="1143"/>
      <c r="CG20" s="1143"/>
      <c r="CH20" s="1143"/>
      <c r="CI20" s="1143"/>
      <c r="CJ20" s="1143"/>
      <c r="CK20" s="1143"/>
      <c r="CL20" s="1144"/>
      <c r="CM20" s="1144"/>
      <c r="CN20" s="1144"/>
      <c r="CO20" s="1144"/>
      <c r="CP20" s="1144"/>
      <c r="CQ20" s="1144"/>
      <c r="CR20" s="1143"/>
      <c r="CS20" s="1143"/>
      <c r="CT20" s="1143"/>
      <c r="CU20" s="1143"/>
      <c r="CV20" s="1170"/>
      <c r="CW20" s="1143"/>
      <c r="CX20" s="1143"/>
      <c r="CY20" s="1143"/>
      <c r="CZ20" s="1143"/>
      <c r="DA20" s="1143"/>
      <c r="DB20" s="1143"/>
      <c r="DC20" s="1143"/>
      <c r="DD20" s="1143"/>
      <c r="DE20" s="1143"/>
      <c r="DF20" s="1143"/>
      <c r="DG20" s="1143"/>
    </row>
  </sheetData>
  <mergeCells count="49">
    <mergeCell ref="B11:B13"/>
    <mergeCell ref="B14:B15"/>
    <mergeCell ref="B17:B18"/>
    <mergeCell ref="BT6:BY6"/>
    <mergeCell ref="BZ6:CE6"/>
    <mergeCell ref="CF6:CK6"/>
    <mergeCell ref="I6:I7"/>
    <mergeCell ref="J6:J7"/>
    <mergeCell ref="K6:V6"/>
    <mergeCell ref="X6:AC6"/>
    <mergeCell ref="CR6:CW6"/>
    <mergeCell ref="B8:B10"/>
    <mergeCell ref="AJ6:AO6"/>
    <mergeCell ref="AP6:AU6"/>
    <mergeCell ref="AV6:BA6"/>
    <mergeCell ref="BB6:BG6"/>
    <mergeCell ref="BH6:BM6"/>
    <mergeCell ref="BN6:BS6"/>
    <mergeCell ref="H6:H7"/>
    <mergeCell ref="BZ4:CE4"/>
    <mergeCell ref="CF4:CK4"/>
    <mergeCell ref="CL4:CQ4"/>
    <mergeCell ref="CR4:CW4"/>
    <mergeCell ref="B6:B7"/>
    <mergeCell ref="C6:C7"/>
    <mergeCell ref="D6:D7"/>
    <mergeCell ref="E6:E7"/>
    <mergeCell ref="F6:F7"/>
    <mergeCell ref="CL6:CQ6"/>
    <mergeCell ref="G6:G7"/>
    <mergeCell ref="AP4:AU4"/>
    <mergeCell ref="AV4:BA4"/>
    <mergeCell ref="BB4:BG4"/>
    <mergeCell ref="BH4:BM4"/>
    <mergeCell ref="BN4:BS4"/>
    <mergeCell ref="AD6:AI6"/>
    <mergeCell ref="BT4:BY4"/>
    <mergeCell ref="C4:J4"/>
    <mergeCell ref="K4:M4"/>
    <mergeCell ref="N4:V4"/>
    <mergeCell ref="X4:AC4"/>
    <mergeCell ref="AD4:AI4"/>
    <mergeCell ref="AJ4:AO4"/>
    <mergeCell ref="B1:N1"/>
    <mergeCell ref="O1:R1"/>
    <mergeCell ref="S1:V2"/>
    <mergeCell ref="A2:B2"/>
    <mergeCell ref="D2:N2"/>
    <mergeCell ref="O2:R2"/>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W24"/>
  <sheetViews>
    <sheetView showGridLines="0" view="pageBreakPreview" topLeftCell="A3" zoomScale="75" zoomScaleNormal="100" zoomScaleSheetLayoutView="75" workbookViewId="0">
      <selection activeCell="C6" sqref="C6:C7"/>
    </sheetView>
  </sheetViews>
  <sheetFormatPr baseColWidth="10" defaultRowHeight="12.75"/>
  <cols>
    <col min="1" max="1" width="1.140625" style="15" customWidth="1"/>
    <col min="2" max="2" width="14.140625" style="15" hidden="1" customWidth="1"/>
    <col min="3" max="3" width="5.42578125" style="2" customWidth="1"/>
    <col min="4" max="4" width="16.140625" style="15" customWidth="1"/>
    <col min="5" max="5" width="14.7109375" style="15" hidden="1" customWidth="1"/>
    <col min="6" max="6" width="15" style="15" hidden="1" customWidth="1"/>
    <col min="7" max="7" width="9.28515625" style="15" hidden="1" customWidth="1"/>
    <col min="8" max="8" width="17.140625" style="15" customWidth="1"/>
    <col min="9" max="9" width="16.7109375" style="15" customWidth="1"/>
    <col min="10" max="10" width="8.5703125" style="15" customWidth="1"/>
    <col min="11" max="21" width="4.7109375" style="15" customWidth="1"/>
    <col min="22" max="22" width="4.85546875" style="15" customWidth="1"/>
    <col min="23" max="23" width="7.140625" style="15" customWidth="1"/>
    <col min="24" max="24" width="9.28515625" style="15" customWidth="1"/>
    <col min="25" max="25" width="11" style="15" customWidth="1"/>
    <col min="26" max="27" width="8.140625" style="15" customWidth="1"/>
    <col min="28" max="28" width="11.5703125" style="15" customWidth="1"/>
    <col min="29" max="29" width="55.42578125" style="15" customWidth="1"/>
    <col min="30" max="30" width="9.28515625" style="15" customWidth="1"/>
    <col min="31" max="31" width="11" style="15" customWidth="1"/>
    <col min="32" max="33" width="8.140625" style="15" customWidth="1"/>
    <col min="34" max="34" width="11.5703125" style="15" customWidth="1"/>
    <col min="35" max="35" width="55.42578125" style="15" customWidth="1"/>
    <col min="36" max="36" width="9.28515625" style="15" customWidth="1"/>
    <col min="37" max="37" width="11" style="15" customWidth="1"/>
    <col min="38" max="39" width="8.140625" style="15" customWidth="1"/>
    <col min="40" max="40" width="11.5703125" style="15" customWidth="1"/>
    <col min="41" max="41" width="55.42578125" style="15" customWidth="1"/>
    <col min="42" max="43" width="6.5703125" style="15" customWidth="1"/>
    <col min="44" max="44" width="8.140625" style="15" customWidth="1"/>
    <col min="45" max="45" width="6" style="15" customWidth="1"/>
    <col min="46" max="46" width="11.5703125" style="15" customWidth="1"/>
    <col min="47" max="47" width="55.42578125" style="15" customWidth="1"/>
    <col min="48" max="48" width="9.28515625" style="15" customWidth="1"/>
    <col min="49" max="49" width="11" style="15" customWidth="1"/>
    <col min="50" max="51" width="8.140625" style="15" customWidth="1"/>
    <col min="52" max="52" width="11.5703125" style="15" customWidth="1"/>
    <col min="53" max="53" width="55.42578125" style="15" customWidth="1"/>
    <col min="54" max="54" width="9.28515625" style="15" customWidth="1"/>
    <col min="55" max="55" width="11" style="15" customWidth="1"/>
    <col min="56" max="57" width="8.140625" style="15" customWidth="1"/>
    <col min="58" max="58" width="11.5703125" style="15" customWidth="1"/>
    <col min="59" max="59" width="55.42578125" style="15" customWidth="1"/>
    <col min="60" max="60" width="9.28515625" style="15" customWidth="1"/>
    <col min="61" max="61" width="11" style="15" customWidth="1"/>
    <col min="62" max="63" width="8.140625" style="15" customWidth="1"/>
    <col min="64" max="64" width="11.5703125" style="15" customWidth="1"/>
    <col min="65" max="65" width="55.42578125" style="15" customWidth="1"/>
    <col min="66" max="66" width="9.28515625" style="15" customWidth="1"/>
    <col min="67" max="67" width="11" style="15" customWidth="1"/>
    <col min="68" max="69" width="8.140625" style="15" customWidth="1"/>
    <col min="70" max="70" width="11.5703125" style="15" customWidth="1"/>
    <col min="71" max="71" width="55.42578125" style="15" customWidth="1"/>
    <col min="72" max="72" width="9.28515625" style="15" customWidth="1"/>
    <col min="73" max="73" width="11" style="15" customWidth="1"/>
    <col min="74" max="75" width="8.140625" style="15" customWidth="1"/>
    <col min="76" max="76" width="11.5703125" style="15" customWidth="1"/>
    <col min="77" max="77" width="55.42578125" style="15" customWidth="1"/>
    <col min="78" max="78" width="9.28515625" style="15" customWidth="1"/>
    <col min="79" max="79" width="11" style="15" customWidth="1"/>
    <col min="80" max="81" width="8.140625" style="15" customWidth="1"/>
    <col min="82" max="82" width="11.5703125" style="15" customWidth="1"/>
    <col min="83" max="83" width="55.42578125" style="15" customWidth="1"/>
    <col min="84" max="84" width="9.28515625" style="15" customWidth="1"/>
    <col min="85" max="85" width="11" style="15" customWidth="1"/>
    <col min="86" max="87" width="8.140625" style="15" customWidth="1"/>
    <col min="88" max="88" width="11.5703125" style="15" customWidth="1"/>
    <col min="89" max="89" width="53.85546875" style="15" customWidth="1"/>
    <col min="90" max="90" width="9.28515625" style="15" bestFit="1" customWidth="1"/>
    <col min="91" max="91" width="11" style="15" customWidth="1"/>
    <col min="92" max="93" width="8.140625" style="15" customWidth="1"/>
    <col min="94" max="94" width="11.5703125" style="15" customWidth="1"/>
    <col min="95" max="95" width="55.42578125" style="15" customWidth="1"/>
    <col min="96" max="96" width="9.28515625" style="15" bestFit="1" customWidth="1"/>
    <col min="97" max="97" width="11" style="15" customWidth="1"/>
    <col min="98" max="98" width="8.140625" style="15" customWidth="1"/>
    <col min="99" max="99" width="9.140625" style="15" customWidth="1"/>
    <col min="100" max="100" width="12.85546875" style="15" customWidth="1"/>
    <col min="101" max="101" width="55.42578125" style="15" customWidth="1"/>
    <col min="102" max="16384" width="11.42578125" style="15"/>
  </cols>
  <sheetData>
    <row r="1" spans="1:101" s="4" customFormat="1" ht="24.75" hidden="1"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1" s="3" customFormat="1" ht="22.5" hidden="1"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row>
    <row r="3" spans="1:101" ht="5.25" customHeight="1"/>
    <row r="4" spans="1:101" ht="19.5" customHeight="1">
      <c r="B4" s="49" t="s">
        <v>18</v>
      </c>
      <c r="C4" s="2416" t="s">
        <v>1997</v>
      </c>
      <c r="D4" s="2417"/>
      <c r="E4" s="2417"/>
      <c r="F4" s="2417"/>
      <c r="G4" s="2417"/>
      <c r="H4" s="2417"/>
      <c r="I4" s="2417"/>
      <c r="J4" s="2418"/>
      <c r="K4" s="1996" t="s">
        <v>21</v>
      </c>
      <c r="L4" s="1996"/>
      <c r="M4" s="1996"/>
      <c r="N4" s="1999">
        <v>2014</v>
      </c>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6" customHeight="1">
      <c r="A5" s="128"/>
      <c r="B5" s="128"/>
      <c r="C5" s="44"/>
      <c r="D5" s="128"/>
      <c r="E5" s="128"/>
      <c r="F5" s="128"/>
      <c r="G5" s="128"/>
      <c r="H5" s="128"/>
      <c r="I5" s="128"/>
      <c r="J5" s="128"/>
      <c r="K5" s="128"/>
      <c r="L5" s="128"/>
      <c r="M5" s="128"/>
      <c r="N5" s="128"/>
      <c r="O5" s="128"/>
      <c r="P5" s="128"/>
      <c r="Q5" s="128"/>
      <c r="R5" s="128"/>
      <c r="S5" s="128"/>
      <c r="T5" s="128"/>
      <c r="U5" s="128"/>
      <c r="V5" s="128"/>
      <c r="W5" s="128"/>
    </row>
    <row r="6" spans="1:101" s="2" customFormat="1" ht="20.2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2419" t="s">
        <v>42</v>
      </c>
      <c r="BC6" s="2420"/>
      <c r="BD6" s="2420"/>
      <c r="BE6" s="2420"/>
      <c r="BF6" s="2420"/>
      <c r="BG6" s="2421"/>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1"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5" t="s">
        <v>27</v>
      </c>
      <c r="X7" s="56" t="s">
        <v>31</v>
      </c>
      <c r="Y7" s="56" t="s">
        <v>32</v>
      </c>
      <c r="Z7" s="57" t="s">
        <v>33</v>
      </c>
      <c r="AA7" s="56" t="s">
        <v>34</v>
      </c>
      <c r="AB7" s="19" t="s">
        <v>35</v>
      </c>
      <c r="AC7" s="57" t="s">
        <v>36</v>
      </c>
      <c r="AD7" s="56" t="s">
        <v>31</v>
      </c>
      <c r="AE7" s="56" t="s">
        <v>32</v>
      </c>
      <c r="AF7" s="57" t="s">
        <v>33</v>
      </c>
      <c r="AG7" s="56" t="s">
        <v>34</v>
      </c>
      <c r="AH7" s="19" t="s">
        <v>35</v>
      </c>
      <c r="AI7" s="57" t="s">
        <v>36</v>
      </c>
      <c r="AJ7" s="56" t="s">
        <v>31</v>
      </c>
      <c r="AK7" s="56" t="s">
        <v>32</v>
      </c>
      <c r="AL7" s="57" t="s">
        <v>33</v>
      </c>
      <c r="AM7" s="56" t="s">
        <v>34</v>
      </c>
      <c r="AN7" s="19" t="s">
        <v>35</v>
      </c>
      <c r="AO7" s="57" t="s">
        <v>36</v>
      </c>
      <c r="AP7" s="56" t="s">
        <v>1998</v>
      </c>
      <c r="AQ7" s="56" t="s">
        <v>1999</v>
      </c>
      <c r="AR7" s="57" t="s">
        <v>33</v>
      </c>
      <c r="AS7" s="56" t="s">
        <v>34</v>
      </c>
      <c r="AT7" s="19" t="s">
        <v>35</v>
      </c>
      <c r="AU7" s="57" t="s">
        <v>36</v>
      </c>
      <c r="AV7" s="56" t="s">
        <v>31</v>
      </c>
      <c r="AW7" s="56" t="s">
        <v>32</v>
      </c>
      <c r="AX7" s="57" t="s">
        <v>33</v>
      </c>
      <c r="AY7" s="56" t="s">
        <v>34</v>
      </c>
      <c r="AZ7" s="19" t="s">
        <v>35</v>
      </c>
      <c r="BA7" s="57" t="s">
        <v>36</v>
      </c>
      <c r="BB7" s="56" t="s">
        <v>31</v>
      </c>
      <c r="BC7" s="56" t="s">
        <v>32</v>
      </c>
      <c r="BD7" s="57" t="s">
        <v>33</v>
      </c>
      <c r="BE7" s="56" t="s">
        <v>34</v>
      </c>
      <c r="BF7" s="19" t="s">
        <v>35</v>
      </c>
      <c r="BG7" s="57" t="s">
        <v>36</v>
      </c>
      <c r="BH7" s="56" t="s">
        <v>31</v>
      </c>
      <c r="BI7" s="56" t="s">
        <v>32</v>
      </c>
      <c r="BJ7" s="57" t="s">
        <v>33</v>
      </c>
      <c r="BK7" s="56" t="s">
        <v>34</v>
      </c>
      <c r="BL7" s="19" t="s">
        <v>35</v>
      </c>
      <c r="BM7" s="57" t="s">
        <v>36</v>
      </c>
      <c r="BN7" s="56" t="s">
        <v>31</v>
      </c>
      <c r="BO7" s="56" t="s">
        <v>32</v>
      </c>
      <c r="BP7" s="57" t="s">
        <v>33</v>
      </c>
      <c r="BQ7" s="56" t="s">
        <v>34</v>
      </c>
      <c r="BR7" s="19" t="s">
        <v>35</v>
      </c>
      <c r="BS7" s="57" t="s">
        <v>36</v>
      </c>
      <c r="BT7" s="56" t="s">
        <v>31</v>
      </c>
      <c r="BU7" s="56" t="s">
        <v>32</v>
      </c>
      <c r="BV7" s="57" t="s">
        <v>33</v>
      </c>
      <c r="BW7" s="56" t="s">
        <v>34</v>
      </c>
      <c r="BX7" s="19" t="s">
        <v>35</v>
      </c>
      <c r="BY7" s="57" t="s">
        <v>36</v>
      </c>
      <c r="BZ7" s="56" t="s">
        <v>31</v>
      </c>
      <c r="CA7" s="56" t="s">
        <v>32</v>
      </c>
      <c r="CB7" s="57" t="s">
        <v>33</v>
      </c>
      <c r="CC7" s="56" t="s">
        <v>34</v>
      </c>
      <c r="CD7" s="19" t="s">
        <v>35</v>
      </c>
      <c r="CE7" s="57" t="s">
        <v>36</v>
      </c>
      <c r="CF7" s="56" t="s">
        <v>31</v>
      </c>
      <c r="CG7" s="56" t="s">
        <v>32</v>
      </c>
      <c r="CH7" s="57" t="s">
        <v>33</v>
      </c>
      <c r="CI7" s="56" t="s">
        <v>34</v>
      </c>
      <c r="CJ7" s="19" t="s">
        <v>35</v>
      </c>
      <c r="CK7" s="57" t="s">
        <v>36</v>
      </c>
      <c r="CL7" s="56" t="s">
        <v>31</v>
      </c>
      <c r="CM7" s="56" t="s">
        <v>32</v>
      </c>
      <c r="CN7" s="57" t="s">
        <v>33</v>
      </c>
      <c r="CO7" s="56" t="s">
        <v>34</v>
      </c>
      <c r="CP7" s="19" t="s">
        <v>35</v>
      </c>
      <c r="CQ7" s="57" t="s">
        <v>36</v>
      </c>
      <c r="CR7" s="56" t="s">
        <v>31</v>
      </c>
      <c r="CS7" s="56" t="s">
        <v>32</v>
      </c>
      <c r="CT7" s="57" t="s">
        <v>33</v>
      </c>
      <c r="CU7" s="56" t="s">
        <v>34</v>
      </c>
      <c r="CV7" s="19" t="s">
        <v>35</v>
      </c>
      <c r="CW7" s="57" t="s">
        <v>36</v>
      </c>
    </row>
    <row r="8" spans="1:101" ht="223.5" customHeight="1">
      <c r="B8" s="1190" t="s">
        <v>2000</v>
      </c>
      <c r="C8" s="73" t="s">
        <v>2001</v>
      </c>
      <c r="D8" s="1191" t="s">
        <v>2002</v>
      </c>
      <c r="E8" s="1192" t="s">
        <v>2003</v>
      </c>
      <c r="F8" s="1190" t="s">
        <v>2004</v>
      </c>
      <c r="G8" s="1190" t="s">
        <v>53</v>
      </c>
      <c r="H8" s="1191" t="s">
        <v>2005</v>
      </c>
      <c r="I8" s="1190" t="s">
        <v>2006</v>
      </c>
      <c r="J8" s="1190" t="s">
        <v>54</v>
      </c>
      <c r="K8" s="1193"/>
      <c r="L8" s="1193"/>
      <c r="M8" s="528"/>
      <c r="N8" s="1193"/>
      <c r="O8" s="1193"/>
      <c r="P8" s="1194"/>
      <c r="Q8" s="1194"/>
      <c r="R8" s="1194"/>
      <c r="S8" s="1194"/>
      <c r="T8" s="1194">
        <v>1</v>
      </c>
      <c r="U8" s="1194">
        <v>1</v>
      </c>
      <c r="V8" s="1195">
        <v>1</v>
      </c>
      <c r="W8" s="1190" t="s">
        <v>2007</v>
      </c>
      <c r="X8" s="21"/>
      <c r="Y8" s="21"/>
      <c r="Z8" s="22" t="str">
        <f t="shared" ref="Z8:Z13" si="0">IF(Y8=0," ",X8/Y8)</f>
        <v xml:space="preserve"> </v>
      </c>
      <c r="AA8" s="58"/>
      <c r="AB8" s="24" t="str">
        <f t="shared" ref="AB8:AB13" si="1">IF(Y8=0," ",Z8/AA8)</f>
        <v xml:space="preserve"> </v>
      </c>
      <c r="AC8" s="25" t="s">
        <v>2008</v>
      </c>
      <c r="AD8" s="21"/>
      <c r="AE8" s="21"/>
      <c r="AF8" s="22" t="str">
        <f t="shared" ref="AF8:AF13" si="2">IF(AE8=0," ",AD8/AE8)</f>
        <v xml:space="preserve"> </v>
      </c>
      <c r="AG8" s="58"/>
      <c r="AH8" s="24" t="str">
        <f t="shared" ref="AH8:AH13" si="3">IF(AE8=0," ",AF8/AG8)</f>
        <v xml:space="preserve"> </v>
      </c>
      <c r="AI8" s="25" t="s">
        <v>2008</v>
      </c>
      <c r="AJ8" s="21"/>
      <c r="AK8" s="21"/>
      <c r="AL8" s="22" t="str">
        <f>IF(AK8=0," ",AJ8/AK8)</f>
        <v xml:space="preserve"> </v>
      </c>
      <c r="AM8" s="58"/>
      <c r="AN8" s="24" t="str">
        <f>IF(AK8=0," ",AL8/AM8)</f>
        <v xml:space="preserve"> </v>
      </c>
      <c r="AO8" s="25" t="s">
        <v>2008</v>
      </c>
      <c r="AP8" s="21"/>
      <c r="AQ8" s="21"/>
      <c r="AR8" s="22" t="str">
        <f t="shared" ref="AR8:AR13" si="4">IF(AQ8=0," ",AP8/AQ8)</f>
        <v xml:space="preserve"> </v>
      </c>
      <c r="AS8" s="58"/>
      <c r="AT8" s="24" t="str">
        <f t="shared" ref="AT8:AT13" si="5">IF(AQ8=0," ",AR8/AS8)</f>
        <v xml:space="preserve"> </v>
      </c>
      <c r="AU8" s="25" t="s">
        <v>2008</v>
      </c>
      <c r="AV8" s="21"/>
      <c r="AW8" s="21"/>
      <c r="AX8" s="22" t="str">
        <f>IF(AW8=0," ",AV8/AW8)</f>
        <v xml:space="preserve"> </v>
      </c>
      <c r="AY8" s="58"/>
      <c r="AZ8" s="24" t="str">
        <f>IF(AW8=0," ",AX8/AY8)</f>
        <v xml:space="preserve"> </v>
      </c>
      <c r="BA8" s="25" t="s">
        <v>2008</v>
      </c>
      <c r="BB8" s="21"/>
      <c r="BC8" s="21"/>
      <c r="BD8" s="22" t="str">
        <f>IF(BC8=0," ",BB8/BC8)</f>
        <v xml:space="preserve"> </v>
      </c>
      <c r="BE8" s="58"/>
      <c r="BF8" s="24" t="str">
        <f>IF(BC8=0," ",BD8/BE8)</f>
        <v xml:space="preserve"> </v>
      </c>
      <c r="BG8" s="25" t="s">
        <v>2008</v>
      </c>
      <c r="BH8" s="21"/>
      <c r="BI8" s="21"/>
      <c r="BJ8" s="22" t="str">
        <f t="shared" ref="BJ8:BJ14" si="6">IF(BI8=0," ",BH8/BI8)</f>
        <v xml:space="preserve"> </v>
      </c>
      <c r="BK8" s="58"/>
      <c r="BL8" s="24" t="str">
        <f t="shared" ref="BL8:BL14" si="7">IF(BI8=0," ",BJ8/BK8)</f>
        <v xml:space="preserve"> </v>
      </c>
      <c r="BM8" s="25" t="s">
        <v>2008</v>
      </c>
      <c r="BN8" s="21"/>
      <c r="BO8" s="21"/>
      <c r="BP8" s="22" t="str">
        <f>IF(BO8=0," ",BN8/BO8)</f>
        <v xml:space="preserve"> </v>
      </c>
      <c r="BQ8" s="58"/>
      <c r="BR8" s="24" t="str">
        <f>IF(BO8=0," ",BP8/BQ8)</f>
        <v xml:space="preserve"> </v>
      </c>
      <c r="BS8" s="25" t="s">
        <v>2008</v>
      </c>
      <c r="BT8" s="21"/>
      <c r="BU8" s="21"/>
      <c r="BV8" s="22" t="str">
        <f>IF(BU8=0," ",BT8/BU8)</f>
        <v xml:space="preserve"> </v>
      </c>
      <c r="BW8" s="58"/>
      <c r="BX8" s="24" t="str">
        <f>IF(BU8=0," ",BV8/BW8)</f>
        <v xml:space="preserve"> </v>
      </c>
      <c r="BY8" s="25" t="s">
        <v>2008</v>
      </c>
      <c r="BZ8" s="21">
        <v>12</v>
      </c>
      <c r="CA8" s="21">
        <v>12</v>
      </c>
      <c r="CB8" s="22">
        <f t="shared" ref="CB8:CB13" si="8">IF(CA8=0," ",BZ8/CA8)</f>
        <v>1</v>
      </c>
      <c r="CC8" s="58">
        <v>1</v>
      </c>
      <c r="CD8" s="24">
        <f>IF(CA8=0," ",CB8/CC8)</f>
        <v>1</v>
      </c>
      <c r="CE8" s="25" t="s">
        <v>2009</v>
      </c>
      <c r="CF8" s="21">
        <v>12</v>
      </c>
      <c r="CG8" s="21">
        <v>12</v>
      </c>
      <c r="CH8" s="22">
        <f>IF(CG8=0," ",CF8/CG8)</f>
        <v>1</v>
      </c>
      <c r="CI8" s="58">
        <v>1</v>
      </c>
      <c r="CJ8" s="24">
        <f>IF(CG8=0," ",CH8/CI8)</f>
        <v>1</v>
      </c>
      <c r="CK8" s="25" t="s">
        <v>2009</v>
      </c>
      <c r="CL8" s="21">
        <v>12</v>
      </c>
      <c r="CM8" s="21">
        <v>12</v>
      </c>
      <c r="CN8" s="22">
        <v>1</v>
      </c>
      <c r="CO8" s="58">
        <v>1</v>
      </c>
      <c r="CP8" s="24">
        <v>1</v>
      </c>
      <c r="CQ8" s="25" t="s">
        <v>2009</v>
      </c>
      <c r="CR8" s="21">
        <v>12</v>
      </c>
      <c r="CS8" s="21">
        <v>12</v>
      </c>
      <c r="CT8" s="22">
        <v>1</v>
      </c>
      <c r="CU8" s="58">
        <v>1</v>
      </c>
      <c r="CV8" s="24">
        <v>1</v>
      </c>
      <c r="CW8" s="25" t="s">
        <v>2009</v>
      </c>
    </row>
    <row r="9" spans="1:101" ht="56.25" customHeight="1">
      <c r="A9" s="1196"/>
      <c r="B9" s="8" t="s">
        <v>2000</v>
      </c>
      <c r="C9" s="9" t="s">
        <v>2010</v>
      </c>
      <c r="D9" s="13" t="s">
        <v>2011</v>
      </c>
      <c r="E9" s="789" t="s">
        <v>2012</v>
      </c>
      <c r="F9" s="13" t="s">
        <v>2013</v>
      </c>
      <c r="G9" s="8" t="s">
        <v>53</v>
      </c>
      <c r="H9" s="13" t="s">
        <v>2014</v>
      </c>
      <c r="I9" s="8" t="s">
        <v>2015</v>
      </c>
      <c r="J9" s="8" t="s">
        <v>54</v>
      </c>
      <c r="K9" s="7"/>
      <c r="L9" s="14">
        <v>0.25</v>
      </c>
      <c r="M9" s="7"/>
      <c r="N9" s="74"/>
      <c r="O9" s="14">
        <v>0.25</v>
      </c>
      <c r="P9" s="7"/>
      <c r="Q9" s="7"/>
      <c r="R9" s="1197">
        <v>0.25</v>
      </c>
      <c r="S9" s="7"/>
      <c r="T9" s="7"/>
      <c r="U9" s="14">
        <v>0.25</v>
      </c>
      <c r="V9" s="7"/>
      <c r="W9" s="8" t="s">
        <v>2016</v>
      </c>
      <c r="X9" s="21"/>
      <c r="Y9" s="21"/>
      <c r="Z9" s="22" t="str">
        <f t="shared" si="0"/>
        <v xml:space="preserve"> </v>
      </c>
      <c r="AA9" s="58"/>
      <c r="AB9" s="24" t="str">
        <f t="shared" si="1"/>
        <v xml:space="preserve"> </v>
      </c>
      <c r="AC9" s="25" t="s">
        <v>2008</v>
      </c>
      <c r="AD9" s="21">
        <v>1</v>
      </c>
      <c r="AE9" s="21">
        <v>4</v>
      </c>
      <c r="AF9" s="22">
        <f t="shared" si="2"/>
        <v>0.25</v>
      </c>
      <c r="AG9" s="58">
        <v>0.25</v>
      </c>
      <c r="AH9" s="24">
        <f t="shared" si="3"/>
        <v>1</v>
      </c>
      <c r="AI9" s="25" t="s">
        <v>2017</v>
      </c>
      <c r="AJ9" s="21"/>
      <c r="AK9" s="21"/>
      <c r="AL9" s="22" t="str">
        <f>IF(AK9=0," ",AJ9/AK9)</f>
        <v xml:space="preserve"> </v>
      </c>
      <c r="AM9" s="58"/>
      <c r="AN9" s="24" t="str">
        <f>IF(AK9=0," ",AL9/AM9)</f>
        <v xml:space="preserve"> </v>
      </c>
      <c r="AO9" s="25" t="s">
        <v>2008</v>
      </c>
      <c r="AP9" s="21"/>
      <c r="AQ9" s="21"/>
      <c r="AR9" s="22" t="str">
        <f t="shared" si="4"/>
        <v xml:space="preserve"> </v>
      </c>
      <c r="AS9" s="58"/>
      <c r="AT9" s="24" t="str">
        <f t="shared" si="5"/>
        <v xml:space="preserve"> </v>
      </c>
      <c r="AU9" s="25" t="s">
        <v>2008</v>
      </c>
      <c r="AV9" s="21">
        <v>1</v>
      </c>
      <c r="AW9" s="21">
        <v>4</v>
      </c>
      <c r="AX9" s="22">
        <f>IF(AW9=0," ",AV9/AW9)</f>
        <v>0.25</v>
      </c>
      <c r="AY9" s="58">
        <v>0.25</v>
      </c>
      <c r="AZ9" s="24">
        <f>IF(AW9=0," ",AX9/AY9)</f>
        <v>1</v>
      </c>
      <c r="BA9" s="25" t="s">
        <v>2017</v>
      </c>
      <c r="BB9" s="21"/>
      <c r="BC9" s="21"/>
      <c r="BD9" s="22" t="str">
        <f>IF(BC9=0," ",BB9/BC9)</f>
        <v xml:space="preserve"> </v>
      </c>
      <c r="BE9" s="58"/>
      <c r="BF9" s="24" t="str">
        <f>IF(BC9=0," ",BD9/BE9)</f>
        <v xml:space="preserve"> </v>
      </c>
      <c r="BG9" s="25" t="s">
        <v>2008</v>
      </c>
      <c r="BH9" s="21"/>
      <c r="BI9" s="21"/>
      <c r="BJ9" s="22" t="str">
        <f t="shared" si="6"/>
        <v xml:space="preserve"> </v>
      </c>
      <c r="BK9" s="58"/>
      <c r="BL9" s="24" t="str">
        <f t="shared" si="7"/>
        <v xml:space="preserve"> </v>
      </c>
      <c r="BM9" s="25" t="s">
        <v>2008</v>
      </c>
      <c r="BN9" s="21">
        <v>1</v>
      </c>
      <c r="BO9" s="21">
        <v>4</v>
      </c>
      <c r="BP9" s="22">
        <f>IF(BO9=0," ",BN9/BO9)</f>
        <v>0.25</v>
      </c>
      <c r="BQ9" s="58">
        <v>0.25</v>
      </c>
      <c r="BR9" s="24">
        <f>IF(BO9=0," ",BP9/BQ9)</f>
        <v>1</v>
      </c>
      <c r="BS9" s="25" t="s">
        <v>2018</v>
      </c>
      <c r="BT9" s="21"/>
      <c r="BU9" s="21"/>
      <c r="BV9" s="22" t="str">
        <f>IF(BU9=0," ",BT9/BU9)</f>
        <v xml:space="preserve"> </v>
      </c>
      <c r="BW9" s="58"/>
      <c r="BX9" s="24" t="str">
        <f>IF(BU9=0," ",BV9/BW9)</f>
        <v xml:space="preserve"> </v>
      </c>
      <c r="BY9" s="25" t="s">
        <v>2008</v>
      </c>
      <c r="BZ9" s="21"/>
      <c r="CA9" s="21"/>
      <c r="CB9" s="22" t="str">
        <f t="shared" si="8"/>
        <v xml:space="preserve"> </v>
      </c>
      <c r="CC9" s="58"/>
      <c r="CD9" s="24" t="str">
        <f t="shared" ref="CD9:CD14" si="9">IF(CA9=0," ",CB9/CC9)</f>
        <v xml:space="preserve"> </v>
      </c>
      <c r="CE9" s="25" t="s">
        <v>2008</v>
      </c>
      <c r="CF9" s="26">
        <v>0.25</v>
      </c>
      <c r="CG9" s="21">
        <v>0.25</v>
      </c>
      <c r="CH9" s="22">
        <f>IF(CG9=0," ",CF9/CG9)</f>
        <v>1</v>
      </c>
      <c r="CI9" s="58">
        <v>1</v>
      </c>
      <c r="CJ9" s="24">
        <f>IF(CG9=0," ",CH9/CI9)</f>
        <v>1</v>
      </c>
      <c r="CK9" s="25" t="s">
        <v>2019</v>
      </c>
      <c r="CL9" s="21"/>
      <c r="CM9" s="21"/>
      <c r="CN9" s="22" t="str">
        <f>IF(CM9=0," ",CL9/CM9)</f>
        <v xml:space="preserve"> </v>
      </c>
      <c r="CO9" s="58"/>
      <c r="CP9" s="24" t="str">
        <f>IF(CM9=0," ",CN9/CO9)</f>
        <v xml:space="preserve"> </v>
      </c>
      <c r="CQ9" s="25" t="s">
        <v>2008</v>
      </c>
      <c r="CR9" s="21">
        <v>4</v>
      </c>
      <c r="CS9" s="21">
        <v>4</v>
      </c>
      <c r="CT9" s="22">
        <f>IF(CS9=0," ",CR9/CS9)</f>
        <v>1</v>
      </c>
      <c r="CU9" s="58">
        <v>1</v>
      </c>
      <c r="CV9" s="24">
        <f>IF(CS9=0," ",CT9/CU9)</f>
        <v>1</v>
      </c>
      <c r="CW9" s="25" t="s">
        <v>2020</v>
      </c>
    </row>
    <row r="10" spans="1:101" ht="81" customHeight="1">
      <c r="A10" s="893"/>
      <c r="B10" s="8" t="s">
        <v>2000</v>
      </c>
      <c r="C10" s="9" t="s">
        <v>2021</v>
      </c>
      <c r="D10" s="13" t="s">
        <v>2022</v>
      </c>
      <c r="E10" s="789" t="s">
        <v>2023</v>
      </c>
      <c r="F10" s="13" t="s">
        <v>2024</v>
      </c>
      <c r="G10" s="8" t="s">
        <v>53</v>
      </c>
      <c r="H10" s="13" t="s">
        <v>2025</v>
      </c>
      <c r="I10" s="8" t="s">
        <v>2026</v>
      </c>
      <c r="J10" s="8" t="s">
        <v>54</v>
      </c>
      <c r="K10" s="14">
        <v>1</v>
      </c>
      <c r="L10" s="7"/>
      <c r="M10" s="7"/>
      <c r="N10" s="1198">
        <v>1</v>
      </c>
      <c r="O10" s="14"/>
      <c r="P10" s="7"/>
      <c r="Q10" s="14">
        <v>1</v>
      </c>
      <c r="R10" s="7"/>
      <c r="S10" s="7"/>
      <c r="T10" s="14">
        <v>1</v>
      </c>
      <c r="U10" s="7"/>
      <c r="V10" s="7"/>
      <c r="W10" s="8" t="s">
        <v>2027</v>
      </c>
      <c r="X10" s="26">
        <v>0.25</v>
      </c>
      <c r="Y10" s="21">
        <v>0.25</v>
      </c>
      <c r="Z10" s="22">
        <f t="shared" si="0"/>
        <v>1</v>
      </c>
      <c r="AA10" s="58">
        <v>1</v>
      </c>
      <c r="AB10" s="24">
        <f t="shared" si="1"/>
        <v>1</v>
      </c>
      <c r="AC10" s="25" t="s">
        <v>2019</v>
      </c>
      <c r="AD10" s="21"/>
      <c r="AE10" s="21"/>
      <c r="AF10" s="22" t="str">
        <f t="shared" si="2"/>
        <v xml:space="preserve"> </v>
      </c>
      <c r="AG10" s="58"/>
      <c r="AH10" s="24" t="str">
        <f t="shared" si="3"/>
        <v xml:space="preserve"> </v>
      </c>
      <c r="AI10" s="25" t="s">
        <v>2008</v>
      </c>
      <c r="AJ10" s="21"/>
      <c r="AK10" s="21"/>
      <c r="AL10" s="22" t="str">
        <f>IF(AK10=0," ",AJ10/AK10)</f>
        <v xml:space="preserve"> </v>
      </c>
      <c r="AM10" s="58"/>
      <c r="AN10" s="24" t="str">
        <f>IF(AK10=0," ",AL10/AM10)</f>
        <v xml:space="preserve"> </v>
      </c>
      <c r="AO10" s="25" t="s">
        <v>2008</v>
      </c>
      <c r="AP10" s="21">
        <v>0.2</v>
      </c>
      <c r="AQ10" s="21">
        <v>0.25</v>
      </c>
      <c r="AR10" s="22">
        <f t="shared" si="4"/>
        <v>0.8</v>
      </c>
      <c r="AS10" s="58">
        <v>1</v>
      </c>
      <c r="AT10" s="24">
        <f t="shared" si="5"/>
        <v>0.8</v>
      </c>
      <c r="AU10" s="25" t="s">
        <v>2028</v>
      </c>
      <c r="AV10" s="21"/>
      <c r="AW10" s="21"/>
      <c r="AX10" s="22" t="str">
        <f>IF(AW10=0," ",AV10/AW10)</f>
        <v xml:space="preserve"> </v>
      </c>
      <c r="AY10" s="58"/>
      <c r="AZ10" s="24" t="str">
        <f>IF(AW10=0," ",AX10/AY10)</f>
        <v xml:space="preserve"> </v>
      </c>
      <c r="BA10" s="25" t="s">
        <v>2008</v>
      </c>
      <c r="BB10" s="21"/>
      <c r="BC10" s="21"/>
      <c r="BD10" s="22" t="str">
        <f>IF(BC10=0," ",BB10/BC10)</f>
        <v xml:space="preserve"> </v>
      </c>
      <c r="BE10" s="58"/>
      <c r="BF10" s="24" t="str">
        <f>IF(BC10=0," ",BD10/BE10)</f>
        <v xml:space="preserve"> </v>
      </c>
      <c r="BG10" s="25" t="s">
        <v>2008</v>
      </c>
      <c r="BH10" s="21">
        <v>0.3</v>
      </c>
      <c r="BI10" s="21">
        <v>0.3</v>
      </c>
      <c r="BJ10" s="22">
        <f t="shared" si="6"/>
        <v>1</v>
      </c>
      <c r="BK10" s="58">
        <v>1</v>
      </c>
      <c r="BL10" s="24">
        <f t="shared" si="7"/>
        <v>1</v>
      </c>
      <c r="BM10" s="25" t="s">
        <v>2029</v>
      </c>
      <c r="BN10" s="21"/>
      <c r="BO10" s="21"/>
      <c r="BP10" s="22" t="str">
        <f>IF(BO10=0," ",BN10/BO10)</f>
        <v xml:space="preserve"> </v>
      </c>
      <c r="BQ10" s="58"/>
      <c r="BR10" s="24" t="str">
        <f>IF(BO10=0," ",BP10/BQ10)</f>
        <v xml:space="preserve"> </v>
      </c>
      <c r="BS10" s="25" t="s">
        <v>2008</v>
      </c>
      <c r="BT10" s="21"/>
      <c r="BU10" s="21"/>
      <c r="BV10" s="22" t="str">
        <f>IF(BU10=0," ",BT10/BU10)</f>
        <v xml:space="preserve"> </v>
      </c>
      <c r="BW10" s="58"/>
      <c r="BX10" s="24" t="str">
        <f>IF(BU10=0," ",BV10/BW10)</f>
        <v xml:space="preserve"> </v>
      </c>
      <c r="BY10" s="25" t="s">
        <v>2008</v>
      </c>
      <c r="BZ10" s="21">
        <v>0.3</v>
      </c>
      <c r="CA10" s="21">
        <v>0.3</v>
      </c>
      <c r="CB10" s="22">
        <f t="shared" si="8"/>
        <v>1</v>
      </c>
      <c r="CC10" s="58">
        <v>1</v>
      </c>
      <c r="CD10" s="24">
        <f t="shared" si="9"/>
        <v>1</v>
      </c>
      <c r="CE10" s="25" t="s">
        <v>2029</v>
      </c>
      <c r="CF10" s="21"/>
      <c r="CG10" s="21"/>
      <c r="CH10" s="22" t="str">
        <f>IF(CG10=0," ",CF10/CG10)</f>
        <v xml:space="preserve"> </v>
      </c>
      <c r="CI10" s="58"/>
      <c r="CJ10" s="24" t="str">
        <f>IF(CG10=0," ",CH10/CI10)</f>
        <v xml:space="preserve"> </v>
      </c>
      <c r="CK10" s="25" t="s">
        <v>2008</v>
      </c>
      <c r="CL10" s="21"/>
      <c r="CM10" s="21"/>
      <c r="CN10" s="22" t="str">
        <f>IF(CM10=0," ",CL10/CM10)</f>
        <v xml:space="preserve"> </v>
      </c>
      <c r="CO10" s="58"/>
      <c r="CP10" s="24" t="str">
        <f>IF(CM10=0," ",CN10/CO10)</f>
        <v xml:space="preserve"> </v>
      </c>
      <c r="CQ10" s="25" t="s">
        <v>2008</v>
      </c>
      <c r="CR10" s="21">
        <v>0.95</v>
      </c>
      <c r="CS10" s="21">
        <v>1</v>
      </c>
      <c r="CT10" s="22">
        <v>0.95</v>
      </c>
      <c r="CU10" s="58">
        <v>1</v>
      </c>
      <c r="CV10" s="24">
        <v>0.95</v>
      </c>
      <c r="CW10" s="25" t="s">
        <v>2030</v>
      </c>
    </row>
    <row r="11" spans="1:101" ht="409.5">
      <c r="A11" s="893"/>
      <c r="B11" s="1190" t="s">
        <v>155</v>
      </c>
      <c r="C11" s="9" t="s">
        <v>2031</v>
      </c>
      <c r="D11" s="1190" t="s">
        <v>2032</v>
      </c>
      <c r="E11" s="1190" t="s">
        <v>2033</v>
      </c>
      <c r="F11" s="1190" t="s">
        <v>2034</v>
      </c>
      <c r="G11" s="1190" t="s">
        <v>53</v>
      </c>
      <c r="H11" s="1190" t="s">
        <v>2035</v>
      </c>
      <c r="I11" s="1190" t="s">
        <v>2036</v>
      </c>
      <c r="J11" s="1190" t="s">
        <v>54</v>
      </c>
      <c r="K11" s="7"/>
      <c r="L11" s="7"/>
      <c r="M11" s="12"/>
      <c r="N11" s="1199">
        <v>100</v>
      </c>
      <c r="O11" s="7"/>
      <c r="P11" s="7">
        <v>100</v>
      </c>
      <c r="Q11" s="74"/>
      <c r="R11" s="74"/>
      <c r="S11" s="7">
        <v>100</v>
      </c>
      <c r="T11" s="74"/>
      <c r="U11" s="74"/>
      <c r="V11" s="1200">
        <v>100</v>
      </c>
      <c r="W11" s="8" t="s">
        <v>2037</v>
      </c>
      <c r="X11" s="21"/>
      <c r="Y11" s="21"/>
      <c r="Z11" s="22" t="str">
        <f t="shared" si="0"/>
        <v xml:space="preserve"> </v>
      </c>
      <c r="AA11" s="58"/>
      <c r="AB11" s="24" t="str">
        <f t="shared" si="1"/>
        <v xml:space="preserve"> </v>
      </c>
      <c r="AC11" s="25" t="s">
        <v>2008</v>
      </c>
      <c r="AD11" s="21"/>
      <c r="AE11" s="21"/>
      <c r="AF11" s="22" t="str">
        <f t="shared" si="2"/>
        <v xml:space="preserve"> </v>
      </c>
      <c r="AG11" s="58"/>
      <c r="AH11" s="24" t="str">
        <f t="shared" si="3"/>
        <v xml:space="preserve"> </v>
      </c>
      <c r="AI11" s="25" t="s">
        <v>2008</v>
      </c>
      <c r="AJ11" s="21"/>
      <c r="AK11" s="21"/>
      <c r="AL11" s="22" t="str">
        <f>IF(AK11=0," ",AJ11/AK11)</f>
        <v xml:space="preserve"> </v>
      </c>
      <c r="AM11" s="58"/>
      <c r="AN11" s="24" t="str">
        <f>IF(AK11=0," ",AL11/AM11)</f>
        <v xml:space="preserve"> </v>
      </c>
      <c r="AO11" s="25" t="s">
        <v>2008</v>
      </c>
      <c r="AP11" s="21">
        <v>1</v>
      </c>
      <c r="AQ11" s="21">
        <v>3</v>
      </c>
      <c r="AR11" s="22">
        <f t="shared" si="4"/>
        <v>0.33333333333333331</v>
      </c>
      <c r="AS11" s="58">
        <v>1</v>
      </c>
      <c r="AT11" s="24">
        <f t="shared" si="5"/>
        <v>0.33333333333333331</v>
      </c>
      <c r="AU11" s="25" t="s">
        <v>2038</v>
      </c>
      <c r="AV11" s="21"/>
      <c r="AW11" s="21"/>
      <c r="AX11" s="22" t="str">
        <f>IF(AW11=0," ",AV11/AW11)</f>
        <v xml:space="preserve"> </v>
      </c>
      <c r="AY11" s="58"/>
      <c r="AZ11" s="24" t="str">
        <f>IF(AW11=0," ",AX11/AY11)</f>
        <v xml:space="preserve"> </v>
      </c>
      <c r="BA11" s="25" t="s">
        <v>2008</v>
      </c>
      <c r="BB11" s="21">
        <v>4</v>
      </c>
      <c r="BC11" s="21">
        <v>11</v>
      </c>
      <c r="BD11" s="22">
        <f>IF(BC11=0," ",BB11/BC11)</f>
        <v>0.36363636363636365</v>
      </c>
      <c r="BE11" s="58">
        <v>1</v>
      </c>
      <c r="BF11" s="24">
        <f>IF(BC11=0," ",BD11/BE11)</f>
        <v>0.36363636363636365</v>
      </c>
      <c r="BG11" s="25" t="s">
        <v>2039</v>
      </c>
      <c r="BH11" s="21"/>
      <c r="BI11" s="21"/>
      <c r="BJ11" s="22" t="str">
        <f t="shared" si="6"/>
        <v xml:space="preserve"> </v>
      </c>
      <c r="BK11" s="58"/>
      <c r="BL11" s="24" t="str">
        <f t="shared" si="7"/>
        <v xml:space="preserve"> </v>
      </c>
      <c r="BM11" s="25" t="s">
        <v>2008</v>
      </c>
      <c r="BN11" s="21"/>
      <c r="BO11" s="21"/>
      <c r="BP11" s="22" t="str">
        <f>IF(BO11=0," ",BN11/BO11)</f>
        <v xml:space="preserve"> </v>
      </c>
      <c r="BQ11" s="58"/>
      <c r="BR11" s="24" t="str">
        <f>IF(BO11=0," ",BP11/BQ11)</f>
        <v xml:space="preserve"> </v>
      </c>
      <c r="BS11" s="25" t="s">
        <v>2008</v>
      </c>
      <c r="BT11" s="21">
        <v>10</v>
      </c>
      <c r="BU11" s="21">
        <v>12</v>
      </c>
      <c r="BV11" s="22">
        <f>IF(BU11=0," ",BT11/BU11)</f>
        <v>0.83333333333333337</v>
      </c>
      <c r="BW11" s="58">
        <v>1</v>
      </c>
      <c r="BX11" s="24">
        <f>IF(BU11=0," ",BV11/BW11)</f>
        <v>0.83333333333333337</v>
      </c>
      <c r="BY11" s="25" t="s">
        <v>2040</v>
      </c>
      <c r="BZ11" s="21"/>
      <c r="CA11" s="21"/>
      <c r="CB11" s="22" t="str">
        <f t="shared" si="8"/>
        <v xml:space="preserve"> </v>
      </c>
      <c r="CC11" s="58"/>
      <c r="CD11" s="24" t="str">
        <f t="shared" si="9"/>
        <v xml:space="preserve"> </v>
      </c>
      <c r="CE11" s="25" t="s">
        <v>2008</v>
      </c>
      <c r="CF11" s="21"/>
      <c r="CG11" s="21"/>
      <c r="CH11" s="22" t="str">
        <f>IF(CG11=0," ",CF11/CG11)</f>
        <v xml:space="preserve"> </v>
      </c>
      <c r="CI11" s="58"/>
      <c r="CJ11" s="24" t="str">
        <f>IF(CG11=0," ",CH11/CI11)</f>
        <v xml:space="preserve"> </v>
      </c>
      <c r="CK11" s="25" t="s">
        <v>2008</v>
      </c>
      <c r="CL11" s="21">
        <v>17</v>
      </c>
      <c r="CM11" s="21">
        <v>19</v>
      </c>
      <c r="CN11" s="22">
        <f>IF(CM11=0," ",CL11/CM11)</f>
        <v>0.89473684210526316</v>
      </c>
      <c r="CO11" s="58">
        <v>1</v>
      </c>
      <c r="CP11" s="24">
        <f>IF(CM11=0," ",CN11/CO11)</f>
        <v>0.89473684210526316</v>
      </c>
      <c r="CQ11" s="25" t="s">
        <v>2041</v>
      </c>
      <c r="CR11" s="21">
        <v>17</v>
      </c>
      <c r="CS11" s="21">
        <v>19</v>
      </c>
      <c r="CT11" s="22">
        <f>IF(CS11=0," ",CR11/CS11)</f>
        <v>0.89473684210526316</v>
      </c>
      <c r="CU11" s="58">
        <v>1</v>
      </c>
      <c r="CV11" s="24">
        <f>IF(CS11=0," ",CT11/CU11)</f>
        <v>0.89473684210526316</v>
      </c>
      <c r="CW11" s="25" t="s">
        <v>2041</v>
      </c>
    </row>
    <row r="12" spans="1:101" ht="75.75" customHeight="1">
      <c r="A12" s="893"/>
      <c r="B12" s="8" t="s">
        <v>155</v>
      </c>
      <c r="C12" s="9" t="s">
        <v>2042</v>
      </c>
      <c r="D12" s="13" t="s">
        <v>157</v>
      </c>
      <c r="E12" s="13" t="s">
        <v>2043</v>
      </c>
      <c r="F12" s="8" t="s">
        <v>2044</v>
      </c>
      <c r="G12" s="8" t="s">
        <v>53</v>
      </c>
      <c r="H12" s="13" t="s">
        <v>2045</v>
      </c>
      <c r="I12" s="8" t="s">
        <v>2046</v>
      </c>
      <c r="J12" s="8" t="s">
        <v>54</v>
      </c>
      <c r="K12" s="7"/>
      <c r="L12" s="7"/>
      <c r="M12" s="12"/>
      <c r="N12" s="1199">
        <v>100</v>
      </c>
      <c r="O12" s="7"/>
      <c r="P12" s="7">
        <v>100</v>
      </c>
      <c r="Q12" s="74"/>
      <c r="R12" s="74"/>
      <c r="S12" s="7">
        <v>100</v>
      </c>
      <c r="T12" s="74"/>
      <c r="U12" s="74"/>
      <c r="V12" s="1200">
        <v>100</v>
      </c>
      <c r="W12" s="790" t="s">
        <v>2047</v>
      </c>
      <c r="X12" s="21"/>
      <c r="Y12" s="21"/>
      <c r="Z12" s="22" t="str">
        <f t="shared" si="0"/>
        <v xml:space="preserve"> </v>
      </c>
      <c r="AA12" s="58"/>
      <c r="AB12" s="24" t="str">
        <f t="shared" si="1"/>
        <v xml:space="preserve"> </v>
      </c>
      <c r="AC12" s="25" t="s">
        <v>2008</v>
      </c>
      <c r="AD12" s="21"/>
      <c r="AE12" s="21"/>
      <c r="AF12" s="22" t="str">
        <f t="shared" si="2"/>
        <v xml:space="preserve"> </v>
      </c>
      <c r="AG12" s="58"/>
      <c r="AH12" s="24" t="str">
        <f t="shared" si="3"/>
        <v xml:space="preserve"> </v>
      </c>
      <c r="AI12" s="25" t="s">
        <v>2008</v>
      </c>
      <c r="AJ12" s="21"/>
      <c r="AK12" s="21"/>
      <c r="AL12" s="22" t="str">
        <f>IF(AK12=0," ",AJ12/AK12)</f>
        <v xml:space="preserve"> </v>
      </c>
      <c r="AM12" s="58"/>
      <c r="AN12" s="24" t="str">
        <f>IF(AK12=0," ",AL12/AM12)</f>
        <v xml:space="preserve"> </v>
      </c>
      <c r="AO12" s="25" t="s">
        <v>2008</v>
      </c>
      <c r="AP12" s="21">
        <v>71</v>
      </c>
      <c r="AQ12" s="21">
        <v>109</v>
      </c>
      <c r="AR12" s="22">
        <f t="shared" si="4"/>
        <v>0.65137614678899081</v>
      </c>
      <c r="AS12" s="58">
        <v>1</v>
      </c>
      <c r="AT12" s="24">
        <f t="shared" si="5"/>
        <v>0.65137614678899081</v>
      </c>
      <c r="AU12" s="25" t="s">
        <v>2048</v>
      </c>
      <c r="AV12" s="21"/>
      <c r="AW12" s="21"/>
      <c r="AX12" s="22" t="str">
        <f>IF(AW12=0," ",AV12/AW12)</f>
        <v xml:space="preserve"> </v>
      </c>
      <c r="AY12" s="58"/>
      <c r="AZ12" s="24" t="str">
        <f>IF(AW12=0," ",AX12/AY12)</f>
        <v xml:space="preserve"> </v>
      </c>
      <c r="BA12" s="25" t="s">
        <v>2008</v>
      </c>
      <c r="BB12" s="21">
        <v>21</v>
      </c>
      <c r="BC12" s="21">
        <v>21</v>
      </c>
      <c r="BD12" s="22">
        <f>IF(BC12=0," ",BB12/BC12)</f>
        <v>1</v>
      </c>
      <c r="BE12" s="58">
        <v>1</v>
      </c>
      <c r="BF12" s="24">
        <f>IF(BC12=0," ",BD12/BE12)</f>
        <v>1</v>
      </c>
      <c r="BG12" s="25" t="s">
        <v>2049</v>
      </c>
      <c r="BH12" s="21"/>
      <c r="BI12" s="21"/>
      <c r="BJ12" s="22" t="str">
        <f t="shared" si="6"/>
        <v xml:space="preserve"> </v>
      </c>
      <c r="BK12" s="58"/>
      <c r="BL12" s="24" t="str">
        <f t="shared" si="7"/>
        <v xml:space="preserve"> </v>
      </c>
      <c r="BM12" s="25" t="s">
        <v>2008</v>
      </c>
      <c r="BN12" s="21"/>
      <c r="BO12" s="21"/>
      <c r="BP12" s="22" t="str">
        <f>IF(BO12=0," ",BN12/BO12)</f>
        <v xml:space="preserve"> </v>
      </c>
      <c r="BQ12" s="58"/>
      <c r="BR12" s="24" t="str">
        <f>IF(BO12=0," ",BP12/BQ12)</f>
        <v xml:space="preserve"> </v>
      </c>
      <c r="BS12" s="25" t="s">
        <v>2008</v>
      </c>
      <c r="BT12" s="21">
        <v>172</v>
      </c>
      <c r="BU12" s="21">
        <v>313</v>
      </c>
      <c r="BV12" s="22">
        <f>IF(BU12=0," ",BT12/BU12)</f>
        <v>0.54952076677316297</v>
      </c>
      <c r="BW12" s="58">
        <v>1</v>
      </c>
      <c r="BX12" s="24">
        <f>IF(BU12=0," ",BV12/BW12)</f>
        <v>0.54952076677316297</v>
      </c>
      <c r="BY12" s="25" t="s">
        <v>2050</v>
      </c>
      <c r="BZ12" s="21"/>
      <c r="CA12" s="21"/>
      <c r="CB12" s="22" t="str">
        <f t="shared" si="8"/>
        <v xml:space="preserve"> </v>
      </c>
      <c r="CC12" s="58"/>
      <c r="CD12" s="24" t="str">
        <f t="shared" si="9"/>
        <v xml:space="preserve"> </v>
      </c>
      <c r="CE12" s="25" t="s">
        <v>2008</v>
      </c>
      <c r="CF12" s="21"/>
      <c r="CG12" s="21"/>
      <c r="CH12" s="22" t="str">
        <f>IF(CG12=0," ",CF12/CG12)</f>
        <v xml:space="preserve"> </v>
      </c>
      <c r="CI12" s="58"/>
      <c r="CJ12" s="24" t="str">
        <f>IF(CG12=0," ",CH12/CI12)</f>
        <v xml:space="preserve"> </v>
      </c>
      <c r="CK12" s="25" t="s">
        <v>2008</v>
      </c>
      <c r="CL12" s="21">
        <v>316</v>
      </c>
      <c r="CM12" s="21">
        <v>363</v>
      </c>
      <c r="CN12" s="22">
        <f>IF(CM12=0," ",CL12/CM12)</f>
        <v>0.87052341597796146</v>
      </c>
      <c r="CO12" s="58">
        <v>1</v>
      </c>
      <c r="CP12" s="24">
        <f>IF(CM12=0," ",CN12/CO12)</f>
        <v>0.87052341597796146</v>
      </c>
      <c r="CQ12" s="25" t="s">
        <v>2051</v>
      </c>
      <c r="CR12" s="21">
        <v>316</v>
      </c>
      <c r="CS12" s="21">
        <v>363</v>
      </c>
      <c r="CT12" s="22">
        <f>IF(CS12=0," ",CR12/CS12)</f>
        <v>0.87052341597796146</v>
      </c>
      <c r="CU12" s="58">
        <v>1</v>
      </c>
      <c r="CV12" s="24">
        <f>IF(CS12=0," ",CT12/CU12)</f>
        <v>0.87052341597796146</v>
      </c>
      <c r="CW12" s="25" t="s">
        <v>2051</v>
      </c>
    </row>
    <row r="13" spans="1:101" ht="82.5" customHeight="1">
      <c r="A13" s="893"/>
      <c r="B13" s="8" t="s">
        <v>1355</v>
      </c>
      <c r="C13" s="9" t="s">
        <v>2052</v>
      </c>
      <c r="D13" s="13" t="s">
        <v>2053</v>
      </c>
      <c r="E13" s="13" t="s">
        <v>2054</v>
      </c>
      <c r="F13" s="8" t="s">
        <v>2055</v>
      </c>
      <c r="G13" s="8" t="s">
        <v>53</v>
      </c>
      <c r="H13" s="13" t="s">
        <v>2056</v>
      </c>
      <c r="I13" s="8" t="s">
        <v>2057</v>
      </c>
      <c r="J13" s="8" t="s">
        <v>54</v>
      </c>
      <c r="K13" s="7"/>
      <c r="L13" s="7"/>
      <c r="M13" s="12"/>
      <c r="N13" s="1201">
        <v>1</v>
      </c>
      <c r="O13" s="7"/>
      <c r="P13" s="7"/>
      <c r="Q13" s="74">
        <v>1</v>
      </c>
      <c r="R13" s="74"/>
      <c r="S13" s="7"/>
      <c r="T13" s="74">
        <v>1</v>
      </c>
      <c r="U13" s="74"/>
      <c r="V13" s="1202">
        <v>1</v>
      </c>
      <c r="W13" s="636" t="s">
        <v>2058</v>
      </c>
      <c r="X13" s="21"/>
      <c r="Y13" s="21"/>
      <c r="Z13" s="22" t="str">
        <f t="shared" si="0"/>
        <v xml:space="preserve"> </v>
      </c>
      <c r="AA13" s="58"/>
      <c r="AB13" s="24" t="str">
        <f t="shared" si="1"/>
        <v xml:space="preserve"> </v>
      </c>
      <c r="AC13" s="25" t="s">
        <v>2008</v>
      </c>
      <c r="AD13" s="21"/>
      <c r="AE13" s="21"/>
      <c r="AF13" s="22" t="str">
        <f t="shared" si="2"/>
        <v xml:space="preserve"> </v>
      </c>
      <c r="AG13" s="58"/>
      <c r="AH13" s="24" t="str">
        <f t="shared" si="3"/>
        <v xml:space="preserve"> </v>
      </c>
      <c r="AI13" s="25" t="s">
        <v>2008</v>
      </c>
      <c r="AJ13" s="21"/>
      <c r="AK13" s="21"/>
      <c r="AL13" s="22"/>
      <c r="AM13" s="58"/>
      <c r="AN13" s="24"/>
      <c r="AO13" s="25" t="s">
        <v>2008</v>
      </c>
      <c r="AP13" s="68">
        <v>45</v>
      </c>
      <c r="AQ13" s="68">
        <v>51</v>
      </c>
      <c r="AR13" s="22">
        <f t="shared" si="4"/>
        <v>0.88235294117647056</v>
      </c>
      <c r="AS13" s="58">
        <v>1</v>
      </c>
      <c r="AT13" s="24">
        <f t="shared" si="5"/>
        <v>0.88235294117647056</v>
      </c>
      <c r="AU13" s="25" t="s">
        <v>2059</v>
      </c>
      <c r="AV13" s="21"/>
      <c r="AW13" s="21"/>
      <c r="AX13" s="22"/>
      <c r="AY13" s="58"/>
      <c r="AZ13" s="24"/>
      <c r="BA13" s="25" t="s">
        <v>2008</v>
      </c>
      <c r="BB13" s="21"/>
      <c r="BC13" s="21"/>
      <c r="BD13" s="22"/>
      <c r="BE13" s="58"/>
      <c r="BF13" s="24"/>
      <c r="BG13" s="25" t="s">
        <v>2008</v>
      </c>
      <c r="BH13" s="21">
        <v>35</v>
      </c>
      <c r="BI13" s="21">
        <v>44</v>
      </c>
      <c r="BJ13" s="22">
        <f t="shared" si="6"/>
        <v>0.79545454545454541</v>
      </c>
      <c r="BK13" s="58">
        <v>1</v>
      </c>
      <c r="BL13" s="24">
        <f t="shared" si="7"/>
        <v>0.79545454545454541</v>
      </c>
      <c r="BM13" s="25" t="s">
        <v>2060</v>
      </c>
      <c r="BN13" s="21"/>
      <c r="BO13" s="21"/>
      <c r="BP13" s="22"/>
      <c r="BQ13" s="58"/>
      <c r="BR13" s="24"/>
      <c r="BS13" s="25" t="s">
        <v>2008</v>
      </c>
      <c r="BT13" s="21"/>
      <c r="BU13" s="21"/>
      <c r="BV13" s="22"/>
      <c r="BW13" s="58"/>
      <c r="BX13" s="24"/>
      <c r="BY13" s="25" t="s">
        <v>2008</v>
      </c>
      <c r="BZ13" s="21">
        <v>37</v>
      </c>
      <c r="CA13" s="21">
        <v>38</v>
      </c>
      <c r="CB13" s="22">
        <f t="shared" si="8"/>
        <v>0.97368421052631582</v>
      </c>
      <c r="CC13" s="58">
        <v>1</v>
      </c>
      <c r="CD13" s="24">
        <f t="shared" si="9"/>
        <v>0.97368421052631582</v>
      </c>
      <c r="CE13" s="25" t="s">
        <v>2061</v>
      </c>
      <c r="CF13" s="21"/>
      <c r="CG13" s="21"/>
      <c r="CH13" s="22"/>
      <c r="CI13" s="58"/>
      <c r="CJ13" s="24"/>
      <c r="CK13" s="25" t="s">
        <v>2008</v>
      </c>
      <c r="CL13" s="21">
        <v>25</v>
      </c>
      <c r="CM13" s="21">
        <v>25</v>
      </c>
      <c r="CN13" s="22">
        <f>IF(CM13=0," ",CL13/CM13)</f>
        <v>1</v>
      </c>
      <c r="CO13" s="58">
        <v>1</v>
      </c>
      <c r="CP13" s="24">
        <f>IF(CM13=0," ",CN13/CO13)</f>
        <v>1</v>
      </c>
      <c r="CQ13" s="25" t="s">
        <v>2062</v>
      </c>
      <c r="CR13" s="21">
        <v>36</v>
      </c>
      <c r="CS13" s="21">
        <v>40</v>
      </c>
      <c r="CT13" s="22">
        <f>IF(CS13=0," ",CR13/CS13)</f>
        <v>0.9</v>
      </c>
      <c r="CU13" s="58">
        <v>1</v>
      </c>
      <c r="CV13" s="24">
        <f>IF(CS13=0," ",CT13/CU13)</f>
        <v>0.9</v>
      </c>
      <c r="CW13" s="25" t="s">
        <v>2063</v>
      </c>
    </row>
    <row r="14" spans="1:101" ht="57" customHeight="1">
      <c r="A14" s="893"/>
      <c r="B14" s="8" t="s">
        <v>155</v>
      </c>
      <c r="C14" s="9" t="s">
        <v>2064</v>
      </c>
      <c r="D14" s="13" t="s">
        <v>2065</v>
      </c>
      <c r="E14" s="13" t="s">
        <v>2066</v>
      </c>
      <c r="F14" s="8" t="s">
        <v>2067</v>
      </c>
      <c r="G14" s="8" t="s">
        <v>53</v>
      </c>
      <c r="H14" s="13" t="s">
        <v>2068</v>
      </c>
      <c r="I14" s="8" t="s">
        <v>2069</v>
      </c>
      <c r="J14" s="8" t="s">
        <v>54</v>
      </c>
      <c r="K14" s="7"/>
      <c r="L14" s="7"/>
      <c r="M14" s="12"/>
      <c r="N14" s="1201">
        <v>1</v>
      </c>
      <c r="O14" s="7"/>
      <c r="P14" s="7"/>
      <c r="Q14" s="74">
        <v>1</v>
      </c>
      <c r="R14" s="74"/>
      <c r="S14" s="7"/>
      <c r="T14" s="74">
        <v>1</v>
      </c>
      <c r="U14" s="74"/>
      <c r="V14" s="1202">
        <v>1</v>
      </c>
      <c r="W14" s="636" t="s">
        <v>2070</v>
      </c>
      <c r="X14" s="21"/>
      <c r="Y14" s="21"/>
      <c r="Z14" s="22"/>
      <c r="AA14" s="58"/>
      <c r="AB14" s="24"/>
      <c r="AC14" s="25" t="s">
        <v>2008</v>
      </c>
      <c r="AD14" s="21"/>
      <c r="AE14" s="21"/>
      <c r="AF14" s="22"/>
      <c r="AG14" s="58"/>
      <c r="AH14" s="24"/>
      <c r="AI14" s="25" t="s">
        <v>2008</v>
      </c>
      <c r="AJ14" s="21"/>
      <c r="AK14" s="21"/>
      <c r="AL14" s="22"/>
      <c r="AM14" s="58"/>
      <c r="AN14" s="24"/>
      <c r="AO14" s="25" t="s">
        <v>2008</v>
      </c>
      <c r="AP14" s="21">
        <v>15</v>
      </c>
      <c r="AQ14" s="21">
        <v>41</v>
      </c>
      <c r="AR14" s="22">
        <f>IF(AQ14=0," ",AP14/AQ14)</f>
        <v>0.36585365853658536</v>
      </c>
      <c r="AS14" s="58">
        <v>0.25</v>
      </c>
      <c r="AT14" s="24">
        <f>IF(AQ14=0," ",AR14/AS14)</f>
        <v>1.4634146341463414</v>
      </c>
      <c r="AU14" s="25" t="s">
        <v>2071</v>
      </c>
      <c r="AV14" s="21"/>
      <c r="AW14" s="21"/>
      <c r="AX14" s="22"/>
      <c r="AY14" s="58"/>
      <c r="AZ14" s="24"/>
      <c r="BA14" s="25" t="s">
        <v>2008</v>
      </c>
      <c r="BB14" s="21"/>
      <c r="BC14" s="21"/>
      <c r="BD14" s="22"/>
      <c r="BE14" s="58"/>
      <c r="BF14" s="24"/>
      <c r="BG14" s="25" t="s">
        <v>2008</v>
      </c>
      <c r="BH14" s="21">
        <v>18</v>
      </c>
      <c r="BI14" s="21">
        <v>41</v>
      </c>
      <c r="BJ14" s="22">
        <f t="shared" si="6"/>
        <v>0.43902439024390244</v>
      </c>
      <c r="BK14" s="58">
        <v>0.5</v>
      </c>
      <c r="BL14" s="24">
        <f t="shared" si="7"/>
        <v>0.87804878048780488</v>
      </c>
      <c r="BM14" s="25" t="s">
        <v>2072</v>
      </c>
      <c r="BN14" s="21"/>
      <c r="BO14" s="21"/>
      <c r="BP14" s="22"/>
      <c r="BQ14" s="58"/>
      <c r="BR14" s="24"/>
      <c r="BS14" s="25" t="s">
        <v>2008</v>
      </c>
      <c r="BT14" s="21"/>
      <c r="BU14" s="21"/>
      <c r="BV14" s="22"/>
      <c r="BW14" s="58"/>
      <c r="BX14" s="24"/>
      <c r="BY14" s="25" t="s">
        <v>2008</v>
      </c>
      <c r="BZ14" s="21">
        <v>29</v>
      </c>
      <c r="CA14" s="21">
        <v>41</v>
      </c>
      <c r="CB14" s="22">
        <v>0.70731707317073167</v>
      </c>
      <c r="CC14" s="58">
        <v>1</v>
      </c>
      <c r="CD14" s="24">
        <f t="shared" si="9"/>
        <v>0.70731707317073167</v>
      </c>
      <c r="CE14" s="25" t="s">
        <v>2073</v>
      </c>
      <c r="CF14" s="21"/>
      <c r="CG14" s="21"/>
      <c r="CH14" s="22"/>
      <c r="CI14" s="58"/>
      <c r="CJ14" s="24"/>
      <c r="CK14" s="25" t="s">
        <v>2008</v>
      </c>
      <c r="CL14" s="21">
        <v>40</v>
      </c>
      <c r="CM14" s="21">
        <v>41</v>
      </c>
      <c r="CN14" s="22">
        <v>0.97560975609756095</v>
      </c>
      <c r="CO14" s="58">
        <v>1</v>
      </c>
      <c r="CP14" s="24">
        <v>0.97560975609756095</v>
      </c>
      <c r="CQ14" s="25" t="s">
        <v>2074</v>
      </c>
      <c r="CR14" s="21">
        <v>40</v>
      </c>
      <c r="CS14" s="21">
        <v>41</v>
      </c>
      <c r="CT14" s="22">
        <v>0.97560975609756095</v>
      </c>
      <c r="CU14" s="58">
        <v>1</v>
      </c>
      <c r="CV14" s="24">
        <v>0.97560975609756095</v>
      </c>
      <c r="CW14" s="25" t="s">
        <v>2074</v>
      </c>
    </row>
    <row r="15" spans="1:101" ht="14.25" customHeight="1">
      <c r="A15" s="893"/>
      <c r="B15" s="33"/>
      <c r="C15" s="34"/>
      <c r="D15" s="35"/>
      <c r="E15" s="35"/>
      <c r="F15" s="36"/>
      <c r="G15" s="36"/>
      <c r="H15" s="35" t="s">
        <v>49</v>
      </c>
      <c r="I15" s="36"/>
      <c r="J15" s="36"/>
      <c r="K15" s="37"/>
      <c r="L15" s="37"/>
      <c r="M15" s="38"/>
      <c r="N15" s="37"/>
      <c r="O15" s="37"/>
      <c r="P15" s="39"/>
      <c r="Q15" s="39"/>
      <c r="R15" s="39"/>
      <c r="S15" s="39"/>
      <c r="T15" s="39"/>
      <c r="U15" s="39"/>
      <c r="V15" s="39"/>
      <c r="W15" s="48"/>
      <c r="X15" s="709"/>
      <c r="Y15" s="709"/>
      <c r="Z15" s="22"/>
      <c r="AA15" s="24"/>
      <c r="AB15" s="24"/>
      <c r="AC15" s="1203"/>
      <c r="AD15" s="1203"/>
      <c r="AE15" s="709"/>
      <c r="AF15" s="709"/>
      <c r="AG15" s="22"/>
      <c r="AH15" s="24"/>
      <c r="AI15" s="24"/>
      <c r="AJ15" s="1203"/>
      <c r="AK15" s="709"/>
      <c r="AL15" s="709"/>
      <c r="AM15" s="22"/>
      <c r="AN15" s="24"/>
      <c r="AO15" s="24"/>
      <c r="AP15" s="709"/>
      <c r="AQ15" s="709"/>
      <c r="AR15" s="22"/>
      <c r="AS15" s="24"/>
      <c r="AT15" s="24"/>
      <c r="AU15" s="710"/>
      <c r="AV15" s="1203"/>
      <c r="AW15" s="709"/>
      <c r="AX15" s="709"/>
      <c r="AY15" s="22"/>
      <c r="AZ15" s="24"/>
      <c r="BA15" s="24"/>
      <c r="BB15" s="709"/>
      <c r="BC15" s="709"/>
      <c r="BD15" s="22"/>
      <c r="BE15" s="24"/>
      <c r="BF15" s="24"/>
      <c r="BG15" s="710"/>
      <c r="BH15" s="1203"/>
      <c r="BI15" s="709"/>
      <c r="BJ15" s="709"/>
      <c r="BK15" s="22"/>
      <c r="BL15" s="24"/>
      <c r="BM15" s="24"/>
      <c r="BN15" s="709"/>
      <c r="BO15" s="709"/>
      <c r="BP15" s="22"/>
      <c r="BQ15" s="24"/>
      <c r="BR15" s="24"/>
      <c r="BS15" s="710"/>
      <c r="BT15" s="1203"/>
      <c r="BU15" s="709"/>
      <c r="BV15" s="709"/>
      <c r="BW15" s="22"/>
      <c r="BX15" s="24"/>
      <c r="BY15" s="24"/>
      <c r="BZ15" s="709"/>
      <c r="CA15" s="709"/>
      <c r="CB15" s="22"/>
      <c r="CC15" s="24"/>
      <c r="CD15" s="24"/>
      <c r="CE15" s="710"/>
      <c r="CF15" s="1203"/>
      <c r="CG15" s="709"/>
      <c r="CH15" s="709"/>
      <c r="CI15" s="22"/>
      <c r="CJ15" s="24"/>
      <c r="CK15" s="24"/>
      <c r="CL15" s="709"/>
      <c r="CM15" s="709"/>
      <c r="CN15" s="22"/>
      <c r="CO15" s="24"/>
      <c r="CP15" s="24"/>
      <c r="CQ15" s="710"/>
      <c r="CR15" s="1203"/>
      <c r="CS15" s="709"/>
      <c r="CT15" s="709"/>
      <c r="CU15" s="22"/>
      <c r="CV15" s="24"/>
      <c r="CW15" s="24"/>
    </row>
    <row r="16" spans="1:101" ht="84.75" customHeight="1">
      <c r="A16" s="893"/>
      <c r="B16" s="8" t="s">
        <v>55</v>
      </c>
      <c r="C16" s="8" t="s">
        <v>89</v>
      </c>
      <c r="D16" s="8" t="s">
        <v>56</v>
      </c>
      <c r="E16" s="8" t="s">
        <v>57</v>
      </c>
      <c r="F16" s="8" t="s">
        <v>58</v>
      </c>
      <c r="G16" s="8" t="s">
        <v>53</v>
      </c>
      <c r="H16" s="8" t="s">
        <v>59</v>
      </c>
      <c r="I16" s="8" t="s">
        <v>60</v>
      </c>
      <c r="J16" s="135" t="s">
        <v>54</v>
      </c>
      <c r="K16" s="7"/>
      <c r="L16" s="7"/>
      <c r="M16" s="12">
        <v>1</v>
      </c>
      <c r="N16" s="7"/>
      <c r="O16" s="7"/>
      <c r="P16" s="12">
        <v>1</v>
      </c>
      <c r="Q16" s="12"/>
      <c r="R16" s="7"/>
      <c r="S16" s="12">
        <v>1</v>
      </c>
      <c r="T16" s="12"/>
      <c r="U16" s="7"/>
      <c r="V16" s="1204">
        <v>1</v>
      </c>
      <c r="W16" s="8" t="s">
        <v>2075</v>
      </c>
      <c r="X16" s="21"/>
      <c r="Y16" s="21"/>
      <c r="Z16" s="22" t="str">
        <f>IF(Y16=0," ",X16/Y16)</f>
        <v xml:space="preserve"> </v>
      </c>
      <c r="AA16" s="58"/>
      <c r="AB16" s="24" t="str">
        <f>IF(Y16=0," ",Z16/AA16)</f>
        <v xml:space="preserve"> </v>
      </c>
      <c r="AC16" s="25" t="s">
        <v>2008</v>
      </c>
      <c r="AD16" s="21"/>
      <c r="AE16" s="21"/>
      <c r="AF16" s="22" t="str">
        <f>IF(AE16=0," ",AD16/AE16)</f>
        <v xml:space="preserve"> </v>
      </c>
      <c r="AG16" s="58"/>
      <c r="AH16" s="24" t="str">
        <f>IF(AE16=0," ",AF16/AG16)</f>
        <v xml:space="preserve"> </v>
      </c>
      <c r="AI16" s="25" t="s">
        <v>2008</v>
      </c>
      <c r="AJ16" s="21" t="s">
        <v>957</v>
      </c>
      <c r="AK16" s="21">
        <v>1</v>
      </c>
      <c r="AL16" s="22">
        <f>IF(AK16=0," ",AJ16/AK16)</f>
        <v>0</v>
      </c>
      <c r="AM16" s="58">
        <v>1</v>
      </c>
      <c r="AN16" s="24">
        <f>IF(AK16=0," ",AL16/AM16)</f>
        <v>0</v>
      </c>
      <c r="AO16" s="215" t="s">
        <v>1509</v>
      </c>
      <c r="AP16" s="21"/>
      <c r="AQ16" s="21"/>
      <c r="AR16" s="22" t="str">
        <f>IF(AQ16=0," ",AP16/AQ16)</f>
        <v xml:space="preserve"> </v>
      </c>
      <c r="AS16" s="58"/>
      <c r="AT16" s="24" t="str">
        <f>IF(AQ16=0," ",AR16/AS16)</f>
        <v xml:space="preserve"> </v>
      </c>
      <c r="AU16" s="25" t="s">
        <v>2008</v>
      </c>
      <c r="AV16" s="21"/>
      <c r="AW16" s="21"/>
      <c r="AX16" s="22" t="str">
        <f>IF(AW16=0," ",AV16/AW16)</f>
        <v xml:space="preserve"> </v>
      </c>
      <c r="AY16" s="58"/>
      <c r="AZ16" s="24" t="str">
        <f>IF(AW16=0," ",AX16/AY16)</f>
        <v xml:space="preserve"> </v>
      </c>
      <c r="BA16" s="25" t="s">
        <v>2008</v>
      </c>
      <c r="BB16" s="21" t="s">
        <v>957</v>
      </c>
      <c r="BC16" s="568">
        <v>1</v>
      </c>
      <c r="BD16" s="22">
        <v>0</v>
      </c>
      <c r="BE16" s="23">
        <v>1</v>
      </c>
      <c r="BF16" s="24">
        <v>0</v>
      </c>
      <c r="BG16" s="215" t="s">
        <v>2076</v>
      </c>
      <c r="BH16" s="21"/>
      <c r="BI16" s="21"/>
      <c r="BJ16" s="22" t="str">
        <f>IF(BI16=0," ",BH16/BI16)</f>
        <v xml:space="preserve"> </v>
      </c>
      <c r="BK16" s="58"/>
      <c r="BL16" s="24" t="str">
        <f>IF(BI16=0," ",BJ16/BK16)</f>
        <v xml:space="preserve"> </v>
      </c>
      <c r="BM16" s="25" t="s">
        <v>2008</v>
      </c>
      <c r="BN16" s="21"/>
      <c r="BO16" s="21"/>
      <c r="BP16" s="22" t="str">
        <f>IF(BO16=0," ",BN16/BO16)</f>
        <v xml:space="preserve"> </v>
      </c>
      <c r="BQ16" s="58"/>
      <c r="BR16" s="24" t="str">
        <f>IF(BO16=0," ",BP16/BQ16)</f>
        <v xml:space="preserve"> </v>
      </c>
      <c r="BS16" s="25" t="s">
        <v>2008</v>
      </c>
      <c r="BT16" s="231" t="str">
        <f>'[18]Consolidado Resultados'!C12</f>
        <v>0 %</v>
      </c>
      <c r="BU16" s="568">
        <v>1</v>
      </c>
      <c r="BV16" s="22">
        <f>IF(BU16=0," ",BT16/BU16)</f>
        <v>0</v>
      </c>
      <c r="BW16" s="58">
        <v>1</v>
      </c>
      <c r="BX16" s="24">
        <f>IF(BU16=0," ",BV16/BW16)</f>
        <v>0</v>
      </c>
      <c r="BY16" s="25"/>
      <c r="BZ16" s="21"/>
      <c r="CA16" s="21"/>
      <c r="CB16" s="22" t="str">
        <f>IF(CA16=0," ",BZ16/CA16)</f>
        <v xml:space="preserve"> </v>
      </c>
      <c r="CC16" s="58"/>
      <c r="CD16" s="24" t="str">
        <f>IF(CA16=0," ",CB16/CC16)</f>
        <v xml:space="preserve"> </v>
      </c>
      <c r="CE16" s="25" t="s">
        <v>2008</v>
      </c>
      <c r="CF16" s="21"/>
      <c r="CG16" s="21"/>
      <c r="CH16" s="22" t="str">
        <f>IF(CG16=0," ",CF16/CG16)</f>
        <v xml:space="preserve"> </v>
      </c>
      <c r="CI16" s="58"/>
      <c r="CJ16" s="24" t="str">
        <f>IF(CG16=0," ",CH16/CI16)</f>
        <v xml:space="preserve"> </v>
      </c>
      <c r="CK16" s="25" t="s">
        <v>2008</v>
      </c>
      <c r="CL16" s="231" t="str">
        <f>'[19]Consolidado Resultados'!C12</f>
        <v>100 %</v>
      </c>
      <c r="CM16" s="568">
        <v>1</v>
      </c>
      <c r="CN16" s="22">
        <f>IF(CM16=0," ",CL16/CM16)</f>
        <v>1</v>
      </c>
      <c r="CO16" s="23">
        <v>1</v>
      </c>
      <c r="CP16" s="24">
        <f>IF(CM16=0," ",CN16/CO16)</f>
        <v>1</v>
      </c>
      <c r="CQ16" s="25" t="s">
        <v>326</v>
      </c>
      <c r="CR16" s="653">
        <v>25</v>
      </c>
      <c r="CS16" s="21">
        <v>100</v>
      </c>
      <c r="CT16" s="22">
        <f>IF(CS16=0," ",CR16/CS16)</f>
        <v>0.25</v>
      </c>
      <c r="CU16" s="23">
        <v>1</v>
      </c>
      <c r="CV16" s="24">
        <f>IF(CS16=0," ",CT16/CU16)</f>
        <v>0.25</v>
      </c>
      <c r="CW16" s="25" t="s">
        <v>327</v>
      </c>
    </row>
    <row r="17" spans="1:101" ht="84.75" customHeight="1">
      <c r="A17" s="893"/>
      <c r="B17" s="8"/>
      <c r="C17" s="8" t="s">
        <v>156</v>
      </c>
      <c r="D17" s="13" t="s">
        <v>157</v>
      </c>
      <c r="E17" s="13" t="s">
        <v>158</v>
      </c>
      <c r="F17" s="8" t="s">
        <v>159</v>
      </c>
      <c r="G17" s="8" t="s">
        <v>53</v>
      </c>
      <c r="H17" s="13" t="s">
        <v>160</v>
      </c>
      <c r="I17" s="8" t="s">
        <v>161</v>
      </c>
      <c r="J17" s="8" t="s">
        <v>161</v>
      </c>
      <c r="K17" s="7"/>
      <c r="L17" s="7"/>
      <c r="M17" s="12"/>
      <c r="N17" s="7"/>
      <c r="O17" s="7"/>
      <c r="P17" s="12"/>
      <c r="Q17" s="12"/>
      <c r="R17" s="7"/>
      <c r="S17" s="12"/>
      <c r="T17" s="12"/>
      <c r="U17" s="7"/>
      <c r="V17" s="1204">
        <v>1</v>
      </c>
      <c r="W17" s="9" t="s">
        <v>2077</v>
      </c>
      <c r="X17" s="21"/>
      <c r="Y17" s="21"/>
      <c r="Z17" s="694"/>
      <c r="AA17" s="58"/>
      <c r="AB17" s="24"/>
      <c r="AC17" s="25"/>
      <c r="AD17" s="21"/>
      <c r="AE17" s="21"/>
      <c r="AF17" s="694"/>
      <c r="AG17" s="58"/>
      <c r="AH17" s="24"/>
      <c r="AI17" s="25"/>
      <c r="AJ17" s="21"/>
      <c r="AK17" s="21"/>
      <c r="AL17" s="694"/>
      <c r="AM17" s="58"/>
      <c r="AN17" s="24"/>
      <c r="AO17" s="215"/>
      <c r="AP17" s="21"/>
      <c r="AQ17" s="21"/>
      <c r="AR17" s="694"/>
      <c r="AS17" s="58"/>
      <c r="AT17" s="24"/>
      <c r="AU17" s="25"/>
      <c r="AV17" s="21"/>
      <c r="AW17" s="21"/>
      <c r="AX17" s="694"/>
      <c r="AY17" s="58"/>
      <c r="AZ17" s="24"/>
      <c r="BA17" s="25"/>
      <c r="BB17" s="21"/>
      <c r="BC17" s="568"/>
      <c r="BD17" s="694"/>
      <c r="BE17" s="58"/>
      <c r="BF17" s="24"/>
      <c r="BG17" s="215"/>
      <c r="BH17" s="21"/>
      <c r="BI17" s="21"/>
      <c r="BJ17" s="694"/>
      <c r="BK17" s="58"/>
      <c r="BL17" s="24"/>
      <c r="BM17" s="25"/>
      <c r="BN17" s="21"/>
      <c r="BO17" s="21"/>
      <c r="BP17" s="694"/>
      <c r="BQ17" s="58"/>
      <c r="BR17" s="24"/>
      <c r="BS17" s="25"/>
      <c r="BT17" s="1205"/>
      <c r="BU17" s="568"/>
      <c r="BV17" s="694"/>
      <c r="BW17" s="58"/>
      <c r="BX17" s="24"/>
      <c r="BY17" s="25"/>
      <c r="BZ17" s="21"/>
      <c r="CA17" s="21"/>
      <c r="CB17" s="694"/>
      <c r="CC17" s="58"/>
      <c r="CD17" s="24"/>
      <c r="CE17" s="25"/>
      <c r="CF17" s="21"/>
      <c r="CG17" s="21"/>
      <c r="CH17" s="694"/>
      <c r="CI17" s="58"/>
      <c r="CJ17" s="24"/>
      <c r="CK17" s="25"/>
      <c r="CL17" s="117">
        <v>39</v>
      </c>
      <c r="CM17" s="117">
        <v>43</v>
      </c>
      <c r="CN17" s="694">
        <f>IF(CM17=0," ",CL17/CM17)</f>
        <v>0.90697674418604646</v>
      </c>
      <c r="CO17" s="58">
        <v>1</v>
      </c>
      <c r="CP17" s="24">
        <f>IF(CM17=0," ",CN17/CO17)</f>
        <v>0.90697674418604646</v>
      </c>
      <c r="CQ17" s="116" t="s">
        <v>2078</v>
      </c>
      <c r="CR17" s="117">
        <v>39</v>
      </c>
      <c r="CS17" s="712">
        <v>43</v>
      </c>
      <c r="CT17" s="694">
        <f>IF(CS17=0," ",CR17/CS17)</f>
        <v>0.90697674418604646</v>
      </c>
      <c r="CU17" s="58">
        <v>1</v>
      </c>
      <c r="CV17" s="24">
        <f>IF(CS17=0," ",CT17/CU17)</f>
        <v>0.90697674418604646</v>
      </c>
      <c r="CW17" s="116" t="s">
        <v>2078</v>
      </c>
    </row>
    <row r="18" spans="1:101" ht="91.5" customHeight="1">
      <c r="A18" s="1196"/>
      <c r="B18" s="8" t="s">
        <v>55</v>
      </c>
      <c r="C18" s="8" t="s">
        <v>88</v>
      </c>
      <c r="D18" s="8" t="s">
        <v>61</v>
      </c>
      <c r="E18" s="8" t="s">
        <v>57</v>
      </c>
      <c r="F18" s="8" t="s">
        <v>62</v>
      </c>
      <c r="G18" s="8" t="s">
        <v>53</v>
      </c>
      <c r="H18" s="8" t="s">
        <v>63</v>
      </c>
      <c r="I18" s="8" t="s">
        <v>64</v>
      </c>
      <c r="J18" s="135" t="s">
        <v>54</v>
      </c>
      <c r="K18" s="713"/>
      <c r="L18" s="714">
        <v>1</v>
      </c>
      <c r="M18" s="714"/>
      <c r="N18" s="1206">
        <v>1</v>
      </c>
      <c r="O18" s="713"/>
      <c r="P18" s="60">
        <v>1</v>
      </c>
      <c r="Q18" s="715"/>
      <c r="R18" s="60">
        <v>1</v>
      </c>
      <c r="S18" s="715"/>
      <c r="T18" s="60">
        <v>1</v>
      </c>
      <c r="U18" s="716"/>
      <c r="V18" s="1207">
        <v>1</v>
      </c>
      <c r="W18" s="1208" t="s">
        <v>2075</v>
      </c>
      <c r="X18" s="21"/>
      <c r="Y18" s="21"/>
      <c r="Z18" s="22" t="str">
        <f>IF(Y18=0," ",X18/Y18)</f>
        <v xml:space="preserve"> </v>
      </c>
      <c r="AA18" s="58"/>
      <c r="AB18" s="24" t="str">
        <f>IF(Y18=0," ",Z18/AA18)</f>
        <v xml:space="preserve"> </v>
      </c>
      <c r="AC18" s="1205" t="s">
        <v>1280</v>
      </c>
      <c r="AD18" s="21"/>
      <c r="AE18" s="21"/>
      <c r="AF18" s="22" t="str">
        <f>IF(AE18=0," ",AD18/AE18)</f>
        <v xml:space="preserve"> </v>
      </c>
      <c r="AG18" s="58"/>
      <c r="AH18" s="24" t="str">
        <f>IF(AE18=0," ",AF18/AG18)</f>
        <v xml:space="preserve"> </v>
      </c>
      <c r="AI18" s="695" t="s">
        <v>148</v>
      </c>
      <c r="AJ18" s="21"/>
      <c r="AK18" s="21"/>
      <c r="AL18" s="22" t="str">
        <f>IF(AK18=0," ",AJ18/AK18)</f>
        <v xml:space="preserve"> </v>
      </c>
      <c r="AM18" s="58"/>
      <c r="AN18" s="24" t="str">
        <f>IF(AK18=0," ",AL18/AM18)</f>
        <v xml:space="preserve"> </v>
      </c>
      <c r="AO18" s="1205" t="s">
        <v>1280</v>
      </c>
      <c r="AP18" s="21"/>
      <c r="AQ18" s="21"/>
      <c r="AR18" s="22" t="str">
        <f>IF(AQ18=0," ",AP18/AQ18)</f>
        <v xml:space="preserve"> </v>
      </c>
      <c r="AS18" s="58"/>
      <c r="AT18" s="24" t="str">
        <f>IF(AQ18=0," ",AR18/AS18)</f>
        <v xml:space="preserve"> </v>
      </c>
      <c r="AU18" s="695" t="s">
        <v>148</v>
      </c>
      <c r="AV18" s="21"/>
      <c r="AW18" s="21"/>
      <c r="AX18" s="22" t="str">
        <f>IF(AW18=0," ",AV18/AW18)</f>
        <v xml:space="preserve"> </v>
      </c>
      <c r="AY18" s="58"/>
      <c r="AZ18" s="24" t="str">
        <f>IF(AW18=0," ",AX18/AY18)</f>
        <v xml:space="preserve"> </v>
      </c>
      <c r="BA18" s="25" t="s">
        <v>2008</v>
      </c>
      <c r="BB18" s="1209">
        <v>100</v>
      </c>
      <c r="BC18" s="1210">
        <v>100</v>
      </c>
      <c r="BD18" s="22">
        <f>IF(BC18=0," ",BB18/BC18)</f>
        <v>1</v>
      </c>
      <c r="BE18" s="58">
        <v>1</v>
      </c>
      <c r="BF18" s="24">
        <f>IF(BC18=0," ",BD18/BE18)</f>
        <v>1</v>
      </c>
      <c r="BG18" s="215" t="s">
        <v>972</v>
      </c>
      <c r="BH18" s="21"/>
      <c r="BI18" s="21"/>
      <c r="BJ18" s="22" t="str">
        <f>IF(BI18=0," ",BH18/BI18)</f>
        <v xml:space="preserve"> </v>
      </c>
      <c r="BK18" s="58"/>
      <c r="BL18" s="24" t="str">
        <f>IF(BI18=0," ",BJ18/BK18)</f>
        <v xml:space="preserve"> </v>
      </c>
      <c r="BM18" s="25" t="s">
        <v>2008</v>
      </c>
      <c r="BN18" s="657" t="s">
        <v>325</v>
      </c>
      <c r="BO18" s="658"/>
      <c r="BP18" s="281" t="str">
        <f>IF(BO18=0," ",BN18/BO18)</f>
        <v xml:space="preserve"> </v>
      </c>
      <c r="BQ18" s="660" t="s">
        <v>325</v>
      </c>
      <c r="BR18" s="1211" t="str">
        <f>IF(BO18=0," ",BP18/BQ18)</f>
        <v xml:space="preserve"> </v>
      </c>
      <c r="BS18" s="241" t="s">
        <v>148</v>
      </c>
      <c r="BT18" s="21"/>
      <c r="BU18" s="21"/>
      <c r="BV18" s="22" t="str">
        <f>IF(BU18=0," ",BT18/BU18)</f>
        <v xml:space="preserve"> </v>
      </c>
      <c r="BW18" s="58"/>
      <c r="BX18" s="24" t="str">
        <f>IF(BU18=0," ",BV18/BW18)</f>
        <v xml:space="preserve"> </v>
      </c>
      <c r="BY18" s="25" t="s">
        <v>2008</v>
      </c>
      <c r="BZ18" s="657" t="s">
        <v>325</v>
      </c>
      <c r="CA18" s="658"/>
      <c r="CB18" s="281" t="str">
        <f>IF(CA18=0," ",BZ18/CA18)</f>
        <v xml:space="preserve"> </v>
      </c>
      <c r="CC18" s="660" t="s">
        <v>325</v>
      </c>
      <c r="CD18" s="1211" t="str">
        <f>IF(CA18=0," ",CB18/CC18)</f>
        <v xml:space="preserve"> </v>
      </c>
      <c r="CE18" s="241" t="s">
        <v>148</v>
      </c>
      <c r="CF18" s="21"/>
      <c r="CG18" s="21"/>
      <c r="CH18" s="22" t="str">
        <f>IF(CG18=0," ",CF18/CG18)</f>
        <v xml:space="preserve"> </v>
      </c>
      <c r="CI18" s="58"/>
      <c r="CJ18" s="24" t="str">
        <f>IF(CG18=0," ",CH18/CI18)</f>
        <v xml:space="preserve"> </v>
      </c>
      <c r="CK18" s="25" t="s">
        <v>2008</v>
      </c>
      <c r="CL18" s="657" t="s">
        <v>325</v>
      </c>
      <c r="CM18" s="658"/>
      <c r="CN18" s="281" t="str">
        <f>IF(CM18=0," ",CL18/CM18)</f>
        <v xml:space="preserve"> </v>
      </c>
      <c r="CO18" s="660" t="s">
        <v>325</v>
      </c>
      <c r="CP18" s="1211" t="str">
        <f>IF(CM18=0," ",CN18/CO18)</f>
        <v xml:space="preserve"> </v>
      </c>
      <c r="CQ18" s="241" t="s">
        <v>162</v>
      </c>
      <c r="CR18" s="21"/>
      <c r="CS18" s="21"/>
      <c r="CT18" s="22" t="str">
        <f>IF(CS18=0," ",CR18/CS18)</f>
        <v xml:space="preserve"> </v>
      </c>
      <c r="CU18" s="58"/>
      <c r="CV18" s="24">
        <v>1</v>
      </c>
      <c r="CW18" s="25"/>
    </row>
    <row r="19" spans="1:101" ht="60" customHeight="1">
      <c r="A19" s="893"/>
      <c r="B19" s="8" t="s">
        <v>67</v>
      </c>
      <c r="C19" s="790" t="s">
        <v>90</v>
      </c>
      <c r="D19" s="790" t="s">
        <v>93</v>
      </c>
      <c r="E19" s="790" t="s">
        <v>68</v>
      </c>
      <c r="F19" s="790" t="s">
        <v>69</v>
      </c>
      <c r="G19" s="790" t="s">
        <v>53</v>
      </c>
      <c r="H19" s="790" t="s">
        <v>70</v>
      </c>
      <c r="I19" s="790" t="s">
        <v>71</v>
      </c>
      <c r="J19" s="790" t="s">
        <v>54</v>
      </c>
      <c r="K19" s="1212"/>
      <c r="L19" s="1213"/>
      <c r="M19" s="1213"/>
      <c r="N19" s="1213"/>
      <c r="O19" s="1213"/>
      <c r="P19" s="1213"/>
      <c r="Q19" s="1213"/>
      <c r="R19" s="1213" t="s">
        <v>2079</v>
      </c>
      <c r="S19" s="1213"/>
      <c r="T19" s="1213" t="s">
        <v>2079</v>
      </c>
      <c r="U19" s="1213"/>
      <c r="V19" s="1214" t="s">
        <v>2079</v>
      </c>
      <c r="W19" s="790" t="s">
        <v>2077</v>
      </c>
      <c r="X19" s="21"/>
      <c r="Y19" s="21"/>
      <c r="Z19" s="22" t="str">
        <f>IF(Y19=0," ",X19/Y19)</f>
        <v xml:space="preserve"> </v>
      </c>
      <c r="AA19" s="58"/>
      <c r="AB19" s="24" t="str">
        <f>IF(Y19=0," ",Z19/AA19)</f>
        <v xml:space="preserve"> </v>
      </c>
      <c r="AC19" s="25" t="s">
        <v>2008</v>
      </c>
      <c r="AD19" s="21"/>
      <c r="AE19" s="21"/>
      <c r="AF19" s="22" t="str">
        <f>IF(AE19=0," ",AD19/AE19)</f>
        <v xml:space="preserve"> </v>
      </c>
      <c r="AG19" s="58"/>
      <c r="AH19" s="24" t="str">
        <f>IF(AE19=0," ",AF19/AG19)</f>
        <v xml:space="preserve"> </v>
      </c>
      <c r="AI19" s="25" t="s">
        <v>2008</v>
      </c>
      <c r="AJ19" s="21"/>
      <c r="AK19" s="21"/>
      <c r="AL19" s="22" t="str">
        <f>IF(AK19=0," ",AJ19/AK19)</f>
        <v xml:space="preserve"> </v>
      </c>
      <c r="AM19" s="58"/>
      <c r="AN19" s="24" t="str">
        <f>IF(AK19=0," ",AL19/AM19)</f>
        <v xml:space="preserve"> </v>
      </c>
      <c r="AO19" s="25" t="s">
        <v>2008</v>
      </c>
      <c r="AP19" s="21"/>
      <c r="AQ19" s="21"/>
      <c r="AR19" s="22" t="str">
        <f>IF(AQ19=0," ",AP19/AQ19)</f>
        <v xml:space="preserve"> </v>
      </c>
      <c r="AS19" s="58"/>
      <c r="AT19" s="24" t="str">
        <f>IF(AQ19=0," ",AR19/AS19)</f>
        <v xml:space="preserve"> </v>
      </c>
      <c r="AU19" s="25" t="s">
        <v>2008</v>
      </c>
      <c r="AV19" s="21"/>
      <c r="AW19" s="21"/>
      <c r="AX19" s="22" t="str">
        <f>IF(AW19=0," ",AV19/AW19)</f>
        <v xml:space="preserve"> </v>
      </c>
      <c r="AY19" s="58"/>
      <c r="AZ19" s="24" t="str">
        <f>IF(AW19=0," ",AX19/AY19)</f>
        <v xml:space="preserve"> </v>
      </c>
      <c r="BA19" s="25" t="s">
        <v>2008</v>
      </c>
      <c r="BB19" s="21"/>
      <c r="BC19" s="21"/>
      <c r="BD19" s="22" t="str">
        <f>IF(BC19=0," ",BB19/BC19)</f>
        <v xml:space="preserve"> </v>
      </c>
      <c r="BE19" s="58"/>
      <c r="BF19" s="24" t="str">
        <f>IF(BC19=0," ",BD19/BE19)</f>
        <v xml:space="preserve"> </v>
      </c>
      <c r="BG19" s="25" t="s">
        <v>2008</v>
      </c>
      <c r="BH19" s="21"/>
      <c r="BI19" s="21"/>
      <c r="BJ19" s="22" t="str">
        <f>IF(BI19=0," ",BH19/BI19)</f>
        <v xml:space="preserve"> </v>
      </c>
      <c r="BK19" s="58"/>
      <c r="BL19" s="24" t="str">
        <f>IF(BI19=0," ",BJ19/BK19)</f>
        <v xml:space="preserve"> </v>
      </c>
      <c r="BM19" s="25" t="s">
        <v>2008</v>
      </c>
      <c r="BN19" s="21"/>
      <c r="BO19" s="21"/>
      <c r="BP19" s="22" t="str">
        <f>IF(BO19=0," ",BN19/BO19)</f>
        <v xml:space="preserve"> </v>
      </c>
      <c r="BQ19" s="58"/>
      <c r="BR19" s="24" t="str">
        <f>IF(BO19=0," ",BP19/BQ19)</f>
        <v xml:space="preserve"> </v>
      </c>
      <c r="BS19" s="25" t="s">
        <v>2008</v>
      </c>
      <c r="BT19" s="21"/>
      <c r="BU19" s="21"/>
      <c r="BV19" s="22" t="str">
        <f>IF(BU19=0," ",BT19/BU19)</f>
        <v xml:space="preserve"> </v>
      </c>
      <c r="BW19" s="58"/>
      <c r="BX19" s="24" t="str">
        <f>IF(BU19=0," ",BV19/BW19)</f>
        <v xml:space="preserve"> </v>
      </c>
      <c r="BY19" s="25" t="s">
        <v>2008</v>
      </c>
      <c r="BZ19" s="21">
        <v>0</v>
      </c>
      <c r="CA19" s="21">
        <v>0</v>
      </c>
      <c r="CB19" s="22" t="str">
        <f>IF(CA19=0," ",BZ19/CA19)</f>
        <v xml:space="preserve"> </v>
      </c>
      <c r="CC19" s="58"/>
      <c r="CD19" s="24" t="str">
        <f>IF(CA19=0," ",CB19/CC19)</f>
        <v xml:space="preserve"> </v>
      </c>
      <c r="CE19" s="25" t="s">
        <v>2080</v>
      </c>
      <c r="CF19" s="21"/>
      <c r="CG19" s="21"/>
      <c r="CH19" s="22" t="str">
        <f>IF(CG19=0," ",CF19/CG19)</f>
        <v xml:space="preserve"> </v>
      </c>
      <c r="CI19" s="58"/>
      <c r="CJ19" s="24" t="str">
        <f>IF(CG19=0," ",CH19/CI19)</f>
        <v xml:space="preserve"> </v>
      </c>
      <c r="CK19" s="25" t="s">
        <v>2008</v>
      </c>
      <c r="CL19" s="21">
        <v>19140000</v>
      </c>
      <c r="CM19" s="21">
        <v>19140000</v>
      </c>
      <c r="CN19" s="22">
        <f>IF(CM19=0," ",CL19/CM19)</f>
        <v>1</v>
      </c>
      <c r="CO19" s="58">
        <v>1</v>
      </c>
      <c r="CP19" s="24">
        <f>IF(CM19=0," ",CN19/CO19)</f>
        <v>1</v>
      </c>
      <c r="CQ19" s="25" t="s">
        <v>2081</v>
      </c>
      <c r="CR19" s="21">
        <v>19140000</v>
      </c>
      <c r="CS19" s="21">
        <v>19140000</v>
      </c>
      <c r="CT19" s="22">
        <f>IF(CS19=0," ",CR19/CS19)</f>
        <v>1</v>
      </c>
      <c r="CU19" s="58">
        <v>1</v>
      </c>
      <c r="CV19" s="24">
        <v>1</v>
      </c>
      <c r="CW19" s="25" t="s">
        <v>2082</v>
      </c>
    </row>
    <row r="20" spans="1:101" ht="88.5" customHeight="1">
      <c r="A20" s="895"/>
      <c r="B20" s="8" t="s">
        <v>81</v>
      </c>
      <c r="C20" s="8" t="s">
        <v>92</v>
      </c>
      <c r="D20" s="1136" t="s">
        <v>83</v>
      </c>
      <c r="E20" s="8" t="s">
        <v>84</v>
      </c>
      <c r="F20" s="8" t="s">
        <v>82</v>
      </c>
      <c r="G20" s="8" t="s">
        <v>66</v>
      </c>
      <c r="H20" s="8" t="s">
        <v>1323</v>
      </c>
      <c r="I20" s="8" t="s">
        <v>85</v>
      </c>
      <c r="J20" s="8" t="s">
        <v>54</v>
      </c>
      <c r="K20" s="12"/>
      <c r="L20" s="12"/>
      <c r="M20" s="12">
        <v>1</v>
      </c>
      <c r="N20" s="12"/>
      <c r="O20" s="12"/>
      <c r="P20" s="12">
        <v>1</v>
      </c>
      <c r="Q20" s="12"/>
      <c r="R20" s="12"/>
      <c r="S20" s="12">
        <v>1</v>
      </c>
      <c r="T20" s="12"/>
      <c r="U20" s="12"/>
      <c r="V20" s="1204">
        <v>1</v>
      </c>
      <c r="W20" s="790" t="s">
        <v>1400</v>
      </c>
      <c r="X20" s="21"/>
      <c r="Y20" s="21"/>
      <c r="Z20" s="22" t="str">
        <f>IF(Y20=0," ",X20/Y20)</f>
        <v xml:space="preserve"> </v>
      </c>
      <c r="AA20" s="58"/>
      <c r="AB20" s="24" t="str">
        <f>IF(Y20=0," ",Z20/AA20)</f>
        <v xml:space="preserve"> </v>
      </c>
      <c r="AC20" s="25" t="s">
        <v>2008</v>
      </c>
      <c r="AD20" s="21"/>
      <c r="AE20" s="21"/>
      <c r="AF20" s="22" t="str">
        <f>IF(AE20=0," ",AD20/AE20)</f>
        <v xml:space="preserve"> </v>
      </c>
      <c r="AG20" s="58"/>
      <c r="AH20" s="24" t="str">
        <f>IF(AE20=0," ",AF20/AG20)</f>
        <v xml:space="preserve"> </v>
      </c>
      <c r="AI20" s="25" t="s">
        <v>2008</v>
      </c>
      <c r="AJ20" s="56">
        <v>22</v>
      </c>
      <c r="AK20" s="56">
        <v>22</v>
      </c>
      <c r="AL20" s="22">
        <f>IF(AK20=0," ",AJ20/AK20)</f>
        <v>1</v>
      </c>
      <c r="AM20" s="58">
        <v>1</v>
      </c>
      <c r="AN20" s="24">
        <f>IF(AK20=0," ",AL20/AM20)</f>
        <v>1</v>
      </c>
      <c r="AO20" s="695" t="s">
        <v>2083</v>
      </c>
      <c r="AP20" s="21"/>
      <c r="AQ20" s="21"/>
      <c r="AR20" s="22" t="str">
        <f>IF(AQ20=0," ",AP20/AQ20)</f>
        <v xml:space="preserve"> </v>
      </c>
      <c r="AS20" s="58"/>
      <c r="AT20" s="24" t="str">
        <f>IF(AQ20=0," ",AR20/AS20)</f>
        <v xml:space="preserve"> </v>
      </c>
      <c r="AU20" s="25" t="s">
        <v>2008</v>
      </c>
      <c r="AV20" s="21"/>
      <c r="AW20" s="21"/>
      <c r="AX20" s="22" t="str">
        <f>IF(AW20=0," ",AV20/AW20)</f>
        <v xml:space="preserve"> </v>
      </c>
      <c r="AY20" s="58"/>
      <c r="AZ20" s="24" t="str">
        <f>IF(AW20=0," ",AX20/AY20)</f>
        <v xml:space="preserve"> </v>
      </c>
      <c r="BA20" s="25" t="s">
        <v>2008</v>
      </c>
      <c r="BB20" s="21">
        <v>33</v>
      </c>
      <c r="BC20" s="21">
        <v>33</v>
      </c>
      <c r="BD20" s="22">
        <f>IF(BC20=0," ",BB20/BC20)</f>
        <v>1</v>
      </c>
      <c r="BE20" s="58">
        <v>1</v>
      </c>
      <c r="BF20" s="24">
        <f>IF(BC20=0," ",BD20/BE20)</f>
        <v>1</v>
      </c>
      <c r="BG20" s="25" t="s">
        <v>2084</v>
      </c>
      <c r="BH20" s="21"/>
      <c r="BI20" s="21"/>
      <c r="BJ20" s="22" t="str">
        <f>IF(BI20=0," ",BH20/BI20)</f>
        <v xml:space="preserve"> </v>
      </c>
      <c r="BK20" s="58"/>
      <c r="BL20" s="24" t="str">
        <f>IF(BI20=0," ",BJ20/BK20)</f>
        <v xml:space="preserve"> </v>
      </c>
      <c r="BM20" s="25" t="s">
        <v>2008</v>
      </c>
      <c r="BN20" s="21"/>
      <c r="BO20" s="21"/>
      <c r="BP20" s="22" t="str">
        <f>IF(BO20=0," ",BN20/BO20)</f>
        <v xml:space="preserve"> </v>
      </c>
      <c r="BQ20" s="58"/>
      <c r="BR20" s="24" t="str">
        <f>IF(BO20=0," ",BP20/BQ20)</f>
        <v xml:space="preserve"> </v>
      </c>
      <c r="BS20" s="25" t="s">
        <v>2008</v>
      </c>
      <c r="BT20" s="21"/>
      <c r="BU20" s="21"/>
      <c r="BV20" s="22" t="str">
        <f>IF(BU20=0," ",BT20/BU20)</f>
        <v xml:space="preserve"> </v>
      </c>
      <c r="BW20" s="58"/>
      <c r="BX20" s="24" t="str">
        <f>IF(BU20=0," ",BV20/BW20)</f>
        <v xml:space="preserve"> </v>
      </c>
      <c r="BY20" s="25" t="s">
        <v>2085</v>
      </c>
      <c r="BZ20" s="21"/>
      <c r="CA20" s="21"/>
      <c r="CB20" s="22" t="str">
        <f>IF(CA20=0," ",BZ20/CA20)</f>
        <v xml:space="preserve"> </v>
      </c>
      <c r="CC20" s="58"/>
      <c r="CD20" s="24" t="str">
        <f>IF(CA20=0," ",CB20/CC20)</f>
        <v xml:space="preserve"> </v>
      </c>
      <c r="CE20" s="25" t="s">
        <v>2008</v>
      </c>
      <c r="CF20" s="21"/>
      <c r="CG20" s="21"/>
      <c r="CH20" s="22" t="str">
        <f>IF(CG20=0," ",CF20/CG20)</f>
        <v xml:space="preserve"> </v>
      </c>
      <c r="CI20" s="58"/>
      <c r="CJ20" s="24" t="str">
        <f>IF(CG20=0," ",CH20/CI20)</f>
        <v xml:space="preserve"> </v>
      </c>
      <c r="CK20" s="25" t="s">
        <v>2008</v>
      </c>
      <c r="CL20" s="56">
        <v>32</v>
      </c>
      <c r="CM20" s="56">
        <v>33</v>
      </c>
      <c r="CN20" s="100">
        <f>CL20/CM20</f>
        <v>0.96969696969696972</v>
      </c>
      <c r="CO20" s="100">
        <v>1</v>
      </c>
      <c r="CP20" s="1092">
        <f>IF(CM20=0," ",CN20/CO20)</f>
        <v>0.96969696969696972</v>
      </c>
      <c r="CQ20" s="1103" t="s">
        <v>2086</v>
      </c>
      <c r="CR20" s="100">
        <f>AVERAGE(BX20,CD20,CJ20,CP20)</f>
        <v>0.96969696969696972</v>
      </c>
      <c r="CS20" s="100">
        <v>1</v>
      </c>
      <c r="CT20" s="100">
        <f>CR20/CS20</f>
        <v>0.96969696969696972</v>
      </c>
      <c r="CU20" s="100">
        <v>1</v>
      </c>
      <c r="CV20" s="24">
        <v>1</v>
      </c>
      <c r="CW20" s="101" t="s">
        <v>315</v>
      </c>
    </row>
    <row r="21" spans="1:101" ht="29.25" customHeight="1">
      <c r="B21" s="1972" t="s">
        <v>17</v>
      </c>
      <c r="C21" s="1972"/>
      <c r="D21" s="1972"/>
      <c r="E21" s="1972"/>
      <c r="F21" s="5"/>
      <c r="G21" s="5"/>
      <c r="H21" s="5"/>
      <c r="I21" s="5"/>
      <c r="J21" s="5"/>
      <c r="K21" s="6"/>
      <c r="L21" s="6"/>
      <c r="M21" s="6"/>
      <c r="N21" s="6"/>
      <c r="O21" s="6"/>
      <c r="P21" s="6"/>
      <c r="Q21" s="6"/>
      <c r="R21" s="6"/>
      <c r="S21" s="6"/>
      <c r="T21" s="6"/>
      <c r="U21" s="6"/>
      <c r="V21" s="6"/>
    </row>
    <row r="22" spans="1:101">
      <c r="A22" s="1971"/>
      <c r="B22" s="1971"/>
      <c r="C22" s="1971"/>
      <c r="D22" s="1971"/>
      <c r="E22" s="1971"/>
      <c r="F22" s="1971"/>
      <c r="G22" s="1971"/>
      <c r="H22" s="1971"/>
      <c r="I22" s="1971"/>
      <c r="J22" s="1971"/>
      <c r="K22" s="1971"/>
      <c r="L22" s="1971"/>
      <c r="M22" s="1971"/>
      <c r="N22" s="1971"/>
      <c r="O22" s="1971"/>
      <c r="P22" s="1971"/>
      <c r="Q22" s="1971"/>
      <c r="R22" s="1971"/>
      <c r="S22" s="1971"/>
      <c r="T22" s="1971"/>
      <c r="U22" s="1971"/>
      <c r="V22" s="1971"/>
      <c r="W22" s="1971"/>
      <c r="X22" s="1971"/>
      <c r="Y22" s="1971"/>
      <c r="Z22" s="1971"/>
      <c r="AA22" s="1971"/>
      <c r="AB22" s="1971"/>
      <c r="AC22" s="1971"/>
      <c r="AD22" s="1971"/>
      <c r="AE22" s="1971"/>
      <c r="AF22" s="1971"/>
    </row>
    <row r="23" spans="1:101" ht="12.75" customHeight="1">
      <c r="A23" s="2008" t="s">
        <v>2087</v>
      </c>
      <c r="B23" s="2008"/>
      <c r="C23" s="2008"/>
      <c r="D23" s="2008"/>
      <c r="E23" s="2008"/>
      <c r="F23" s="2008"/>
      <c r="G23" s="2008"/>
      <c r="H23" s="2008"/>
      <c r="I23" s="2008"/>
      <c r="J23" s="2008"/>
      <c r="K23" s="2008"/>
      <c r="L23" s="2008"/>
      <c r="M23" s="2008"/>
      <c r="N23" s="2008"/>
      <c r="O23" s="2008"/>
      <c r="P23" s="2008"/>
      <c r="Q23" s="2008"/>
      <c r="R23" s="2008"/>
      <c r="S23" s="2008"/>
      <c r="T23" s="2008"/>
      <c r="U23" s="2008"/>
      <c r="V23" s="2008"/>
      <c r="W23" s="2008"/>
      <c r="X23" s="2008"/>
      <c r="Y23" s="2008"/>
      <c r="Z23" s="2008"/>
      <c r="AA23" s="2008"/>
      <c r="AB23" s="2008"/>
      <c r="AC23" s="2008"/>
      <c r="AD23" s="2008"/>
      <c r="AE23" s="2008"/>
      <c r="AF23" s="2008"/>
    </row>
    <row r="24" spans="1:101" ht="12.75" customHeight="1">
      <c r="A24" s="2009" t="s">
        <v>2088</v>
      </c>
      <c r="B24" s="2009"/>
      <c r="C24" s="2009"/>
      <c r="D24" s="2009"/>
      <c r="E24" s="2009"/>
      <c r="F24" s="2009"/>
      <c r="G24" s="2009"/>
      <c r="H24" s="2009"/>
      <c r="I24" s="2009"/>
      <c r="J24" s="2009"/>
      <c r="K24" s="2009"/>
      <c r="L24" s="2009"/>
      <c r="M24" s="2009"/>
      <c r="N24" s="2009"/>
      <c r="O24" s="2009"/>
      <c r="P24" s="2009"/>
      <c r="Q24" s="2009"/>
      <c r="R24" s="2009"/>
      <c r="S24" s="2009"/>
      <c r="T24" s="2009"/>
      <c r="U24" s="2009"/>
      <c r="V24" s="2009"/>
      <c r="W24" s="2009"/>
      <c r="X24" s="2009"/>
      <c r="Y24" s="2009"/>
      <c r="Z24" s="2009"/>
      <c r="AA24" s="2009"/>
      <c r="AB24" s="2009"/>
      <c r="AC24" s="2009"/>
      <c r="AD24" s="2009"/>
      <c r="AE24" s="2009"/>
      <c r="AF24" s="2009"/>
    </row>
  </sheetData>
  <mergeCells count="49">
    <mergeCell ref="A22:AF22"/>
    <mergeCell ref="A23:AF23"/>
    <mergeCell ref="A24:AF24"/>
    <mergeCell ref="BT6:BY6"/>
    <mergeCell ref="BZ6:CE6"/>
    <mergeCell ref="CF6:CK6"/>
    <mergeCell ref="I6:I7"/>
    <mergeCell ref="J6:J7"/>
    <mergeCell ref="K6:V6"/>
    <mergeCell ref="X6:AC6"/>
    <mergeCell ref="CR6:CW6"/>
    <mergeCell ref="B21:E21"/>
    <mergeCell ref="AJ6:AO6"/>
    <mergeCell ref="AP6:AU6"/>
    <mergeCell ref="AV6:BA6"/>
    <mergeCell ref="BB6:BG6"/>
    <mergeCell ref="BH6:BM6"/>
    <mergeCell ref="BN6:BS6"/>
    <mergeCell ref="H6:H7"/>
    <mergeCell ref="BZ4:CE4"/>
    <mergeCell ref="CF4:CK4"/>
    <mergeCell ref="CL4:CQ4"/>
    <mergeCell ref="CR4:CW4"/>
    <mergeCell ref="B6:B7"/>
    <mergeCell ref="C6:C7"/>
    <mergeCell ref="D6:D7"/>
    <mergeCell ref="E6:E7"/>
    <mergeCell ref="F6:F7"/>
    <mergeCell ref="CL6:CQ6"/>
    <mergeCell ref="G6:G7"/>
    <mergeCell ref="AP4:AU4"/>
    <mergeCell ref="AV4:BA4"/>
    <mergeCell ref="BB4:BG4"/>
    <mergeCell ref="BH4:BM4"/>
    <mergeCell ref="BN4:BS4"/>
    <mergeCell ref="AD6:AI6"/>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16:AB20 AB11 AH16:AH20 AN16:AN20 AT16:AT20 AZ16:AZ20 BF19:BF20 BL16:BL20 BR16:BR17 BX18:BX20 CD16:CD17 CJ16:CJ20 BR19:BR20 CD19:CD20 CP19 CV18:CV20">
    <cfRule type="colorScale" priority="117">
      <colorScale>
        <cfvo type="num" val="0.69"/>
        <cfvo type="num" val="0.8"/>
        <cfvo type="num" val="0.9"/>
        <color rgb="FFF8696B"/>
        <color rgb="FFFFEB84"/>
        <color rgb="FF63BE7B"/>
      </colorScale>
    </cfRule>
  </conditionalFormatting>
  <conditionalFormatting sqref="AH11">
    <cfRule type="colorScale" priority="116">
      <colorScale>
        <cfvo type="num" val="0.69"/>
        <cfvo type="num" val="0.8"/>
        <cfvo type="num" val="0.9"/>
        <color rgb="FFF8696B"/>
        <color rgb="FFFFEB84"/>
        <color rgb="FF63BE7B"/>
      </colorScale>
    </cfRule>
  </conditionalFormatting>
  <conditionalFormatting sqref="AN11">
    <cfRule type="colorScale" priority="115">
      <colorScale>
        <cfvo type="num" val="0.69"/>
        <cfvo type="num" val="0.8"/>
        <cfvo type="num" val="0.9"/>
        <color rgb="FFF8696B"/>
        <color rgb="FFFFEB84"/>
        <color rgb="FF63BE7B"/>
      </colorScale>
    </cfRule>
  </conditionalFormatting>
  <conditionalFormatting sqref="AT11">
    <cfRule type="colorScale" priority="114">
      <colorScale>
        <cfvo type="num" val="0.69"/>
        <cfvo type="num" val="0.8"/>
        <cfvo type="num" val="0.9"/>
        <color rgb="FFF8696B"/>
        <color rgb="FFFFEB84"/>
        <color rgb="FF63BE7B"/>
      </colorScale>
    </cfRule>
  </conditionalFormatting>
  <conditionalFormatting sqref="AZ11">
    <cfRule type="colorScale" priority="113">
      <colorScale>
        <cfvo type="num" val="0.69"/>
        <cfvo type="num" val="0.8"/>
        <cfvo type="num" val="0.9"/>
        <color rgb="FFF8696B"/>
        <color rgb="FFFFEB84"/>
        <color rgb="FF63BE7B"/>
      </colorScale>
    </cfRule>
  </conditionalFormatting>
  <conditionalFormatting sqref="BF11">
    <cfRule type="colorScale" priority="112">
      <colorScale>
        <cfvo type="num" val="0.69"/>
        <cfvo type="num" val="0.8"/>
        <cfvo type="num" val="0.9"/>
        <color rgb="FFF8696B"/>
        <color rgb="FFFFEB84"/>
        <color rgb="FF63BE7B"/>
      </colorScale>
    </cfRule>
  </conditionalFormatting>
  <conditionalFormatting sqref="BL11">
    <cfRule type="colorScale" priority="111">
      <colorScale>
        <cfvo type="num" val="0.69"/>
        <cfvo type="num" val="0.8"/>
        <cfvo type="num" val="0.9"/>
        <color rgb="FFF8696B"/>
        <color rgb="FFFFEB84"/>
        <color rgb="FF63BE7B"/>
      </colorScale>
    </cfRule>
  </conditionalFormatting>
  <conditionalFormatting sqref="BR11">
    <cfRule type="colorScale" priority="110">
      <colorScale>
        <cfvo type="num" val="0.69"/>
        <cfvo type="num" val="0.8"/>
        <cfvo type="num" val="0.9"/>
        <color rgb="FFF8696B"/>
        <color rgb="FFFFEB84"/>
        <color rgb="FF63BE7B"/>
      </colorScale>
    </cfRule>
  </conditionalFormatting>
  <conditionalFormatting sqref="CD11">
    <cfRule type="colorScale" priority="109">
      <colorScale>
        <cfvo type="num" val="0.69"/>
        <cfvo type="num" val="0.8"/>
        <cfvo type="num" val="0.9"/>
        <color rgb="FFF8696B"/>
        <color rgb="FFFFEB84"/>
        <color rgb="FF63BE7B"/>
      </colorScale>
    </cfRule>
  </conditionalFormatting>
  <conditionalFormatting sqref="CJ11">
    <cfRule type="colorScale" priority="108">
      <colorScale>
        <cfvo type="num" val="0.69"/>
        <cfvo type="num" val="0.8"/>
        <cfvo type="num" val="0.9"/>
        <color rgb="FFF8696B"/>
        <color rgb="FFFFEB84"/>
        <color rgb="FF63BE7B"/>
      </colorScale>
    </cfRule>
  </conditionalFormatting>
  <conditionalFormatting sqref="AB12">
    <cfRule type="colorScale" priority="107">
      <colorScale>
        <cfvo type="num" val="0.69"/>
        <cfvo type="num" val="0.8"/>
        <cfvo type="num" val="0.9"/>
        <color rgb="FFF8696B"/>
        <color rgb="FFFFEB84"/>
        <color rgb="FF63BE7B"/>
      </colorScale>
    </cfRule>
  </conditionalFormatting>
  <conditionalFormatting sqref="AH12">
    <cfRule type="colorScale" priority="106">
      <colorScale>
        <cfvo type="num" val="0.69"/>
        <cfvo type="num" val="0.8"/>
        <cfvo type="num" val="0.9"/>
        <color rgb="FFF8696B"/>
        <color rgb="FFFFEB84"/>
        <color rgb="FF63BE7B"/>
      </colorScale>
    </cfRule>
  </conditionalFormatting>
  <conditionalFormatting sqref="AN12:AN13">
    <cfRule type="colorScale" priority="105">
      <colorScale>
        <cfvo type="num" val="0.69"/>
        <cfvo type="num" val="0.8"/>
        <cfvo type="num" val="0.9"/>
        <color rgb="FFF8696B"/>
        <color rgb="FFFFEB84"/>
        <color rgb="FF63BE7B"/>
      </colorScale>
    </cfRule>
  </conditionalFormatting>
  <conditionalFormatting sqref="AT12">
    <cfRule type="colorScale" priority="104">
      <colorScale>
        <cfvo type="num" val="0.69"/>
        <cfvo type="num" val="0.8"/>
        <cfvo type="num" val="0.9"/>
        <color rgb="FFF8696B"/>
        <color rgb="FFFFEB84"/>
        <color rgb="FF63BE7B"/>
      </colorScale>
    </cfRule>
  </conditionalFormatting>
  <conditionalFormatting sqref="AZ12:AZ13">
    <cfRule type="colorScale" priority="103">
      <colorScale>
        <cfvo type="num" val="0.69"/>
        <cfvo type="num" val="0.8"/>
        <cfvo type="num" val="0.9"/>
        <color rgb="FFF8696B"/>
        <color rgb="FFFFEB84"/>
        <color rgb="FF63BE7B"/>
      </colorScale>
    </cfRule>
  </conditionalFormatting>
  <conditionalFormatting sqref="BF12:BF13">
    <cfRule type="colorScale" priority="102">
      <colorScale>
        <cfvo type="num" val="0.69"/>
        <cfvo type="num" val="0.8"/>
        <cfvo type="num" val="0.9"/>
        <color rgb="FFF8696B"/>
        <color rgb="FFFFEB84"/>
        <color rgb="FF63BE7B"/>
      </colorScale>
    </cfRule>
  </conditionalFormatting>
  <conditionalFormatting sqref="BL12:BL14">
    <cfRule type="colorScale" priority="101">
      <colorScale>
        <cfvo type="num" val="0.69"/>
        <cfvo type="num" val="0.8"/>
        <cfvo type="num" val="0.9"/>
        <color rgb="FFF8696B"/>
        <color rgb="FFFFEB84"/>
        <color rgb="FF63BE7B"/>
      </colorScale>
    </cfRule>
  </conditionalFormatting>
  <conditionalFormatting sqref="BR12:BR13">
    <cfRule type="colorScale" priority="100">
      <colorScale>
        <cfvo type="num" val="0.69"/>
        <cfvo type="num" val="0.8"/>
        <cfvo type="num" val="0.9"/>
        <color rgb="FFF8696B"/>
        <color rgb="FFFFEB84"/>
        <color rgb="FF63BE7B"/>
      </colorScale>
    </cfRule>
  </conditionalFormatting>
  <conditionalFormatting sqref="BX13">
    <cfRule type="colorScale" priority="99">
      <colorScale>
        <cfvo type="num" val="0.69"/>
        <cfvo type="num" val="0.8"/>
        <cfvo type="num" val="0.9"/>
        <color rgb="FFF8696B"/>
        <color rgb="FFFFEB84"/>
        <color rgb="FF63BE7B"/>
      </colorScale>
    </cfRule>
  </conditionalFormatting>
  <conditionalFormatting sqref="CD12">
    <cfRule type="colorScale" priority="98">
      <colorScale>
        <cfvo type="num" val="0.69"/>
        <cfvo type="num" val="0.8"/>
        <cfvo type="num" val="0.9"/>
        <color rgb="FFF8696B"/>
        <color rgb="FFFFEB84"/>
        <color rgb="FF63BE7B"/>
      </colorScale>
    </cfRule>
  </conditionalFormatting>
  <conditionalFormatting sqref="CJ12:CJ13">
    <cfRule type="colorScale" priority="97">
      <colorScale>
        <cfvo type="num" val="0.69"/>
        <cfvo type="num" val="0.8"/>
        <cfvo type="num" val="0.9"/>
        <color rgb="FFF8696B"/>
        <color rgb="FFFFEB84"/>
        <color rgb="FF63BE7B"/>
      </colorScale>
    </cfRule>
  </conditionalFormatting>
  <conditionalFormatting sqref="CP12:CP13">
    <cfRule type="colorScale" priority="96">
      <colorScale>
        <cfvo type="num" val="0.69"/>
        <cfvo type="num" val="0.8"/>
        <cfvo type="num" val="0.9"/>
        <color rgb="FFF8696B"/>
        <color rgb="FFFFEB84"/>
        <color rgb="FF63BE7B"/>
      </colorScale>
    </cfRule>
  </conditionalFormatting>
  <conditionalFormatting sqref="CV12:CV13">
    <cfRule type="colorScale" priority="95">
      <colorScale>
        <cfvo type="num" val="0.69"/>
        <cfvo type="num" val="0.8"/>
        <cfvo type="num" val="0.9"/>
        <color rgb="FFF8696B"/>
        <color rgb="FFFFEB84"/>
        <color rgb="FF63BE7B"/>
      </colorScale>
    </cfRule>
  </conditionalFormatting>
  <conditionalFormatting sqref="AB15">
    <cfRule type="colorScale" priority="94">
      <colorScale>
        <cfvo type="num" val="0.69"/>
        <cfvo type="num" val="0.8"/>
        <cfvo type="num" val="0.9"/>
        <color rgb="FFF8696B"/>
        <color rgb="FFFFEB84"/>
        <color rgb="FF63BE7B"/>
      </colorScale>
    </cfRule>
  </conditionalFormatting>
  <conditionalFormatting sqref="AT15">
    <cfRule type="colorScale" priority="93">
      <colorScale>
        <cfvo type="num" val="0.69"/>
        <cfvo type="num" val="0.8"/>
        <cfvo type="num" val="0.9"/>
        <color rgb="FFF8696B"/>
        <color rgb="FFFFEB84"/>
        <color rgb="FF63BE7B"/>
      </colorScale>
    </cfRule>
  </conditionalFormatting>
  <conditionalFormatting sqref="BF15">
    <cfRule type="colorScale" priority="92">
      <colorScale>
        <cfvo type="num" val="0.69"/>
        <cfvo type="num" val="0.8"/>
        <cfvo type="num" val="0.9"/>
        <color rgb="FFF8696B"/>
        <color rgb="FFFFEB84"/>
        <color rgb="FF63BE7B"/>
      </colorScale>
    </cfRule>
  </conditionalFormatting>
  <conditionalFormatting sqref="BR15">
    <cfRule type="colorScale" priority="91">
      <colorScale>
        <cfvo type="num" val="0.69"/>
        <cfvo type="num" val="0.8"/>
        <cfvo type="num" val="0.9"/>
        <color rgb="FFF8696B"/>
        <color rgb="FFFFEB84"/>
        <color rgb="FF63BE7B"/>
      </colorScale>
    </cfRule>
  </conditionalFormatting>
  <conditionalFormatting sqref="CD15">
    <cfRule type="colorScale" priority="90">
      <colorScale>
        <cfvo type="num" val="0.69"/>
        <cfvo type="num" val="0.8"/>
        <cfvo type="num" val="0.9"/>
        <color rgb="FFF8696B"/>
        <color rgb="FFFFEB84"/>
        <color rgb="FF63BE7B"/>
      </colorScale>
    </cfRule>
  </conditionalFormatting>
  <conditionalFormatting sqref="CP15">
    <cfRule type="colorScale" priority="89">
      <colorScale>
        <cfvo type="num" val="0.69"/>
        <cfvo type="num" val="0.8"/>
        <cfvo type="num" val="0.9"/>
        <color rgb="FFF8696B"/>
        <color rgb="FFFFEB84"/>
        <color rgb="FF63BE7B"/>
      </colorScale>
    </cfRule>
  </conditionalFormatting>
  <conditionalFormatting sqref="AI15">
    <cfRule type="colorScale" priority="88">
      <colorScale>
        <cfvo type="num" val="0.69"/>
        <cfvo type="num" val="0.8"/>
        <cfvo type="num" val="0.9"/>
        <color rgb="FFF8696B"/>
        <color rgb="FFFFEB84"/>
        <color rgb="FF63BE7B"/>
      </colorScale>
    </cfRule>
  </conditionalFormatting>
  <conditionalFormatting sqref="AO15">
    <cfRule type="colorScale" priority="87">
      <colorScale>
        <cfvo type="num" val="0.69"/>
        <cfvo type="num" val="0.8"/>
        <cfvo type="num" val="0.9"/>
        <color rgb="FFF8696B"/>
        <color rgb="FFFFEB84"/>
        <color rgb="FF63BE7B"/>
      </colorScale>
    </cfRule>
  </conditionalFormatting>
  <conditionalFormatting sqref="BA15">
    <cfRule type="colorScale" priority="86">
      <colorScale>
        <cfvo type="num" val="0.69"/>
        <cfvo type="num" val="0.8"/>
        <cfvo type="num" val="0.9"/>
        <color rgb="FFF8696B"/>
        <color rgb="FFFFEB84"/>
        <color rgb="FF63BE7B"/>
      </colorScale>
    </cfRule>
  </conditionalFormatting>
  <conditionalFormatting sqref="BM15">
    <cfRule type="colorScale" priority="85">
      <colorScale>
        <cfvo type="num" val="0.69"/>
        <cfvo type="num" val="0.8"/>
        <cfvo type="num" val="0.9"/>
        <color rgb="FFF8696B"/>
        <color rgb="FFFFEB84"/>
        <color rgb="FF63BE7B"/>
      </colorScale>
    </cfRule>
  </conditionalFormatting>
  <conditionalFormatting sqref="BY15">
    <cfRule type="colorScale" priority="84">
      <colorScale>
        <cfvo type="num" val="0.69"/>
        <cfvo type="num" val="0.8"/>
        <cfvo type="num" val="0.9"/>
        <color rgb="FFF8696B"/>
        <color rgb="FFFFEB84"/>
        <color rgb="FF63BE7B"/>
      </colorScale>
    </cfRule>
  </conditionalFormatting>
  <conditionalFormatting sqref="CK15">
    <cfRule type="colorScale" priority="83">
      <colorScale>
        <cfvo type="num" val="0.69"/>
        <cfvo type="num" val="0.8"/>
        <cfvo type="num" val="0.9"/>
        <color rgb="FFF8696B"/>
        <color rgb="FFFFEB84"/>
        <color rgb="FF63BE7B"/>
      </colorScale>
    </cfRule>
  </conditionalFormatting>
  <conditionalFormatting sqref="CW15">
    <cfRule type="colorScale" priority="82">
      <colorScale>
        <cfvo type="num" val="0.69"/>
        <cfvo type="num" val="0.8"/>
        <cfvo type="num" val="0.9"/>
        <color rgb="FFF8696B"/>
        <color rgb="FFFFEB84"/>
        <color rgb="FF63BE7B"/>
      </colorScale>
    </cfRule>
  </conditionalFormatting>
  <conditionalFormatting sqref="AB8">
    <cfRule type="colorScale" priority="81">
      <colorScale>
        <cfvo type="num" val="0.69"/>
        <cfvo type="num" val="0.8"/>
        <cfvo type="num" val="0.9"/>
        <color rgb="FFF8696B"/>
        <color rgb="FFFFEB84"/>
        <color rgb="FF63BE7B"/>
      </colorScale>
    </cfRule>
  </conditionalFormatting>
  <conditionalFormatting sqref="AH8">
    <cfRule type="colorScale" priority="80">
      <colorScale>
        <cfvo type="num" val="0.69"/>
        <cfvo type="num" val="0.8"/>
        <cfvo type="num" val="0.9"/>
        <color rgb="FFF8696B"/>
        <color rgb="FFFFEB84"/>
        <color rgb="FF63BE7B"/>
      </colorScale>
    </cfRule>
  </conditionalFormatting>
  <conditionalFormatting sqref="AN8">
    <cfRule type="colorScale" priority="79">
      <colorScale>
        <cfvo type="num" val="0.69"/>
        <cfvo type="num" val="0.8"/>
        <cfvo type="num" val="0.9"/>
        <color rgb="FFF8696B"/>
        <color rgb="FFFFEB84"/>
        <color rgb="FF63BE7B"/>
      </colorScale>
    </cfRule>
  </conditionalFormatting>
  <conditionalFormatting sqref="AT8">
    <cfRule type="colorScale" priority="78">
      <colorScale>
        <cfvo type="num" val="0.69"/>
        <cfvo type="num" val="0.8"/>
        <cfvo type="num" val="0.9"/>
        <color rgb="FFF8696B"/>
        <color rgb="FFFFEB84"/>
        <color rgb="FF63BE7B"/>
      </colorScale>
    </cfRule>
  </conditionalFormatting>
  <conditionalFormatting sqref="AZ8">
    <cfRule type="colorScale" priority="77">
      <colorScale>
        <cfvo type="num" val="0.69"/>
        <cfvo type="num" val="0.8"/>
        <cfvo type="num" val="0.9"/>
        <color rgb="FFF8696B"/>
        <color rgb="FFFFEB84"/>
        <color rgb="FF63BE7B"/>
      </colorScale>
    </cfRule>
  </conditionalFormatting>
  <conditionalFormatting sqref="BF8">
    <cfRule type="colorScale" priority="76">
      <colorScale>
        <cfvo type="num" val="0.69"/>
        <cfvo type="num" val="0.8"/>
        <cfvo type="num" val="0.9"/>
        <color rgb="FFF8696B"/>
        <color rgb="FFFFEB84"/>
        <color rgb="FF63BE7B"/>
      </colorScale>
    </cfRule>
  </conditionalFormatting>
  <conditionalFormatting sqref="BL8">
    <cfRule type="colorScale" priority="75">
      <colorScale>
        <cfvo type="num" val="0.69"/>
        <cfvo type="num" val="0.8"/>
        <cfvo type="num" val="0.9"/>
        <color rgb="FFF8696B"/>
        <color rgb="FFFFEB84"/>
        <color rgb="FF63BE7B"/>
      </colorScale>
    </cfRule>
  </conditionalFormatting>
  <conditionalFormatting sqref="BR8">
    <cfRule type="colorScale" priority="74">
      <colorScale>
        <cfvo type="num" val="0.69"/>
        <cfvo type="num" val="0.8"/>
        <cfvo type="num" val="0.9"/>
        <color rgb="FFF8696B"/>
        <color rgb="FFFFEB84"/>
        <color rgb="FF63BE7B"/>
      </colorScale>
    </cfRule>
  </conditionalFormatting>
  <conditionalFormatting sqref="BX8">
    <cfRule type="colorScale" priority="73">
      <colorScale>
        <cfvo type="num" val="0.69"/>
        <cfvo type="num" val="0.8"/>
        <cfvo type="num" val="0.9"/>
        <color rgb="FFF8696B"/>
        <color rgb="FFFFEB84"/>
        <color rgb="FF63BE7B"/>
      </colorScale>
    </cfRule>
  </conditionalFormatting>
  <conditionalFormatting sqref="CP8">
    <cfRule type="colorScale" priority="72">
      <colorScale>
        <cfvo type="num" val="0.69"/>
        <cfvo type="num" val="0.8"/>
        <cfvo type="num" val="0.9"/>
        <color rgb="FFF8696B"/>
        <color rgb="FFFFEB84"/>
        <color rgb="FF63BE7B"/>
      </colorScale>
    </cfRule>
  </conditionalFormatting>
  <conditionalFormatting sqref="AB9">
    <cfRule type="colorScale" priority="71">
      <colorScale>
        <cfvo type="num" val="0.69"/>
        <cfvo type="num" val="0.8"/>
        <cfvo type="num" val="0.9"/>
        <color rgb="FFF8696B"/>
        <color rgb="FFFFEB84"/>
        <color rgb="FF63BE7B"/>
      </colorScale>
    </cfRule>
  </conditionalFormatting>
  <conditionalFormatting sqref="AH9">
    <cfRule type="colorScale" priority="70">
      <colorScale>
        <cfvo type="num" val="0.69"/>
        <cfvo type="num" val="0.8"/>
        <cfvo type="num" val="0.9"/>
        <color rgb="FFF8696B"/>
        <color rgb="FFFFEB84"/>
        <color rgb="FF63BE7B"/>
      </colorScale>
    </cfRule>
  </conditionalFormatting>
  <conditionalFormatting sqref="AN9">
    <cfRule type="colorScale" priority="69">
      <colorScale>
        <cfvo type="num" val="0.69"/>
        <cfvo type="num" val="0.8"/>
        <cfvo type="num" val="0.9"/>
        <color rgb="FFF8696B"/>
        <color rgb="FFFFEB84"/>
        <color rgb="FF63BE7B"/>
      </colorScale>
    </cfRule>
  </conditionalFormatting>
  <conditionalFormatting sqref="AT9">
    <cfRule type="colorScale" priority="68">
      <colorScale>
        <cfvo type="num" val="0.69"/>
        <cfvo type="num" val="0.8"/>
        <cfvo type="num" val="0.9"/>
        <color rgb="FFF8696B"/>
        <color rgb="FFFFEB84"/>
        <color rgb="FF63BE7B"/>
      </colorScale>
    </cfRule>
  </conditionalFormatting>
  <conditionalFormatting sqref="BF9">
    <cfRule type="colorScale" priority="67">
      <colorScale>
        <cfvo type="num" val="0.69"/>
        <cfvo type="num" val="0.8"/>
        <cfvo type="num" val="0.9"/>
        <color rgb="FFF8696B"/>
        <color rgb="FFFFEB84"/>
        <color rgb="FF63BE7B"/>
      </colorScale>
    </cfRule>
  </conditionalFormatting>
  <conditionalFormatting sqref="BL9">
    <cfRule type="colorScale" priority="66">
      <colorScale>
        <cfvo type="num" val="0.69"/>
        <cfvo type="num" val="0.8"/>
        <cfvo type="num" val="0.9"/>
        <color rgb="FFF8696B"/>
        <color rgb="FFFFEB84"/>
        <color rgb="FF63BE7B"/>
      </colorScale>
    </cfRule>
  </conditionalFormatting>
  <conditionalFormatting sqref="BR9">
    <cfRule type="colorScale" priority="65">
      <colorScale>
        <cfvo type="num" val="0.69"/>
        <cfvo type="num" val="0.8"/>
        <cfvo type="num" val="0.9"/>
        <color rgb="FFF8696B"/>
        <color rgb="FFFFEB84"/>
        <color rgb="FF63BE7B"/>
      </colorScale>
    </cfRule>
  </conditionalFormatting>
  <conditionalFormatting sqref="BX9">
    <cfRule type="colorScale" priority="64">
      <colorScale>
        <cfvo type="num" val="0.69"/>
        <cfvo type="num" val="0.8"/>
        <cfvo type="num" val="0.9"/>
        <color rgb="FFF8696B"/>
        <color rgb="FFFFEB84"/>
        <color rgb="FF63BE7B"/>
      </colorScale>
    </cfRule>
  </conditionalFormatting>
  <conditionalFormatting sqref="CD9">
    <cfRule type="colorScale" priority="63">
      <colorScale>
        <cfvo type="num" val="0.69"/>
        <cfvo type="num" val="0.8"/>
        <cfvo type="num" val="0.9"/>
        <color rgb="FFF8696B"/>
        <color rgb="FFFFEB84"/>
        <color rgb="FF63BE7B"/>
      </colorScale>
    </cfRule>
  </conditionalFormatting>
  <conditionalFormatting sqref="CP9">
    <cfRule type="colorScale" priority="62">
      <colorScale>
        <cfvo type="num" val="0.69"/>
        <cfvo type="num" val="0.8"/>
        <cfvo type="num" val="0.9"/>
        <color rgb="FFF8696B"/>
        <color rgb="FFFFEB84"/>
        <color rgb="FF63BE7B"/>
      </colorScale>
    </cfRule>
  </conditionalFormatting>
  <conditionalFormatting sqref="CV9">
    <cfRule type="colorScale" priority="61">
      <colorScale>
        <cfvo type="num" val="0.69"/>
        <cfvo type="num" val="0.8"/>
        <cfvo type="num" val="0.9"/>
        <color rgb="FFF8696B"/>
        <color rgb="FFFFEB84"/>
        <color rgb="FF63BE7B"/>
      </colorScale>
    </cfRule>
  </conditionalFormatting>
  <conditionalFormatting sqref="AB10">
    <cfRule type="colorScale" priority="60">
      <colorScale>
        <cfvo type="num" val="0.69"/>
        <cfvo type="num" val="0.8"/>
        <cfvo type="num" val="0.9"/>
        <color rgb="FFF8696B"/>
        <color rgb="FFFFEB84"/>
        <color rgb="FF63BE7B"/>
      </colorScale>
    </cfRule>
  </conditionalFormatting>
  <conditionalFormatting sqref="AH10">
    <cfRule type="colorScale" priority="59">
      <colorScale>
        <cfvo type="num" val="0.69"/>
        <cfvo type="num" val="0.8"/>
        <cfvo type="num" val="0.9"/>
        <color rgb="FFF8696B"/>
        <color rgb="FFFFEB84"/>
        <color rgb="FF63BE7B"/>
      </colorScale>
    </cfRule>
  </conditionalFormatting>
  <conditionalFormatting sqref="AN10">
    <cfRule type="colorScale" priority="58">
      <colorScale>
        <cfvo type="num" val="0.69"/>
        <cfvo type="num" val="0.8"/>
        <cfvo type="num" val="0.9"/>
        <color rgb="FFF8696B"/>
        <color rgb="FFFFEB84"/>
        <color rgb="FF63BE7B"/>
      </colorScale>
    </cfRule>
  </conditionalFormatting>
  <conditionalFormatting sqref="AT10">
    <cfRule type="colorScale" priority="57">
      <colorScale>
        <cfvo type="num" val="0.69"/>
        <cfvo type="num" val="0.8"/>
        <cfvo type="num" val="0.9"/>
        <color rgb="FFF8696B"/>
        <color rgb="FFFFEB84"/>
        <color rgb="FF63BE7B"/>
      </colorScale>
    </cfRule>
  </conditionalFormatting>
  <conditionalFormatting sqref="AZ10">
    <cfRule type="colorScale" priority="56">
      <colorScale>
        <cfvo type="num" val="0.69"/>
        <cfvo type="num" val="0.8"/>
        <cfvo type="num" val="0.9"/>
        <color rgb="FFF8696B"/>
        <color rgb="FFFFEB84"/>
        <color rgb="FF63BE7B"/>
      </colorScale>
    </cfRule>
  </conditionalFormatting>
  <conditionalFormatting sqref="BF10">
    <cfRule type="colorScale" priority="55">
      <colorScale>
        <cfvo type="num" val="0.69"/>
        <cfvo type="num" val="0.8"/>
        <cfvo type="num" val="0.9"/>
        <color rgb="FFF8696B"/>
        <color rgb="FFFFEB84"/>
        <color rgb="FF63BE7B"/>
      </colorScale>
    </cfRule>
  </conditionalFormatting>
  <conditionalFormatting sqref="BL10">
    <cfRule type="colorScale" priority="54">
      <colorScale>
        <cfvo type="num" val="0.69"/>
        <cfvo type="num" val="0.8"/>
        <cfvo type="num" val="0.9"/>
        <color rgb="FFF8696B"/>
        <color rgb="FFFFEB84"/>
        <color rgb="FF63BE7B"/>
      </colorScale>
    </cfRule>
  </conditionalFormatting>
  <conditionalFormatting sqref="BR10">
    <cfRule type="colorScale" priority="53">
      <colorScale>
        <cfvo type="num" val="0.69"/>
        <cfvo type="num" val="0.8"/>
        <cfvo type="num" val="0.9"/>
        <color rgb="FFF8696B"/>
        <color rgb="FFFFEB84"/>
        <color rgb="FF63BE7B"/>
      </colorScale>
    </cfRule>
  </conditionalFormatting>
  <conditionalFormatting sqref="BX10">
    <cfRule type="colorScale" priority="52">
      <colorScale>
        <cfvo type="num" val="0.69"/>
        <cfvo type="num" val="0.8"/>
        <cfvo type="num" val="0.9"/>
        <color rgb="FFF8696B"/>
        <color rgb="FFFFEB84"/>
        <color rgb="FF63BE7B"/>
      </colorScale>
    </cfRule>
  </conditionalFormatting>
  <conditionalFormatting sqref="CJ10">
    <cfRule type="colorScale" priority="51">
      <colorScale>
        <cfvo type="num" val="0.69"/>
        <cfvo type="num" val="0.8"/>
        <cfvo type="num" val="0.9"/>
        <color rgb="FFF8696B"/>
        <color rgb="FFFFEB84"/>
        <color rgb="FF63BE7B"/>
      </colorScale>
    </cfRule>
  </conditionalFormatting>
  <conditionalFormatting sqref="CP10">
    <cfRule type="colorScale" priority="50">
      <colorScale>
        <cfvo type="num" val="0.69"/>
        <cfvo type="num" val="0.8"/>
        <cfvo type="num" val="0.9"/>
        <color rgb="FFF8696B"/>
        <color rgb="FFFFEB84"/>
        <color rgb="FF63BE7B"/>
      </colorScale>
    </cfRule>
  </conditionalFormatting>
  <conditionalFormatting sqref="CV10">
    <cfRule type="colorScale" priority="49">
      <colorScale>
        <cfvo type="num" val="0.69"/>
        <cfvo type="num" val="0.8"/>
        <cfvo type="num" val="0.9"/>
        <color rgb="FFF8696B"/>
        <color rgb="FFFFEB84"/>
        <color rgb="FF63BE7B"/>
      </colorScale>
    </cfRule>
  </conditionalFormatting>
  <conditionalFormatting sqref="AB14">
    <cfRule type="colorScale" priority="48">
      <colorScale>
        <cfvo type="num" val="0.69"/>
        <cfvo type="num" val="0.8"/>
        <cfvo type="num" val="0.9"/>
        <color rgb="FFF8696B"/>
        <color rgb="FFFFEB84"/>
        <color rgb="FF63BE7B"/>
      </colorScale>
    </cfRule>
  </conditionalFormatting>
  <conditionalFormatting sqref="AH14">
    <cfRule type="colorScale" priority="47">
      <colorScale>
        <cfvo type="num" val="0.69"/>
        <cfvo type="num" val="0.8"/>
        <cfvo type="num" val="0.9"/>
        <color rgb="FFF8696B"/>
        <color rgb="FFFFEB84"/>
        <color rgb="FF63BE7B"/>
      </colorScale>
    </cfRule>
  </conditionalFormatting>
  <conditionalFormatting sqref="AN14">
    <cfRule type="colorScale" priority="46">
      <colorScale>
        <cfvo type="num" val="0.69"/>
        <cfvo type="num" val="0.8"/>
        <cfvo type="num" val="0.9"/>
        <color rgb="FFF8696B"/>
        <color rgb="FFFFEB84"/>
        <color rgb="FF63BE7B"/>
      </colorScale>
    </cfRule>
  </conditionalFormatting>
  <conditionalFormatting sqref="AZ14">
    <cfRule type="colorScale" priority="45">
      <colorScale>
        <cfvo type="num" val="0.69"/>
        <cfvo type="num" val="0.8"/>
        <cfvo type="num" val="0.9"/>
        <color rgb="FFF8696B"/>
        <color rgb="FFFFEB84"/>
        <color rgb="FF63BE7B"/>
      </colorScale>
    </cfRule>
  </conditionalFormatting>
  <conditionalFormatting sqref="BF14">
    <cfRule type="colorScale" priority="44">
      <colorScale>
        <cfvo type="num" val="0.69"/>
        <cfvo type="num" val="0.8"/>
        <cfvo type="num" val="0.9"/>
        <color rgb="FFF8696B"/>
        <color rgb="FFFFEB84"/>
        <color rgb="FF63BE7B"/>
      </colorScale>
    </cfRule>
  </conditionalFormatting>
  <conditionalFormatting sqref="BR14">
    <cfRule type="colorScale" priority="43">
      <colorScale>
        <cfvo type="num" val="0.69"/>
        <cfvo type="num" val="0.8"/>
        <cfvo type="num" val="0.9"/>
        <color rgb="FFF8696B"/>
        <color rgb="FFFFEB84"/>
        <color rgb="FF63BE7B"/>
      </colorScale>
    </cfRule>
  </conditionalFormatting>
  <conditionalFormatting sqref="BX14">
    <cfRule type="colorScale" priority="42">
      <colorScale>
        <cfvo type="num" val="0.69"/>
        <cfvo type="num" val="0.8"/>
        <cfvo type="num" val="0.9"/>
        <color rgb="FFF8696B"/>
        <color rgb="FFFFEB84"/>
        <color rgb="FF63BE7B"/>
      </colorScale>
    </cfRule>
  </conditionalFormatting>
  <conditionalFormatting sqref="CJ14">
    <cfRule type="colorScale" priority="41">
      <colorScale>
        <cfvo type="num" val="0.69"/>
        <cfvo type="num" val="0.8"/>
        <cfvo type="num" val="0.9"/>
        <color rgb="FFF8696B"/>
        <color rgb="FFFFEB84"/>
        <color rgb="FF63BE7B"/>
      </colorScale>
    </cfRule>
  </conditionalFormatting>
  <conditionalFormatting sqref="CP14">
    <cfRule type="colorScale" priority="40">
      <colorScale>
        <cfvo type="num" val="0.69"/>
        <cfvo type="num" val="0.8"/>
        <cfvo type="num" val="0.9"/>
        <color rgb="FFF8696B"/>
        <color rgb="FFFFEB84"/>
        <color rgb="FF63BE7B"/>
      </colorScale>
    </cfRule>
  </conditionalFormatting>
  <conditionalFormatting sqref="AT13">
    <cfRule type="colorScale" priority="39">
      <colorScale>
        <cfvo type="num" val="0.69"/>
        <cfvo type="num" val="0.8"/>
        <cfvo type="num" val="0.9"/>
        <color rgb="FFF8696B"/>
        <color rgb="FFFFEB84"/>
        <color rgb="FF63BE7B"/>
      </colorScale>
    </cfRule>
  </conditionalFormatting>
  <conditionalFormatting sqref="AB13">
    <cfRule type="colorScale" priority="38">
      <colorScale>
        <cfvo type="num" val="0.69"/>
        <cfvo type="num" val="0.8"/>
        <cfvo type="num" val="0.9"/>
        <color rgb="FFF8696B"/>
        <color rgb="FFFFEB84"/>
        <color rgb="FF63BE7B"/>
      </colorScale>
    </cfRule>
  </conditionalFormatting>
  <conditionalFormatting sqref="AH13">
    <cfRule type="colorScale" priority="37">
      <colorScale>
        <cfvo type="num" val="0.69"/>
        <cfvo type="num" val="0.8"/>
        <cfvo type="num" val="0.9"/>
        <color rgb="FFF8696B"/>
        <color rgb="FFFFEB84"/>
        <color rgb="FF63BE7B"/>
      </colorScale>
    </cfRule>
  </conditionalFormatting>
  <conditionalFormatting sqref="AT14">
    <cfRule type="colorScale" priority="36">
      <colorScale>
        <cfvo type="num" val="0.69"/>
        <cfvo type="num" val="0.8"/>
        <cfvo type="num" val="0.9"/>
        <color rgb="FFF8696B"/>
        <color rgb="FFFFEB84"/>
        <color rgb="FF63BE7B"/>
      </colorScale>
    </cfRule>
  </conditionalFormatting>
  <conditionalFormatting sqref="AZ9">
    <cfRule type="colorScale" priority="35">
      <colorScale>
        <cfvo type="num" val="0.69"/>
        <cfvo type="num" val="0.8"/>
        <cfvo type="num" val="0.9"/>
        <color rgb="FFF8696B"/>
        <color rgb="FFFFEB84"/>
        <color rgb="FF63BE7B"/>
      </colorScale>
    </cfRule>
  </conditionalFormatting>
  <conditionalFormatting sqref="BF16:BF17">
    <cfRule type="colorScale" priority="34">
      <colorScale>
        <cfvo type="num" val="0.69"/>
        <cfvo type="num" val="0.8"/>
        <cfvo type="num" val="0.9"/>
        <color rgb="FFF8696B"/>
        <color rgb="FFFFEB84"/>
        <color rgb="FF63BE7B"/>
      </colorScale>
    </cfRule>
  </conditionalFormatting>
  <conditionalFormatting sqref="BF16:BF17">
    <cfRule type="colorScale" priority="33">
      <colorScale>
        <cfvo type="num" val="0.69"/>
        <cfvo type="num" val="0.8"/>
        <cfvo type="num" val="0.9"/>
        <color rgb="FFF8696B"/>
        <color rgb="FFFFEB84"/>
        <color rgb="FF63BE7B"/>
      </colorScale>
    </cfRule>
  </conditionalFormatting>
  <conditionalFormatting sqref="BF18">
    <cfRule type="colorScale" priority="32">
      <colorScale>
        <cfvo type="num" val="0.69"/>
        <cfvo type="num" val="0.8"/>
        <cfvo type="num" val="0.9"/>
        <color rgb="FFF8696B"/>
        <color rgb="FFFFEB84"/>
        <color rgb="FF63BE7B"/>
      </colorScale>
    </cfRule>
  </conditionalFormatting>
  <conditionalFormatting sqref="BF18">
    <cfRule type="colorScale" priority="31">
      <colorScale>
        <cfvo type="num" val="0.69"/>
        <cfvo type="num" val="0.8"/>
        <cfvo type="num" val="0.9"/>
        <color rgb="FFF8696B"/>
        <color rgb="FFFFEB84"/>
        <color rgb="FF63BE7B"/>
      </colorScale>
    </cfRule>
  </conditionalFormatting>
  <conditionalFormatting sqref="BF18">
    <cfRule type="colorScale" priority="30">
      <colorScale>
        <cfvo type="num" val="0.69"/>
        <cfvo type="num" val="0.8"/>
        <cfvo type="num" val="0.9"/>
        <color rgb="FFF8696B"/>
        <color rgb="FFFFEB84"/>
        <color rgb="FF63BE7B"/>
      </colorScale>
    </cfRule>
  </conditionalFormatting>
  <conditionalFormatting sqref="BR18">
    <cfRule type="colorScale" priority="29">
      <colorScale>
        <cfvo type="num" val="0.69"/>
        <cfvo type="num" val="0.8"/>
        <cfvo type="num" val="0.9"/>
        <color rgb="FFF8696B"/>
        <color rgb="FFFFEB84"/>
        <color rgb="FF63BE7B"/>
      </colorScale>
    </cfRule>
  </conditionalFormatting>
  <conditionalFormatting sqref="BR18">
    <cfRule type="colorScale" priority="28">
      <colorScale>
        <cfvo type="num" val="0.69"/>
        <cfvo type="num" val="0.8"/>
        <cfvo type="num" val="0.9"/>
        <color rgb="FFF8696B"/>
        <color rgb="FFFFEB84"/>
        <color rgb="FF63BE7B"/>
      </colorScale>
    </cfRule>
  </conditionalFormatting>
  <conditionalFormatting sqref="BR18">
    <cfRule type="colorScale" priority="27">
      <colorScale>
        <cfvo type="num" val="0.69"/>
        <cfvo type="num" val="0.8"/>
        <cfvo type="num" val="0.9"/>
        <color rgb="FFF8696B"/>
        <color rgb="FFFFEB84"/>
        <color rgb="FF63BE7B"/>
      </colorScale>
    </cfRule>
  </conditionalFormatting>
  <conditionalFormatting sqref="BX16:BX17">
    <cfRule type="colorScale" priority="26">
      <colorScale>
        <cfvo type="num" val="0.69"/>
        <cfvo type="num" val="0.8"/>
        <cfvo type="num" val="0.9"/>
        <color rgb="FFF8696B"/>
        <color rgb="FFFFEB84"/>
        <color rgb="FF63BE7B"/>
      </colorScale>
    </cfRule>
  </conditionalFormatting>
  <conditionalFormatting sqref="BX16:BX17">
    <cfRule type="colorScale" priority="25">
      <colorScale>
        <cfvo type="num" val="0.69"/>
        <cfvo type="num" val="0.8"/>
        <cfvo type="num" val="0.9"/>
        <color rgb="FFF8696B"/>
        <color rgb="FFFFEB84"/>
        <color rgb="FF63BE7B"/>
      </colorScale>
    </cfRule>
  </conditionalFormatting>
  <conditionalFormatting sqref="BX16:BX17">
    <cfRule type="colorScale" priority="24">
      <colorScale>
        <cfvo type="num" val="0.69"/>
        <cfvo type="num" val="0.8"/>
        <cfvo type="num" val="0.9"/>
        <color rgb="FFF8696B"/>
        <color rgb="FFFFEB84"/>
        <color rgb="FF63BE7B"/>
      </colorScale>
    </cfRule>
  </conditionalFormatting>
  <conditionalFormatting sqref="BX12">
    <cfRule type="colorScale" priority="23">
      <colorScale>
        <cfvo type="num" val="0.69"/>
        <cfvo type="num" val="0.8"/>
        <cfvo type="num" val="0.9"/>
        <color rgb="FFF8696B"/>
        <color rgb="FFFFEB84"/>
        <color rgb="FF63BE7B"/>
      </colorScale>
    </cfRule>
  </conditionalFormatting>
  <conditionalFormatting sqref="BX11">
    <cfRule type="colorScale" priority="22">
      <colorScale>
        <cfvo type="num" val="0.69"/>
        <cfvo type="num" val="0.8"/>
        <cfvo type="num" val="0.9"/>
        <color rgb="FFF8696B"/>
        <color rgb="FFFFEB84"/>
        <color rgb="FF63BE7B"/>
      </colorScale>
    </cfRule>
  </conditionalFormatting>
  <conditionalFormatting sqref="CD10">
    <cfRule type="colorScale" priority="21">
      <colorScale>
        <cfvo type="num" val="0.69"/>
        <cfvo type="num" val="0.8"/>
        <cfvo type="num" val="0.9"/>
        <color rgb="FFF8696B"/>
        <color rgb="FFFFEB84"/>
        <color rgb="FF63BE7B"/>
      </colorScale>
    </cfRule>
  </conditionalFormatting>
  <conditionalFormatting sqref="CD13:CD14">
    <cfRule type="colorScale" priority="20">
      <colorScale>
        <cfvo type="num" val="0.69"/>
        <cfvo type="num" val="0.8"/>
        <cfvo type="num" val="0.9"/>
        <color rgb="FFF8696B"/>
        <color rgb="FFFFEB84"/>
        <color rgb="FF63BE7B"/>
      </colorScale>
    </cfRule>
  </conditionalFormatting>
  <conditionalFormatting sqref="CD18">
    <cfRule type="colorScale" priority="19">
      <colorScale>
        <cfvo type="num" val="0.69"/>
        <cfvo type="num" val="0.8"/>
        <cfvo type="num" val="0.9"/>
        <color rgb="FFF8696B"/>
        <color rgb="FFFFEB84"/>
        <color rgb="FF63BE7B"/>
      </colorScale>
    </cfRule>
  </conditionalFormatting>
  <conditionalFormatting sqref="CD18">
    <cfRule type="colorScale" priority="18">
      <colorScale>
        <cfvo type="num" val="0.69"/>
        <cfvo type="num" val="0.8"/>
        <cfvo type="num" val="0.9"/>
        <color rgb="FFF8696B"/>
        <color rgb="FFFFEB84"/>
        <color rgb="FF63BE7B"/>
      </colorScale>
    </cfRule>
  </conditionalFormatting>
  <conditionalFormatting sqref="CD18">
    <cfRule type="colorScale" priority="17">
      <colorScale>
        <cfvo type="num" val="0.69"/>
        <cfvo type="num" val="0.8"/>
        <cfvo type="num" val="0.9"/>
        <color rgb="FFF8696B"/>
        <color rgb="FFFFEB84"/>
        <color rgb="FF63BE7B"/>
      </colorScale>
    </cfRule>
  </conditionalFormatting>
  <conditionalFormatting sqref="CD8">
    <cfRule type="colorScale" priority="16">
      <colorScale>
        <cfvo type="num" val="0.69"/>
        <cfvo type="num" val="0.8"/>
        <cfvo type="num" val="0.9"/>
        <color rgb="FFF8696B"/>
        <color rgb="FFFFEB84"/>
        <color rgb="FF63BE7B"/>
      </colorScale>
    </cfRule>
  </conditionalFormatting>
  <conditionalFormatting sqref="CJ9">
    <cfRule type="colorScale" priority="15">
      <colorScale>
        <cfvo type="num" val="0.69"/>
        <cfvo type="num" val="0.8"/>
        <cfvo type="num" val="0.9"/>
        <color rgb="FFF8696B"/>
        <color rgb="FFFFEB84"/>
        <color rgb="FF63BE7B"/>
      </colorScale>
    </cfRule>
  </conditionalFormatting>
  <conditionalFormatting sqref="CJ8">
    <cfRule type="colorScale" priority="14">
      <colorScale>
        <cfvo type="num" val="0.69"/>
        <cfvo type="num" val="0.8"/>
        <cfvo type="num" val="0.9"/>
        <color rgb="FFF8696B"/>
        <color rgb="FFFFEB84"/>
        <color rgb="FF63BE7B"/>
      </colorScale>
    </cfRule>
  </conditionalFormatting>
  <conditionalFormatting sqref="CP17">
    <cfRule type="colorScale" priority="13">
      <colorScale>
        <cfvo type="num" val="0.69"/>
        <cfvo type="num" val="0.8"/>
        <cfvo type="num" val="0.9"/>
        <color rgb="FFF8696B"/>
        <color rgb="FFFFEB84"/>
        <color rgb="FF63BE7B"/>
      </colorScale>
    </cfRule>
  </conditionalFormatting>
  <conditionalFormatting sqref="CV17">
    <cfRule type="colorScale" priority="12">
      <colorScale>
        <cfvo type="num" val="0.69"/>
        <cfvo type="num" val="0.8"/>
        <cfvo type="num" val="0.9"/>
        <color rgb="FFF8696B"/>
        <color rgb="FFFFEB84"/>
        <color rgb="FF63BE7B"/>
      </colorScale>
    </cfRule>
  </conditionalFormatting>
  <conditionalFormatting sqref="CP18">
    <cfRule type="colorScale" priority="11">
      <colorScale>
        <cfvo type="num" val="0.69"/>
        <cfvo type="num" val="0.8"/>
        <cfvo type="num" val="0.9"/>
        <color rgb="FFF8696B"/>
        <color rgb="FFFFEB84"/>
        <color rgb="FF63BE7B"/>
      </colorScale>
    </cfRule>
  </conditionalFormatting>
  <conditionalFormatting sqref="CP18">
    <cfRule type="colorScale" priority="10">
      <colorScale>
        <cfvo type="num" val="0.69"/>
        <cfvo type="num" val="0.8"/>
        <cfvo type="num" val="0.9"/>
        <color rgb="FFF8696B"/>
        <color rgb="FFFFEB84"/>
        <color rgb="FF63BE7B"/>
      </colorScale>
    </cfRule>
  </conditionalFormatting>
  <conditionalFormatting sqref="CP18">
    <cfRule type="colorScale" priority="9">
      <colorScale>
        <cfvo type="num" val="0.69"/>
        <cfvo type="num" val="0.8"/>
        <cfvo type="num" val="0.9"/>
        <color rgb="FFF8696B"/>
        <color rgb="FFFFEB84"/>
        <color rgb="FF63BE7B"/>
      </colorScale>
    </cfRule>
  </conditionalFormatting>
  <conditionalFormatting sqref="CP16">
    <cfRule type="colorScale" priority="8">
      <colorScale>
        <cfvo type="num" val="0.69"/>
        <cfvo type="num" val="0.8"/>
        <cfvo type="num" val="0.9"/>
        <color rgb="FFF8696B"/>
        <color rgb="FFFFEB84"/>
        <color rgb="FF63BE7B"/>
      </colorScale>
    </cfRule>
  </conditionalFormatting>
  <conditionalFormatting sqref="CP16">
    <cfRule type="colorScale" priority="7">
      <colorScale>
        <cfvo type="num" val="0.69"/>
        <cfvo type="num" val="0.8"/>
        <cfvo type="num" val="0.9"/>
        <color rgb="FFF8696B"/>
        <color rgb="FFFFEB84"/>
        <color rgb="FF63BE7B"/>
      </colorScale>
    </cfRule>
  </conditionalFormatting>
  <conditionalFormatting sqref="CV16">
    <cfRule type="colorScale" priority="6">
      <colorScale>
        <cfvo type="num" val="0.69"/>
        <cfvo type="num" val="0.8"/>
        <cfvo type="num" val="0.9"/>
        <color rgb="FFF8696B"/>
        <color rgb="FFFFEB84"/>
        <color rgb="FF63BE7B"/>
      </colorScale>
    </cfRule>
  </conditionalFormatting>
  <conditionalFormatting sqref="CP20">
    <cfRule type="colorScale" priority="5">
      <colorScale>
        <cfvo type="num" val="0.69"/>
        <cfvo type="num" val="0.8"/>
        <cfvo type="num" val="0.9"/>
        <color rgb="FFF8696B"/>
        <color rgb="FFFFEB84"/>
        <color rgb="FF63BE7B"/>
      </colorScale>
    </cfRule>
  </conditionalFormatting>
  <conditionalFormatting sqref="CV14">
    <cfRule type="colorScale" priority="4">
      <colorScale>
        <cfvo type="num" val="0.69"/>
        <cfvo type="num" val="0.8"/>
        <cfvo type="num" val="0.9"/>
        <color rgb="FFF8696B"/>
        <color rgb="FFFFEB84"/>
        <color rgb="FF63BE7B"/>
      </colorScale>
    </cfRule>
  </conditionalFormatting>
  <conditionalFormatting sqref="CV8">
    <cfRule type="colorScale" priority="3">
      <colorScale>
        <cfvo type="num" val="0.69"/>
        <cfvo type="num" val="0.8"/>
        <cfvo type="num" val="0.9"/>
        <color rgb="FFF8696B"/>
        <color rgb="FFFFEB84"/>
        <color rgb="FF63BE7B"/>
      </colorScale>
    </cfRule>
  </conditionalFormatting>
  <conditionalFormatting sqref="CP11">
    <cfRule type="colorScale" priority="2">
      <colorScale>
        <cfvo type="num" val="0.69"/>
        <cfvo type="num" val="0.8"/>
        <cfvo type="num" val="0.9"/>
        <color rgb="FFF8696B"/>
        <color rgb="FFFFEB84"/>
        <color rgb="FF63BE7B"/>
      </colorScale>
    </cfRule>
  </conditionalFormatting>
  <conditionalFormatting sqref="CV11">
    <cfRule type="colorScale" priority="1">
      <colorScale>
        <cfvo type="num" val="0.69"/>
        <cfvo type="num" val="0.8"/>
        <cfvo type="num" val="0.9"/>
        <color rgb="FFF8696B"/>
        <color rgb="FFFFEB84"/>
        <color rgb="FF63BE7B"/>
      </colorScale>
    </cfRule>
  </conditionalFormatting>
  <printOptions horizontalCentered="1"/>
  <pageMargins left="0.19685039370078741" right="0.19685039370078741" top="0.39370078740157483" bottom="0.39370078740157483" header="0.31496062992125984" footer="0.31496062992125984"/>
  <pageSetup scale="38" fitToHeight="4" orientation="landscape" r:id="rId1"/>
  <headerFooter alignWithMargins="0"/>
  <rowBreaks count="1" manualBreakCount="1">
    <brk id="20" max="10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pageSetUpPr fitToPage="1"/>
  </sheetPr>
  <dimension ref="A1:CW25"/>
  <sheetViews>
    <sheetView showGridLines="0" zoomScaleNormal="100" zoomScaleSheetLayoutView="100" workbookViewId="0">
      <selection activeCell="F8" sqref="F8"/>
    </sheetView>
  </sheetViews>
  <sheetFormatPr baseColWidth="10" defaultRowHeight="12.75"/>
  <cols>
    <col min="1" max="1" width="1.140625" style="15" customWidth="1"/>
    <col min="2" max="2" width="14" style="15" customWidth="1"/>
    <col min="3" max="3" width="5.42578125" style="2" hidden="1" customWidth="1"/>
    <col min="4" max="4" width="21.42578125" style="15" customWidth="1"/>
    <col min="5" max="5" width="17.7109375" style="15" customWidth="1"/>
    <col min="6" max="6" width="17.28515625" style="15" customWidth="1"/>
    <col min="7" max="7" width="9.28515625" style="15" customWidth="1"/>
    <col min="8" max="8" width="24.140625" style="15" customWidth="1"/>
    <col min="9" max="9" width="16.7109375" style="15" customWidth="1"/>
    <col min="10" max="10" width="10" style="15" customWidth="1"/>
    <col min="11" max="22" width="4.7109375" style="15" customWidth="1"/>
    <col min="23" max="23" width="8.7109375" style="15" customWidth="1"/>
    <col min="24" max="24" width="9.28515625" style="15" bestFit="1" customWidth="1"/>
    <col min="25" max="25" width="11" style="15" customWidth="1"/>
    <col min="26" max="27" width="8.140625" style="15" customWidth="1"/>
    <col min="28" max="28" width="11.5703125" style="15" customWidth="1"/>
    <col min="29" max="29" width="37.7109375" style="15" customWidth="1"/>
    <col min="30" max="30" width="9.28515625" style="15" bestFit="1" customWidth="1"/>
    <col min="31" max="31" width="10.140625" style="15" customWidth="1"/>
    <col min="32" max="33" width="8.140625" style="15" customWidth="1"/>
    <col min="34" max="34" width="11.5703125" style="15" customWidth="1"/>
    <col min="35" max="35" width="33.42578125" style="15" customWidth="1"/>
    <col min="36" max="36" width="8.85546875" style="15" customWidth="1"/>
    <col min="37" max="37" width="7.5703125" style="15" customWidth="1"/>
    <col min="38" max="39" width="8.140625" style="15" customWidth="1"/>
    <col min="40" max="40" width="11.5703125" style="15" customWidth="1"/>
    <col min="41" max="41" width="34.28515625" style="15" customWidth="1"/>
    <col min="42" max="42" width="9.28515625" style="15" bestFit="1" customWidth="1"/>
    <col min="43" max="43" width="11" style="15" customWidth="1"/>
    <col min="44" max="45" width="8.140625" style="15" customWidth="1"/>
    <col min="46" max="46" width="11.5703125" style="15" customWidth="1"/>
    <col min="47" max="47" width="37.7109375" style="15" customWidth="1"/>
    <col min="48" max="48" width="9.28515625" style="15" bestFit="1" customWidth="1"/>
    <col min="49" max="49" width="11" style="15" customWidth="1"/>
    <col min="50" max="51" width="8.140625" style="15" customWidth="1"/>
    <col min="52" max="52" width="11.5703125" style="15" customWidth="1"/>
    <col min="53" max="53" width="37.7109375" style="15" customWidth="1"/>
    <col min="54" max="54" width="9.28515625" style="15" bestFit="1" customWidth="1"/>
    <col min="55" max="55" width="11" style="15" customWidth="1"/>
    <col min="56" max="57" width="8.140625" style="15" customWidth="1"/>
    <col min="58" max="58" width="11.5703125" style="15" customWidth="1"/>
    <col min="59" max="59" width="37.7109375" style="15" customWidth="1"/>
    <col min="60" max="60" width="9.28515625" style="15" bestFit="1" customWidth="1"/>
    <col min="61" max="61" width="11" style="15" customWidth="1"/>
    <col min="62" max="63" width="8.140625" style="15" customWidth="1"/>
    <col min="64" max="64" width="11.5703125" style="15" customWidth="1"/>
    <col min="65" max="65" width="37.7109375" style="15" customWidth="1"/>
    <col min="66" max="66" width="9.28515625" style="15" bestFit="1" customWidth="1"/>
    <col min="67" max="67" width="11" style="15" customWidth="1"/>
    <col min="68" max="69" width="8.140625" style="15" customWidth="1"/>
    <col min="70" max="70" width="11.5703125" style="15" customWidth="1"/>
    <col min="71" max="71" width="37.7109375" style="15" customWidth="1"/>
    <col min="72" max="72" width="9.28515625" style="15" bestFit="1" customWidth="1"/>
    <col min="73" max="73" width="11" style="15" customWidth="1"/>
    <col min="74" max="75" width="8.140625" style="15" customWidth="1"/>
    <col min="76" max="76" width="11.5703125" style="15" customWidth="1"/>
    <col min="77" max="77" width="37.7109375" style="15" customWidth="1"/>
    <col min="78" max="78" width="9.28515625" style="15" bestFit="1" customWidth="1"/>
    <col min="79" max="79" width="11" style="15" customWidth="1"/>
    <col min="80" max="81" width="8.140625" style="15" customWidth="1"/>
    <col min="82" max="82" width="11.5703125" style="15" customWidth="1"/>
    <col min="83" max="83" width="37.7109375" style="15" customWidth="1"/>
    <col min="84" max="84" width="9.28515625" style="15" bestFit="1" customWidth="1"/>
    <col min="85" max="85" width="11" style="15" customWidth="1"/>
    <col min="86" max="87" width="8.140625" style="15" customWidth="1"/>
    <col min="88" max="88" width="11.5703125" style="15" customWidth="1"/>
    <col min="89" max="89" width="37.7109375" style="15" customWidth="1"/>
    <col min="90" max="90" width="9.28515625" style="15" bestFit="1" customWidth="1"/>
    <col min="91" max="91" width="11" style="15" customWidth="1"/>
    <col min="92" max="93" width="8.140625" style="15" customWidth="1"/>
    <col min="94" max="94" width="11.5703125" style="15" customWidth="1"/>
    <col min="95" max="95" width="37.7109375" style="1216" customWidth="1"/>
    <col min="96" max="96" width="9.28515625" style="15" bestFit="1" customWidth="1"/>
    <col min="97" max="97" width="11" style="15" customWidth="1"/>
    <col min="98" max="98" width="8.140625" style="15" customWidth="1"/>
    <col min="99" max="99" width="9.140625" style="15" customWidth="1"/>
    <col min="100" max="100" width="12.85546875" style="15" customWidth="1"/>
    <col min="101" max="101" width="37.7109375" style="15" customWidth="1"/>
    <col min="102" max="16384" width="11.42578125" style="15"/>
  </cols>
  <sheetData>
    <row r="1" spans="1:101" s="4" customFormat="1" ht="24.75" customHeight="1">
      <c r="A1" s="10"/>
      <c r="B1" s="2422" t="s">
        <v>22</v>
      </c>
      <c r="C1" s="2422"/>
      <c r="D1" s="2422"/>
      <c r="E1" s="2422"/>
      <c r="F1" s="2422"/>
      <c r="G1" s="2422"/>
      <c r="H1" s="2422"/>
      <c r="I1" s="2422"/>
      <c r="J1" s="2422"/>
      <c r="K1" s="2422"/>
      <c r="L1" s="2422"/>
      <c r="M1" s="2422"/>
      <c r="N1" s="2422"/>
      <c r="O1" s="1983"/>
      <c r="P1" s="1984"/>
      <c r="Q1" s="1984"/>
      <c r="R1" s="1984"/>
      <c r="S1" s="1982"/>
      <c r="T1" s="1982"/>
      <c r="U1" s="1982"/>
      <c r="V1" s="1982"/>
      <c r="CQ1" s="1215"/>
    </row>
    <row r="2" spans="1:101"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row>
    <row r="3" spans="1:101" ht="3" customHeight="1">
      <c r="CR3" s="1215"/>
    </row>
    <row r="4" spans="1:101" ht="19.5" customHeight="1">
      <c r="B4" s="49" t="s">
        <v>18</v>
      </c>
      <c r="C4" s="2300" t="s">
        <v>2089</v>
      </c>
      <c r="D4" s="2300"/>
      <c r="E4" s="2300"/>
      <c r="F4" s="2300"/>
      <c r="G4" s="2300"/>
      <c r="H4" s="2300"/>
      <c r="I4" s="2300"/>
      <c r="J4" s="2300"/>
      <c r="K4" s="1996" t="s">
        <v>2090</v>
      </c>
      <c r="L4" s="1996"/>
      <c r="M4" s="1996"/>
      <c r="N4" s="1999">
        <v>2014</v>
      </c>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6" customHeight="1">
      <c r="A5" s="128"/>
      <c r="B5" s="128"/>
      <c r="C5" s="44"/>
      <c r="D5" s="128"/>
      <c r="E5" s="128"/>
      <c r="F5" s="128"/>
      <c r="G5" s="128"/>
      <c r="H5" s="128"/>
      <c r="I5" s="128"/>
      <c r="J5" s="128"/>
      <c r="K5" s="128"/>
      <c r="L5" s="128"/>
      <c r="M5" s="128"/>
      <c r="N5" s="128"/>
      <c r="O5" s="128"/>
      <c r="P5" s="128"/>
      <c r="Q5" s="128"/>
      <c r="R5" s="128"/>
      <c r="S5" s="128"/>
      <c r="T5" s="128"/>
      <c r="U5" s="128"/>
      <c r="V5" s="128"/>
      <c r="W5" s="128"/>
    </row>
    <row r="6" spans="1:101"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1"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0" t="s">
        <v>27</v>
      </c>
      <c r="X7" s="56" t="s">
        <v>31</v>
      </c>
      <c r="Y7" s="16" t="s">
        <v>32</v>
      </c>
      <c r="Z7" s="17" t="s">
        <v>33</v>
      </c>
      <c r="AA7" s="18" t="s">
        <v>34</v>
      </c>
      <c r="AB7" s="19" t="s">
        <v>35</v>
      </c>
      <c r="AC7" s="20" t="s">
        <v>36</v>
      </c>
      <c r="AD7" s="16" t="s">
        <v>31</v>
      </c>
      <c r="AE7" s="16" t="s">
        <v>32</v>
      </c>
      <c r="AF7" s="17" t="s">
        <v>33</v>
      </c>
      <c r="AG7" s="18" t="s">
        <v>34</v>
      </c>
      <c r="AH7" s="19" t="s">
        <v>35</v>
      </c>
      <c r="AI7" s="20" t="s">
        <v>36</v>
      </c>
      <c r="AJ7" s="16" t="s">
        <v>31</v>
      </c>
      <c r="AK7" s="16" t="s">
        <v>32</v>
      </c>
      <c r="AL7" s="17" t="s">
        <v>33</v>
      </c>
      <c r="AM7" s="18" t="s">
        <v>34</v>
      </c>
      <c r="AN7" s="19" t="s">
        <v>35</v>
      </c>
      <c r="AO7" s="20" t="s">
        <v>36</v>
      </c>
      <c r="AP7" s="16" t="s">
        <v>31</v>
      </c>
      <c r="AQ7" s="16" t="s">
        <v>32</v>
      </c>
      <c r="AR7" s="17" t="s">
        <v>33</v>
      </c>
      <c r="AS7" s="18" t="s">
        <v>34</v>
      </c>
      <c r="AT7" s="19" t="s">
        <v>414</v>
      </c>
      <c r="AU7" s="20" t="s">
        <v>36</v>
      </c>
      <c r="AV7" s="16" t="s">
        <v>31</v>
      </c>
      <c r="AW7" s="16" t="s">
        <v>32</v>
      </c>
      <c r="AX7" s="17" t="s">
        <v>33</v>
      </c>
      <c r="AY7" s="18" t="s">
        <v>34</v>
      </c>
      <c r="AZ7" s="19" t="s">
        <v>35</v>
      </c>
      <c r="BA7" s="20" t="s">
        <v>36</v>
      </c>
      <c r="BB7" s="16" t="s">
        <v>31</v>
      </c>
      <c r="BC7" s="16" t="s">
        <v>32</v>
      </c>
      <c r="BD7" s="17" t="s">
        <v>33</v>
      </c>
      <c r="BE7" s="18" t="s">
        <v>34</v>
      </c>
      <c r="BF7" s="19" t="s">
        <v>35</v>
      </c>
      <c r="BG7" s="20" t="s">
        <v>36</v>
      </c>
      <c r="BH7" s="16" t="s">
        <v>31</v>
      </c>
      <c r="BI7" s="16" t="s">
        <v>32</v>
      </c>
      <c r="BJ7" s="17" t="s">
        <v>33</v>
      </c>
      <c r="BK7" s="18" t="s">
        <v>34</v>
      </c>
      <c r="BL7" s="19" t="s">
        <v>35</v>
      </c>
      <c r="BM7" s="20" t="s">
        <v>36</v>
      </c>
      <c r="BN7" s="16" t="s">
        <v>31</v>
      </c>
      <c r="BO7" s="16" t="s">
        <v>32</v>
      </c>
      <c r="BP7" s="17" t="s">
        <v>33</v>
      </c>
      <c r="BQ7" s="18" t="s">
        <v>34</v>
      </c>
      <c r="BR7" s="19" t="s">
        <v>35</v>
      </c>
      <c r="BS7" s="20" t="s">
        <v>36</v>
      </c>
      <c r="BT7" s="16" t="s">
        <v>31</v>
      </c>
      <c r="BU7" s="16" t="s">
        <v>32</v>
      </c>
      <c r="BV7" s="17" t="s">
        <v>33</v>
      </c>
      <c r="BW7" s="18" t="s">
        <v>34</v>
      </c>
      <c r="BX7" s="19" t="s">
        <v>35</v>
      </c>
      <c r="BY7" s="20" t="s">
        <v>36</v>
      </c>
      <c r="BZ7" s="16" t="s">
        <v>31</v>
      </c>
      <c r="CA7" s="16" t="s">
        <v>32</v>
      </c>
      <c r="CB7" s="17" t="s">
        <v>33</v>
      </c>
      <c r="CC7" s="18" t="s">
        <v>34</v>
      </c>
      <c r="CD7" s="19" t="s">
        <v>35</v>
      </c>
      <c r="CE7" s="20" t="s">
        <v>36</v>
      </c>
      <c r="CF7" s="16" t="s">
        <v>31</v>
      </c>
      <c r="CG7" s="16" t="s">
        <v>32</v>
      </c>
      <c r="CH7" s="17" t="s">
        <v>33</v>
      </c>
      <c r="CI7" s="18" t="s">
        <v>34</v>
      </c>
      <c r="CJ7" s="19" t="s">
        <v>35</v>
      </c>
      <c r="CK7" s="20" t="s">
        <v>36</v>
      </c>
      <c r="CL7" s="16" t="s">
        <v>31</v>
      </c>
      <c r="CM7" s="16" t="s">
        <v>32</v>
      </c>
      <c r="CN7" s="17" t="s">
        <v>33</v>
      </c>
      <c r="CO7" s="18" t="s">
        <v>34</v>
      </c>
      <c r="CP7" s="19" t="s">
        <v>35</v>
      </c>
      <c r="CQ7" s="20" t="s">
        <v>36</v>
      </c>
      <c r="CR7" s="16" t="s">
        <v>31</v>
      </c>
      <c r="CS7" s="16" t="s">
        <v>32</v>
      </c>
      <c r="CT7" s="17" t="s">
        <v>33</v>
      </c>
      <c r="CU7" s="18" t="s">
        <v>34</v>
      </c>
      <c r="CV7" s="19" t="s">
        <v>35</v>
      </c>
      <c r="CW7" s="20" t="s">
        <v>36</v>
      </c>
    </row>
    <row r="8" spans="1:101" ht="191.25">
      <c r="B8" s="2423" t="s">
        <v>2091</v>
      </c>
      <c r="C8" s="9"/>
      <c r="D8" s="13" t="s">
        <v>2092</v>
      </c>
      <c r="E8" s="13" t="s">
        <v>2093</v>
      </c>
      <c r="F8" s="8" t="s">
        <v>2094</v>
      </c>
      <c r="G8" s="8" t="s">
        <v>178</v>
      </c>
      <c r="H8" s="789" t="s">
        <v>2095</v>
      </c>
      <c r="I8" s="8" t="s">
        <v>2096</v>
      </c>
      <c r="J8" s="8" t="s">
        <v>2097</v>
      </c>
      <c r="K8" s="12">
        <v>1</v>
      </c>
      <c r="L8" s="12">
        <v>1</v>
      </c>
      <c r="M8" s="12">
        <v>1</v>
      </c>
      <c r="N8" s="12">
        <v>1</v>
      </c>
      <c r="O8" s="12">
        <v>1</v>
      </c>
      <c r="P8" s="14">
        <v>1</v>
      </c>
      <c r="Q8" s="14">
        <v>1</v>
      </c>
      <c r="R8" s="14">
        <v>1</v>
      </c>
      <c r="S8" s="14">
        <v>1</v>
      </c>
      <c r="T8" s="14">
        <v>1</v>
      </c>
      <c r="U8" s="14">
        <v>1</v>
      </c>
      <c r="V8" s="14">
        <v>1</v>
      </c>
      <c r="W8" s="790" t="s">
        <v>2098</v>
      </c>
      <c r="X8" s="696">
        <v>2</v>
      </c>
      <c r="Y8" s="1217">
        <v>4</v>
      </c>
      <c r="Z8" s="22">
        <f>IF(Y8=0," ",X8/Y8)</f>
        <v>0.5</v>
      </c>
      <c r="AA8" s="23">
        <v>1</v>
      </c>
      <c r="AB8" s="24">
        <f>IF(Y8=0," ",Z8/AA8)</f>
        <v>0.5</v>
      </c>
      <c r="AC8" s="1218" t="s">
        <v>2099</v>
      </c>
      <c r="AD8" s="1217">
        <v>8</v>
      </c>
      <c r="AE8" s="1219">
        <v>8</v>
      </c>
      <c r="AF8" s="22">
        <f>IF(AE8=0," ",AD8/AE8)</f>
        <v>1</v>
      </c>
      <c r="AG8" s="23">
        <v>1</v>
      </c>
      <c r="AH8" s="24">
        <f>IF(AE8=0," ",AF8/AG8)</f>
        <v>1</v>
      </c>
      <c r="AI8" s="1218" t="s">
        <v>2100</v>
      </c>
      <c r="AJ8" s="1217">
        <v>14</v>
      </c>
      <c r="AK8" s="1219">
        <v>12</v>
      </c>
      <c r="AL8" s="22">
        <f>IF(AK8=0," ",AJ8/AK8)</f>
        <v>1.1666666666666667</v>
      </c>
      <c r="AM8" s="23">
        <v>1</v>
      </c>
      <c r="AN8" s="24">
        <f>IF(AK8=0," ",AL8/AM8)</f>
        <v>1.1666666666666667</v>
      </c>
      <c r="AO8" s="1218" t="s">
        <v>2101</v>
      </c>
      <c r="AP8" s="1217">
        <v>4</v>
      </c>
      <c r="AQ8" s="1219">
        <v>7</v>
      </c>
      <c r="AR8" s="22">
        <f>IF(AQ8=0," ",AP8/AQ8)</f>
        <v>0.5714285714285714</v>
      </c>
      <c r="AS8" s="23">
        <v>1</v>
      </c>
      <c r="AT8" s="24">
        <f>IF(AQ8=0," ",AR8/AS8)</f>
        <v>0.5714285714285714</v>
      </c>
      <c r="AU8" s="1218" t="s">
        <v>2102</v>
      </c>
      <c r="AV8" s="1217">
        <v>6</v>
      </c>
      <c r="AW8" s="1219">
        <v>9</v>
      </c>
      <c r="AX8" s="22">
        <f>IF(AW8=0," ",AV8/AW8)</f>
        <v>0.66666666666666663</v>
      </c>
      <c r="AY8" s="23">
        <v>1</v>
      </c>
      <c r="AZ8" s="24">
        <f>IF(AW8=0," ",AX8/AY8)</f>
        <v>0.66666666666666663</v>
      </c>
      <c r="BA8" s="1218" t="s">
        <v>2103</v>
      </c>
      <c r="BB8" s="1217">
        <v>12</v>
      </c>
      <c r="BC8" s="1219">
        <v>10</v>
      </c>
      <c r="BD8" s="22">
        <f>IF(BC8=0," ",BB8/BC8)</f>
        <v>1.2</v>
      </c>
      <c r="BE8" s="23">
        <v>1</v>
      </c>
      <c r="BF8" s="24">
        <f>IF(BC8=0," ",BD8/BE8)</f>
        <v>1.2</v>
      </c>
      <c r="BG8" s="1218" t="s">
        <v>2104</v>
      </c>
      <c r="BH8" s="1217">
        <v>4</v>
      </c>
      <c r="BI8" s="1219">
        <v>9</v>
      </c>
      <c r="BJ8" s="22">
        <f>IF(BI8=0," ",BH8/BI8)</f>
        <v>0.44444444444444442</v>
      </c>
      <c r="BK8" s="23">
        <v>1</v>
      </c>
      <c r="BL8" s="24">
        <f>IF(BI8=0," ",BJ8/BK8)</f>
        <v>0.44444444444444442</v>
      </c>
      <c r="BM8" s="1218" t="s">
        <v>2105</v>
      </c>
      <c r="BN8" s="1217">
        <v>6</v>
      </c>
      <c r="BO8" s="1219">
        <v>11</v>
      </c>
      <c r="BP8" s="22">
        <f>IF(BO8=0," ",BN8/BO8)</f>
        <v>0.54545454545454541</v>
      </c>
      <c r="BQ8" s="23">
        <v>1</v>
      </c>
      <c r="BR8" s="24">
        <f>IF(BO8=0," ",BP8/BQ8)</f>
        <v>0.54545454545454541</v>
      </c>
      <c r="BS8" s="1218" t="s">
        <v>2106</v>
      </c>
      <c r="BT8" s="1217">
        <v>7</v>
      </c>
      <c r="BU8" s="1219">
        <v>7</v>
      </c>
      <c r="BV8" s="22">
        <f>IF(BU8=0," ",BT8/BU8)</f>
        <v>1</v>
      </c>
      <c r="BW8" s="23">
        <v>1</v>
      </c>
      <c r="BX8" s="24">
        <f>IF(BU8=0," ",BV8/BW8)</f>
        <v>1</v>
      </c>
      <c r="BY8" s="1218" t="s">
        <v>2107</v>
      </c>
      <c r="BZ8" s="26">
        <v>22</v>
      </c>
      <c r="CA8" s="21">
        <v>22</v>
      </c>
      <c r="CB8" s="22">
        <f>IF(CA8=0," ",BZ8/CA8)</f>
        <v>1</v>
      </c>
      <c r="CC8" s="23">
        <v>1</v>
      </c>
      <c r="CD8" s="24">
        <f>IF(CA8=0," ",CB8/CC8)</f>
        <v>1</v>
      </c>
      <c r="CE8" s="1218" t="s">
        <v>2108</v>
      </c>
      <c r="CF8" s="26">
        <v>12</v>
      </c>
      <c r="CG8" s="21">
        <v>14</v>
      </c>
      <c r="CH8" s="22">
        <f>IF(CG8=0," ",CF8/CG8)</f>
        <v>0.8571428571428571</v>
      </c>
      <c r="CI8" s="23">
        <v>1</v>
      </c>
      <c r="CJ8" s="24">
        <f>IF(CG8=0," ",CH8/CI8)</f>
        <v>0.8571428571428571</v>
      </c>
      <c r="CK8" s="25" t="s">
        <v>2109</v>
      </c>
      <c r="CL8" s="26">
        <v>12</v>
      </c>
      <c r="CM8" s="21">
        <v>12</v>
      </c>
      <c r="CN8" s="22">
        <f>IF(CM8=0," ",CL8/CM8)</f>
        <v>1</v>
      </c>
      <c r="CO8" s="23">
        <v>1</v>
      </c>
      <c r="CP8" s="24">
        <f>IF(CM8=0," ",CN8/CO8)</f>
        <v>1</v>
      </c>
      <c r="CQ8" s="695" t="s">
        <v>2110</v>
      </c>
      <c r="CR8" s="26">
        <v>104</v>
      </c>
      <c r="CS8" s="21">
        <v>126</v>
      </c>
      <c r="CT8" s="22">
        <v>0.83</v>
      </c>
      <c r="CU8" s="23">
        <v>1</v>
      </c>
      <c r="CV8" s="24">
        <v>0.83</v>
      </c>
      <c r="CW8" s="25" t="s">
        <v>2111</v>
      </c>
    </row>
    <row r="9" spans="1:101" ht="94.5" customHeight="1">
      <c r="B9" s="2424"/>
      <c r="C9" s="9"/>
      <c r="D9" s="13" t="s">
        <v>2112</v>
      </c>
      <c r="E9" s="13" t="s">
        <v>2113</v>
      </c>
      <c r="F9" s="8" t="s">
        <v>2114</v>
      </c>
      <c r="G9" s="8" t="s">
        <v>178</v>
      </c>
      <c r="H9" s="789" t="s">
        <v>2115</v>
      </c>
      <c r="I9" s="8" t="s">
        <v>2116</v>
      </c>
      <c r="J9" s="8" t="s">
        <v>2097</v>
      </c>
      <c r="K9" s="1220">
        <v>0.25</v>
      </c>
      <c r="L9" s="1220">
        <v>0.25</v>
      </c>
      <c r="M9" s="1220">
        <v>0.25</v>
      </c>
      <c r="N9" s="1220">
        <v>0.25</v>
      </c>
      <c r="O9" s="1220">
        <v>0.25</v>
      </c>
      <c r="P9" s="1220">
        <v>0.25</v>
      </c>
      <c r="Q9" s="1220">
        <v>0.25</v>
      </c>
      <c r="R9" s="1220">
        <v>0.25</v>
      </c>
      <c r="S9" s="1220">
        <v>0.25</v>
      </c>
      <c r="T9" s="1220">
        <v>0.25</v>
      </c>
      <c r="U9" s="1220">
        <v>0.25</v>
      </c>
      <c r="V9" s="1220">
        <v>0.25</v>
      </c>
      <c r="W9" s="790" t="s">
        <v>2098</v>
      </c>
      <c r="X9" s="117">
        <v>4</v>
      </c>
      <c r="Y9" s="1217">
        <v>5</v>
      </c>
      <c r="Z9" s="22">
        <f>IF(Y9=0," ",X9/Y9)</f>
        <v>0.8</v>
      </c>
      <c r="AA9" s="23">
        <v>1</v>
      </c>
      <c r="AB9" s="24">
        <f>IF(Y9=0," ",Z9/AA9)</f>
        <v>0.8</v>
      </c>
      <c r="AC9" s="1218" t="s">
        <v>2117</v>
      </c>
      <c r="AD9" s="1217">
        <f>2+X9</f>
        <v>6</v>
      </c>
      <c r="AE9" s="1219">
        <f>5+Y9</f>
        <v>10</v>
      </c>
      <c r="AF9" s="22">
        <f>IF(AE9=0," ",AD9/AE9)</f>
        <v>0.6</v>
      </c>
      <c r="AG9" s="23">
        <v>1</v>
      </c>
      <c r="AH9" s="24">
        <f>IF(AE9=0," ",AF9/AG9)</f>
        <v>0.6</v>
      </c>
      <c r="AI9" s="1218" t="s">
        <v>2118</v>
      </c>
      <c r="AJ9" s="1217">
        <f>6+AD9</f>
        <v>12</v>
      </c>
      <c r="AK9" s="1219">
        <f>7+AE9</f>
        <v>17</v>
      </c>
      <c r="AL9" s="22">
        <f>IF(AK9=0," ",AJ9/AK9)</f>
        <v>0.70588235294117652</v>
      </c>
      <c r="AM9" s="23">
        <v>1</v>
      </c>
      <c r="AN9" s="24">
        <f>IF(AK9=0," ",AL9/AM9)</f>
        <v>0.70588235294117652</v>
      </c>
      <c r="AO9" s="1218" t="s">
        <v>2119</v>
      </c>
      <c r="AP9" s="1217">
        <f>4+AJ9</f>
        <v>16</v>
      </c>
      <c r="AQ9" s="1219">
        <f>12+AK9</f>
        <v>29</v>
      </c>
      <c r="AR9" s="22">
        <f>IF(AQ9=0," ",AP9/AQ9)</f>
        <v>0.55172413793103448</v>
      </c>
      <c r="AS9" s="23">
        <v>1</v>
      </c>
      <c r="AT9" s="24">
        <f>IF(AQ9=0," ",AR9/AS9)</f>
        <v>0.55172413793103448</v>
      </c>
      <c r="AU9" s="1218" t="s">
        <v>2120</v>
      </c>
      <c r="AV9" s="1217">
        <f>0+AP9</f>
        <v>16</v>
      </c>
      <c r="AW9" s="1219">
        <f>5+AQ9</f>
        <v>34</v>
      </c>
      <c r="AX9" s="22">
        <f>IF(AW9=0," ",AV9/AW9)</f>
        <v>0.47058823529411764</v>
      </c>
      <c r="AY9" s="23">
        <v>1</v>
      </c>
      <c r="AZ9" s="24">
        <f>IF(AW9=0," ",AX9/AY9)</f>
        <v>0.47058823529411764</v>
      </c>
      <c r="BA9" s="1218" t="s">
        <v>2121</v>
      </c>
      <c r="BB9" s="1217">
        <f>6+AV9</f>
        <v>22</v>
      </c>
      <c r="BC9" s="1219">
        <f>11+AW9</f>
        <v>45</v>
      </c>
      <c r="BD9" s="22">
        <f>IF(BC9=0," ",BB9/BC9)</f>
        <v>0.48888888888888887</v>
      </c>
      <c r="BE9" s="23">
        <v>1</v>
      </c>
      <c r="BF9" s="24">
        <f>IF(BC9=0," ",BD9/BE9)</f>
        <v>0.48888888888888887</v>
      </c>
      <c r="BG9" s="1218" t="s">
        <v>2122</v>
      </c>
      <c r="BH9" s="1217">
        <f>1+BB9</f>
        <v>23</v>
      </c>
      <c r="BI9" s="1219">
        <f>2+BC9</f>
        <v>47</v>
      </c>
      <c r="BJ9" s="22">
        <f>IF(BI9=0," ",BH9/BI9)</f>
        <v>0.48936170212765956</v>
      </c>
      <c r="BK9" s="23">
        <v>1</v>
      </c>
      <c r="BL9" s="24">
        <f>IF(BI9=0," ",BJ9/BK9)</f>
        <v>0.48936170212765956</v>
      </c>
      <c r="BM9" s="1218" t="s">
        <v>2123</v>
      </c>
      <c r="BN9" s="1217">
        <f>1+BH9</f>
        <v>24</v>
      </c>
      <c r="BO9" s="1219">
        <f>6+BI9</f>
        <v>53</v>
      </c>
      <c r="BP9" s="22">
        <f>IF(BO9=0," ",BN9/BO9)</f>
        <v>0.45283018867924529</v>
      </c>
      <c r="BQ9" s="23">
        <v>1</v>
      </c>
      <c r="BR9" s="24">
        <f>IF(BO9=0," ",BP9/BQ9)</f>
        <v>0.45283018867924529</v>
      </c>
      <c r="BS9" s="1218" t="s">
        <v>2124</v>
      </c>
      <c r="BT9" s="1217">
        <f>3+BN9</f>
        <v>27</v>
      </c>
      <c r="BU9" s="1219">
        <f>14+BO9</f>
        <v>67</v>
      </c>
      <c r="BV9" s="22">
        <f>IF(BU9=0," ",BT9/BU9)</f>
        <v>0.40298507462686567</v>
      </c>
      <c r="BW9" s="23">
        <v>1</v>
      </c>
      <c r="BX9" s="24">
        <f>IF(BU9=0," ",BV9/BW9)</f>
        <v>0.40298507462686567</v>
      </c>
      <c r="BY9" s="1218" t="s">
        <v>2125</v>
      </c>
      <c r="BZ9" s="26">
        <v>25</v>
      </c>
      <c r="CA9" s="21">
        <v>25</v>
      </c>
      <c r="CB9" s="22">
        <f>IF(CA9=0," ",BZ9/CA9)</f>
        <v>1</v>
      </c>
      <c r="CC9" s="23"/>
      <c r="CD9" s="24">
        <v>1</v>
      </c>
      <c r="CE9" s="1218" t="s">
        <v>2126</v>
      </c>
      <c r="CF9" s="26">
        <v>25</v>
      </c>
      <c r="CG9" s="21">
        <v>25</v>
      </c>
      <c r="CH9" s="22">
        <f>IF(CG9=0," ",CF9/CG9)</f>
        <v>1</v>
      </c>
      <c r="CI9" s="23">
        <v>1</v>
      </c>
      <c r="CJ9" s="24">
        <f>IF(CG9=0," ",CH9/CI9)</f>
        <v>1</v>
      </c>
      <c r="CK9" s="25" t="s">
        <v>2127</v>
      </c>
      <c r="CL9" s="26">
        <v>25</v>
      </c>
      <c r="CM9" s="21">
        <v>25</v>
      </c>
      <c r="CN9" s="22">
        <f>IF(CM9=0," ",CL9/CM9)</f>
        <v>1</v>
      </c>
      <c r="CO9" s="23">
        <v>1</v>
      </c>
      <c r="CP9" s="24">
        <f>IF(CM9=0," ",CN9/CO9)</f>
        <v>1</v>
      </c>
      <c r="CQ9" s="695" t="s">
        <v>2128</v>
      </c>
      <c r="CR9" s="26">
        <v>75</v>
      </c>
      <c r="CS9" s="21">
        <v>114</v>
      </c>
      <c r="CT9" s="22">
        <v>0.66</v>
      </c>
      <c r="CU9" s="23">
        <v>1</v>
      </c>
      <c r="CV9" s="24">
        <v>0.66</v>
      </c>
      <c r="CW9" s="25" t="s">
        <v>2129</v>
      </c>
    </row>
    <row r="10" spans="1:101" ht="90">
      <c r="B10" s="2423" t="s">
        <v>2130</v>
      </c>
      <c r="C10" s="9"/>
      <c r="D10" s="789" t="s">
        <v>2131</v>
      </c>
      <c r="E10" s="13" t="s">
        <v>2132</v>
      </c>
      <c r="F10" s="8" t="s">
        <v>2133</v>
      </c>
      <c r="G10" s="8" t="s">
        <v>53</v>
      </c>
      <c r="H10" s="789" t="s">
        <v>2134</v>
      </c>
      <c r="I10" s="8" t="s">
        <v>2135</v>
      </c>
      <c r="J10" s="8" t="s">
        <v>2097</v>
      </c>
      <c r="K10" s="1221">
        <v>1</v>
      </c>
      <c r="L10" s="1221">
        <v>1</v>
      </c>
      <c r="M10" s="1221">
        <v>1</v>
      </c>
      <c r="N10" s="1221">
        <v>1</v>
      </c>
      <c r="O10" s="1221">
        <v>1</v>
      </c>
      <c r="P10" s="1221">
        <v>1</v>
      </c>
      <c r="Q10" s="1221">
        <v>1</v>
      </c>
      <c r="R10" s="1221">
        <v>1</v>
      </c>
      <c r="S10" s="1221">
        <v>1</v>
      </c>
      <c r="T10" s="1221">
        <v>1</v>
      </c>
      <c r="U10" s="1221">
        <v>1</v>
      </c>
      <c r="V10" s="1221">
        <v>1</v>
      </c>
      <c r="W10" s="790" t="s">
        <v>2098</v>
      </c>
      <c r="X10" s="117">
        <v>1</v>
      </c>
      <c r="Y10" s="1217">
        <v>1</v>
      </c>
      <c r="Z10" s="22">
        <f>1*100%/15 *100%</f>
        <v>6.6666666666666666E-2</v>
      </c>
      <c r="AA10" s="30">
        <v>6.6600000000000006E-2</v>
      </c>
      <c r="AB10" s="24">
        <f>IF(Y10=0," ",Z10/AA10)</f>
        <v>1.0010010010010009</v>
      </c>
      <c r="AC10" s="1218" t="s">
        <v>2136</v>
      </c>
      <c r="AD10" s="1217">
        <v>1</v>
      </c>
      <c r="AE10" s="1219">
        <v>1</v>
      </c>
      <c r="AF10" s="22">
        <f>1*100%/15 *100%</f>
        <v>6.6666666666666666E-2</v>
      </c>
      <c r="AG10" s="30">
        <v>6.6600000000000006E-2</v>
      </c>
      <c r="AH10" s="24">
        <f>IF(AE10=0," ",AF10/AG10)</f>
        <v>1.0010010010010009</v>
      </c>
      <c r="AI10" s="1218" t="s">
        <v>2137</v>
      </c>
      <c r="AJ10" s="1217">
        <v>2</v>
      </c>
      <c r="AK10" s="1219">
        <v>2</v>
      </c>
      <c r="AL10" s="22">
        <f>2*100%/15 *100%</f>
        <v>0.13333333333333333</v>
      </c>
      <c r="AM10" s="30">
        <f>2*100%/15 *100%</f>
        <v>0.13333333333333333</v>
      </c>
      <c r="AN10" s="24">
        <f>IF(AK10=0," ",AL10/AM10)</f>
        <v>1</v>
      </c>
      <c r="AO10" s="1218" t="s">
        <v>2138</v>
      </c>
      <c r="AP10" s="1217">
        <v>1</v>
      </c>
      <c r="AQ10" s="1219">
        <v>1</v>
      </c>
      <c r="AR10" s="22">
        <f>1*100%/15 *100%</f>
        <v>6.6666666666666666E-2</v>
      </c>
      <c r="AS10" s="30">
        <v>6.6600000000000006E-2</v>
      </c>
      <c r="AT10" s="24">
        <f>IF(AQ10=0," ",AR10/AS10)</f>
        <v>1.0010010010010009</v>
      </c>
      <c r="AU10" s="1222" t="s">
        <v>2139</v>
      </c>
      <c r="AV10" s="1217">
        <v>1</v>
      </c>
      <c r="AW10" s="1219">
        <v>1</v>
      </c>
      <c r="AX10" s="22">
        <f>1*100%/15 *100%</f>
        <v>6.6666666666666666E-2</v>
      </c>
      <c r="AY10" s="30">
        <v>6.6600000000000006E-2</v>
      </c>
      <c r="AZ10" s="24">
        <f>IF(AW10=0," ",AX10/AY10)</f>
        <v>1.0010010010010009</v>
      </c>
      <c r="BA10" s="1218" t="s">
        <v>2140</v>
      </c>
      <c r="BB10" s="1217">
        <v>1</v>
      </c>
      <c r="BC10" s="1219">
        <v>1</v>
      </c>
      <c r="BD10" s="22">
        <f>1*100%/15 *100%</f>
        <v>6.6666666666666666E-2</v>
      </c>
      <c r="BE10" s="30">
        <v>6.6600000000000006E-2</v>
      </c>
      <c r="BF10" s="24">
        <f>IF(BC10=0," ",BD10/BE10)</f>
        <v>1.0010010010010009</v>
      </c>
      <c r="BG10" s="1218" t="s">
        <v>2141</v>
      </c>
      <c r="BH10" s="1217">
        <v>1</v>
      </c>
      <c r="BI10" s="1219">
        <v>1</v>
      </c>
      <c r="BJ10" s="22">
        <f>1*100%/15 *100%</f>
        <v>6.6666666666666666E-2</v>
      </c>
      <c r="BK10" s="30">
        <v>6.6600000000000006E-2</v>
      </c>
      <c r="BL10" s="24">
        <f>IF(BI10=0," ",BJ10/BK10)</f>
        <v>1.0010010010010009</v>
      </c>
      <c r="BM10" s="1218" t="s">
        <v>2142</v>
      </c>
      <c r="BN10" s="1217">
        <v>1</v>
      </c>
      <c r="BO10" s="1219">
        <v>1</v>
      </c>
      <c r="BP10" s="22">
        <f>1*100%/15 *100%</f>
        <v>6.6666666666666666E-2</v>
      </c>
      <c r="BQ10" s="30">
        <v>6.6600000000000006E-2</v>
      </c>
      <c r="BR10" s="24">
        <f>IF(BO10=0," ",BP10/BQ10)</f>
        <v>1.0010010010010009</v>
      </c>
      <c r="BS10" s="1218" t="s">
        <v>2143</v>
      </c>
      <c r="BT10" s="1217">
        <v>1</v>
      </c>
      <c r="BU10" s="1219">
        <v>1</v>
      </c>
      <c r="BV10" s="22">
        <f>1*100%/15 *100%</f>
        <v>6.6666666666666666E-2</v>
      </c>
      <c r="BW10" s="30">
        <v>6.6600000000000006E-2</v>
      </c>
      <c r="BX10" s="24">
        <f>IF(BU10=0," ",BV10/BW10)</f>
        <v>1.0010010010010009</v>
      </c>
      <c r="BY10" s="1218" t="s">
        <v>2144</v>
      </c>
      <c r="BZ10" s="27">
        <v>1</v>
      </c>
      <c r="CA10" s="28">
        <v>1</v>
      </c>
      <c r="CB10" s="29">
        <v>7.0000000000000007E-2</v>
      </c>
      <c r="CC10" s="30">
        <v>7.0000000000000007E-2</v>
      </c>
      <c r="CD10" s="31">
        <v>1</v>
      </c>
      <c r="CE10" s="1218" t="s">
        <v>2145</v>
      </c>
      <c r="CF10" s="27">
        <v>1</v>
      </c>
      <c r="CG10" s="28">
        <v>1</v>
      </c>
      <c r="CH10" s="29">
        <v>7.0000000000000007E-2</v>
      </c>
      <c r="CI10" s="30">
        <v>7.0000000000000007E-2</v>
      </c>
      <c r="CJ10" s="31">
        <v>1</v>
      </c>
      <c r="CK10" s="32" t="s">
        <v>2146</v>
      </c>
      <c r="CL10" s="27">
        <v>1</v>
      </c>
      <c r="CM10" s="28">
        <v>1</v>
      </c>
      <c r="CN10" s="29">
        <v>7.0000000000000007E-2</v>
      </c>
      <c r="CO10" s="30">
        <v>7.0000000000000007E-2</v>
      </c>
      <c r="CP10" s="31">
        <v>1</v>
      </c>
      <c r="CQ10" s="1218" t="s">
        <v>2147</v>
      </c>
      <c r="CR10" s="27">
        <v>13</v>
      </c>
      <c r="CS10" s="28">
        <v>12</v>
      </c>
      <c r="CT10" s="29">
        <v>1</v>
      </c>
      <c r="CU10" s="30">
        <v>1</v>
      </c>
      <c r="CV10" s="31">
        <v>1</v>
      </c>
      <c r="CW10" s="32" t="s">
        <v>2148</v>
      </c>
    </row>
    <row r="11" spans="1:101" ht="72">
      <c r="B11" s="2426"/>
      <c r="C11" s="9"/>
      <c r="D11" s="13" t="s">
        <v>2149</v>
      </c>
      <c r="E11" s="789" t="s">
        <v>2150</v>
      </c>
      <c r="F11" s="8" t="s">
        <v>2151</v>
      </c>
      <c r="G11" s="8" t="s">
        <v>178</v>
      </c>
      <c r="H11" s="789" t="s">
        <v>2152</v>
      </c>
      <c r="I11" s="8" t="s">
        <v>2153</v>
      </c>
      <c r="J11" s="8" t="s">
        <v>2097</v>
      </c>
      <c r="K11" s="1224"/>
      <c r="L11" s="1224"/>
      <c r="M11" s="1220">
        <v>1</v>
      </c>
      <c r="N11" s="1224"/>
      <c r="O11" s="1224"/>
      <c r="P11" s="1225">
        <v>1</v>
      </c>
      <c r="Q11" s="1225"/>
      <c r="R11" s="1225"/>
      <c r="S11" s="1225">
        <v>1</v>
      </c>
      <c r="T11" s="1225"/>
      <c r="U11" s="1225"/>
      <c r="V11" s="1225">
        <v>1</v>
      </c>
      <c r="W11" s="790" t="s">
        <v>2098</v>
      </c>
      <c r="X11" s="117">
        <v>0</v>
      </c>
      <c r="Y11" s="1217">
        <v>0</v>
      </c>
      <c r="Z11" s="22">
        <v>1</v>
      </c>
      <c r="AA11" s="30">
        <v>1</v>
      </c>
      <c r="AB11" s="24">
        <v>1</v>
      </c>
      <c r="AC11" s="1218" t="s">
        <v>2154</v>
      </c>
      <c r="AD11" s="27">
        <v>0</v>
      </c>
      <c r="AE11" s="28">
        <v>0</v>
      </c>
      <c r="AF11" s="29">
        <v>1</v>
      </c>
      <c r="AG11" s="30">
        <v>1</v>
      </c>
      <c r="AH11" s="31">
        <v>1</v>
      </c>
      <c r="AI11" s="1218" t="s">
        <v>2155</v>
      </c>
      <c r="AJ11" s="27">
        <v>5</v>
      </c>
      <c r="AK11" s="28">
        <v>5</v>
      </c>
      <c r="AL11" s="22">
        <f>IF(AK11=0," ",AJ11/AK11)</f>
        <v>1</v>
      </c>
      <c r="AM11" s="30">
        <v>1</v>
      </c>
      <c r="AN11" s="31">
        <v>1</v>
      </c>
      <c r="AO11" s="1218" t="s">
        <v>2156</v>
      </c>
      <c r="AP11" s="27">
        <v>0</v>
      </c>
      <c r="AQ11" s="28">
        <v>0</v>
      </c>
      <c r="AR11" s="29">
        <v>1</v>
      </c>
      <c r="AS11" s="30">
        <v>1</v>
      </c>
      <c r="AT11" s="31">
        <v>1</v>
      </c>
      <c r="AU11" s="1218" t="s">
        <v>2157</v>
      </c>
      <c r="AV11" s="1217">
        <v>1</v>
      </c>
      <c r="AW11" s="1219">
        <v>1</v>
      </c>
      <c r="AX11" s="22">
        <f>IF(AW11=0," ",AV11/AW11)</f>
        <v>1</v>
      </c>
      <c r="AY11" s="30">
        <v>0</v>
      </c>
      <c r="AZ11" s="31">
        <v>1</v>
      </c>
      <c r="BA11" s="1218" t="s">
        <v>2158</v>
      </c>
      <c r="BB11" s="1217">
        <v>3</v>
      </c>
      <c r="BC11" s="1219">
        <v>3</v>
      </c>
      <c r="BD11" s="22">
        <f>IF(BC11=0," ",BB11/BC11)</f>
        <v>1</v>
      </c>
      <c r="BE11" s="30">
        <v>1</v>
      </c>
      <c r="BF11" s="31">
        <v>1</v>
      </c>
      <c r="BG11" s="1218" t="s">
        <v>2159</v>
      </c>
      <c r="BH11" s="1217">
        <v>0</v>
      </c>
      <c r="BI11" s="1219">
        <v>0</v>
      </c>
      <c r="BJ11" s="22">
        <v>1</v>
      </c>
      <c r="BK11" s="30">
        <v>1</v>
      </c>
      <c r="BL11" s="31">
        <v>1</v>
      </c>
      <c r="BM11" s="1218" t="s">
        <v>2160</v>
      </c>
      <c r="BN11" s="1217">
        <v>1</v>
      </c>
      <c r="BO11" s="1219">
        <v>1</v>
      </c>
      <c r="BP11" s="22">
        <f>IF(BO11=0," ",BN11/BO11)</f>
        <v>1</v>
      </c>
      <c r="BQ11" s="30">
        <v>1</v>
      </c>
      <c r="BR11" s="31">
        <v>1</v>
      </c>
      <c r="BS11" s="1218" t="s">
        <v>2161</v>
      </c>
      <c r="BT11" s="1217">
        <v>1</v>
      </c>
      <c r="BU11" s="1219">
        <v>1</v>
      </c>
      <c r="BV11" s="29">
        <v>1</v>
      </c>
      <c r="BW11" s="30">
        <v>1</v>
      </c>
      <c r="BX11" s="31">
        <v>1</v>
      </c>
      <c r="BY11" s="1218" t="s">
        <v>2162</v>
      </c>
      <c r="BZ11" s="27">
        <v>1</v>
      </c>
      <c r="CA11" s="28">
        <v>1</v>
      </c>
      <c r="CB11" s="29">
        <v>1</v>
      </c>
      <c r="CC11" s="30">
        <v>1</v>
      </c>
      <c r="CD11" s="31">
        <v>1</v>
      </c>
      <c r="CE11" s="1218" t="s">
        <v>2163</v>
      </c>
      <c r="CF11" s="27">
        <v>0</v>
      </c>
      <c r="CG11" s="28">
        <v>0</v>
      </c>
      <c r="CH11" s="29">
        <v>1</v>
      </c>
      <c r="CI11" s="30">
        <v>1</v>
      </c>
      <c r="CJ11" s="31">
        <v>1</v>
      </c>
      <c r="CK11" s="32" t="s">
        <v>2164</v>
      </c>
      <c r="CL11" s="27">
        <v>2</v>
      </c>
      <c r="CM11" s="28">
        <v>2</v>
      </c>
      <c r="CN11" s="29">
        <v>1</v>
      </c>
      <c r="CO11" s="30">
        <v>1</v>
      </c>
      <c r="CP11" s="31">
        <v>1</v>
      </c>
      <c r="CQ11" s="1218" t="s">
        <v>2165</v>
      </c>
      <c r="CR11" s="27">
        <v>14</v>
      </c>
      <c r="CS11" s="28">
        <v>14</v>
      </c>
      <c r="CT11" s="29">
        <v>1</v>
      </c>
      <c r="CU11" s="30">
        <v>1</v>
      </c>
      <c r="CV11" s="31">
        <v>1</v>
      </c>
      <c r="CW11" s="32" t="s">
        <v>2166</v>
      </c>
    </row>
    <row r="12" spans="1:101" ht="109.5" customHeight="1">
      <c r="B12" s="2426"/>
      <c r="C12" s="9"/>
      <c r="D12" s="13" t="s">
        <v>2167</v>
      </c>
      <c r="E12" s="13" t="s">
        <v>2168</v>
      </c>
      <c r="F12" s="790" t="s">
        <v>2169</v>
      </c>
      <c r="G12" s="8" t="s">
        <v>178</v>
      </c>
      <c r="H12" s="789" t="s">
        <v>2170</v>
      </c>
      <c r="I12" s="8" t="s">
        <v>2171</v>
      </c>
      <c r="J12" s="8" t="s">
        <v>2097</v>
      </c>
      <c r="K12" s="1224"/>
      <c r="L12" s="1224"/>
      <c r="M12" s="1220">
        <v>1</v>
      </c>
      <c r="N12" s="1224"/>
      <c r="O12" s="1224"/>
      <c r="P12" s="1225">
        <v>1</v>
      </c>
      <c r="Q12" s="1225"/>
      <c r="R12" s="1225"/>
      <c r="S12" s="1225">
        <v>1</v>
      </c>
      <c r="T12" s="1225"/>
      <c r="U12" s="1225"/>
      <c r="V12" s="1225">
        <v>1</v>
      </c>
      <c r="W12" s="790" t="s">
        <v>2098</v>
      </c>
      <c r="X12" s="117">
        <v>2</v>
      </c>
      <c r="Y12" s="1217">
        <v>2</v>
      </c>
      <c r="Z12" s="22">
        <f>IF(Y12=0," ",X12/Y12)</f>
        <v>1</v>
      </c>
      <c r="AA12" s="30">
        <v>1</v>
      </c>
      <c r="AB12" s="24">
        <f>IF(Y12=0," ",Z12/AA12)</f>
        <v>1</v>
      </c>
      <c r="AC12" s="1218" t="s">
        <v>2172</v>
      </c>
      <c r="AD12" s="1217">
        <v>3</v>
      </c>
      <c r="AE12" s="1219">
        <v>3</v>
      </c>
      <c r="AF12" s="22">
        <f>IF(AE12=0," ",AD12/AE12)</f>
        <v>1</v>
      </c>
      <c r="AG12" s="30">
        <v>1</v>
      </c>
      <c r="AH12" s="31">
        <v>1</v>
      </c>
      <c r="AI12" s="1218" t="s">
        <v>2173</v>
      </c>
      <c r="AJ12" s="27">
        <v>0</v>
      </c>
      <c r="AK12" s="28">
        <v>0</v>
      </c>
      <c r="AL12" s="29">
        <v>1</v>
      </c>
      <c r="AM12" s="30">
        <v>1</v>
      </c>
      <c r="AN12" s="31">
        <v>1</v>
      </c>
      <c r="AO12" s="1218" t="s">
        <v>2174</v>
      </c>
      <c r="AP12" s="27">
        <v>0</v>
      </c>
      <c r="AQ12" s="28">
        <v>0</v>
      </c>
      <c r="AR12" s="29">
        <v>1</v>
      </c>
      <c r="AS12" s="30">
        <v>1</v>
      </c>
      <c r="AT12" s="31">
        <v>1</v>
      </c>
      <c r="AU12" s="1218" t="s">
        <v>2175</v>
      </c>
      <c r="AV12" s="27">
        <v>0</v>
      </c>
      <c r="AW12" s="28">
        <v>0</v>
      </c>
      <c r="AX12" s="29">
        <v>1</v>
      </c>
      <c r="AY12" s="30">
        <v>1</v>
      </c>
      <c r="AZ12" s="31">
        <v>1</v>
      </c>
      <c r="BA12" s="1218" t="s">
        <v>2176</v>
      </c>
      <c r="BB12" s="27">
        <v>0</v>
      </c>
      <c r="BC12" s="28">
        <v>0</v>
      </c>
      <c r="BD12" s="29">
        <v>1</v>
      </c>
      <c r="BE12" s="30">
        <v>1</v>
      </c>
      <c r="BF12" s="31">
        <v>1</v>
      </c>
      <c r="BG12" s="1218" t="s">
        <v>2177</v>
      </c>
      <c r="BH12" s="1217">
        <v>0</v>
      </c>
      <c r="BI12" s="1219">
        <v>0</v>
      </c>
      <c r="BJ12" s="29">
        <v>1</v>
      </c>
      <c r="BK12" s="30">
        <v>1</v>
      </c>
      <c r="BL12" s="31">
        <v>1</v>
      </c>
      <c r="BM12" s="1218" t="s">
        <v>2178</v>
      </c>
      <c r="BN12" s="1217">
        <v>1</v>
      </c>
      <c r="BO12" s="1219">
        <v>1</v>
      </c>
      <c r="BP12" s="29">
        <v>1</v>
      </c>
      <c r="BQ12" s="30">
        <v>1</v>
      </c>
      <c r="BR12" s="31">
        <v>1</v>
      </c>
      <c r="BS12" s="1218" t="s">
        <v>2179</v>
      </c>
      <c r="BT12" s="1217">
        <v>0</v>
      </c>
      <c r="BU12" s="1219">
        <v>0</v>
      </c>
      <c r="BV12" s="29">
        <v>1</v>
      </c>
      <c r="BW12" s="30">
        <v>1</v>
      </c>
      <c r="BX12" s="31">
        <v>1</v>
      </c>
      <c r="BY12" s="1218" t="s">
        <v>2180</v>
      </c>
      <c r="BZ12" s="27">
        <v>1</v>
      </c>
      <c r="CA12" s="28">
        <v>1</v>
      </c>
      <c r="CB12" s="29">
        <v>1</v>
      </c>
      <c r="CC12" s="30">
        <v>1</v>
      </c>
      <c r="CD12" s="31">
        <v>1</v>
      </c>
      <c r="CE12" s="1218" t="s">
        <v>2181</v>
      </c>
      <c r="CF12" s="27">
        <v>0</v>
      </c>
      <c r="CG12" s="28">
        <v>0</v>
      </c>
      <c r="CH12" s="29">
        <v>1</v>
      </c>
      <c r="CI12" s="30">
        <v>1</v>
      </c>
      <c r="CJ12" s="31">
        <v>1</v>
      </c>
      <c r="CK12" s="1218" t="s">
        <v>2182</v>
      </c>
      <c r="CL12" s="27">
        <v>1</v>
      </c>
      <c r="CM12" s="28">
        <v>1</v>
      </c>
      <c r="CN12" s="29">
        <v>1</v>
      </c>
      <c r="CO12" s="30">
        <v>1</v>
      </c>
      <c r="CP12" s="31">
        <v>1</v>
      </c>
      <c r="CQ12" s="1218" t="s">
        <v>2183</v>
      </c>
      <c r="CR12" s="27">
        <v>7</v>
      </c>
      <c r="CS12" s="28">
        <v>7</v>
      </c>
      <c r="CT12" s="29">
        <v>1</v>
      </c>
      <c r="CU12" s="30">
        <v>1</v>
      </c>
      <c r="CV12" s="31">
        <v>1</v>
      </c>
      <c r="CW12" s="32" t="s">
        <v>2184</v>
      </c>
    </row>
    <row r="13" spans="1:101" ht="87.75" customHeight="1">
      <c r="B13" s="2424"/>
      <c r="C13" s="9"/>
      <c r="D13" s="789" t="s">
        <v>2185</v>
      </c>
      <c r="E13" s="13" t="s">
        <v>2186</v>
      </c>
      <c r="F13" s="790" t="s">
        <v>2187</v>
      </c>
      <c r="G13" s="8" t="s">
        <v>178</v>
      </c>
      <c r="H13" s="789" t="s">
        <v>2188</v>
      </c>
      <c r="I13" s="8" t="s">
        <v>2189</v>
      </c>
      <c r="J13" s="8" t="s">
        <v>1825</v>
      </c>
      <c r="K13" s="1224"/>
      <c r="L13" s="1224"/>
      <c r="M13" s="1220"/>
      <c r="N13" s="1224"/>
      <c r="O13" s="1224"/>
      <c r="P13" s="1225">
        <v>1</v>
      </c>
      <c r="Q13" s="1225"/>
      <c r="R13" s="1225"/>
      <c r="S13" s="1225"/>
      <c r="T13" s="1225"/>
      <c r="U13" s="1225"/>
      <c r="V13" s="1225">
        <v>1</v>
      </c>
      <c r="W13" s="790" t="s">
        <v>2190</v>
      </c>
      <c r="X13" s="117">
        <v>0</v>
      </c>
      <c r="Y13" s="1217">
        <v>0</v>
      </c>
      <c r="Z13" s="22">
        <v>1</v>
      </c>
      <c r="AA13" s="30">
        <v>1</v>
      </c>
      <c r="AB13" s="24">
        <v>1</v>
      </c>
      <c r="AC13" s="1218" t="s">
        <v>2191</v>
      </c>
      <c r="AD13" s="27">
        <v>0</v>
      </c>
      <c r="AE13" s="28">
        <v>0</v>
      </c>
      <c r="AF13" s="22">
        <v>1</v>
      </c>
      <c r="AG13" s="30">
        <v>1</v>
      </c>
      <c r="AH13" s="31">
        <v>1</v>
      </c>
      <c r="AI13" s="1218" t="s">
        <v>2192</v>
      </c>
      <c r="AJ13" s="27">
        <v>0</v>
      </c>
      <c r="AK13" s="28">
        <v>0</v>
      </c>
      <c r="AL13" s="29">
        <v>1</v>
      </c>
      <c r="AM13" s="30">
        <v>1</v>
      </c>
      <c r="AN13" s="31">
        <v>1</v>
      </c>
      <c r="AO13" s="1218" t="s">
        <v>2193</v>
      </c>
      <c r="AP13" s="27">
        <v>0</v>
      </c>
      <c r="AQ13" s="28">
        <v>0</v>
      </c>
      <c r="AR13" s="29">
        <v>1</v>
      </c>
      <c r="AS13" s="30">
        <v>1</v>
      </c>
      <c r="AT13" s="31">
        <v>1</v>
      </c>
      <c r="AU13" s="1218" t="s">
        <v>2194</v>
      </c>
      <c r="AV13" s="27">
        <v>0</v>
      </c>
      <c r="AW13" s="28">
        <v>0</v>
      </c>
      <c r="AX13" s="29">
        <v>1</v>
      </c>
      <c r="AY13" s="30">
        <v>1</v>
      </c>
      <c r="AZ13" s="31">
        <v>1</v>
      </c>
      <c r="BA13" s="1218" t="s">
        <v>2195</v>
      </c>
      <c r="BB13" s="1217">
        <v>2</v>
      </c>
      <c r="BC13" s="1219">
        <v>2</v>
      </c>
      <c r="BD13" s="29">
        <v>1</v>
      </c>
      <c r="BE13" s="30">
        <v>1</v>
      </c>
      <c r="BF13" s="31">
        <v>1</v>
      </c>
      <c r="BG13" s="1218" t="s">
        <v>2196</v>
      </c>
      <c r="BH13" s="1217">
        <v>0</v>
      </c>
      <c r="BI13" s="1219">
        <v>0</v>
      </c>
      <c r="BJ13" s="29">
        <v>1</v>
      </c>
      <c r="BK13" s="30">
        <v>1</v>
      </c>
      <c r="BL13" s="31">
        <v>1</v>
      </c>
      <c r="BM13" s="1218" t="s">
        <v>2197</v>
      </c>
      <c r="BN13" s="1217">
        <v>0</v>
      </c>
      <c r="BO13" s="1219">
        <v>0</v>
      </c>
      <c r="BP13" s="29">
        <v>1</v>
      </c>
      <c r="BQ13" s="30">
        <v>1</v>
      </c>
      <c r="BR13" s="31">
        <v>1</v>
      </c>
      <c r="BS13" s="1218" t="s">
        <v>2198</v>
      </c>
      <c r="BT13" s="1217">
        <v>0</v>
      </c>
      <c r="BU13" s="1219">
        <v>0</v>
      </c>
      <c r="BV13" s="29">
        <v>1</v>
      </c>
      <c r="BW13" s="30">
        <v>1</v>
      </c>
      <c r="BX13" s="31">
        <v>1</v>
      </c>
      <c r="BY13" s="1218" t="s">
        <v>2199</v>
      </c>
      <c r="BZ13" s="27">
        <v>1</v>
      </c>
      <c r="CA13" s="28">
        <v>1</v>
      </c>
      <c r="CB13" s="29">
        <v>1</v>
      </c>
      <c r="CC13" s="30">
        <v>1</v>
      </c>
      <c r="CD13" s="31">
        <f>IF(CA13=0," ",CB13/CC13)</f>
        <v>1</v>
      </c>
      <c r="CE13" s="1218" t="s">
        <v>2200</v>
      </c>
      <c r="CF13" s="27">
        <v>0</v>
      </c>
      <c r="CG13" s="28">
        <v>0</v>
      </c>
      <c r="CH13" s="29">
        <v>1</v>
      </c>
      <c r="CI13" s="30">
        <v>1</v>
      </c>
      <c r="CJ13" s="31">
        <v>1</v>
      </c>
      <c r="CK13" s="1218" t="s">
        <v>2200</v>
      </c>
      <c r="CL13" s="27">
        <v>0</v>
      </c>
      <c r="CM13" s="28">
        <v>0</v>
      </c>
      <c r="CN13" s="29" t="str">
        <f>IF(CM13=0," ",CL13/CM13)</f>
        <v xml:space="preserve"> </v>
      </c>
      <c r="CO13" s="30"/>
      <c r="CP13" s="31" t="str">
        <f>IF(CM13=0," ",CN13/CO13)</f>
        <v xml:space="preserve"> </v>
      </c>
      <c r="CQ13" s="1218" t="s">
        <v>2201</v>
      </c>
      <c r="CR13" s="27"/>
      <c r="CS13" s="28"/>
      <c r="CT13" s="29" t="str">
        <f>IF(CS13=0," ",CR13/CS13)</f>
        <v xml:space="preserve"> </v>
      </c>
      <c r="CU13" s="30"/>
      <c r="CV13" s="31" t="str">
        <f>IF(CS13=0," ",CT13/CU13)</f>
        <v xml:space="preserve"> </v>
      </c>
      <c r="CW13" s="1218" t="s">
        <v>2201</v>
      </c>
    </row>
    <row r="14" spans="1:101">
      <c r="B14" s="33"/>
      <c r="C14" s="34"/>
      <c r="D14" s="35"/>
      <c r="E14" s="35"/>
      <c r="F14" s="36"/>
      <c r="G14" s="36"/>
      <c r="H14" s="35" t="s">
        <v>49</v>
      </c>
      <c r="I14" s="36"/>
      <c r="J14" s="36"/>
      <c r="K14" s="37"/>
      <c r="L14" s="37"/>
      <c r="M14" s="38"/>
      <c r="N14" s="37"/>
      <c r="O14" s="37"/>
      <c r="P14" s="39"/>
      <c r="Q14" s="39"/>
      <c r="R14" s="39"/>
      <c r="S14" s="39"/>
      <c r="T14" s="39"/>
      <c r="U14" s="39"/>
      <c r="V14" s="39"/>
      <c r="W14" s="48"/>
      <c r="X14" s="40"/>
      <c r="Y14" s="40"/>
      <c r="Z14" s="22" t="str">
        <f>IF(Y14=0," ",X14/Y14)</f>
        <v xml:space="preserve"> </v>
      </c>
      <c r="AA14" s="42"/>
      <c r="AB14" s="24" t="str">
        <f>IF(Y14=0," ",Z14/AA14)</f>
        <v xml:space="preserve"> </v>
      </c>
      <c r="AC14" s="33"/>
      <c r="AD14" s="33"/>
      <c r="AE14" s="40"/>
      <c r="AF14" s="40"/>
      <c r="AG14" s="41"/>
      <c r="AH14" s="42"/>
      <c r="AI14" s="43"/>
      <c r="AJ14" s="33"/>
      <c r="AK14" s="40"/>
      <c r="AL14" s="40"/>
      <c r="AM14" s="41"/>
      <c r="AN14" s="42"/>
      <c r="AO14" s="43"/>
      <c r="AP14" s="40"/>
      <c r="AQ14" s="40"/>
      <c r="AR14" s="41"/>
      <c r="AS14" s="42"/>
      <c r="AT14" s="42"/>
      <c r="AU14" s="730"/>
      <c r="AV14" s="33"/>
      <c r="AW14" s="40"/>
      <c r="AX14" s="40"/>
      <c r="AY14" s="41"/>
      <c r="AZ14" s="42"/>
      <c r="BA14" s="43"/>
      <c r="BB14" s="40"/>
      <c r="BC14" s="40"/>
      <c r="BD14" s="41"/>
      <c r="BE14" s="42"/>
      <c r="BF14" s="42"/>
      <c r="BG14" s="730"/>
      <c r="BH14" s="33"/>
      <c r="BI14" s="40"/>
      <c r="BJ14" s="40"/>
      <c r="BK14" s="41"/>
      <c r="BL14" s="42"/>
      <c r="BM14" s="43"/>
      <c r="BN14" s="40"/>
      <c r="BO14" s="40"/>
      <c r="BP14" s="41"/>
      <c r="BQ14" s="42"/>
      <c r="BR14" s="42"/>
      <c r="BS14" s="730"/>
      <c r="BT14" s="33"/>
      <c r="BU14" s="40"/>
      <c r="BV14" s="40"/>
      <c r="BW14" s="41"/>
      <c r="BX14" s="42"/>
      <c r="BY14" s="43"/>
      <c r="BZ14" s="40"/>
      <c r="CA14" s="40"/>
      <c r="CB14" s="41"/>
      <c r="CC14" s="42"/>
      <c r="CD14" s="42"/>
      <c r="CE14" s="730"/>
      <c r="CF14" s="33"/>
      <c r="CG14" s="40"/>
      <c r="CH14" s="40"/>
      <c r="CI14" s="41"/>
      <c r="CJ14" s="42"/>
      <c r="CK14" s="43"/>
      <c r="CL14" s="40"/>
      <c r="CM14" s="40"/>
      <c r="CN14" s="41"/>
      <c r="CO14" s="42"/>
      <c r="CP14" s="42"/>
      <c r="CQ14" s="1226"/>
      <c r="CR14" s="33"/>
      <c r="CS14" s="40"/>
      <c r="CT14" s="40"/>
      <c r="CU14" s="41"/>
      <c r="CV14" s="42"/>
      <c r="CW14" s="43"/>
    </row>
    <row r="15" spans="1:101" ht="76.5" customHeight="1">
      <c r="B15" s="8" t="s">
        <v>155</v>
      </c>
      <c r="C15" s="9"/>
      <c r="D15" s="13" t="s">
        <v>157</v>
      </c>
      <c r="E15" s="13" t="s">
        <v>158</v>
      </c>
      <c r="F15" s="8" t="s">
        <v>251</v>
      </c>
      <c r="G15" s="8" t="s">
        <v>53</v>
      </c>
      <c r="H15" s="13" t="s">
        <v>160</v>
      </c>
      <c r="I15" s="8" t="s">
        <v>161</v>
      </c>
      <c r="J15" s="8" t="s">
        <v>54</v>
      </c>
      <c r="K15" s="7"/>
      <c r="L15" s="7"/>
      <c r="M15" s="12"/>
      <c r="N15" s="7">
        <v>100</v>
      </c>
      <c r="O15" s="7"/>
      <c r="P15" s="7">
        <v>100</v>
      </c>
      <c r="Q15" s="74"/>
      <c r="R15" s="74"/>
      <c r="S15" s="7">
        <v>100</v>
      </c>
      <c r="T15" s="74"/>
      <c r="U15" s="74"/>
      <c r="V15" s="12">
        <v>1</v>
      </c>
      <c r="W15" s="8" t="s">
        <v>2202</v>
      </c>
      <c r="X15" s="21"/>
      <c r="Y15" s="732"/>
      <c r="Z15" s="22" t="str">
        <f>IF(Y15=0," ",X15/Y15)</f>
        <v xml:space="preserve"> </v>
      </c>
      <c r="AA15" s="734"/>
      <c r="AB15" s="24" t="str">
        <f>IF(Y15=0," ",Z15/AA15)</f>
        <v xml:space="preserve"> </v>
      </c>
      <c r="AC15" s="1218" t="s">
        <v>2203</v>
      </c>
      <c r="AD15" s="731"/>
      <c r="AE15" s="732"/>
      <c r="AF15" s="733" t="str">
        <f>IF(AE15=0," ",AD15/AE15)</f>
        <v xml:space="preserve"> </v>
      </c>
      <c r="AG15" s="734"/>
      <c r="AH15" s="735" t="str">
        <f>IF(AE15=0," ",AF15/AG15)</f>
        <v xml:space="preserve"> </v>
      </c>
      <c r="AI15" s="1218" t="s">
        <v>2203</v>
      </c>
      <c r="AJ15" s="731"/>
      <c r="AK15" s="732"/>
      <c r="AL15" s="733" t="str">
        <f>IF(AK15=0," ",AJ15/AK15)</f>
        <v xml:space="preserve"> </v>
      </c>
      <c r="AM15" s="734"/>
      <c r="AN15" s="735" t="str">
        <f>IF(AK15=0," ",AL15/AM15)</f>
        <v xml:space="preserve"> </v>
      </c>
      <c r="AO15" s="1218" t="s">
        <v>2203</v>
      </c>
      <c r="AP15" s="731"/>
      <c r="AQ15" s="732"/>
      <c r="AR15" s="733" t="str">
        <f>IF(AQ15=0," ",AP15/AQ15)</f>
        <v xml:space="preserve"> </v>
      </c>
      <c r="AS15" s="734"/>
      <c r="AT15" s="735" t="str">
        <f>IF(AQ15=0," ",AR15/AS15)</f>
        <v xml:space="preserve"> </v>
      </c>
      <c r="AU15" s="1218" t="s">
        <v>2203</v>
      </c>
      <c r="AV15" s="731"/>
      <c r="AW15" s="732"/>
      <c r="AX15" s="733" t="str">
        <f>IF(AW15=0," ",AV15/AW15)</f>
        <v xml:space="preserve"> </v>
      </c>
      <c r="AY15" s="734"/>
      <c r="AZ15" s="735" t="str">
        <f>IF(AW15=0," ",AX15/AY15)</f>
        <v xml:space="preserve"> </v>
      </c>
      <c r="BA15" s="1218" t="s">
        <v>2203</v>
      </c>
      <c r="BB15" s="731"/>
      <c r="BC15" s="732"/>
      <c r="BD15" s="733" t="str">
        <f>IF(BC15=0," ",BB15/BC15)</f>
        <v xml:space="preserve"> </v>
      </c>
      <c r="BE15" s="734"/>
      <c r="BF15" s="735" t="str">
        <f>IF(BC15=0," ",BD15/BE15)</f>
        <v xml:space="preserve"> </v>
      </c>
      <c r="BG15" s="1218" t="s">
        <v>2204</v>
      </c>
      <c r="BH15" s="731"/>
      <c r="BI15" s="732"/>
      <c r="BJ15" s="733" t="str">
        <f>IF(BI15=0," ",BH15/BI15)</f>
        <v xml:space="preserve"> </v>
      </c>
      <c r="BK15" s="734"/>
      <c r="BL15" s="735" t="str">
        <f>IF(BI15=0," ",BJ15/BK15)</f>
        <v xml:space="preserve"> </v>
      </c>
      <c r="BM15" s="736" t="s">
        <v>2204</v>
      </c>
      <c r="BN15" s="731"/>
      <c r="BO15" s="732"/>
      <c r="BP15" s="733" t="str">
        <f>IF(BO15=0," ",BN15/BO15)</f>
        <v xml:space="preserve"> </v>
      </c>
      <c r="BQ15" s="734"/>
      <c r="BR15" s="735" t="str">
        <f>IF(BO15=0," ",BP15/BQ15)</f>
        <v xml:space="preserve"> </v>
      </c>
      <c r="BS15" s="736" t="s">
        <v>2205</v>
      </c>
      <c r="BT15" s="731"/>
      <c r="BU15" s="732"/>
      <c r="BV15" s="733" t="str">
        <f>IF(BU15=0," ",BT15/BU15)</f>
        <v xml:space="preserve"> </v>
      </c>
      <c r="BW15" s="734"/>
      <c r="BX15" s="735" t="str">
        <f>IF(BU15=0," ",BV15/BW15)</f>
        <v xml:space="preserve"> </v>
      </c>
      <c r="BY15" s="736" t="s">
        <v>2205</v>
      </c>
      <c r="BZ15" s="731">
        <v>0</v>
      </c>
      <c r="CA15" s="732"/>
      <c r="CB15" s="733" t="str">
        <f>IF(CA15=0," ",BZ15/CA15)</f>
        <v xml:space="preserve"> </v>
      </c>
      <c r="CC15" s="734"/>
      <c r="CD15" s="735" t="str">
        <f>IF(CA15=0," ",CB15/CC15)</f>
        <v xml:space="preserve"> </v>
      </c>
      <c r="CE15" s="736" t="s">
        <v>2205</v>
      </c>
      <c r="CF15" s="731"/>
      <c r="CG15" s="732"/>
      <c r="CH15" s="733" t="str">
        <f>IF(CG15=0," ",CF15/CG15)</f>
        <v xml:space="preserve"> </v>
      </c>
      <c r="CI15" s="734"/>
      <c r="CJ15" s="735" t="str">
        <f>IF(CG15=0," ",CH15/CI15)</f>
        <v xml:space="preserve"> </v>
      </c>
      <c r="CK15" s="736" t="s">
        <v>2205</v>
      </c>
      <c r="CL15" s="27">
        <v>0</v>
      </c>
      <c r="CM15" s="28">
        <v>0</v>
      </c>
      <c r="CN15" s="22"/>
      <c r="CO15" s="58"/>
      <c r="CP15" s="24" t="str">
        <f>IF(CM15=0," ",CN15/CO15)</f>
        <v xml:space="preserve"> </v>
      </c>
      <c r="CQ15" s="116" t="s">
        <v>2206</v>
      </c>
      <c r="CR15" s="731"/>
      <c r="CS15" s="732"/>
      <c r="CT15" s="733" t="str">
        <f>IF(CS15=0," ",CR15/CS15)</f>
        <v xml:space="preserve"> </v>
      </c>
      <c r="CU15" s="734"/>
      <c r="CV15" s="735" t="str">
        <f>IF(CS15=0," ",CT15/CU15)</f>
        <v xml:space="preserve"> </v>
      </c>
      <c r="CW15" s="116" t="s">
        <v>2206</v>
      </c>
    </row>
    <row r="16" spans="1:101" ht="81">
      <c r="A16" s="210"/>
      <c r="B16" s="1227" t="s">
        <v>81</v>
      </c>
      <c r="C16" s="790" t="s">
        <v>92</v>
      </c>
      <c r="D16" s="789" t="s">
        <v>83</v>
      </c>
      <c r="E16" s="790" t="s">
        <v>84</v>
      </c>
      <c r="F16" s="847" t="s">
        <v>82</v>
      </c>
      <c r="G16" s="790" t="s">
        <v>66</v>
      </c>
      <c r="H16" s="790" t="s">
        <v>2207</v>
      </c>
      <c r="I16" s="790" t="s">
        <v>85</v>
      </c>
      <c r="J16" s="790" t="s">
        <v>54</v>
      </c>
      <c r="K16" s="1220"/>
      <c r="L16" s="1220"/>
      <c r="M16" s="1220">
        <v>1</v>
      </c>
      <c r="N16" s="1220"/>
      <c r="O16" s="1220"/>
      <c r="P16" s="1220">
        <v>1</v>
      </c>
      <c r="Q16" s="1220"/>
      <c r="R16" s="1220"/>
      <c r="S16" s="1220">
        <v>1</v>
      </c>
      <c r="T16" s="1220"/>
      <c r="U16" s="1220"/>
      <c r="V16" s="1220">
        <v>1</v>
      </c>
      <c r="W16" s="1228" t="s">
        <v>2208</v>
      </c>
      <c r="X16" s="56">
        <v>2</v>
      </c>
      <c r="Y16" s="56">
        <v>2</v>
      </c>
      <c r="Z16" s="22">
        <f>X16/Y16</f>
        <v>1</v>
      </c>
      <c r="AA16" s="1104">
        <v>1</v>
      </c>
      <c r="AB16" s="24">
        <f>Z16/AA16</f>
        <v>1</v>
      </c>
      <c r="AC16" s="695" t="s">
        <v>1871</v>
      </c>
      <c r="AD16" s="56">
        <v>2</v>
      </c>
      <c r="AE16" s="56">
        <v>2</v>
      </c>
      <c r="AF16" s="22">
        <f>AD16/AE16</f>
        <v>1</v>
      </c>
      <c r="AG16" s="1104">
        <v>1</v>
      </c>
      <c r="AH16" s="24">
        <f>AF16/AG16</f>
        <v>1</v>
      </c>
      <c r="AI16" s="695" t="s">
        <v>1871</v>
      </c>
      <c r="AJ16" s="56">
        <v>2</v>
      </c>
      <c r="AK16" s="56">
        <v>2</v>
      </c>
      <c r="AL16" s="22">
        <f>AJ16/AK16</f>
        <v>1</v>
      </c>
      <c r="AM16" s="1104">
        <v>1</v>
      </c>
      <c r="AN16" s="24">
        <f>AL16/AM16</f>
        <v>1</v>
      </c>
      <c r="AO16" s="695" t="s">
        <v>1871</v>
      </c>
      <c r="AP16" s="56">
        <v>2</v>
      </c>
      <c r="AQ16" s="56">
        <v>2</v>
      </c>
      <c r="AR16" s="22">
        <f>AP16/AQ16</f>
        <v>1</v>
      </c>
      <c r="AS16" s="1104">
        <v>1</v>
      </c>
      <c r="AT16" s="24">
        <f>AR16/AS16</f>
        <v>1</v>
      </c>
      <c r="AU16" s="695" t="s">
        <v>1871</v>
      </c>
      <c r="AV16" s="56">
        <v>2</v>
      </c>
      <c r="AW16" s="56">
        <v>2</v>
      </c>
      <c r="AX16" s="22">
        <f>AV16/AW16</f>
        <v>1</v>
      </c>
      <c r="AY16" s="1104">
        <v>1</v>
      </c>
      <c r="AZ16" s="24">
        <f>AX16/AY16</f>
        <v>1</v>
      </c>
      <c r="BA16" s="695" t="s">
        <v>1871</v>
      </c>
      <c r="BB16" s="56">
        <v>2</v>
      </c>
      <c r="BC16" s="56">
        <v>2</v>
      </c>
      <c r="BD16" s="22">
        <f>BB16/BC16</f>
        <v>1</v>
      </c>
      <c r="BE16" s="1104">
        <v>1</v>
      </c>
      <c r="BF16" s="24">
        <f>BD16/BE16</f>
        <v>1</v>
      </c>
      <c r="BG16" s="695" t="s">
        <v>1871</v>
      </c>
      <c r="BH16" s="56">
        <v>2</v>
      </c>
      <c r="BI16" s="56">
        <v>2</v>
      </c>
      <c r="BJ16" s="22">
        <f>BH16/BI16</f>
        <v>1</v>
      </c>
      <c r="BK16" s="1104">
        <v>1</v>
      </c>
      <c r="BL16" s="24">
        <f>BJ16/BK16</f>
        <v>1</v>
      </c>
      <c r="BM16" s="695" t="s">
        <v>1871</v>
      </c>
      <c r="BN16" s="56">
        <v>2</v>
      </c>
      <c r="BO16" s="56">
        <v>2</v>
      </c>
      <c r="BP16" s="22">
        <f>BN16/BO16</f>
        <v>1</v>
      </c>
      <c r="BQ16" s="1104">
        <v>1</v>
      </c>
      <c r="BR16" s="24">
        <f>BP16/BQ16</f>
        <v>1</v>
      </c>
      <c r="BS16" s="695" t="s">
        <v>2209</v>
      </c>
      <c r="BT16" s="56">
        <v>2</v>
      </c>
      <c r="BU16" s="56">
        <v>2</v>
      </c>
      <c r="BV16" s="22">
        <f>BT16/BU16</f>
        <v>1</v>
      </c>
      <c r="BW16" s="1104">
        <v>1</v>
      </c>
      <c r="BX16" s="24">
        <f>BV16/BW16</f>
        <v>1</v>
      </c>
      <c r="BY16" s="695" t="s">
        <v>2209</v>
      </c>
      <c r="BZ16" s="731">
        <v>1</v>
      </c>
      <c r="CA16" s="732">
        <v>1</v>
      </c>
      <c r="CB16" s="733">
        <v>1</v>
      </c>
      <c r="CC16" s="734">
        <v>1</v>
      </c>
      <c r="CD16" s="735">
        <v>1</v>
      </c>
      <c r="CE16" s="695" t="s">
        <v>2209</v>
      </c>
      <c r="CF16" s="731">
        <v>1</v>
      </c>
      <c r="CG16" s="732">
        <v>1</v>
      </c>
      <c r="CH16" s="733">
        <v>1</v>
      </c>
      <c r="CI16" s="734">
        <v>1</v>
      </c>
      <c r="CJ16" s="735">
        <v>1</v>
      </c>
      <c r="CK16" s="695" t="s">
        <v>2209</v>
      </c>
      <c r="CL16" s="56">
        <v>4</v>
      </c>
      <c r="CM16" s="56">
        <v>4</v>
      </c>
      <c r="CN16" s="22">
        <v>1</v>
      </c>
      <c r="CO16" s="1104">
        <v>1</v>
      </c>
      <c r="CP16" s="1092">
        <f>IF(CM16=0," ",CN16/CO16)</f>
        <v>1</v>
      </c>
      <c r="CQ16" s="695" t="s">
        <v>2210</v>
      </c>
      <c r="CR16" s="731"/>
      <c r="CS16" s="732"/>
      <c r="CT16" s="733" t="str">
        <f>IF(CS16=0," ",CR16/CS16)</f>
        <v xml:space="preserve"> </v>
      </c>
      <c r="CU16" s="734"/>
      <c r="CV16" s="735" t="str">
        <f>IF(CS16=0," ",CT16/CU16)</f>
        <v xml:space="preserve"> </v>
      </c>
      <c r="CW16" s="695" t="s">
        <v>2210</v>
      </c>
    </row>
    <row r="17" spans="2:81" ht="15.75" customHeight="1">
      <c r="B17" s="1972" t="s">
        <v>17</v>
      </c>
      <c r="C17" s="1972"/>
      <c r="D17" s="1972"/>
      <c r="E17" s="1972"/>
      <c r="F17" s="5"/>
      <c r="G17" s="5"/>
      <c r="H17" s="5"/>
      <c r="I17" s="5"/>
      <c r="J17" s="5"/>
      <c r="K17" s="6"/>
      <c r="L17" s="6"/>
      <c r="M17" s="6"/>
      <c r="N17" s="6"/>
      <c r="O17" s="6"/>
      <c r="P17" s="6"/>
      <c r="Q17" s="6"/>
      <c r="R17" s="6"/>
      <c r="S17" s="6"/>
      <c r="T17" s="6"/>
      <c r="U17" s="6"/>
      <c r="V17" s="6"/>
      <c r="AC17" s="2427" t="s">
        <v>2211</v>
      </c>
      <c r="AD17" s="2427"/>
      <c r="AE17" s="2427"/>
      <c r="AF17" s="2427"/>
      <c r="AG17" s="2427"/>
      <c r="AH17" s="2427"/>
      <c r="AI17" s="2427"/>
      <c r="AP17" s="1229"/>
      <c r="AQ17" s="1229"/>
      <c r="AR17" s="1229"/>
      <c r="AS17" s="1229"/>
      <c r="AT17" s="1229"/>
      <c r="AU17" s="1229"/>
      <c r="AV17" s="1229"/>
      <c r="AW17" s="1229"/>
      <c r="AZ17" s="2429" t="s">
        <v>2212</v>
      </c>
      <c r="BA17" s="2429"/>
      <c r="BB17" s="2429"/>
      <c r="BC17" s="2429"/>
      <c r="BD17" s="2429"/>
      <c r="BE17" s="2429"/>
      <c r="BF17" s="2429"/>
      <c r="BG17" s="2429"/>
      <c r="BH17" s="1229"/>
      <c r="BI17" s="1229"/>
      <c r="BJ17" s="1229"/>
      <c r="BT17" s="2429" t="s">
        <v>2213</v>
      </c>
      <c r="BU17" s="2429"/>
      <c r="BV17" s="2429"/>
      <c r="BW17" s="2429"/>
      <c r="BX17" s="2429"/>
      <c r="BY17" s="2429"/>
      <c r="BZ17" s="2429"/>
      <c r="CA17" s="2429"/>
      <c r="CB17" s="1229"/>
      <c r="CC17" s="1229"/>
    </row>
    <row r="18" spans="2:81" ht="12" customHeight="1">
      <c r="E18" s="752"/>
      <c r="F18" s="752"/>
      <c r="G18" s="752"/>
      <c r="H18" s="752"/>
      <c r="AC18" s="2428"/>
      <c r="AD18" s="2428"/>
      <c r="AE18" s="2428"/>
      <c r="AF18" s="2428"/>
      <c r="AG18" s="2428"/>
      <c r="AH18" s="2428"/>
      <c r="AI18" s="2428"/>
      <c r="AZ18" s="2320"/>
      <c r="BA18" s="2320"/>
      <c r="BB18" s="2320"/>
      <c r="BC18" s="2320"/>
      <c r="BD18" s="2320"/>
      <c r="BE18" s="2320"/>
      <c r="BF18" s="2320"/>
      <c r="BG18" s="2320"/>
      <c r="BN18" s="1229"/>
      <c r="BO18" s="1229"/>
      <c r="BP18" s="1229"/>
      <c r="BQ18" s="1229"/>
      <c r="BR18" s="1229"/>
      <c r="BS18" s="1229"/>
      <c r="BT18" s="2320"/>
      <c r="BU18" s="2320"/>
      <c r="BV18" s="2320"/>
      <c r="BW18" s="2320"/>
      <c r="BX18" s="2320"/>
      <c r="BY18" s="2320"/>
      <c r="BZ18" s="2320"/>
      <c r="CA18" s="2320"/>
    </row>
    <row r="19" spans="2:81" ht="9.75" hidden="1" customHeight="1">
      <c r="E19" s="1971"/>
      <c r="F19" s="1971"/>
      <c r="G19" s="1971"/>
      <c r="H19" s="1971"/>
      <c r="K19" s="15" t="s">
        <v>28</v>
      </c>
      <c r="AC19" s="2428"/>
      <c r="AD19" s="2428"/>
      <c r="AE19" s="2428"/>
      <c r="AF19" s="2428"/>
      <c r="AG19" s="2428"/>
      <c r="AH19" s="2428"/>
      <c r="AI19" s="2428"/>
      <c r="AZ19" s="2320"/>
      <c r="BA19" s="2320"/>
      <c r="BB19" s="2320"/>
      <c r="BC19" s="2320"/>
      <c r="BD19" s="2320"/>
      <c r="BE19" s="2320"/>
      <c r="BF19" s="2320"/>
      <c r="BG19" s="2320"/>
      <c r="BT19" s="2320"/>
      <c r="BU19" s="2320"/>
      <c r="BV19" s="2320"/>
      <c r="BW19" s="2320"/>
      <c r="BX19" s="2320"/>
      <c r="BY19" s="2320"/>
      <c r="BZ19" s="2320"/>
      <c r="CA19" s="2320"/>
    </row>
    <row r="20" spans="2:81" ht="12.75" customHeight="1">
      <c r="E20" s="1972" t="s">
        <v>2214</v>
      </c>
      <c r="F20" s="1972"/>
      <c r="G20" s="1972"/>
      <c r="H20" s="1972"/>
      <c r="AC20" s="2428"/>
      <c r="AD20" s="2428"/>
      <c r="AE20" s="2428"/>
      <c r="AF20" s="2428"/>
      <c r="AG20" s="2428"/>
      <c r="AH20" s="2428"/>
      <c r="AI20" s="2428"/>
      <c r="AZ20" s="2320"/>
      <c r="BA20" s="2320"/>
      <c r="BB20" s="2320"/>
      <c r="BC20" s="2320"/>
      <c r="BD20" s="2320"/>
      <c r="BE20" s="2320"/>
      <c r="BF20" s="2320"/>
      <c r="BG20" s="2320"/>
      <c r="BT20" s="2320"/>
      <c r="BU20" s="2320"/>
      <c r="BV20" s="2320"/>
      <c r="BW20" s="2320"/>
      <c r="BX20" s="2320"/>
      <c r="BY20" s="2320"/>
      <c r="BZ20" s="2320"/>
      <c r="CA20" s="2320"/>
    </row>
    <row r="21" spans="2:81" ht="12.75" customHeight="1">
      <c r="E21" s="1972" t="s">
        <v>2215</v>
      </c>
      <c r="F21" s="1972"/>
      <c r="G21" s="1972"/>
      <c r="H21" s="1972"/>
      <c r="AC21" s="2428"/>
      <c r="AD21" s="2428"/>
      <c r="AE21" s="2428"/>
      <c r="AF21" s="2428"/>
      <c r="AG21" s="2428"/>
      <c r="AH21" s="2428"/>
      <c r="AI21" s="2428"/>
      <c r="AZ21" s="2320"/>
      <c r="BA21" s="2320"/>
      <c r="BB21" s="2320"/>
      <c r="BC21" s="2320"/>
      <c r="BD21" s="2320"/>
      <c r="BE21" s="2320"/>
      <c r="BF21" s="2320"/>
      <c r="BG21" s="2320"/>
      <c r="BT21" s="2320"/>
      <c r="BU21" s="2320"/>
      <c r="BV21" s="2320"/>
      <c r="BW21" s="2320"/>
      <c r="BX21" s="2320"/>
      <c r="BY21" s="2320"/>
      <c r="BZ21" s="2320"/>
      <c r="CA21" s="2320"/>
    </row>
    <row r="22" spans="2:81" ht="2.25" customHeight="1">
      <c r="AP22" s="1230"/>
      <c r="AQ22" s="1230"/>
      <c r="AR22" s="1230"/>
      <c r="AS22" s="1230"/>
      <c r="AT22" s="1230"/>
      <c r="AU22" s="1230"/>
      <c r="AV22" s="1230"/>
    </row>
    <row r="23" spans="2:81" ht="15" customHeight="1">
      <c r="B23" s="2425"/>
      <c r="C23" s="2425"/>
      <c r="D23" s="2425"/>
      <c r="E23" s="2425"/>
      <c r="F23" s="2425"/>
      <c r="G23" s="2425"/>
      <c r="H23" s="2425"/>
      <c r="AP23" s="1230"/>
      <c r="AQ23" s="1230"/>
      <c r="AR23" s="1230"/>
      <c r="AS23" s="1230"/>
      <c r="AT23" s="1230"/>
      <c r="AU23" s="1230"/>
      <c r="AV23" s="1230"/>
    </row>
    <row r="24" spans="2:81" ht="15" customHeight="1">
      <c r="B24" s="2425"/>
      <c r="C24" s="2425"/>
      <c r="D24" s="2425"/>
      <c r="E24" s="2425"/>
      <c r="F24" s="2425"/>
      <c r="G24" s="2425"/>
      <c r="H24" s="2425"/>
      <c r="AP24" s="1230"/>
      <c r="AQ24" s="1230"/>
      <c r="AR24" s="1230"/>
      <c r="AS24" s="1230"/>
      <c r="AT24" s="1230"/>
      <c r="AU24" s="1230"/>
      <c r="AV24" s="1230"/>
    </row>
    <row r="25" spans="2:81" ht="12.75" customHeight="1">
      <c r="B25" s="2425"/>
      <c r="C25" s="2425"/>
      <c r="D25" s="2425"/>
      <c r="E25" s="2425"/>
      <c r="F25" s="2425"/>
      <c r="G25" s="2425"/>
      <c r="H25" s="2425"/>
      <c r="AP25" s="1230"/>
      <c r="AQ25" s="1230"/>
      <c r="AR25" s="1230"/>
      <c r="AS25" s="1230"/>
      <c r="AT25" s="1230"/>
      <c r="AU25" s="1230"/>
    </row>
  </sheetData>
  <mergeCells count="55">
    <mergeCell ref="B23:H25"/>
    <mergeCell ref="B10:B13"/>
    <mergeCell ref="B17:E17"/>
    <mergeCell ref="AC17:AI21"/>
    <mergeCell ref="AZ17:BG21"/>
    <mergeCell ref="BT17:CA21"/>
    <mergeCell ref="E19:H19"/>
    <mergeCell ref="E20:H20"/>
    <mergeCell ref="E21:H21"/>
    <mergeCell ref="BT6:BY6"/>
    <mergeCell ref="BZ6:CE6"/>
    <mergeCell ref="CF6:CK6"/>
    <mergeCell ref="CL6:CQ6"/>
    <mergeCell ref="CR6:CW6"/>
    <mergeCell ref="B8:B9"/>
    <mergeCell ref="AJ6:AO6"/>
    <mergeCell ref="AP6:AU6"/>
    <mergeCell ref="AV6:BA6"/>
    <mergeCell ref="BB6:BG6"/>
    <mergeCell ref="BH6:BM6"/>
    <mergeCell ref="BN6:BS6"/>
    <mergeCell ref="H6:H7"/>
    <mergeCell ref="I6:I7"/>
    <mergeCell ref="J6:J7"/>
    <mergeCell ref="K6:V6"/>
    <mergeCell ref="X6:AC6"/>
    <mergeCell ref="AD6:AI6"/>
    <mergeCell ref="BZ4:CE4"/>
    <mergeCell ref="CF4:CK4"/>
    <mergeCell ref="CL4:CQ4"/>
    <mergeCell ref="CR4:CW4"/>
    <mergeCell ref="B6:B7"/>
    <mergeCell ref="C6:C7"/>
    <mergeCell ref="D6:D7"/>
    <mergeCell ref="E6:E7"/>
    <mergeCell ref="F6:F7"/>
    <mergeCell ref="G6:G7"/>
    <mergeCell ref="AP4:AU4"/>
    <mergeCell ref="AV4:BA4"/>
    <mergeCell ref="BB4:BG4"/>
    <mergeCell ref="BH4:BM4"/>
    <mergeCell ref="BN4:BS4"/>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10:AB14 AB8">
    <cfRule type="colorScale" priority="103">
      <colorScale>
        <cfvo type="num" val="0.69"/>
        <cfvo type="num" val="0.8"/>
        <cfvo type="num" val="0.9"/>
        <color rgb="FFF8696B"/>
        <color rgb="FFFFEB84"/>
        <color rgb="FF63BE7B"/>
      </colorScale>
    </cfRule>
  </conditionalFormatting>
  <conditionalFormatting sqref="AH8">
    <cfRule type="colorScale" priority="102">
      <colorScale>
        <cfvo type="num" val="0.69"/>
        <cfvo type="num" val="0.8"/>
        <cfvo type="num" val="0.9"/>
        <color rgb="FFF8696B"/>
        <color rgb="FFFFEB84"/>
        <color rgb="FF63BE7B"/>
      </colorScale>
    </cfRule>
  </conditionalFormatting>
  <conditionalFormatting sqref="AN8">
    <cfRule type="colorScale" priority="101">
      <colorScale>
        <cfvo type="num" val="0.69"/>
        <cfvo type="num" val="0.8"/>
        <cfvo type="num" val="0.9"/>
        <color rgb="FFF8696B"/>
        <color rgb="FFFFEB84"/>
        <color rgb="FF63BE7B"/>
      </colorScale>
    </cfRule>
  </conditionalFormatting>
  <conditionalFormatting sqref="AT8">
    <cfRule type="colorScale" priority="100">
      <colorScale>
        <cfvo type="num" val="0.69"/>
        <cfvo type="num" val="0.8"/>
        <cfvo type="num" val="0.9"/>
        <color rgb="FFF8696B"/>
        <color rgb="FFFFEB84"/>
        <color rgb="FF63BE7B"/>
      </colorScale>
    </cfRule>
  </conditionalFormatting>
  <conditionalFormatting sqref="BF8">
    <cfRule type="colorScale" priority="99">
      <colorScale>
        <cfvo type="num" val="0.69"/>
        <cfvo type="num" val="0.8"/>
        <cfvo type="num" val="0.9"/>
        <color rgb="FFF8696B"/>
        <color rgb="FFFFEB84"/>
        <color rgb="FF63BE7B"/>
      </colorScale>
    </cfRule>
  </conditionalFormatting>
  <conditionalFormatting sqref="BR8">
    <cfRule type="colorScale" priority="98">
      <colorScale>
        <cfvo type="num" val="0.69"/>
        <cfvo type="num" val="0.8"/>
        <cfvo type="num" val="0.9"/>
        <color rgb="FFF8696B"/>
        <color rgb="FFFFEB84"/>
        <color rgb="FF63BE7B"/>
      </colorScale>
    </cfRule>
  </conditionalFormatting>
  <conditionalFormatting sqref="BX8">
    <cfRule type="colorScale" priority="97">
      <colorScale>
        <cfvo type="num" val="0.69"/>
        <cfvo type="num" val="0.8"/>
        <cfvo type="num" val="0.9"/>
        <color rgb="FFF8696B"/>
        <color rgb="FFFFEB84"/>
        <color rgb="FF63BE7B"/>
      </colorScale>
    </cfRule>
  </conditionalFormatting>
  <conditionalFormatting sqref="CD8">
    <cfRule type="colorScale" priority="96">
      <colorScale>
        <cfvo type="num" val="0.69"/>
        <cfvo type="num" val="0.8"/>
        <cfvo type="num" val="0.9"/>
        <color rgb="FFF8696B"/>
        <color rgb="FFFFEB84"/>
        <color rgb="FF63BE7B"/>
      </colorScale>
    </cfRule>
  </conditionalFormatting>
  <conditionalFormatting sqref="CJ8">
    <cfRule type="colorScale" priority="95">
      <colorScale>
        <cfvo type="num" val="0.69"/>
        <cfvo type="num" val="0.8"/>
        <cfvo type="num" val="0.9"/>
        <color rgb="FFF8696B"/>
        <color rgb="FFFFEB84"/>
        <color rgb="FF63BE7B"/>
      </colorScale>
    </cfRule>
  </conditionalFormatting>
  <conditionalFormatting sqref="CP8">
    <cfRule type="colorScale" priority="94">
      <colorScale>
        <cfvo type="num" val="0.69"/>
        <cfvo type="num" val="0.8"/>
        <cfvo type="num" val="0.9"/>
        <color rgb="FFF8696B"/>
        <color rgb="FFFFEB84"/>
        <color rgb="FF63BE7B"/>
      </colorScale>
    </cfRule>
  </conditionalFormatting>
  <conditionalFormatting sqref="CV8">
    <cfRule type="colorScale" priority="93">
      <colorScale>
        <cfvo type="num" val="0.69"/>
        <cfvo type="num" val="0.8"/>
        <cfvo type="num" val="0.9"/>
        <color rgb="FFF8696B"/>
        <color rgb="FFFFEB84"/>
        <color rgb="FF63BE7B"/>
      </colorScale>
    </cfRule>
  </conditionalFormatting>
  <conditionalFormatting sqref="AH11:AH12 AH9">
    <cfRule type="colorScale" priority="92">
      <colorScale>
        <cfvo type="num" val="0.69"/>
        <cfvo type="num" val="0.8"/>
        <cfvo type="num" val="0.9"/>
        <color rgb="FFF8696B"/>
        <color rgb="FFFFEB84"/>
        <color rgb="FF63BE7B"/>
      </colorScale>
    </cfRule>
  </conditionalFormatting>
  <conditionalFormatting sqref="AN11:AN12">
    <cfRule type="colorScale" priority="91">
      <colorScale>
        <cfvo type="num" val="0.69"/>
        <cfvo type="num" val="0.8"/>
        <cfvo type="num" val="0.9"/>
        <color rgb="FFF8696B"/>
        <color rgb="FFFFEB84"/>
        <color rgb="FF63BE7B"/>
      </colorScale>
    </cfRule>
  </conditionalFormatting>
  <conditionalFormatting sqref="AT9">
    <cfRule type="colorScale" priority="90">
      <colorScale>
        <cfvo type="num" val="0.69"/>
        <cfvo type="num" val="0.8"/>
        <cfvo type="num" val="0.9"/>
        <color rgb="FFF8696B"/>
        <color rgb="FFFFEB84"/>
        <color rgb="FF63BE7B"/>
      </colorScale>
    </cfRule>
  </conditionalFormatting>
  <conditionalFormatting sqref="BF9">
    <cfRule type="colorScale" priority="89">
      <colorScale>
        <cfvo type="num" val="0.69"/>
        <cfvo type="num" val="0.8"/>
        <cfvo type="num" val="0.9"/>
        <color rgb="FFF8696B"/>
        <color rgb="FFFFEB84"/>
        <color rgb="FF63BE7B"/>
      </colorScale>
    </cfRule>
  </conditionalFormatting>
  <conditionalFormatting sqref="BR9">
    <cfRule type="colorScale" priority="88">
      <colorScale>
        <cfvo type="num" val="0.69"/>
        <cfvo type="num" val="0.8"/>
        <cfvo type="num" val="0.9"/>
        <color rgb="FFF8696B"/>
        <color rgb="FFFFEB84"/>
        <color rgb="FF63BE7B"/>
      </colorScale>
    </cfRule>
  </conditionalFormatting>
  <conditionalFormatting sqref="BX11:BX12 BX9">
    <cfRule type="colorScale" priority="87">
      <colorScale>
        <cfvo type="num" val="0.69"/>
        <cfvo type="num" val="0.8"/>
        <cfvo type="num" val="0.9"/>
        <color rgb="FFF8696B"/>
        <color rgb="FFFFEB84"/>
        <color rgb="FF63BE7B"/>
      </colorScale>
    </cfRule>
  </conditionalFormatting>
  <conditionalFormatting sqref="CD9:CD12">
    <cfRule type="colorScale" priority="86">
      <colorScale>
        <cfvo type="num" val="0.69"/>
        <cfvo type="num" val="0.8"/>
        <cfvo type="num" val="0.9"/>
        <color rgb="FFF8696B"/>
        <color rgb="FFFFEB84"/>
        <color rgb="FF63BE7B"/>
      </colorScale>
    </cfRule>
  </conditionalFormatting>
  <conditionalFormatting sqref="CJ9">
    <cfRule type="colorScale" priority="85">
      <colorScale>
        <cfvo type="num" val="0.69"/>
        <cfvo type="num" val="0.8"/>
        <cfvo type="num" val="0.9"/>
        <color rgb="FFF8696B"/>
        <color rgb="FFFFEB84"/>
        <color rgb="FF63BE7B"/>
      </colorScale>
    </cfRule>
  </conditionalFormatting>
  <conditionalFormatting sqref="CP9">
    <cfRule type="colorScale" priority="84">
      <colorScale>
        <cfvo type="num" val="0.69"/>
        <cfvo type="num" val="0.8"/>
        <cfvo type="num" val="0.9"/>
        <color rgb="FFF8696B"/>
        <color rgb="FFFFEB84"/>
        <color rgb="FF63BE7B"/>
      </colorScale>
    </cfRule>
  </conditionalFormatting>
  <conditionalFormatting sqref="CV9">
    <cfRule type="colorScale" priority="83">
      <colorScale>
        <cfvo type="num" val="0.69"/>
        <cfvo type="num" val="0.8"/>
        <cfvo type="num" val="0.9"/>
        <color rgb="FFF8696B"/>
        <color rgb="FFFFEB84"/>
        <color rgb="FF63BE7B"/>
      </colorScale>
    </cfRule>
  </conditionalFormatting>
  <conditionalFormatting sqref="AH13">
    <cfRule type="colorScale" priority="82">
      <colorScale>
        <cfvo type="num" val="0.69"/>
        <cfvo type="num" val="0.8"/>
        <cfvo type="num" val="0.9"/>
        <color rgb="FFF8696B"/>
        <color rgb="FFFFEB84"/>
        <color rgb="FF63BE7B"/>
      </colorScale>
    </cfRule>
  </conditionalFormatting>
  <conditionalFormatting sqref="AN13">
    <cfRule type="colorScale" priority="81">
      <colorScale>
        <cfvo type="num" val="0.69"/>
        <cfvo type="num" val="0.8"/>
        <cfvo type="num" val="0.9"/>
        <color rgb="FFF8696B"/>
        <color rgb="FFFFEB84"/>
        <color rgb="FF63BE7B"/>
      </colorScale>
    </cfRule>
  </conditionalFormatting>
  <conditionalFormatting sqref="CD13">
    <cfRule type="colorScale" priority="80">
      <colorScale>
        <cfvo type="num" val="0.69"/>
        <cfvo type="num" val="0.8"/>
        <cfvo type="num" val="0.9"/>
        <color rgb="FFF8696B"/>
        <color rgb="FFFFEB84"/>
        <color rgb="FF63BE7B"/>
      </colorScale>
    </cfRule>
  </conditionalFormatting>
  <conditionalFormatting sqref="CP13">
    <cfRule type="colorScale" priority="79">
      <colorScale>
        <cfvo type="num" val="0.69"/>
        <cfvo type="num" val="0.8"/>
        <cfvo type="num" val="0.9"/>
        <color rgb="FFF8696B"/>
        <color rgb="FFFFEB84"/>
        <color rgb="FF63BE7B"/>
      </colorScale>
    </cfRule>
  </conditionalFormatting>
  <conditionalFormatting sqref="CV13">
    <cfRule type="colorScale" priority="78">
      <colorScale>
        <cfvo type="num" val="0.69"/>
        <cfvo type="num" val="0.8"/>
        <cfvo type="num" val="0.9"/>
        <color rgb="FFF8696B"/>
        <color rgb="FFFFEB84"/>
        <color rgb="FF63BE7B"/>
      </colorScale>
    </cfRule>
  </conditionalFormatting>
  <conditionalFormatting sqref="AT14">
    <cfRule type="colorScale" priority="77">
      <colorScale>
        <cfvo type="num" val="0.69"/>
        <cfvo type="num" val="0.8"/>
        <cfvo type="num" val="0.9"/>
        <color rgb="FFF8696B"/>
        <color rgb="FFFFEB84"/>
        <color rgb="FF63BE7B"/>
      </colorScale>
    </cfRule>
  </conditionalFormatting>
  <conditionalFormatting sqref="BF14">
    <cfRule type="colorScale" priority="76">
      <colorScale>
        <cfvo type="num" val="0.69"/>
        <cfvo type="num" val="0.8"/>
        <cfvo type="num" val="0.9"/>
        <color rgb="FFF8696B"/>
        <color rgb="FFFFEB84"/>
        <color rgb="FF63BE7B"/>
      </colorScale>
    </cfRule>
  </conditionalFormatting>
  <conditionalFormatting sqref="BR14">
    <cfRule type="colorScale" priority="75">
      <colorScale>
        <cfvo type="num" val="0.69"/>
        <cfvo type="num" val="0.8"/>
        <cfvo type="num" val="0.9"/>
        <color rgb="FFF8696B"/>
        <color rgb="FFFFEB84"/>
        <color rgb="FF63BE7B"/>
      </colorScale>
    </cfRule>
  </conditionalFormatting>
  <conditionalFormatting sqref="CD14">
    <cfRule type="colorScale" priority="74">
      <colorScale>
        <cfvo type="num" val="0.69"/>
        <cfvo type="num" val="0.8"/>
        <cfvo type="num" val="0.9"/>
        <color rgb="FFF8696B"/>
        <color rgb="FFFFEB84"/>
        <color rgb="FF63BE7B"/>
      </colorScale>
    </cfRule>
  </conditionalFormatting>
  <conditionalFormatting sqref="CP14">
    <cfRule type="colorScale" priority="73">
      <colorScale>
        <cfvo type="num" val="0.69"/>
        <cfvo type="num" val="0.8"/>
        <cfvo type="num" val="0.9"/>
        <color rgb="FFF8696B"/>
        <color rgb="FFFFEB84"/>
        <color rgb="FF63BE7B"/>
      </colorScale>
    </cfRule>
  </conditionalFormatting>
  <conditionalFormatting sqref="AI14">
    <cfRule type="colorScale" priority="72">
      <colorScale>
        <cfvo type="num" val="0.69"/>
        <cfvo type="num" val="0.8"/>
        <cfvo type="num" val="0.9"/>
        <color rgb="FFF8696B"/>
        <color rgb="FFFFEB84"/>
        <color rgb="FF63BE7B"/>
      </colorScale>
    </cfRule>
  </conditionalFormatting>
  <conditionalFormatting sqref="AO14">
    <cfRule type="colorScale" priority="71">
      <colorScale>
        <cfvo type="num" val="0.69"/>
        <cfvo type="num" val="0.8"/>
        <cfvo type="num" val="0.9"/>
        <color rgb="FFF8696B"/>
        <color rgb="FFFFEB84"/>
        <color rgb="FF63BE7B"/>
      </colorScale>
    </cfRule>
  </conditionalFormatting>
  <conditionalFormatting sqref="BA14">
    <cfRule type="colorScale" priority="70">
      <colorScale>
        <cfvo type="num" val="0.69"/>
        <cfvo type="num" val="0.8"/>
        <cfvo type="num" val="0.9"/>
        <color rgb="FFF8696B"/>
        <color rgb="FFFFEB84"/>
        <color rgb="FF63BE7B"/>
      </colorScale>
    </cfRule>
  </conditionalFormatting>
  <conditionalFormatting sqref="BM14">
    <cfRule type="colorScale" priority="69">
      <colorScale>
        <cfvo type="num" val="0.69"/>
        <cfvo type="num" val="0.8"/>
        <cfvo type="num" val="0.9"/>
        <color rgb="FFF8696B"/>
        <color rgb="FFFFEB84"/>
        <color rgb="FF63BE7B"/>
      </colorScale>
    </cfRule>
  </conditionalFormatting>
  <conditionalFormatting sqref="BY14">
    <cfRule type="colorScale" priority="68">
      <colorScale>
        <cfvo type="num" val="0.69"/>
        <cfvo type="num" val="0.8"/>
        <cfvo type="num" val="0.9"/>
        <color rgb="FFF8696B"/>
        <color rgb="FFFFEB84"/>
        <color rgb="FF63BE7B"/>
      </colorScale>
    </cfRule>
  </conditionalFormatting>
  <conditionalFormatting sqref="CK14">
    <cfRule type="colorScale" priority="67">
      <colorScale>
        <cfvo type="num" val="0.69"/>
        <cfvo type="num" val="0.8"/>
        <cfvo type="num" val="0.9"/>
        <color rgb="FFF8696B"/>
        <color rgb="FFFFEB84"/>
        <color rgb="FF63BE7B"/>
      </colorScale>
    </cfRule>
  </conditionalFormatting>
  <conditionalFormatting sqref="CW14">
    <cfRule type="colorScale" priority="66">
      <colorScale>
        <cfvo type="num" val="0.69"/>
        <cfvo type="num" val="0.8"/>
        <cfvo type="num" val="0.9"/>
        <color rgb="FFF8696B"/>
        <color rgb="FFFFEB84"/>
        <color rgb="FF63BE7B"/>
      </colorScale>
    </cfRule>
  </conditionalFormatting>
  <conditionalFormatting sqref="CD16">
    <cfRule type="colorScale" priority="65">
      <colorScale>
        <cfvo type="num" val="0.69"/>
        <cfvo type="num" val="0.8"/>
        <cfvo type="num" val="0.9"/>
        <color rgb="FFF8696B"/>
        <color rgb="FFFFEB84"/>
        <color rgb="FF63BE7B"/>
      </colorScale>
    </cfRule>
  </conditionalFormatting>
  <conditionalFormatting sqref="AH10">
    <cfRule type="colorScale" priority="63">
      <colorScale>
        <cfvo type="num" val="0.69"/>
        <cfvo type="num" val="0.8"/>
        <cfvo type="num" val="0.9"/>
        <color rgb="FFF8696B"/>
        <color rgb="FFFFEB84"/>
        <color rgb="FF63BE7B"/>
      </colorScale>
    </cfRule>
  </conditionalFormatting>
  <conditionalFormatting sqref="CV16">
    <cfRule type="colorScale" priority="64">
      <colorScale>
        <cfvo type="num" val="0.69"/>
        <cfvo type="num" val="0.8"/>
        <cfvo type="num" val="0.9"/>
        <color rgb="FFF8696B"/>
        <color rgb="FFFFEB84"/>
        <color rgb="FF63BE7B"/>
      </colorScale>
    </cfRule>
  </conditionalFormatting>
  <conditionalFormatting sqref="AN9">
    <cfRule type="colorScale" priority="60">
      <colorScale>
        <cfvo type="num" val="0.69"/>
        <cfvo type="num" val="0.8"/>
        <cfvo type="num" val="0.9"/>
        <color rgb="FFF8696B"/>
        <color rgb="FFFFEB84"/>
        <color rgb="FF63BE7B"/>
      </colorScale>
    </cfRule>
  </conditionalFormatting>
  <conditionalFormatting sqref="AN10">
    <cfRule type="colorScale" priority="62">
      <colorScale>
        <cfvo type="num" val="0.69"/>
        <cfvo type="num" val="0.8"/>
        <cfvo type="num" val="0.9"/>
        <color rgb="FFF8696B"/>
        <color rgb="FFFFEB84"/>
        <color rgb="FF63BE7B"/>
      </colorScale>
    </cfRule>
  </conditionalFormatting>
  <conditionalFormatting sqref="AB9">
    <cfRule type="colorScale" priority="61">
      <colorScale>
        <cfvo type="num" val="0.69"/>
        <cfvo type="num" val="0.8"/>
        <cfvo type="num" val="0.9"/>
        <color rgb="FFF8696B"/>
        <color rgb="FFFFEB84"/>
        <color rgb="FF63BE7B"/>
      </colorScale>
    </cfRule>
  </conditionalFormatting>
  <conditionalFormatting sqref="AT10">
    <cfRule type="colorScale" priority="59">
      <colorScale>
        <cfvo type="num" val="0.69"/>
        <cfvo type="num" val="0.8"/>
        <cfvo type="num" val="0.9"/>
        <color rgb="FFF8696B"/>
        <color rgb="FFFFEB84"/>
        <color rgb="FF63BE7B"/>
      </colorScale>
    </cfRule>
  </conditionalFormatting>
  <conditionalFormatting sqref="AT11">
    <cfRule type="colorScale" priority="58">
      <colorScale>
        <cfvo type="num" val="0.69"/>
        <cfvo type="num" val="0.8"/>
        <cfvo type="num" val="0.9"/>
        <color rgb="FFF8696B"/>
        <color rgb="FFFFEB84"/>
        <color rgb="FF63BE7B"/>
      </colorScale>
    </cfRule>
  </conditionalFormatting>
  <conditionalFormatting sqref="AT12">
    <cfRule type="colorScale" priority="57">
      <colorScale>
        <cfvo type="num" val="0.69"/>
        <cfvo type="num" val="0.8"/>
        <cfvo type="num" val="0.9"/>
        <color rgb="FFF8696B"/>
        <color rgb="FFFFEB84"/>
        <color rgb="FF63BE7B"/>
      </colorScale>
    </cfRule>
  </conditionalFormatting>
  <conditionalFormatting sqref="AT13">
    <cfRule type="colorScale" priority="56">
      <colorScale>
        <cfvo type="num" val="0.69"/>
        <cfvo type="num" val="0.8"/>
        <cfvo type="num" val="0.9"/>
        <color rgb="FFF8696B"/>
        <color rgb="FFFFEB84"/>
        <color rgb="FF63BE7B"/>
      </colorScale>
    </cfRule>
  </conditionalFormatting>
  <conditionalFormatting sqref="AB15">
    <cfRule type="colorScale" priority="55">
      <colorScale>
        <cfvo type="num" val="0.69"/>
        <cfvo type="num" val="0.8"/>
        <cfvo type="num" val="0.9"/>
        <color rgb="FFF8696B"/>
        <color rgb="FFFFEB84"/>
        <color rgb="FF63BE7B"/>
      </colorScale>
    </cfRule>
  </conditionalFormatting>
  <conditionalFormatting sqref="AH15">
    <cfRule type="colorScale" priority="54">
      <colorScale>
        <cfvo type="num" val="0.69"/>
        <cfvo type="num" val="0.8"/>
        <cfvo type="num" val="0.9"/>
        <color rgb="FFF8696B"/>
        <color rgb="FFFFEB84"/>
        <color rgb="FF63BE7B"/>
      </colorScale>
    </cfRule>
  </conditionalFormatting>
  <conditionalFormatting sqref="AN15">
    <cfRule type="colorScale" priority="53">
      <colorScale>
        <cfvo type="num" val="0.69"/>
        <cfvo type="num" val="0.8"/>
        <cfvo type="num" val="0.9"/>
        <color rgb="FFF8696B"/>
        <color rgb="FFFFEB84"/>
        <color rgb="FF63BE7B"/>
      </colorScale>
    </cfRule>
  </conditionalFormatting>
  <conditionalFormatting sqref="AT15">
    <cfRule type="colorScale" priority="52">
      <colorScale>
        <cfvo type="num" val="0.69"/>
        <cfvo type="num" val="0.8"/>
        <cfvo type="num" val="0.9"/>
        <color rgb="FFF8696B"/>
        <color rgb="FFFFEB84"/>
        <color rgb="FF63BE7B"/>
      </colorScale>
    </cfRule>
  </conditionalFormatting>
  <conditionalFormatting sqref="AZ15">
    <cfRule type="colorScale" priority="51">
      <colorScale>
        <cfvo type="num" val="0.69"/>
        <cfvo type="num" val="0.8"/>
        <cfvo type="num" val="0.9"/>
        <color rgb="FFF8696B"/>
        <color rgb="FFFFEB84"/>
        <color rgb="FF63BE7B"/>
      </colorScale>
    </cfRule>
  </conditionalFormatting>
  <conditionalFormatting sqref="BF15">
    <cfRule type="colorScale" priority="50">
      <colorScale>
        <cfvo type="num" val="0.69"/>
        <cfvo type="num" val="0.8"/>
        <cfvo type="num" val="0.9"/>
        <color rgb="FFF8696B"/>
        <color rgb="FFFFEB84"/>
        <color rgb="FF63BE7B"/>
      </colorScale>
    </cfRule>
  </conditionalFormatting>
  <conditionalFormatting sqref="BL15">
    <cfRule type="colorScale" priority="49">
      <colorScale>
        <cfvo type="num" val="0.69"/>
        <cfvo type="num" val="0.8"/>
        <cfvo type="num" val="0.9"/>
        <color rgb="FFF8696B"/>
        <color rgb="FFFFEB84"/>
        <color rgb="FF63BE7B"/>
      </colorScale>
    </cfRule>
  </conditionalFormatting>
  <conditionalFormatting sqref="BR15">
    <cfRule type="colorScale" priority="48">
      <colorScale>
        <cfvo type="num" val="0.69"/>
        <cfvo type="num" val="0.8"/>
        <cfvo type="num" val="0.9"/>
        <color rgb="FFF8696B"/>
        <color rgb="FFFFEB84"/>
        <color rgb="FF63BE7B"/>
      </colorScale>
    </cfRule>
  </conditionalFormatting>
  <conditionalFormatting sqref="BX15">
    <cfRule type="colorScale" priority="47">
      <colorScale>
        <cfvo type="num" val="0.69"/>
        <cfvo type="num" val="0.8"/>
        <cfvo type="num" val="0.9"/>
        <color rgb="FFF8696B"/>
        <color rgb="FFFFEB84"/>
        <color rgb="FF63BE7B"/>
      </colorScale>
    </cfRule>
  </conditionalFormatting>
  <conditionalFormatting sqref="CD15">
    <cfRule type="colorScale" priority="46">
      <colorScale>
        <cfvo type="num" val="0.69"/>
        <cfvo type="num" val="0.8"/>
        <cfvo type="num" val="0.9"/>
        <color rgb="FFF8696B"/>
        <color rgb="FFFFEB84"/>
        <color rgb="FF63BE7B"/>
      </colorScale>
    </cfRule>
  </conditionalFormatting>
  <conditionalFormatting sqref="CJ15">
    <cfRule type="colorScale" priority="45">
      <colorScale>
        <cfvo type="num" val="0.69"/>
        <cfvo type="num" val="0.8"/>
        <cfvo type="num" val="0.9"/>
        <color rgb="FFF8696B"/>
        <color rgb="FFFFEB84"/>
        <color rgb="FF63BE7B"/>
      </colorScale>
    </cfRule>
  </conditionalFormatting>
  <conditionalFormatting sqref="CV15">
    <cfRule type="colorScale" priority="44">
      <colorScale>
        <cfvo type="num" val="0.69"/>
        <cfvo type="num" val="0.8"/>
        <cfvo type="num" val="0.9"/>
        <color rgb="FFF8696B"/>
        <color rgb="FFFFEB84"/>
        <color rgb="FF63BE7B"/>
      </colorScale>
    </cfRule>
  </conditionalFormatting>
  <conditionalFormatting sqref="AB16">
    <cfRule type="colorScale" priority="43">
      <colorScale>
        <cfvo type="num" val="0.69"/>
        <cfvo type="num" val="0.8"/>
        <cfvo type="num" val="0.9"/>
        <color rgb="FFF8696B"/>
        <color rgb="FFFFEB84"/>
        <color rgb="FF63BE7B"/>
      </colorScale>
    </cfRule>
  </conditionalFormatting>
  <conditionalFormatting sqref="AZ10">
    <cfRule type="colorScale" priority="42">
      <colorScale>
        <cfvo type="num" val="0.69"/>
        <cfvo type="num" val="0.8"/>
        <cfvo type="num" val="0.9"/>
        <color rgb="FFF8696B"/>
        <color rgb="FFFFEB84"/>
        <color rgb="FF63BE7B"/>
      </colorScale>
    </cfRule>
  </conditionalFormatting>
  <conditionalFormatting sqref="AZ11">
    <cfRule type="colorScale" priority="41">
      <colorScale>
        <cfvo type="num" val="0.69"/>
        <cfvo type="num" val="0.8"/>
        <cfvo type="num" val="0.9"/>
        <color rgb="FFF8696B"/>
        <color rgb="FFFFEB84"/>
        <color rgb="FF63BE7B"/>
      </colorScale>
    </cfRule>
  </conditionalFormatting>
  <conditionalFormatting sqref="AZ12">
    <cfRule type="colorScale" priority="40">
      <colorScale>
        <cfvo type="num" val="0.69"/>
        <cfvo type="num" val="0.8"/>
        <cfvo type="num" val="0.9"/>
        <color rgb="FFF8696B"/>
        <color rgb="FFFFEB84"/>
        <color rgb="FF63BE7B"/>
      </colorScale>
    </cfRule>
  </conditionalFormatting>
  <conditionalFormatting sqref="AZ13">
    <cfRule type="colorScale" priority="39">
      <colorScale>
        <cfvo type="num" val="0.69"/>
        <cfvo type="num" val="0.8"/>
        <cfvo type="num" val="0.9"/>
        <color rgb="FFF8696B"/>
        <color rgb="FFFFEB84"/>
        <color rgb="FF63BE7B"/>
      </colorScale>
    </cfRule>
  </conditionalFormatting>
  <conditionalFormatting sqref="AZ8">
    <cfRule type="colorScale" priority="38">
      <colorScale>
        <cfvo type="num" val="0.69"/>
        <cfvo type="num" val="0.8"/>
        <cfvo type="num" val="0.9"/>
        <color rgb="FFF8696B"/>
        <color rgb="FFFFEB84"/>
        <color rgb="FF63BE7B"/>
      </colorScale>
    </cfRule>
  </conditionalFormatting>
  <conditionalFormatting sqref="AH16">
    <cfRule type="colorScale" priority="37">
      <colorScale>
        <cfvo type="num" val="0.69"/>
        <cfvo type="num" val="0.8"/>
        <cfvo type="num" val="0.9"/>
        <color rgb="FFF8696B"/>
        <color rgb="FFFFEB84"/>
        <color rgb="FF63BE7B"/>
      </colorScale>
    </cfRule>
  </conditionalFormatting>
  <conditionalFormatting sqref="AN16">
    <cfRule type="colorScale" priority="36">
      <colorScale>
        <cfvo type="num" val="0.69"/>
        <cfvo type="num" val="0.8"/>
        <cfvo type="num" val="0.9"/>
        <color rgb="FFF8696B"/>
        <color rgb="FFFFEB84"/>
        <color rgb="FF63BE7B"/>
      </colorScale>
    </cfRule>
  </conditionalFormatting>
  <conditionalFormatting sqref="AT16">
    <cfRule type="colorScale" priority="35">
      <colorScale>
        <cfvo type="num" val="0.69"/>
        <cfvo type="num" val="0.8"/>
        <cfvo type="num" val="0.9"/>
        <color rgb="FFF8696B"/>
        <color rgb="FFFFEB84"/>
        <color rgb="FF63BE7B"/>
      </colorScale>
    </cfRule>
  </conditionalFormatting>
  <conditionalFormatting sqref="AZ16">
    <cfRule type="colorScale" priority="34">
      <colorScale>
        <cfvo type="num" val="0.69"/>
        <cfvo type="num" val="0.8"/>
        <cfvo type="num" val="0.9"/>
        <color rgb="FFF8696B"/>
        <color rgb="FFFFEB84"/>
        <color rgb="FF63BE7B"/>
      </colorScale>
    </cfRule>
  </conditionalFormatting>
  <conditionalFormatting sqref="BF13">
    <cfRule type="colorScale" priority="33">
      <colorScale>
        <cfvo type="num" val="0.69"/>
        <cfvo type="num" val="0.8"/>
        <cfvo type="num" val="0.9"/>
        <color rgb="FFF8696B"/>
        <color rgb="FFFFEB84"/>
        <color rgb="FF63BE7B"/>
      </colorScale>
    </cfRule>
  </conditionalFormatting>
  <conditionalFormatting sqref="BF12">
    <cfRule type="colorScale" priority="32">
      <colorScale>
        <cfvo type="num" val="0.69"/>
        <cfvo type="num" val="0.8"/>
        <cfvo type="num" val="0.9"/>
        <color rgb="FFF8696B"/>
        <color rgb="FFFFEB84"/>
        <color rgb="FF63BE7B"/>
      </colorScale>
    </cfRule>
  </conditionalFormatting>
  <conditionalFormatting sqref="BF11">
    <cfRule type="colorScale" priority="31">
      <colorScale>
        <cfvo type="num" val="0.69"/>
        <cfvo type="num" val="0.8"/>
        <cfvo type="num" val="0.9"/>
        <color rgb="FFF8696B"/>
        <color rgb="FFFFEB84"/>
        <color rgb="FF63BE7B"/>
      </colorScale>
    </cfRule>
  </conditionalFormatting>
  <conditionalFormatting sqref="BF10">
    <cfRule type="colorScale" priority="30">
      <colorScale>
        <cfvo type="num" val="0.69"/>
        <cfvo type="num" val="0.8"/>
        <cfvo type="num" val="0.9"/>
        <color rgb="FFF8696B"/>
        <color rgb="FFFFEB84"/>
        <color rgb="FF63BE7B"/>
      </colorScale>
    </cfRule>
  </conditionalFormatting>
  <conditionalFormatting sqref="BF16">
    <cfRule type="colorScale" priority="29">
      <colorScale>
        <cfvo type="num" val="0.69"/>
        <cfvo type="num" val="0.8"/>
        <cfvo type="num" val="0.9"/>
        <color rgb="FFF8696B"/>
        <color rgb="FFFFEB84"/>
        <color rgb="FF63BE7B"/>
      </colorScale>
    </cfRule>
  </conditionalFormatting>
  <conditionalFormatting sqref="AZ9">
    <cfRule type="colorScale" priority="28">
      <colorScale>
        <cfvo type="num" val="0.69"/>
        <cfvo type="num" val="0.8"/>
        <cfvo type="num" val="0.9"/>
        <color rgb="FFF8696B"/>
        <color rgb="FFFFEB84"/>
        <color rgb="FF63BE7B"/>
      </colorScale>
    </cfRule>
  </conditionalFormatting>
  <conditionalFormatting sqref="BL8">
    <cfRule type="colorScale" priority="27">
      <colorScale>
        <cfvo type="num" val="0.69"/>
        <cfvo type="num" val="0.8"/>
        <cfvo type="num" val="0.9"/>
        <color rgb="FFF8696B"/>
        <color rgb="FFFFEB84"/>
        <color rgb="FF63BE7B"/>
      </colorScale>
    </cfRule>
  </conditionalFormatting>
  <conditionalFormatting sqref="BL9">
    <cfRule type="colorScale" priority="26">
      <colorScale>
        <cfvo type="num" val="0.69"/>
        <cfvo type="num" val="0.8"/>
        <cfvo type="num" val="0.9"/>
        <color rgb="FFF8696B"/>
        <color rgb="FFFFEB84"/>
        <color rgb="FF63BE7B"/>
      </colorScale>
    </cfRule>
  </conditionalFormatting>
  <conditionalFormatting sqref="BL13">
    <cfRule type="colorScale" priority="25">
      <colorScale>
        <cfvo type="num" val="0.69"/>
        <cfvo type="num" val="0.8"/>
        <cfvo type="num" val="0.9"/>
        <color rgb="FFF8696B"/>
        <color rgb="FFFFEB84"/>
        <color rgb="FF63BE7B"/>
      </colorScale>
    </cfRule>
  </conditionalFormatting>
  <conditionalFormatting sqref="BL12">
    <cfRule type="colorScale" priority="24">
      <colorScale>
        <cfvo type="num" val="0.69"/>
        <cfvo type="num" val="0.8"/>
        <cfvo type="num" val="0.9"/>
        <color rgb="FFF8696B"/>
        <color rgb="FFFFEB84"/>
        <color rgb="FF63BE7B"/>
      </colorScale>
    </cfRule>
  </conditionalFormatting>
  <conditionalFormatting sqref="BL11">
    <cfRule type="colorScale" priority="23">
      <colorScale>
        <cfvo type="num" val="0.69"/>
        <cfvo type="num" val="0.8"/>
        <cfvo type="num" val="0.9"/>
        <color rgb="FFF8696B"/>
        <color rgb="FFFFEB84"/>
        <color rgb="FF63BE7B"/>
      </colorScale>
    </cfRule>
  </conditionalFormatting>
  <conditionalFormatting sqref="BL10">
    <cfRule type="colorScale" priority="22">
      <colorScale>
        <cfvo type="num" val="0.69"/>
        <cfvo type="num" val="0.8"/>
        <cfvo type="num" val="0.9"/>
        <color rgb="FFF8696B"/>
        <color rgb="FFFFEB84"/>
        <color rgb="FF63BE7B"/>
      </colorScale>
    </cfRule>
  </conditionalFormatting>
  <conditionalFormatting sqref="BL16">
    <cfRule type="colorScale" priority="21">
      <colorScale>
        <cfvo type="num" val="0.69"/>
        <cfvo type="num" val="0.8"/>
        <cfvo type="num" val="0.9"/>
        <color rgb="FFF8696B"/>
        <color rgb="FFFFEB84"/>
        <color rgb="FF63BE7B"/>
      </colorScale>
    </cfRule>
  </conditionalFormatting>
  <conditionalFormatting sqref="BR10">
    <cfRule type="colorScale" priority="20">
      <colorScale>
        <cfvo type="num" val="0.69"/>
        <cfvo type="num" val="0.8"/>
        <cfvo type="num" val="0.9"/>
        <color rgb="FFF8696B"/>
        <color rgb="FFFFEB84"/>
        <color rgb="FF63BE7B"/>
      </colorScale>
    </cfRule>
  </conditionalFormatting>
  <conditionalFormatting sqref="BR11">
    <cfRule type="colorScale" priority="19">
      <colorScale>
        <cfvo type="num" val="0.69"/>
        <cfvo type="num" val="0.8"/>
        <cfvo type="num" val="0.9"/>
        <color rgb="FFF8696B"/>
        <color rgb="FFFFEB84"/>
        <color rgb="FF63BE7B"/>
      </colorScale>
    </cfRule>
  </conditionalFormatting>
  <conditionalFormatting sqref="BR12">
    <cfRule type="colorScale" priority="18">
      <colorScale>
        <cfvo type="num" val="0.69"/>
        <cfvo type="num" val="0.8"/>
        <cfvo type="num" val="0.9"/>
        <color rgb="FFF8696B"/>
        <color rgb="FFFFEB84"/>
        <color rgb="FF63BE7B"/>
      </colorScale>
    </cfRule>
  </conditionalFormatting>
  <conditionalFormatting sqref="BR13">
    <cfRule type="colorScale" priority="17">
      <colorScale>
        <cfvo type="num" val="0.69"/>
        <cfvo type="num" val="0.8"/>
        <cfvo type="num" val="0.9"/>
        <color rgb="FFF8696B"/>
        <color rgb="FFFFEB84"/>
        <color rgb="FF63BE7B"/>
      </colorScale>
    </cfRule>
  </conditionalFormatting>
  <conditionalFormatting sqref="BR16">
    <cfRule type="colorScale" priority="16">
      <colorScale>
        <cfvo type="num" val="0.69"/>
        <cfvo type="num" val="0.8"/>
        <cfvo type="num" val="0.9"/>
        <color rgb="FFF8696B"/>
        <color rgb="FFFFEB84"/>
        <color rgb="FF63BE7B"/>
      </colorScale>
    </cfRule>
  </conditionalFormatting>
  <conditionalFormatting sqref="BX10">
    <cfRule type="colorScale" priority="15">
      <colorScale>
        <cfvo type="num" val="0.69"/>
        <cfvo type="num" val="0.8"/>
        <cfvo type="num" val="0.9"/>
        <color rgb="FFF8696B"/>
        <color rgb="FFFFEB84"/>
        <color rgb="FF63BE7B"/>
      </colorScale>
    </cfRule>
  </conditionalFormatting>
  <conditionalFormatting sqref="BX13">
    <cfRule type="colorScale" priority="14">
      <colorScale>
        <cfvo type="num" val="0.69"/>
        <cfvo type="num" val="0.8"/>
        <cfvo type="num" val="0.9"/>
        <color rgb="FFF8696B"/>
        <color rgb="FFFFEB84"/>
        <color rgb="FF63BE7B"/>
      </colorScale>
    </cfRule>
  </conditionalFormatting>
  <conditionalFormatting sqref="BX16">
    <cfRule type="colorScale" priority="13">
      <colorScale>
        <cfvo type="num" val="0.69"/>
        <cfvo type="num" val="0.8"/>
        <cfvo type="num" val="0.9"/>
        <color rgb="FFF8696B"/>
        <color rgb="FFFFEB84"/>
        <color rgb="FF63BE7B"/>
      </colorScale>
    </cfRule>
  </conditionalFormatting>
  <conditionalFormatting sqref="CJ10">
    <cfRule type="colorScale" priority="12">
      <colorScale>
        <cfvo type="num" val="0.69"/>
        <cfvo type="num" val="0.8"/>
        <cfvo type="num" val="0.9"/>
        <color rgb="FFF8696B"/>
        <color rgb="FFFFEB84"/>
        <color rgb="FF63BE7B"/>
      </colorScale>
    </cfRule>
  </conditionalFormatting>
  <conditionalFormatting sqref="CJ11">
    <cfRule type="colorScale" priority="11">
      <colorScale>
        <cfvo type="num" val="0.69"/>
        <cfvo type="num" val="0.8"/>
        <cfvo type="num" val="0.9"/>
        <color rgb="FFF8696B"/>
        <color rgb="FFFFEB84"/>
        <color rgb="FF63BE7B"/>
      </colorScale>
    </cfRule>
  </conditionalFormatting>
  <conditionalFormatting sqref="CJ12">
    <cfRule type="colorScale" priority="10">
      <colorScale>
        <cfvo type="num" val="0.69"/>
        <cfvo type="num" val="0.8"/>
        <cfvo type="num" val="0.9"/>
        <color rgb="FFF8696B"/>
        <color rgb="FFFFEB84"/>
        <color rgb="FF63BE7B"/>
      </colorScale>
    </cfRule>
  </conditionalFormatting>
  <conditionalFormatting sqref="CJ13">
    <cfRule type="colorScale" priority="9">
      <colorScale>
        <cfvo type="num" val="0.69"/>
        <cfvo type="num" val="0.8"/>
        <cfvo type="num" val="0.9"/>
        <color rgb="FFF8696B"/>
        <color rgb="FFFFEB84"/>
        <color rgb="FF63BE7B"/>
      </colorScale>
    </cfRule>
  </conditionalFormatting>
  <conditionalFormatting sqref="CJ16">
    <cfRule type="colorScale" priority="8">
      <colorScale>
        <cfvo type="num" val="0.69"/>
        <cfvo type="num" val="0.8"/>
        <cfvo type="num" val="0.9"/>
        <color rgb="FFF8696B"/>
        <color rgb="FFFFEB84"/>
        <color rgb="FF63BE7B"/>
      </colorScale>
    </cfRule>
  </conditionalFormatting>
  <conditionalFormatting sqref="CP10">
    <cfRule type="colorScale" priority="7">
      <colorScale>
        <cfvo type="num" val="0.69"/>
        <cfvo type="num" val="0.8"/>
        <cfvo type="num" val="0.9"/>
        <color rgb="FFF8696B"/>
        <color rgb="FFFFEB84"/>
        <color rgb="FF63BE7B"/>
      </colorScale>
    </cfRule>
  </conditionalFormatting>
  <conditionalFormatting sqref="CP11:CP12">
    <cfRule type="colorScale" priority="6">
      <colorScale>
        <cfvo type="num" val="0.69"/>
        <cfvo type="num" val="0.8"/>
        <cfvo type="num" val="0.9"/>
        <color rgb="FFF8696B"/>
        <color rgb="FFFFEB84"/>
        <color rgb="FF63BE7B"/>
      </colorScale>
    </cfRule>
  </conditionalFormatting>
  <conditionalFormatting sqref="CP16">
    <cfRule type="colorScale" priority="5">
      <colorScale>
        <cfvo type="num" val="0.69"/>
        <cfvo type="num" val="0.8"/>
        <cfvo type="num" val="0.9"/>
        <color rgb="FFF8696B"/>
        <color rgb="FFFFEB84"/>
        <color rgb="FF63BE7B"/>
      </colorScale>
    </cfRule>
  </conditionalFormatting>
  <conditionalFormatting sqref="CP15">
    <cfRule type="colorScale" priority="4">
      <colorScale>
        <cfvo type="num" val="0.69"/>
        <cfvo type="num" val="0.8"/>
        <cfvo type="num" val="0.9"/>
        <color rgb="FFF8696B"/>
        <color rgb="FFFFEB84"/>
        <color rgb="FF63BE7B"/>
      </colorScale>
    </cfRule>
  </conditionalFormatting>
  <conditionalFormatting sqref="CV12">
    <cfRule type="colorScale" priority="3">
      <colorScale>
        <cfvo type="num" val="0.69"/>
        <cfvo type="num" val="0.8"/>
        <cfvo type="num" val="0.9"/>
        <color rgb="FFF8696B"/>
        <color rgb="FFFFEB84"/>
        <color rgb="FF63BE7B"/>
      </colorScale>
    </cfRule>
  </conditionalFormatting>
  <conditionalFormatting sqref="CV11">
    <cfRule type="colorScale" priority="2">
      <colorScale>
        <cfvo type="num" val="0.69"/>
        <cfvo type="num" val="0.8"/>
        <cfvo type="num" val="0.9"/>
        <color rgb="FFF8696B"/>
        <color rgb="FFFFEB84"/>
        <color rgb="FF63BE7B"/>
      </colorScale>
    </cfRule>
  </conditionalFormatting>
  <conditionalFormatting sqref="CV10">
    <cfRule type="colorScale" priority="1">
      <colorScale>
        <cfvo type="num" val="0.69"/>
        <cfvo type="num" val="0.8"/>
        <cfvo type="num" val="0.9"/>
        <color rgb="FFF8696B"/>
        <color rgb="FFFFEB84"/>
        <color rgb="FF63BE7B"/>
      </colorScale>
    </cfRule>
  </conditionalFormatting>
  <printOptions horizontalCentered="1"/>
  <pageMargins left="0.25" right="0.25" top="0.75" bottom="0.75" header="0.3" footer="0.3"/>
  <pageSetup paperSize="14" scale="44" fitToWidth="0" orientation="landscape" r:id="rId1"/>
  <headerFooter alignWithMargins="0"/>
  <colBreaks count="1" manualBreakCount="1">
    <brk id="23" max="18"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W22"/>
  <sheetViews>
    <sheetView showGridLines="0" zoomScaleNormal="100" zoomScaleSheetLayoutView="100" workbookViewId="0">
      <pane xSplit="2" ySplit="7" topLeftCell="C8" activePane="bottomRight" state="frozen"/>
      <selection pane="topRight" activeCell="C1" sqref="C1"/>
      <selection pane="bottomLeft" activeCell="A8" sqref="A8"/>
      <selection pane="bottomRight" activeCell="E8" sqref="E8"/>
    </sheetView>
  </sheetViews>
  <sheetFormatPr baseColWidth="10" defaultRowHeight="12.75"/>
  <cols>
    <col min="1" max="1" width="1.140625" style="15" customWidth="1"/>
    <col min="2" max="2" width="14" style="15" customWidth="1"/>
    <col min="3" max="3" width="7.42578125" style="2" customWidth="1"/>
    <col min="4" max="4" width="22" style="15" customWidth="1"/>
    <col min="5" max="5" width="14.7109375" style="15" customWidth="1"/>
    <col min="6" max="6" width="12.85546875" style="15" customWidth="1"/>
    <col min="7" max="7" width="9.28515625" style="15" customWidth="1"/>
    <col min="8" max="8" width="17.140625" style="15" customWidth="1"/>
    <col min="9" max="9" width="16.7109375" style="15" customWidth="1"/>
    <col min="10" max="10" width="7" style="15" customWidth="1"/>
    <col min="11" max="15" width="4.7109375" style="15" customWidth="1"/>
    <col min="16" max="16" width="5.28515625" style="15" customWidth="1"/>
    <col min="17" max="22" width="4.7109375" style="15" customWidth="1"/>
    <col min="23" max="23" width="8.7109375" style="15" customWidth="1"/>
    <col min="24" max="24" width="9.28515625" style="15" customWidth="1"/>
    <col min="25" max="25" width="11" style="15" customWidth="1"/>
    <col min="26" max="27" width="8.140625" style="15" customWidth="1"/>
    <col min="28" max="28" width="11.5703125" style="15" customWidth="1"/>
    <col min="29" max="29" width="37.7109375" style="15" customWidth="1"/>
    <col min="30" max="30" width="9.28515625" style="15" customWidth="1"/>
    <col min="31" max="31" width="11" style="15" customWidth="1"/>
    <col min="32" max="33" width="8.140625" style="15" customWidth="1"/>
    <col min="34" max="34" width="11.5703125" style="15" customWidth="1"/>
    <col min="35" max="35" width="37.7109375" style="15" customWidth="1"/>
    <col min="36" max="36" width="9.28515625" style="15" customWidth="1"/>
    <col min="37" max="37" width="11" style="15" customWidth="1"/>
    <col min="38" max="39" width="8.140625" style="15" customWidth="1"/>
    <col min="40" max="40" width="11.5703125" style="15" customWidth="1"/>
    <col min="41" max="41" width="37.7109375" style="15" customWidth="1"/>
    <col min="42" max="42" width="9.28515625" style="15" customWidth="1"/>
    <col min="43" max="43" width="11" style="15" customWidth="1"/>
    <col min="44" max="45" width="8.140625" style="15" customWidth="1"/>
    <col min="46" max="46" width="11.5703125" style="15" customWidth="1"/>
    <col min="47" max="47" width="37.7109375" style="15" customWidth="1"/>
    <col min="48" max="48" width="9.28515625" style="15" customWidth="1"/>
    <col min="49" max="49" width="11" style="15" customWidth="1"/>
    <col min="50" max="51" width="8.140625" style="15" customWidth="1"/>
    <col min="52" max="52" width="11.5703125" style="15" customWidth="1"/>
    <col min="53" max="53" width="37.7109375" style="15" customWidth="1"/>
    <col min="54" max="54" width="7" style="15" customWidth="1"/>
    <col min="55" max="55" width="8.42578125" style="15" customWidth="1"/>
    <col min="56" max="57" width="8.140625" style="15" customWidth="1"/>
    <col min="58" max="58" width="9.42578125" style="15" customWidth="1"/>
    <col min="59" max="59" width="12.7109375" style="15" customWidth="1"/>
    <col min="60" max="60" width="9.28515625" style="15" customWidth="1"/>
    <col min="61" max="61" width="11" style="15" customWidth="1"/>
    <col min="62" max="63" width="8.140625" style="15" customWidth="1"/>
    <col min="64" max="64" width="11.5703125" style="15" customWidth="1"/>
    <col min="65" max="65" width="37.7109375" style="15" customWidth="1"/>
    <col min="66" max="66" width="9.28515625" style="15" customWidth="1"/>
    <col min="67" max="67" width="11" style="15" customWidth="1"/>
    <col min="68" max="69" width="8.140625" style="15" customWidth="1"/>
    <col min="70" max="70" width="11.5703125" style="15" customWidth="1"/>
    <col min="71" max="71" width="37.7109375" style="15" customWidth="1"/>
    <col min="72" max="72" width="9.28515625" style="15" customWidth="1"/>
    <col min="73" max="73" width="11" style="15" customWidth="1"/>
    <col min="74" max="75" width="8.140625" style="15" customWidth="1"/>
    <col min="76" max="76" width="11.5703125" style="15" customWidth="1"/>
    <col min="77" max="77" width="20.7109375" style="15" customWidth="1"/>
    <col min="78" max="78" width="9.28515625" style="15" customWidth="1"/>
    <col min="79" max="79" width="11" style="15" customWidth="1"/>
    <col min="80" max="81" width="8.140625" style="15" customWidth="1"/>
    <col min="82" max="82" width="11.5703125" style="15" customWidth="1"/>
    <col min="83" max="83" width="37.7109375" style="15" customWidth="1"/>
    <col min="84" max="84" width="9.28515625" style="15" customWidth="1"/>
    <col min="85" max="85" width="11" style="15" customWidth="1"/>
    <col min="86" max="87" width="8.140625" style="15" customWidth="1"/>
    <col min="88" max="88" width="11.5703125" style="15" customWidth="1"/>
    <col min="89" max="89" width="18.7109375" style="15" customWidth="1"/>
    <col min="90" max="90" width="9.28515625" style="15" customWidth="1"/>
    <col min="91" max="91" width="11" style="15" customWidth="1"/>
    <col min="92" max="93" width="8.140625" style="15" customWidth="1"/>
    <col min="94" max="94" width="11.5703125" style="15" customWidth="1"/>
    <col min="95" max="95" width="37.7109375" style="15" customWidth="1"/>
    <col min="96" max="96" width="9.28515625" style="15" bestFit="1" customWidth="1"/>
    <col min="97" max="97" width="11" style="15" customWidth="1"/>
    <col min="98" max="98" width="8.140625" style="15" customWidth="1"/>
    <col min="99" max="99" width="9.140625" style="15" customWidth="1"/>
    <col min="100" max="100" width="12.85546875" style="15" customWidth="1"/>
    <col min="101" max="101" width="37.7109375" style="15" customWidth="1"/>
    <col min="102" max="16384" width="11.42578125" style="15"/>
  </cols>
  <sheetData>
    <row r="1" spans="1:101"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1"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c r="CM2" s="1236"/>
      <c r="CO2" s="1236"/>
    </row>
    <row r="3" spans="1:101" ht="5.25" customHeight="1"/>
    <row r="4" spans="1:101" ht="19.5" customHeight="1">
      <c r="B4" s="49" t="s">
        <v>18</v>
      </c>
      <c r="C4" s="1979" t="s">
        <v>2219</v>
      </c>
      <c r="D4" s="1979"/>
      <c r="E4" s="1979"/>
      <c r="F4" s="1979"/>
      <c r="G4" s="1979"/>
      <c r="H4" s="1979"/>
      <c r="I4" s="1979"/>
      <c r="J4" s="1979"/>
      <c r="K4" s="1996" t="s">
        <v>21</v>
      </c>
      <c r="L4" s="1996"/>
      <c r="M4" s="1996"/>
      <c r="N4" s="1999">
        <v>2014</v>
      </c>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6" customHeight="1">
      <c r="A5" s="128"/>
      <c r="B5" s="128"/>
      <c r="C5" s="44"/>
      <c r="D5" s="128"/>
      <c r="E5" s="128"/>
      <c r="F5" s="128"/>
      <c r="G5" s="128"/>
      <c r="H5" s="128"/>
      <c r="I5" s="128"/>
      <c r="J5" s="128"/>
      <c r="K5" s="128"/>
      <c r="L5" s="128"/>
      <c r="M5" s="128"/>
      <c r="N5" s="128"/>
      <c r="O5" s="128"/>
      <c r="P5" s="128"/>
      <c r="Q5" s="128"/>
      <c r="R5" s="128"/>
      <c r="S5" s="128"/>
      <c r="T5" s="128"/>
      <c r="U5" s="128"/>
      <c r="V5" s="128"/>
      <c r="W5" s="128"/>
    </row>
    <row r="6" spans="1:101"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1"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0" t="s">
        <v>27</v>
      </c>
      <c r="X7" s="16" t="s">
        <v>31</v>
      </c>
      <c r="Y7" s="16" t="s">
        <v>32</v>
      </c>
      <c r="Z7" s="17" t="s">
        <v>33</v>
      </c>
      <c r="AA7" s="18" t="s">
        <v>34</v>
      </c>
      <c r="AB7" s="19" t="s">
        <v>35</v>
      </c>
      <c r="AC7" s="20" t="s">
        <v>36</v>
      </c>
      <c r="AD7" s="16" t="s">
        <v>31</v>
      </c>
      <c r="AE7" s="16" t="s">
        <v>32</v>
      </c>
      <c r="AF7" s="17" t="s">
        <v>33</v>
      </c>
      <c r="AG7" s="18" t="s">
        <v>34</v>
      </c>
      <c r="AH7" s="19" t="s">
        <v>35</v>
      </c>
      <c r="AI7" s="20" t="s">
        <v>36</v>
      </c>
      <c r="AJ7" s="16" t="s">
        <v>31</v>
      </c>
      <c r="AK7" s="16" t="s">
        <v>32</v>
      </c>
      <c r="AL7" s="17" t="s">
        <v>33</v>
      </c>
      <c r="AM7" s="18" t="s">
        <v>34</v>
      </c>
      <c r="AN7" s="19" t="s">
        <v>35</v>
      </c>
      <c r="AO7" s="20" t="s">
        <v>36</v>
      </c>
      <c r="AP7" s="16" t="s">
        <v>31</v>
      </c>
      <c r="AQ7" s="16" t="s">
        <v>32</v>
      </c>
      <c r="AR7" s="17" t="s">
        <v>33</v>
      </c>
      <c r="AS7" s="18" t="s">
        <v>34</v>
      </c>
      <c r="AT7" s="19" t="s">
        <v>35</v>
      </c>
      <c r="AU7" s="20" t="s">
        <v>36</v>
      </c>
      <c r="AV7" s="16" t="s">
        <v>31</v>
      </c>
      <c r="AW7" s="16" t="s">
        <v>32</v>
      </c>
      <c r="AX7" s="17" t="s">
        <v>33</v>
      </c>
      <c r="AY7" s="18" t="s">
        <v>34</v>
      </c>
      <c r="AZ7" s="19" t="s">
        <v>35</v>
      </c>
      <c r="BA7" s="20" t="s">
        <v>36</v>
      </c>
      <c r="BB7" s="16" t="s">
        <v>31</v>
      </c>
      <c r="BC7" s="16" t="s">
        <v>32</v>
      </c>
      <c r="BD7" s="17" t="s">
        <v>33</v>
      </c>
      <c r="BE7" s="18" t="s">
        <v>34</v>
      </c>
      <c r="BF7" s="19" t="s">
        <v>35</v>
      </c>
      <c r="BG7" s="20" t="s">
        <v>36</v>
      </c>
      <c r="BH7" s="16" t="s">
        <v>31</v>
      </c>
      <c r="BI7" s="16" t="s">
        <v>32</v>
      </c>
      <c r="BJ7" s="17" t="s">
        <v>33</v>
      </c>
      <c r="BK7" s="18" t="s">
        <v>34</v>
      </c>
      <c r="BL7" s="19" t="s">
        <v>35</v>
      </c>
      <c r="BM7" s="20" t="s">
        <v>36</v>
      </c>
      <c r="BN7" s="16" t="s">
        <v>31</v>
      </c>
      <c r="BO7" s="16" t="s">
        <v>32</v>
      </c>
      <c r="BP7" s="17" t="s">
        <v>33</v>
      </c>
      <c r="BQ7" s="18" t="s">
        <v>34</v>
      </c>
      <c r="BR7" s="19" t="s">
        <v>35</v>
      </c>
      <c r="BS7" s="20" t="s">
        <v>36</v>
      </c>
      <c r="BT7" s="16" t="s">
        <v>31</v>
      </c>
      <c r="BU7" s="16" t="s">
        <v>32</v>
      </c>
      <c r="BV7" s="17" t="s">
        <v>33</v>
      </c>
      <c r="BW7" s="18" t="s">
        <v>34</v>
      </c>
      <c r="BX7" s="19" t="s">
        <v>35</v>
      </c>
      <c r="BY7" s="20" t="s">
        <v>36</v>
      </c>
      <c r="BZ7" s="16" t="s">
        <v>31</v>
      </c>
      <c r="CA7" s="16" t="s">
        <v>32</v>
      </c>
      <c r="CB7" s="17" t="s">
        <v>33</v>
      </c>
      <c r="CC7" s="18" t="s">
        <v>34</v>
      </c>
      <c r="CD7" s="19" t="s">
        <v>35</v>
      </c>
      <c r="CE7" s="20" t="s">
        <v>36</v>
      </c>
      <c r="CF7" s="16" t="s">
        <v>31</v>
      </c>
      <c r="CG7" s="16" t="s">
        <v>32</v>
      </c>
      <c r="CH7" s="17" t="s">
        <v>33</v>
      </c>
      <c r="CI7" s="18" t="s">
        <v>34</v>
      </c>
      <c r="CJ7" s="19" t="s">
        <v>35</v>
      </c>
      <c r="CK7" s="20" t="s">
        <v>36</v>
      </c>
      <c r="CL7" s="16" t="s">
        <v>31</v>
      </c>
      <c r="CM7" s="16" t="s">
        <v>32</v>
      </c>
      <c r="CN7" s="17" t="s">
        <v>33</v>
      </c>
      <c r="CO7" s="18" t="s">
        <v>34</v>
      </c>
      <c r="CP7" s="19" t="s">
        <v>35</v>
      </c>
      <c r="CQ7" s="20" t="s">
        <v>36</v>
      </c>
      <c r="CR7" s="16" t="s">
        <v>31</v>
      </c>
      <c r="CS7" s="16" t="s">
        <v>32</v>
      </c>
      <c r="CT7" s="17" t="s">
        <v>33</v>
      </c>
      <c r="CU7" s="18" t="s">
        <v>34</v>
      </c>
      <c r="CV7" s="19" t="s">
        <v>35</v>
      </c>
      <c r="CW7" s="20" t="s">
        <v>36</v>
      </c>
    </row>
    <row r="8" spans="1:101" ht="69.75" customHeight="1">
      <c r="B8" s="8" t="s">
        <v>2220</v>
      </c>
      <c r="C8" s="9"/>
      <c r="D8" s="13" t="s">
        <v>2221</v>
      </c>
      <c r="E8" s="13" t="s">
        <v>2222</v>
      </c>
      <c r="F8" s="8" t="s">
        <v>2223</v>
      </c>
      <c r="G8" s="8" t="s">
        <v>53</v>
      </c>
      <c r="H8" s="13" t="s">
        <v>2224</v>
      </c>
      <c r="I8" s="8" t="s">
        <v>2225</v>
      </c>
      <c r="J8" s="8" t="s">
        <v>54</v>
      </c>
      <c r="K8" s="7"/>
      <c r="L8" s="7"/>
      <c r="M8" s="12">
        <v>0.25</v>
      </c>
      <c r="N8" s="7"/>
      <c r="O8" s="7"/>
      <c r="P8" s="14">
        <v>0.25</v>
      </c>
      <c r="Q8" s="14"/>
      <c r="R8" s="14"/>
      <c r="S8" s="14">
        <v>0.25</v>
      </c>
      <c r="T8" s="14"/>
      <c r="U8" s="14"/>
      <c r="V8" s="14">
        <v>0.25</v>
      </c>
      <c r="W8" s="8"/>
      <c r="X8" s="26"/>
      <c r="Y8" s="21"/>
      <c r="Z8" s="22" t="str">
        <f>IF(Y8=0," ",X8/Y8)</f>
        <v xml:space="preserve"> </v>
      </c>
      <c r="AA8" s="23"/>
      <c r="AB8" s="24" t="str">
        <f>IF(Y8=0," ",Z8/AA8)</f>
        <v xml:space="preserve"> </v>
      </c>
      <c r="AC8" s="25"/>
      <c r="AD8" s="26"/>
      <c r="AE8" s="21"/>
      <c r="AF8" s="22" t="str">
        <f>IF(AE8=0," ",AD8/AE8)</f>
        <v xml:space="preserve"> </v>
      </c>
      <c r="AG8" s="23"/>
      <c r="AH8" s="24" t="str">
        <f>IF(AE8=0," ",AF8/AG8)</f>
        <v xml:space="preserve"> </v>
      </c>
      <c r="AI8" s="25"/>
      <c r="AJ8" s="26">
        <v>52</v>
      </c>
      <c r="AK8" s="21">
        <v>213</v>
      </c>
      <c r="AL8" s="22">
        <f>IF(AK8=0," ",AJ8/AK8)</f>
        <v>0.24413145539906103</v>
      </c>
      <c r="AM8" s="23">
        <v>0.25</v>
      </c>
      <c r="AN8" s="24">
        <f>IF(AK8=0," ",AL8/AM8)</f>
        <v>0.97652582159624413</v>
      </c>
      <c r="AO8" s="25"/>
      <c r="AP8" s="26"/>
      <c r="AQ8" s="21"/>
      <c r="AR8" s="22" t="str">
        <f>IF(AQ8=0," ",AP8/AQ8)</f>
        <v xml:space="preserve"> </v>
      </c>
      <c r="AS8" s="23"/>
      <c r="AT8" s="24" t="str">
        <f>IF(AQ8=0," ",AR8/AS8)</f>
        <v xml:space="preserve"> </v>
      </c>
      <c r="AU8" s="25"/>
      <c r="AV8" s="26"/>
      <c r="AW8" s="21"/>
      <c r="AX8" s="22" t="str">
        <f>IF(AW8=0," ",AV8/AW8)</f>
        <v xml:space="preserve"> </v>
      </c>
      <c r="AY8" s="23"/>
      <c r="AZ8" s="24" t="str">
        <f>IF(AW8=0," ",AX8/AY8)</f>
        <v xml:space="preserve"> </v>
      </c>
      <c r="BA8" s="25"/>
      <c r="BB8" s="26">
        <v>59</v>
      </c>
      <c r="BC8" s="21">
        <v>213</v>
      </c>
      <c r="BD8" s="22">
        <f>IF(BC8=0," ",BB8/BC8)</f>
        <v>0.27699530516431925</v>
      </c>
      <c r="BE8" s="23">
        <f>+P8</f>
        <v>0.25</v>
      </c>
      <c r="BF8" s="24">
        <f>IF(BC8=0," ",BD8/BE8)</f>
        <v>1.107981220657277</v>
      </c>
      <c r="BG8" s="25"/>
      <c r="BH8" s="26"/>
      <c r="BI8" s="21"/>
      <c r="BJ8" s="22" t="str">
        <f>IF(BI8=0," ",BH8/BI8)</f>
        <v xml:space="preserve"> </v>
      </c>
      <c r="BK8" s="23"/>
      <c r="BL8" s="24" t="str">
        <f>IF(BI8=0," ",BJ8/BK8)</f>
        <v xml:space="preserve"> </v>
      </c>
      <c r="BM8" s="25"/>
      <c r="BN8" s="26"/>
      <c r="BO8" s="21"/>
      <c r="BP8" s="22" t="str">
        <f>IF(BO8=0," ",BN8/BO8)</f>
        <v xml:space="preserve"> </v>
      </c>
      <c r="BQ8" s="23"/>
      <c r="BR8" s="24" t="str">
        <f>IF(BO8=0," ",BP8/BQ8)</f>
        <v xml:space="preserve"> </v>
      </c>
      <c r="BS8" s="25"/>
      <c r="BT8" s="26">
        <v>59</v>
      </c>
      <c r="BU8" s="21">
        <v>213</v>
      </c>
      <c r="BV8" s="22">
        <f>IF(BU8=0," ",BT8/BU8)</f>
        <v>0.27699530516431925</v>
      </c>
      <c r="BW8" s="23">
        <f>+S8</f>
        <v>0.25</v>
      </c>
      <c r="BX8" s="24">
        <f>IF(BU8=0," ",BV8/BW8)</f>
        <v>1.107981220657277</v>
      </c>
      <c r="BY8" s="25"/>
      <c r="BZ8" s="26"/>
      <c r="CA8" s="21"/>
      <c r="CB8" s="22" t="str">
        <f>IF(CA8=0," ",BZ8/CA8)</f>
        <v xml:space="preserve"> </v>
      </c>
      <c r="CC8" s="23"/>
      <c r="CD8" s="24" t="str">
        <f>IF(CA8=0," ",CB8/CC8)</f>
        <v xml:space="preserve"> </v>
      </c>
      <c r="CE8" s="25"/>
      <c r="CF8" s="26"/>
      <c r="CG8" s="21"/>
      <c r="CH8" s="22" t="str">
        <f>IF(CG8=0," ",CF8/CG8)</f>
        <v xml:space="preserve"> </v>
      </c>
      <c r="CI8" s="23"/>
      <c r="CJ8" s="24" t="str">
        <f>IF(CG8=0," ",CH8/CI8)</f>
        <v xml:space="preserve"> </v>
      </c>
      <c r="CK8" s="25"/>
      <c r="CL8" s="26">
        <f>239-170</f>
        <v>69</v>
      </c>
      <c r="CM8" s="21">
        <v>213</v>
      </c>
      <c r="CN8" s="22">
        <f>IF(CM8=0," ",CL8/CM8)</f>
        <v>0.323943661971831</v>
      </c>
      <c r="CO8" s="23">
        <v>0.25</v>
      </c>
      <c r="CP8" s="24">
        <f>IF(CM8=0," ",CN8/CO8)</f>
        <v>1.295774647887324</v>
      </c>
      <c r="CQ8" s="25"/>
      <c r="CR8" s="26">
        <f>+CL8+BT8+BB8+AJ8</f>
        <v>239</v>
      </c>
      <c r="CS8" s="21">
        <v>213</v>
      </c>
      <c r="CT8" s="22">
        <f>IF(CS8=0," ",CR8/CS8)</f>
        <v>1.1220657276995305</v>
      </c>
      <c r="CU8" s="23">
        <v>1</v>
      </c>
      <c r="CV8" s="24">
        <f>IF(CS8=0," ",CT8/CU8)</f>
        <v>1.1220657276995305</v>
      </c>
      <c r="CW8" s="25"/>
    </row>
    <row r="9" spans="1:101" ht="69.75" customHeight="1">
      <c r="B9" s="8" t="s">
        <v>2220</v>
      </c>
      <c r="C9" s="9"/>
      <c r="D9" s="13" t="s">
        <v>2226</v>
      </c>
      <c r="E9" s="13" t="s">
        <v>2227</v>
      </c>
      <c r="F9" s="8" t="s">
        <v>2223</v>
      </c>
      <c r="G9" s="8" t="s">
        <v>53</v>
      </c>
      <c r="H9" s="13" t="s">
        <v>2228</v>
      </c>
      <c r="I9" s="8" t="s">
        <v>2225</v>
      </c>
      <c r="J9" s="8" t="s">
        <v>54</v>
      </c>
      <c r="K9" s="7"/>
      <c r="L9" s="7"/>
      <c r="M9" s="12">
        <v>0.25</v>
      </c>
      <c r="N9" s="7"/>
      <c r="O9" s="7"/>
      <c r="P9" s="14">
        <v>0.25</v>
      </c>
      <c r="Q9" s="14"/>
      <c r="R9" s="14"/>
      <c r="S9" s="14">
        <v>0.25</v>
      </c>
      <c r="T9" s="14"/>
      <c r="U9" s="14"/>
      <c r="V9" s="14">
        <v>0.25</v>
      </c>
      <c r="W9" s="8"/>
      <c r="X9" s="26"/>
      <c r="Y9" s="21"/>
      <c r="Z9" s="22" t="str">
        <f>IF(Y9=0," ",X9/Y9)</f>
        <v xml:space="preserve"> </v>
      </c>
      <c r="AA9" s="23"/>
      <c r="AB9" s="24" t="str">
        <f>IF(Y9=0," ",Z9/AA9)</f>
        <v xml:space="preserve"> </v>
      </c>
      <c r="AC9" s="25"/>
      <c r="AD9" s="26"/>
      <c r="AE9" s="21"/>
      <c r="AF9" s="22" t="str">
        <f>IF(AE9=0," ",AD9/AE9)</f>
        <v xml:space="preserve"> </v>
      </c>
      <c r="AG9" s="23"/>
      <c r="AH9" s="24" t="str">
        <f>IF(AE9=0," ",AF9/AG9)</f>
        <v xml:space="preserve"> </v>
      </c>
      <c r="AI9" s="25"/>
      <c r="AJ9" s="26">
        <v>21</v>
      </c>
      <c r="AK9" s="21">
        <v>42</v>
      </c>
      <c r="AL9" s="22">
        <f>IF(AK9=0," ",AJ9/AK9)</f>
        <v>0.5</v>
      </c>
      <c r="AM9" s="23">
        <v>0.25</v>
      </c>
      <c r="AN9" s="24">
        <f>IF(AK9=0," ",AL9/AM9)</f>
        <v>2</v>
      </c>
      <c r="AO9" s="25"/>
      <c r="AP9" s="26"/>
      <c r="AQ9" s="21"/>
      <c r="AR9" s="22" t="str">
        <f>IF(AQ9=0," ",AP9/AQ9)</f>
        <v xml:space="preserve"> </v>
      </c>
      <c r="AS9" s="23"/>
      <c r="AT9" s="24" t="str">
        <f>IF(AQ9=0," ",AR9/AS9)</f>
        <v xml:space="preserve"> </v>
      </c>
      <c r="AU9" s="25"/>
      <c r="AV9" s="26"/>
      <c r="AW9" s="21"/>
      <c r="AX9" s="22" t="str">
        <f>IF(AW9=0," ",AV9/AW9)</f>
        <v xml:space="preserve"> </v>
      </c>
      <c r="AY9" s="23"/>
      <c r="AZ9" s="24" t="str">
        <f>IF(AW9=0," ",AX9/AY9)</f>
        <v xml:space="preserve"> </v>
      </c>
      <c r="BA9" s="25"/>
      <c r="BB9" s="26">
        <v>9</v>
      </c>
      <c r="BC9" s="21">
        <v>42</v>
      </c>
      <c r="BD9" s="22">
        <f>IF(BC9=0," ",BB9/BC9)</f>
        <v>0.21428571428571427</v>
      </c>
      <c r="BE9" s="23">
        <f>+P9</f>
        <v>0.25</v>
      </c>
      <c r="BF9" s="24">
        <f>IF(BC9=0," ",BD9/BE9)</f>
        <v>0.8571428571428571</v>
      </c>
      <c r="BG9" s="25"/>
      <c r="BH9" s="26"/>
      <c r="BI9" s="21"/>
      <c r="BJ9" s="22" t="str">
        <f>IF(BI9=0," ",BH9/BI9)</f>
        <v xml:space="preserve"> </v>
      </c>
      <c r="BK9" s="23"/>
      <c r="BL9" s="24" t="str">
        <f>IF(BI9=0," ",BJ9/BK9)</f>
        <v xml:space="preserve"> </v>
      </c>
      <c r="BM9" s="25"/>
      <c r="BN9" s="26"/>
      <c r="BO9" s="21"/>
      <c r="BP9" s="22" t="str">
        <f>IF(BO9=0," ",BN9/BO9)</f>
        <v xml:space="preserve"> </v>
      </c>
      <c r="BQ9" s="23"/>
      <c r="BR9" s="24" t="str">
        <f>IF(BO9=0," ",BP9/BQ9)</f>
        <v xml:space="preserve"> </v>
      </c>
      <c r="BS9" s="25"/>
      <c r="BT9" s="26">
        <v>9</v>
      </c>
      <c r="BU9" s="21">
        <v>42</v>
      </c>
      <c r="BV9" s="22">
        <f>IF(BU9=0," ",BT9/BU9)</f>
        <v>0.21428571428571427</v>
      </c>
      <c r="BW9" s="23">
        <f>+S9</f>
        <v>0.25</v>
      </c>
      <c r="BX9" s="24">
        <f>IF(BU9=0," ",BV9/BW9)</f>
        <v>0.8571428571428571</v>
      </c>
      <c r="BY9" s="25" t="s">
        <v>2229</v>
      </c>
      <c r="BZ9" s="26"/>
      <c r="CA9" s="21"/>
      <c r="CB9" s="22" t="str">
        <f>IF(CA9=0," ",BZ9/CA9)</f>
        <v xml:space="preserve"> </v>
      </c>
      <c r="CC9" s="23"/>
      <c r="CD9" s="24" t="str">
        <f>IF(CA9=0," ",CB9/CC9)</f>
        <v xml:space="preserve"> </v>
      </c>
      <c r="CE9" s="25"/>
      <c r="CF9" s="26"/>
      <c r="CG9" s="21"/>
      <c r="CH9" s="22" t="str">
        <f>IF(CG9=0," ",CF9/CG9)</f>
        <v xml:space="preserve"> </v>
      </c>
      <c r="CI9" s="23"/>
      <c r="CJ9" s="24" t="str">
        <f>IF(CG9=0," ",CH9/CI9)</f>
        <v xml:space="preserve"> </v>
      </c>
      <c r="CK9" s="25"/>
      <c r="CL9" s="26">
        <v>16</v>
      </c>
      <c r="CM9" s="21">
        <v>42</v>
      </c>
      <c r="CN9" s="22">
        <f>IF(CM9=0," ",CL9/CM9)</f>
        <v>0.38095238095238093</v>
      </c>
      <c r="CO9" s="23">
        <v>0.25</v>
      </c>
      <c r="CP9" s="24">
        <f>IF(CM9=0," ",CN9/CO9)</f>
        <v>1.5238095238095237</v>
      </c>
      <c r="CQ9" s="25"/>
      <c r="CR9" s="26">
        <f>+CL9+BT9+BB9+AJ9</f>
        <v>55</v>
      </c>
      <c r="CS9" s="21">
        <v>42</v>
      </c>
      <c r="CT9" s="22">
        <f>IF(CS9=0," ",CR9/CS9)</f>
        <v>1.3095238095238095</v>
      </c>
      <c r="CU9" s="23">
        <v>1</v>
      </c>
      <c r="CV9" s="24">
        <f>IF(CS9=0," ",CT9/CU9)</f>
        <v>1.3095238095238095</v>
      </c>
      <c r="CW9" s="25"/>
    </row>
    <row r="10" spans="1:101" s="235" customFormat="1" ht="69.75" customHeight="1">
      <c r="B10" s="1237" t="s">
        <v>2220</v>
      </c>
      <c r="C10" s="1238"/>
      <c r="D10" s="1239" t="s">
        <v>2230</v>
      </c>
      <c r="E10" s="1239" t="s">
        <v>2231</v>
      </c>
      <c r="F10" s="1237" t="s">
        <v>2232</v>
      </c>
      <c r="G10" s="1237" t="s">
        <v>53</v>
      </c>
      <c r="H10" s="1239" t="s">
        <v>2233</v>
      </c>
      <c r="I10" s="1237" t="s">
        <v>2225</v>
      </c>
      <c r="J10" s="1237" t="s">
        <v>54</v>
      </c>
      <c r="K10" s="1240">
        <v>0.2142</v>
      </c>
      <c r="L10" s="1240"/>
      <c r="M10" s="1240">
        <v>0.1429</v>
      </c>
      <c r="N10" s="1240"/>
      <c r="O10" s="1240">
        <v>0.1429</v>
      </c>
      <c r="P10" s="1241"/>
      <c r="Q10" s="1241">
        <v>0.2142</v>
      </c>
      <c r="R10" s="1241"/>
      <c r="S10" s="1241">
        <v>0.1429</v>
      </c>
      <c r="T10" s="1241"/>
      <c r="U10" s="1241">
        <v>0.1429</v>
      </c>
      <c r="V10" s="1241"/>
      <c r="W10" s="1237"/>
      <c r="X10" s="1242">
        <v>3</v>
      </c>
      <c r="Y10" s="701">
        <v>14</v>
      </c>
      <c r="Z10" s="1243">
        <f>IF(Y10=0," ",X10/Y10)</f>
        <v>0.21428571428571427</v>
      </c>
      <c r="AA10" s="1244">
        <f>+K10</f>
        <v>0.2142</v>
      </c>
      <c r="AB10" s="1245">
        <f>IF(Y10=0," ",Z10/AA10)</f>
        <v>1.0004001600640255</v>
      </c>
      <c r="AC10" s="1246"/>
      <c r="AD10" s="1242"/>
      <c r="AE10" s="701"/>
      <c r="AF10" s="1243" t="str">
        <f>IF(AE10=0," ",AD10/AE10)</f>
        <v xml:space="preserve"> </v>
      </c>
      <c r="AG10" s="1244"/>
      <c r="AH10" s="1245" t="str">
        <f>IF(AE10=0," ",AF10/AG10)</f>
        <v xml:space="preserve"> </v>
      </c>
      <c r="AI10" s="1246"/>
      <c r="AJ10" s="1242">
        <v>1</v>
      </c>
      <c r="AK10" s="701">
        <v>14</v>
      </c>
      <c r="AL10" s="1243">
        <f>IF(AK10=0," ",AJ10/AK10)</f>
        <v>7.1428571428571425E-2</v>
      </c>
      <c r="AM10" s="1244">
        <f>+M10</f>
        <v>0.1429</v>
      </c>
      <c r="AN10" s="1245">
        <f>IF(AK10=0," ",AL10/AM10)</f>
        <v>0.49985004498650404</v>
      </c>
      <c r="AO10" s="1246"/>
      <c r="AP10" s="1242"/>
      <c r="AQ10" s="701"/>
      <c r="AR10" s="1243" t="str">
        <f>IF(AQ10=0," ",AP10/AQ10)</f>
        <v xml:space="preserve"> </v>
      </c>
      <c r="AS10" s="1244"/>
      <c r="AT10" s="1245" t="str">
        <f>IF(AQ10=0," ",AR10/AS10)</f>
        <v xml:space="preserve"> </v>
      </c>
      <c r="AU10" s="1246"/>
      <c r="AV10" s="1242">
        <v>3</v>
      </c>
      <c r="AW10" s="701">
        <v>14</v>
      </c>
      <c r="AX10" s="1243">
        <f>IF(AW10=0," ",AV10/AW10)</f>
        <v>0.21428571428571427</v>
      </c>
      <c r="AY10" s="1244">
        <f>+O10</f>
        <v>0.1429</v>
      </c>
      <c r="AZ10" s="1245">
        <f>IF(AW10=0," ",AX10/AY10)</f>
        <v>1.4995501349595122</v>
      </c>
      <c r="BA10" s="1246"/>
      <c r="BB10" s="1242"/>
      <c r="BC10" s="701"/>
      <c r="BD10" s="1243" t="str">
        <f>IF(BC10=0," ",BB10/BC10)</f>
        <v xml:space="preserve"> </v>
      </c>
      <c r="BE10" s="23">
        <f>+P10</f>
        <v>0</v>
      </c>
      <c r="BF10" s="1245" t="str">
        <f>IF(BC10=0," ",BD10/BE10)</f>
        <v xml:space="preserve"> </v>
      </c>
      <c r="BG10" s="1246"/>
      <c r="BH10" s="1242">
        <v>3</v>
      </c>
      <c r="BI10" s="701">
        <v>14</v>
      </c>
      <c r="BJ10" s="1243">
        <f>IF(BI10=0," ",BH10/BI10)</f>
        <v>0.21428571428571427</v>
      </c>
      <c r="BK10" s="1244">
        <f>+Q10</f>
        <v>0.2142</v>
      </c>
      <c r="BL10" s="1245">
        <f>IF(BI10=0," ",BJ10/BK10)</f>
        <v>1.0004001600640255</v>
      </c>
      <c r="BM10" s="1246" t="s">
        <v>2234</v>
      </c>
      <c r="BN10" s="1242"/>
      <c r="BO10" s="701"/>
      <c r="BP10" s="1243" t="str">
        <f>IF(BO10=0," ",BN10/BO10)</f>
        <v xml:space="preserve"> </v>
      </c>
      <c r="BQ10" s="1244"/>
      <c r="BR10" s="1245" t="str">
        <f>IF(BO10=0," ",BP10/BQ10)</f>
        <v xml:space="preserve"> </v>
      </c>
      <c r="BS10" s="1246"/>
      <c r="BT10" s="1242">
        <v>2</v>
      </c>
      <c r="BU10" s="701">
        <v>14</v>
      </c>
      <c r="BV10" s="1243">
        <f>IF(BU10=0," ",BT10/BU10)</f>
        <v>0.14285714285714285</v>
      </c>
      <c r="BW10" s="1244">
        <f>+S10</f>
        <v>0.1429</v>
      </c>
      <c r="BX10" s="1245">
        <f>IF(BU10=0," ",BV10/BW10)</f>
        <v>0.99970008997300808</v>
      </c>
      <c r="BY10" s="1246"/>
      <c r="BZ10" s="1242"/>
      <c r="CA10" s="701"/>
      <c r="CB10" s="1243" t="str">
        <f>IF(CA10=0," ",BZ10/CA10)</f>
        <v xml:space="preserve"> </v>
      </c>
      <c r="CC10" s="1244"/>
      <c r="CD10" s="1245" t="str">
        <f>IF(CA10=0," ",CB10/CC10)</f>
        <v xml:space="preserve"> </v>
      </c>
      <c r="CE10" s="1246"/>
      <c r="CF10" s="1242">
        <v>2</v>
      </c>
      <c r="CG10" s="701">
        <v>14</v>
      </c>
      <c r="CH10" s="1243">
        <f>IF(CG10=0," ",CF10/CG10)</f>
        <v>0.14285714285714285</v>
      </c>
      <c r="CI10" s="1244">
        <f>+U10</f>
        <v>0.1429</v>
      </c>
      <c r="CJ10" s="1245">
        <f>+CH10/CI10</f>
        <v>0.99970008997300808</v>
      </c>
      <c r="CK10" s="1246"/>
      <c r="CL10" s="1242">
        <v>0</v>
      </c>
      <c r="CM10" s="701">
        <v>42</v>
      </c>
      <c r="CN10" s="1243">
        <f>IF(CM10=0," ",CL10/CM10)</f>
        <v>0</v>
      </c>
      <c r="CO10" s="1244">
        <v>0</v>
      </c>
      <c r="CP10" s="1245" t="s">
        <v>54</v>
      </c>
      <c r="CQ10" s="1246"/>
      <c r="CR10" s="1242">
        <f>+X10+AJ10+AV10+BH10+BT10+CF10</f>
        <v>14</v>
      </c>
      <c r="CS10" s="701">
        <v>14</v>
      </c>
      <c r="CT10" s="1243">
        <f>IF(CS10=0," ",CR10/CS10)</f>
        <v>1</v>
      </c>
      <c r="CU10" s="1244">
        <v>1</v>
      </c>
      <c r="CV10" s="1245">
        <f>IF(CS10=0," ",CT10/CU10)</f>
        <v>1</v>
      </c>
      <c r="CW10" s="1246"/>
    </row>
    <row r="11" spans="1:101" ht="69.75" customHeight="1">
      <c r="B11" s="8" t="s">
        <v>373</v>
      </c>
      <c r="C11" s="9"/>
      <c r="D11" s="13" t="s">
        <v>2235</v>
      </c>
      <c r="E11" s="13" t="s">
        <v>2236</v>
      </c>
      <c r="F11" s="8" t="s">
        <v>2237</v>
      </c>
      <c r="G11" s="8" t="s">
        <v>53</v>
      </c>
      <c r="H11" s="13" t="s">
        <v>2224</v>
      </c>
      <c r="I11" s="8" t="s">
        <v>2225</v>
      </c>
      <c r="J11" s="8" t="s">
        <v>54</v>
      </c>
      <c r="K11" s="7"/>
      <c r="L11" s="7"/>
      <c r="M11" s="12"/>
      <c r="N11" s="7"/>
      <c r="O11" s="7"/>
      <c r="P11" s="14"/>
      <c r="Q11" s="14">
        <v>1</v>
      </c>
      <c r="R11" s="14"/>
      <c r="S11" s="14"/>
      <c r="T11" s="14"/>
      <c r="U11" s="14"/>
      <c r="V11" s="14"/>
      <c r="W11" s="8"/>
      <c r="X11" s="26"/>
      <c r="Y11" s="21"/>
      <c r="Z11" s="22"/>
      <c r="AA11" s="23"/>
      <c r="AB11" s="24"/>
      <c r="AC11" s="25"/>
      <c r="AD11" s="26"/>
      <c r="AE11" s="21"/>
      <c r="AF11" s="22"/>
      <c r="AG11" s="23"/>
      <c r="AH11" s="24"/>
      <c r="AI11" s="25"/>
      <c r="AJ11" s="26"/>
      <c r="AK11" s="21"/>
      <c r="AL11" s="22"/>
      <c r="AM11" s="23"/>
      <c r="AN11" s="24"/>
      <c r="AO11" s="25"/>
      <c r="AP11" s="26"/>
      <c r="AQ11" s="21"/>
      <c r="AR11" s="22"/>
      <c r="AS11" s="23"/>
      <c r="AT11" s="24"/>
      <c r="AU11" s="25"/>
      <c r="AV11" s="26"/>
      <c r="AW11" s="21"/>
      <c r="AX11" s="22"/>
      <c r="AY11" s="23"/>
      <c r="AZ11" s="24"/>
      <c r="BA11" s="25"/>
      <c r="BB11" s="26"/>
      <c r="BC11" s="21"/>
      <c r="BD11" s="22"/>
      <c r="BE11" s="23">
        <f>+P11</f>
        <v>0</v>
      </c>
      <c r="BF11" s="24"/>
      <c r="BG11" s="25"/>
      <c r="BH11" s="26">
        <v>1</v>
      </c>
      <c r="BI11" s="21">
        <v>1</v>
      </c>
      <c r="BJ11" s="1243">
        <f>IF(BI11=0," ",BH11/BI11)</f>
        <v>1</v>
      </c>
      <c r="BK11" s="23">
        <f>+Q11</f>
        <v>1</v>
      </c>
      <c r="BL11" s="1245">
        <f>IF(BI11=0," ",BJ11/BK11)</f>
        <v>1</v>
      </c>
      <c r="BM11" s="25" t="s">
        <v>2238</v>
      </c>
      <c r="BN11" s="26"/>
      <c r="BO11" s="21"/>
      <c r="BP11" s="22"/>
      <c r="BQ11" s="23"/>
      <c r="BR11" s="24"/>
      <c r="BS11" s="25"/>
      <c r="BT11" s="26" t="s">
        <v>325</v>
      </c>
      <c r="BU11" s="21"/>
      <c r="BV11" s="22" t="str">
        <f>IF(BU11=0," ",BT11/BU11)</f>
        <v xml:space="preserve"> </v>
      </c>
      <c r="BW11" s="23"/>
      <c r="BX11" s="24" t="str">
        <f>IF(BU11=0," ",BV11/BW11)</f>
        <v xml:space="preserve"> </v>
      </c>
      <c r="BY11" s="25" t="s">
        <v>2239</v>
      </c>
      <c r="BZ11" s="26"/>
      <c r="CA11" s="21"/>
      <c r="CB11" s="22"/>
      <c r="CC11" s="23"/>
      <c r="CD11" s="24"/>
      <c r="CE11" s="25"/>
      <c r="CF11" s="26"/>
      <c r="CG11" s="21"/>
      <c r="CH11" s="22"/>
      <c r="CI11" s="23"/>
      <c r="CJ11" s="24"/>
      <c r="CK11" s="25"/>
      <c r="CL11" s="26"/>
      <c r="CM11" s="21"/>
      <c r="CN11" s="22"/>
      <c r="CO11" s="23"/>
      <c r="CP11" s="24"/>
      <c r="CQ11" s="25"/>
      <c r="CR11" s="26">
        <f>+BH11</f>
        <v>1</v>
      </c>
      <c r="CS11" s="21">
        <v>1</v>
      </c>
      <c r="CT11" s="1243">
        <f>IF(CS11=0," ",CR11/CS11)</f>
        <v>1</v>
      </c>
      <c r="CU11" s="1244">
        <v>1</v>
      </c>
      <c r="CV11" s="1245">
        <f>IF(CS11=0," ",CT11/CU11)</f>
        <v>1</v>
      </c>
      <c r="CW11" s="25"/>
    </row>
    <row r="12" spans="1:101" ht="69.75" customHeight="1">
      <c r="B12" s="8" t="s">
        <v>2240</v>
      </c>
      <c r="C12" s="9"/>
      <c r="D12" s="13" t="s">
        <v>2241</v>
      </c>
      <c r="E12" s="13" t="s">
        <v>2242</v>
      </c>
      <c r="F12" s="8" t="s">
        <v>2243</v>
      </c>
      <c r="G12" s="8" t="s">
        <v>53</v>
      </c>
      <c r="H12" s="13" t="s">
        <v>2244</v>
      </c>
      <c r="I12" s="8" t="s">
        <v>2225</v>
      </c>
      <c r="J12" s="8" t="s">
        <v>54</v>
      </c>
      <c r="K12" s="7"/>
      <c r="L12" s="7"/>
      <c r="M12" s="12">
        <v>0.25</v>
      </c>
      <c r="N12" s="7"/>
      <c r="O12" s="7"/>
      <c r="P12" s="14">
        <v>0.25</v>
      </c>
      <c r="Q12" s="14"/>
      <c r="R12" s="14"/>
      <c r="S12" s="14">
        <v>0.25</v>
      </c>
      <c r="T12" s="14"/>
      <c r="U12" s="14"/>
      <c r="V12" s="14">
        <v>0.25</v>
      </c>
      <c r="W12" s="8"/>
      <c r="X12" s="27"/>
      <c r="Y12" s="28"/>
      <c r="Z12" s="29" t="str">
        <f>IF(Y12=0," ",X12/Y12)</f>
        <v xml:space="preserve"> </v>
      </c>
      <c r="AA12" s="30"/>
      <c r="AB12" s="31" t="str">
        <f>IF(Y12=0," ",Z12/AA12)</f>
        <v xml:space="preserve"> </v>
      </c>
      <c r="AC12" s="32"/>
      <c r="AD12" s="27"/>
      <c r="AE12" s="28"/>
      <c r="AF12" s="29" t="str">
        <f>IF(AE12=0," ",AD12/AE12)</f>
        <v xml:space="preserve"> </v>
      </c>
      <c r="AG12" s="30"/>
      <c r="AH12" s="31" t="str">
        <f>IF(AE12=0," ",AF12/AG12)</f>
        <v xml:space="preserve"> </v>
      </c>
      <c r="AI12" s="32"/>
      <c r="AJ12" s="27">
        <v>10</v>
      </c>
      <c r="AK12" s="28">
        <v>32</v>
      </c>
      <c r="AL12" s="29">
        <f>IF(AK12=0," ",AJ12/AK12)</f>
        <v>0.3125</v>
      </c>
      <c r="AM12" s="30">
        <v>0.25</v>
      </c>
      <c r="AN12" s="31">
        <f>IF(AK12=0," ",AL12/AM12)</f>
        <v>1.25</v>
      </c>
      <c r="AO12" s="32"/>
      <c r="AP12" s="27"/>
      <c r="AQ12" s="28"/>
      <c r="AR12" s="29" t="str">
        <f>IF(AQ12=0," ",AP12/AQ12)</f>
        <v xml:space="preserve"> </v>
      </c>
      <c r="AS12" s="30"/>
      <c r="AT12" s="31" t="str">
        <f>IF(AQ12=0," ",AR12/AS12)</f>
        <v xml:space="preserve"> </v>
      </c>
      <c r="AU12" s="32"/>
      <c r="AV12" s="27"/>
      <c r="AW12" s="28"/>
      <c r="AX12" s="29" t="str">
        <f>IF(AW12=0," ",AV12/AW12)</f>
        <v xml:space="preserve"> </v>
      </c>
      <c r="AY12" s="30"/>
      <c r="AZ12" s="31" t="str">
        <f>IF(AW12=0," ",AX12/AY12)</f>
        <v xml:space="preserve"> </v>
      </c>
      <c r="BA12" s="32"/>
      <c r="BB12" s="27">
        <v>5</v>
      </c>
      <c r="BC12" s="28">
        <v>32</v>
      </c>
      <c r="BD12" s="29">
        <f>IF(BC12=0," ",BB12/BC12)</f>
        <v>0.15625</v>
      </c>
      <c r="BE12" s="23">
        <f>+P12</f>
        <v>0.25</v>
      </c>
      <c r="BF12" s="31">
        <f>IF(BC12=0," ",BD12/BE12)</f>
        <v>0.625</v>
      </c>
      <c r="BG12" s="32" t="s">
        <v>2245</v>
      </c>
      <c r="BH12" s="27"/>
      <c r="BI12" s="28"/>
      <c r="BJ12" s="29" t="str">
        <f>IF(BI12=0," ",BH12/BI12)</f>
        <v xml:space="preserve"> </v>
      </c>
      <c r="BK12" s="30"/>
      <c r="BL12" s="31" t="str">
        <f>IF(BI12=0," ",BJ12/BK12)</f>
        <v xml:space="preserve"> </v>
      </c>
      <c r="BM12" s="32"/>
      <c r="BN12" s="27"/>
      <c r="BO12" s="28"/>
      <c r="BP12" s="29" t="str">
        <f>IF(BO12=0," ",BN12/BO12)</f>
        <v xml:space="preserve"> </v>
      </c>
      <c r="BQ12" s="30"/>
      <c r="BR12" s="31" t="str">
        <f>IF(BO12=0," ",BP12/BQ12)</f>
        <v xml:space="preserve"> </v>
      </c>
      <c r="BS12" s="32"/>
      <c r="BT12" s="27">
        <v>6</v>
      </c>
      <c r="BU12" s="28">
        <v>32</v>
      </c>
      <c r="BV12" s="29">
        <f>IF(BU12=0," ",BT12/BU12)</f>
        <v>0.1875</v>
      </c>
      <c r="BW12" s="30">
        <f>+S12</f>
        <v>0.25</v>
      </c>
      <c r="BX12" s="31">
        <f>IF(BU12=0," ",BV12/BW12)</f>
        <v>0.75</v>
      </c>
      <c r="BY12" s="32" t="s">
        <v>2246</v>
      </c>
      <c r="BZ12" s="27"/>
      <c r="CA12" s="28"/>
      <c r="CB12" s="29" t="str">
        <f>IF(CA12=0," ",BZ12/CA12)</f>
        <v xml:space="preserve"> </v>
      </c>
      <c r="CC12" s="30"/>
      <c r="CD12" s="31" t="str">
        <f>IF(CA12=0," ",CB12/CC12)</f>
        <v xml:space="preserve"> </v>
      </c>
      <c r="CE12" s="32"/>
      <c r="CF12" s="27"/>
      <c r="CG12" s="28"/>
      <c r="CH12" s="29" t="str">
        <f>IF(CG12=0," ",CF12/CG12)</f>
        <v xml:space="preserve"> </v>
      </c>
      <c r="CI12" s="30"/>
      <c r="CJ12" s="31" t="str">
        <f>IF(CG12=0," ",CH12/CI12)</f>
        <v xml:space="preserve"> </v>
      </c>
      <c r="CK12" s="32"/>
      <c r="CL12" s="27">
        <v>7</v>
      </c>
      <c r="CM12" s="28">
        <v>32</v>
      </c>
      <c r="CN12" s="29">
        <f>IF(CM12=0," ",CL12/CM12)</f>
        <v>0.21875</v>
      </c>
      <c r="CO12" s="30">
        <v>0.25</v>
      </c>
      <c r="CP12" s="31">
        <f>IF(CM12=0," ",CN12/CO12)</f>
        <v>0.875</v>
      </c>
      <c r="CQ12" s="32" t="s">
        <v>2247</v>
      </c>
      <c r="CR12" s="26">
        <v>25</v>
      </c>
      <c r="CS12" s="28">
        <v>32</v>
      </c>
      <c r="CT12" s="29">
        <f>IF(CS12=0," ",CR12/CS12)</f>
        <v>0.78125</v>
      </c>
      <c r="CU12" s="30">
        <v>1</v>
      </c>
      <c r="CV12" s="31">
        <f>IF(CS12=0," ",CT12/CU12)</f>
        <v>0.78125</v>
      </c>
      <c r="CW12" s="32" t="s">
        <v>2247</v>
      </c>
    </row>
    <row r="13" spans="1:101" ht="14.25" customHeight="1">
      <c r="B13" s="33"/>
      <c r="C13" s="34"/>
      <c r="D13" s="35"/>
      <c r="E13" s="35"/>
      <c r="F13" s="36"/>
      <c r="G13" s="36"/>
      <c r="H13" s="35" t="s">
        <v>49</v>
      </c>
      <c r="I13" s="36"/>
      <c r="J13" s="36"/>
      <c r="K13" s="37"/>
      <c r="L13" s="37"/>
      <c r="M13" s="38"/>
      <c r="N13" s="37"/>
      <c r="O13" s="37"/>
      <c r="P13" s="39"/>
      <c r="Q13" s="39"/>
      <c r="R13" s="39"/>
      <c r="S13" s="39"/>
      <c r="T13" s="39"/>
      <c r="U13" s="39"/>
      <c r="V13" s="39"/>
      <c r="W13" s="48"/>
      <c r="X13" s="40"/>
      <c r="Y13" s="40"/>
      <c r="Z13" s="41"/>
      <c r="AA13" s="42"/>
      <c r="AB13" s="43"/>
      <c r="AC13" s="33"/>
      <c r="AD13" s="33"/>
      <c r="AE13" s="40"/>
      <c r="AF13" s="40"/>
      <c r="AG13" s="41"/>
      <c r="AH13" s="42"/>
      <c r="AI13" s="43"/>
      <c r="AJ13" s="33"/>
      <c r="AK13" s="40"/>
      <c r="AL13" s="40"/>
      <c r="AM13" s="41"/>
      <c r="AN13" s="42"/>
      <c r="AO13" s="43"/>
      <c r="AP13" s="40"/>
      <c r="AQ13" s="40"/>
      <c r="AR13" s="41"/>
      <c r="AS13" s="42"/>
      <c r="AT13" s="42"/>
      <c r="AU13" s="730"/>
      <c r="AV13" s="33"/>
      <c r="AW13" s="40"/>
      <c r="AX13" s="40"/>
      <c r="AY13" s="41"/>
      <c r="AZ13" s="42"/>
      <c r="BA13" s="43"/>
      <c r="BB13" s="40"/>
      <c r="BC13" s="40"/>
      <c r="BD13" s="41"/>
      <c r="BE13" s="42"/>
      <c r="BF13" s="42"/>
      <c r="BG13" s="730"/>
      <c r="BH13" s="33"/>
      <c r="BI13" s="40"/>
      <c r="BJ13" s="40"/>
      <c r="BK13" s="41"/>
      <c r="BL13" s="42"/>
      <c r="BM13" s="43"/>
      <c r="BN13" s="40"/>
      <c r="BO13" s="40"/>
      <c r="BP13" s="41"/>
      <c r="BQ13" s="42"/>
      <c r="BR13" s="42"/>
      <c r="BS13" s="730"/>
      <c r="BT13" s="33"/>
      <c r="BU13" s="40"/>
      <c r="BV13" s="40"/>
      <c r="BW13" s="41"/>
      <c r="BX13" s="42"/>
      <c r="BY13" s="43"/>
      <c r="BZ13" s="40"/>
      <c r="CA13" s="40"/>
      <c r="CB13" s="41"/>
      <c r="CC13" s="42"/>
      <c r="CD13" s="42"/>
      <c r="CE13" s="730"/>
      <c r="CF13" s="33"/>
      <c r="CG13" s="40"/>
      <c r="CH13" s="40"/>
      <c r="CI13" s="41"/>
      <c r="CJ13" s="42"/>
      <c r="CK13" s="43"/>
      <c r="CL13" s="40"/>
      <c r="CM13" s="40"/>
      <c r="CN13" s="41"/>
      <c r="CO13" s="42"/>
      <c r="CP13" s="42"/>
      <c r="CQ13" s="730"/>
      <c r="CR13" s="33"/>
      <c r="CS13" s="40"/>
      <c r="CT13" s="40"/>
      <c r="CU13" s="41"/>
      <c r="CV13" s="42"/>
      <c r="CW13" s="43"/>
    </row>
    <row r="14" spans="1:101" ht="84.75" customHeight="1">
      <c r="B14" s="8" t="s">
        <v>155</v>
      </c>
      <c r="C14" s="8" t="s">
        <v>156</v>
      </c>
      <c r="D14" s="13" t="s">
        <v>157</v>
      </c>
      <c r="E14" s="13" t="s">
        <v>158</v>
      </c>
      <c r="F14" s="8" t="s">
        <v>159</v>
      </c>
      <c r="G14" s="8" t="s">
        <v>53</v>
      </c>
      <c r="H14" s="13" t="s">
        <v>160</v>
      </c>
      <c r="I14" s="8" t="s">
        <v>161</v>
      </c>
      <c r="J14" s="8" t="s">
        <v>54</v>
      </c>
      <c r="K14" s="7"/>
      <c r="L14" s="7"/>
      <c r="M14" s="12"/>
      <c r="N14" s="12">
        <v>1</v>
      </c>
      <c r="O14" s="7"/>
      <c r="P14" s="12">
        <v>1</v>
      </c>
      <c r="Q14" s="74"/>
      <c r="R14" s="74"/>
      <c r="S14" s="12">
        <v>1</v>
      </c>
      <c r="T14" s="74"/>
      <c r="U14" s="74"/>
      <c r="V14" s="12">
        <v>1</v>
      </c>
      <c r="W14" s="75" t="s">
        <v>79</v>
      </c>
      <c r="X14" s="26"/>
      <c r="Y14" s="21"/>
      <c r="Z14" s="22"/>
      <c r="AA14" s="23"/>
      <c r="AB14" s="24"/>
      <c r="AC14" s="25"/>
      <c r="AD14" s="26"/>
      <c r="AE14" s="21"/>
      <c r="AF14" s="22"/>
      <c r="AG14" s="23"/>
      <c r="AH14" s="24"/>
      <c r="AI14" s="25"/>
      <c r="AJ14" s="26"/>
      <c r="AK14" s="21"/>
      <c r="AL14" s="22"/>
      <c r="AM14" s="23"/>
      <c r="AN14" s="24"/>
      <c r="AO14" s="25"/>
      <c r="AP14" s="26">
        <v>1</v>
      </c>
      <c r="AQ14" s="21">
        <v>1</v>
      </c>
      <c r="AR14" s="29">
        <f>IF(AQ14=0," ",AP14/AQ14)</f>
        <v>1</v>
      </c>
      <c r="AS14" s="30">
        <v>1</v>
      </c>
      <c r="AT14" s="31">
        <f>IF(AQ14=0," ",AR14/AS14)</f>
        <v>1</v>
      </c>
      <c r="AU14" s="25"/>
      <c r="AV14" s="26"/>
      <c r="AW14" s="21"/>
      <c r="AX14" s="22"/>
      <c r="AY14" s="23"/>
      <c r="AZ14" s="24"/>
      <c r="BA14" s="25"/>
      <c r="BB14" s="26">
        <v>3</v>
      </c>
      <c r="BC14" s="21">
        <v>3</v>
      </c>
      <c r="BD14" s="29">
        <f>IF(BC14=0," ",BB14/BC14)</f>
        <v>1</v>
      </c>
      <c r="BE14" s="23">
        <f>+P14</f>
        <v>1</v>
      </c>
      <c r="BF14" s="31">
        <f>IF(BC14=0," ",BD14/BE14)</f>
        <v>1</v>
      </c>
      <c r="BG14" s="25"/>
      <c r="BH14" s="26"/>
      <c r="BI14" s="21"/>
      <c r="BJ14" s="22"/>
      <c r="BK14" s="23"/>
      <c r="BL14" s="24"/>
      <c r="BM14" s="25"/>
      <c r="BN14" s="26"/>
      <c r="BO14" s="21"/>
      <c r="BP14" s="22"/>
      <c r="BQ14" s="23"/>
      <c r="BR14" s="24"/>
      <c r="BS14" s="25"/>
      <c r="BT14" s="26">
        <v>1</v>
      </c>
      <c r="BU14" s="21">
        <v>1</v>
      </c>
      <c r="BV14" s="29">
        <f>IF(BU14=0," ",BT14/BU14)</f>
        <v>1</v>
      </c>
      <c r="BW14" s="30">
        <f>+S14</f>
        <v>1</v>
      </c>
      <c r="BX14" s="31">
        <f>IF(BU14=0," ",BV14/BW14)</f>
        <v>1</v>
      </c>
      <c r="BY14" s="25"/>
      <c r="BZ14" s="26"/>
      <c r="CA14" s="21"/>
      <c r="CB14" s="22"/>
      <c r="CC14" s="23"/>
      <c r="CD14" s="24"/>
      <c r="CE14" s="25"/>
      <c r="CF14" s="26"/>
      <c r="CG14" s="21"/>
      <c r="CH14" s="22"/>
      <c r="CI14" s="23"/>
      <c r="CJ14" s="24"/>
      <c r="CK14" s="25"/>
      <c r="CL14" s="1242">
        <v>1</v>
      </c>
      <c r="CM14" s="21">
        <v>1</v>
      </c>
      <c r="CN14" s="29">
        <f>IF(CM14=0," ",CL14/CM14)</f>
        <v>1</v>
      </c>
      <c r="CO14" s="30">
        <v>1</v>
      </c>
      <c r="CP14" s="31">
        <f>IF(CM14=0," ",CN14/CO14)</f>
        <v>1</v>
      </c>
      <c r="CQ14" s="25"/>
      <c r="CR14" s="26">
        <v>6</v>
      </c>
      <c r="CS14" s="21">
        <v>6</v>
      </c>
      <c r="CT14" s="29">
        <f>IF(CS14=0," ",CR14/CS14)</f>
        <v>1</v>
      </c>
      <c r="CU14" s="30">
        <v>1</v>
      </c>
      <c r="CV14" s="31">
        <f>IF(CS14=0," ",CT14/CU14)</f>
        <v>1</v>
      </c>
      <c r="CW14" s="25"/>
    </row>
    <row r="15" spans="1:101" ht="126" customHeight="1">
      <c r="B15" s="391" t="s">
        <v>81</v>
      </c>
      <c r="C15" s="8" t="s">
        <v>92</v>
      </c>
      <c r="D15" s="1136" t="s">
        <v>83</v>
      </c>
      <c r="E15" s="8" t="s">
        <v>84</v>
      </c>
      <c r="F15" s="8" t="s">
        <v>82</v>
      </c>
      <c r="G15" s="8" t="s">
        <v>66</v>
      </c>
      <c r="H15" s="8" t="s">
        <v>86</v>
      </c>
      <c r="I15" s="8" t="s">
        <v>85</v>
      </c>
      <c r="J15" s="8" t="s">
        <v>54</v>
      </c>
      <c r="K15" s="12"/>
      <c r="L15" s="12"/>
      <c r="M15" s="12">
        <v>1</v>
      </c>
      <c r="N15" s="12"/>
      <c r="O15" s="12"/>
      <c r="P15" s="12">
        <v>1</v>
      </c>
      <c r="Q15" s="12"/>
      <c r="R15" s="12"/>
      <c r="S15" s="12">
        <v>1</v>
      </c>
      <c r="T15" s="12"/>
      <c r="U15" s="12"/>
      <c r="V15" s="12">
        <v>1</v>
      </c>
      <c r="W15" s="1137" t="s">
        <v>79</v>
      </c>
      <c r="X15" s="26"/>
      <c r="Y15" s="21"/>
      <c r="Z15" s="22"/>
      <c r="AA15" s="23"/>
      <c r="AB15" s="24"/>
      <c r="AC15" s="25"/>
      <c r="AD15" s="26"/>
      <c r="AE15" s="21"/>
      <c r="AF15" s="22"/>
      <c r="AG15" s="23"/>
      <c r="AH15" s="24"/>
      <c r="AI15" s="25"/>
      <c r="AJ15" s="26">
        <v>12</v>
      </c>
      <c r="AK15" s="21">
        <v>12</v>
      </c>
      <c r="AL15" s="29">
        <f>IF(AK15=0," ",AJ15/AK15)</f>
        <v>1</v>
      </c>
      <c r="AM15" s="30">
        <v>1</v>
      </c>
      <c r="AN15" s="31">
        <f>IF(AK15=0," ",AL15/AM15)</f>
        <v>1</v>
      </c>
      <c r="AO15" s="25"/>
      <c r="AP15" s="26"/>
      <c r="AQ15" s="21"/>
      <c r="AR15" s="22"/>
      <c r="AS15" s="23"/>
      <c r="AT15" s="24"/>
      <c r="AU15" s="25"/>
      <c r="AV15" s="26"/>
      <c r="AW15" s="21"/>
      <c r="AX15" s="22"/>
      <c r="AY15" s="23"/>
      <c r="AZ15" s="24"/>
      <c r="BA15" s="25"/>
      <c r="BB15" s="26">
        <v>100</v>
      </c>
      <c r="BC15" s="21">
        <v>100</v>
      </c>
      <c r="BD15" s="29">
        <f>IF(BC15=0," ",BB15/BC15)</f>
        <v>1</v>
      </c>
      <c r="BE15" s="23">
        <f>+P15</f>
        <v>1</v>
      </c>
      <c r="BF15" s="31">
        <f>IF(BC15=0," ",BD15/BE15)</f>
        <v>1</v>
      </c>
      <c r="BG15" s="25"/>
      <c r="BH15" s="26"/>
      <c r="BI15" s="21"/>
      <c r="BJ15" s="22"/>
      <c r="BK15" s="23"/>
      <c r="BL15" s="24"/>
      <c r="BM15" s="25"/>
      <c r="BN15" s="26"/>
      <c r="BO15" s="21"/>
      <c r="BP15" s="22"/>
      <c r="BQ15" s="23"/>
      <c r="BR15" s="24"/>
      <c r="BS15" s="25"/>
      <c r="BT15" s="26">
        <v>17</v>
      </c>
      <c r="BU15" s="21">
        <v>17</v>
      </c>
      <c r="BV15" s="29">
        <f>IF(BU15=0," ",BT15/BU15)</f>
        <v>1</v>
      </c>
      <c r="BW15" s="30">
        <f>+S15</f>
        <v>1</v>
      </c>
      <c r="BX15" s="31">
        <f>IF(BU15=0," ",BV15/BW15)</f>
        <v>1</v>
      </c>
      <c r="BY15" s="25"/>
      <c r="BZ15" s="26"/>
      <c r="CA15" s="21"/>
      <c r="CB15" s="22"/>
      <c r="CC15" s="23"/>
      <c r="CD15" s="24"/>
      <c r="CE15" s="25"/>
      <c r="CF15" s="26"/>
      <c r="CG15" s="21"/>
      <c r="CH15" s="22"/>
      <c r="CI15" s="23"/>
      <c r="CJ15" s="24"/>
      <c r="CK15" s="25"/>
      <c r="CL15" s="26">
        <v>18</v>
      </c>
      <c r="CM15" s="21">
        <v>18</v>
      </c>
      <c r="CN15" s="29">
        <f>IF(CM15=0," ",CL15/CM15)</f>
        <v>1</v>
      </c>
      <c r="CO15" s="30">
        <v>1</v>
      </c>
      <c r="CP15" s="31">
        <f>IF(CM15=0," ",CN15/CO15)</f>
        <v>1</v>
      </c>
      <c r="CQ15" s="25"/>
      <c r="CR15" s="26">
        <v>100</v>
      </c>
      <c r="CS15" s="21">
        <v>100</v>
      </c>
      <c r="CT15" s="29">
        <f>IF(CS15=0," ",CR15/CS15)</f>
        <v>1</v>
      </c>
      <c r="CU15" s="30">
        <v>1</v>
      </c>
      <c r="CV15" s="31">
        <f>IF(CS15=0," ",CT15/CU15)</f>
        <v>1</v>
      </c>
      <c r="CW15" s="25"/>
    </row>
    <row r="16" spans="1:101" ht="84.75" customHeight="1">
      <c r="B16" s="790" t="s">
        <v>55</v>
      </c>
      <c r="C16" s="722"/>
      <c r="D16" s="790" t="s">
        <v>1503</v>
      </c>
      <c r="E16" s="790" t="s">
        <v>57</v>
      </c>
      <c r="F16" s="790" t="s">
        <v>58</v>
      </c>
      <c r="G16" s="790" t="s">
        <v>53</v>
      </c>
      <c r="H16" s="790" t="s">
        <v>1504</v>
      </c>
      <c r="I16" s="790" t="s">
        <v>1505</v>
      </c>
      <c r="J16" s="790" t="s">
        <v>54</v>
      </c>
      <c r="K16" s="1224"/>
      <c r="L16" s="1224"/>
      <c r="M16" s="1220">
        <v>1</v>
      </c>
      <c r="N16" s="1224"/>
      <c r="O16" s="1224"/>
      <c r="P16" s="1220">
        <v>1</v>
      </c>
      <c r="Q16" s="1220"/>
      <c r="R16" s="1224"/>
      <c r="S16" s="1220">
        <v>1</v>
      </c>
      <c r="T16" s="1220"/>
      <c r="U16" s="1224"/>
      <c r="V16" s="1220">
        <v>1</v>
      </c>
      <c r="W16" s="8"/>
      <c r="X16" s="26"/>
      <c r="Y16" s="21"/>
      <c r="Z16" s="22" t="str">
        <f>IF(Y16=0," ",X16/Y16)</f>
        <v xml:space="preserve"> </v>
      </c>
      <c r="AA16" s="23"/>
      <c r="AB16" s="24" t="str">
        <f>IF(Y16=0," ",Z16/AA16)</f>
        <v xml:space="preserve"> </v>
      </c>
      <c r="AC16" s="25"/>
      <c r="AD16" s="26"/>
      <c r="AE16" s="21"/>
      <c r="AF16" s="22" t="str">
        <f>IF(AE16=0," ",AD16/AE16)</f>
        <v xml:space="preserve"> </v>
      </c>
      <c r="AG16" s="23"/>
      <c r="AH16" s="24" t="str">
        <f>IF(AE16=0," ",AF16/AG16)</f>
        <v xml:space="preserve"> </v>
      </c>
      <c r="AI16" s="25"/>
      <c r="AJ16" s="26"/>
      <c r="AK16" s="21"/>
      <c r="AL16" s="22" t="str">
        <f>IF(AK16=0," ",AJ16/AK16)</f>
        <v xml:space="preserve"> </v>
      </c>
      <c r="AM16" s="23"/>
      <c r="AN16" s="24" t="str">
        <f>IF(AK16=0," ",AL16/AM16)</f>
        <v xml:space="preserve"> </v>
      </c>
      <c r="AO16" s="25"/>
      <c r="AP16" s="26"/>
      <c r="AQ16" s="21"/>
      <c r="AR16" s="22" t="str">
        <f>IF(AQ16=0," ",AP16/AQ16)</f>
        <v xml:space="preserve"> </v>
      </c>
      <c r="AS16" s="23"/>
      <c r="AT16" s="24" t="str">
        <f>IF(AQ16=0," ",AR16/AS16)</f>
        <v xml:space="preserve"> </v>
      </c>
      <c r="AU16" s="25"/>
      <c r="AV16" s="26"/>
      <c r="AW16" s="21"/>
      <c r="AX16" s="22" t="str">
        <f>IF(AW16=0," ",AV16/AW16)</f>
        <v xml:space="preserve"> </v>
      </c>
      <c r="AY16" s="23"/>
      <c r="AZ16" s="24" t="str">
        <f>IF(AW16=0," ",AX16/AY16)</f>
        <v xml:space="preserve"> </v>
      </c>
      <c r="BA16" s="25"/>
      <c r="BB16" s="26" t="s">
        <v>325</v>
      </c>
      <c r="BC16" s="21"/>
      <c r="BD16" s="22" t="str">
        <f>IF(BC16=0," ",BB16/BC16)</f>
        <v xml:space="preserve"> </v>
      </c>
      <c r="BE16" s="23"/>
      <c r="BF16" s="24" t="str">
        <f>IF(BC16=0," ",BD16/BE16)</f>
        <v xml:space="preserve"> </v>
      </c>
      <c r="BG16" s="25" t="s">
        <v>2248</v>
      </c>
      <c r="BH16" s="26"/>
      <c r="BI16" s="21"/>
      <c r="BJ16" s="22" t="str">
        <f>IF(BI16=0," ",BH16/BI16)</f>
        <v xml:space="preserve"> </v>
      </c>
      <c r="BK16" s="23"/>
      <c r="BL16" s="24" t="str">
        <f>IF(BI16=0," ",BJ16/BK16)</f>
        <v xml:space="preserve"> </v>
      </c>
      <c r="BM16" s="25"/>
      <c r="BN16" s="26"/>
      <c r="BO16" s="21"/>
      <c r="BP16" s="22" t="str">
        <f>IF(BO16=0," ",BN16/BO16)</f>
        <v xml:space="preserve"> </v>
      </c>
      <c r="BQ16" s="23"/>
      <c r="BR16" s="24" t="str">
        <f>IF(BO16=0," ",BP16/BQ16)</f>
        <v xml:space="preserve"> </v>
      </c>
      <c r="BS16" s="25"/>
      <c r="BT16" s="26" t="s">
        <v>325</v>
      </c>
      <c r="BU16" s="21"/>
      <c r="BV16" s="22" t="str">
        <f>IF(BU16=0," ",BT16/BU16)</f>
        <v xml:space="preserve"> </v>
      </c>
      <c r="BW16" s="23"/>
      <c r="BX16" s="24" t="str">
        <f>IF(BU16=0," ",BV16/BW16)</f>
        <v xml:space="preserve"> </v>
      </c>
      <c r="BY16" s="25" t="s">
        <v>2248</v>
      </c>
      <c r="BZ16" s="26"/>
      <c r="CA16" s="21"/>
      <c r="CB16" s="22" t="str">
        <f>IF(CA16=0," ",BZ16/CA16)</f>
        <v xml:space="preserve"> </v>
      </c>
      <c r="CC16" s="23"/>
      <c r="CD16" s="24" t="str">
        <f>IF(CA16=0," ",CB16/CC16)</f>
        <v xml:space="preserve"> </v>
      </c>
      <c r="CE16" s="25"/>
      <c r="CF16" s="26"/>
      <c r="CG16" s="21"/>
      <c r="CH16" s="22" t="str">
        <f>IF(CG16=0," ",CF16/CG16)</f>
        <v xml:space="preserve"> </v>
      </c>
      <c r="CI16" s="23"/>
      <c r="CJ16" s="24" t="str">
        <f>IF(CG16=0," ",CH16/CI16)</f>
        <v xml:space="preserve"> </v>
      </c>
      <c r="CK16" s="25"/>
      <c r="CL16" s="26" t="s">
        <v>325</v>
      </c>
      <c r="CM16" s="21"/>
      <c r="CN16" s="22" t="str">
        <f>IF(CM16=0," ",CL16/CM16)</f>
        <v xml:space="preserve"> </v>
      </c>
      <c r="CO16" s="23"/>
      <c r="CP16" s="24" t="str">
        <f>IF(CM16=0," ",CN16/CO16)</f>
        <v xml:space="preserve"> </v>
      </c>
      <c r="CQ16" s="25" t="s">
        <v>2249</v>
      </c>
      <c r="CR16" s="26" t="s">
        <v>325</v>
      </c>
      <c r="CS16" s="21"/>
      <c r="CT16" s="22" t="str">
        <f>IF(CS16=0," ",CR16/CS16)</f>
        <v xml:space="preserve"> </v>
      </c>
      <c r="CU16" s="23"/>
      <c r="CV16" s="24" t="str">
        <f>IF(CS16=0," ",CT16/CU16)</f>
        <v xml:space="preserve"> </v>
      </c>
      <c r="CW16" s="25" t="s">
        <v>2249</v>
      </c>
    </row>
    <row r="17" spans="2:101" ht="104.25" customHeight="1">
      <c r="B17" s="790" t="s">
        <v>55</v>
      </c>
      <c r="C17" s="722"/>
      <c r="D17" s="790" t="s">
        <v>1511</v>
      </c>
      <c r="E17" s="790" t="s">
        <v>57</v>
      </c>
      <c r="F17" s="790" t="s">
        <v>62</v>
      </c>
      <c r="G17" s="790" t="s">
        <v>53</v>
      </c>
      <c r="H17" s="790" t="s">
        <v>1512</v>
      </c>
      <c r="I17" s="790" t="s">
        <v>1513</v>
      </c>
      <c r="J17" s="790" t="s">
        <v>54</v>
      </c>
      <c r="K17" s="238"/>
      <c r="L17" s="238"/>
      <c r="M17" s="1220">
        <v>1</v>
      </c>
      <c r="N17" s="1224"/>
      <c r="O17" s="1224"/>
      <c r="P17" s="1220">
        <v>1</v>
      </c>
      <c r="Q17" s="1220"/>
      <c r="R17" s="1224"/>
      <c r="S17" s="1220">
        <v>1</v>
      </c>
      <c r="T17" s="1220"/>
      <c r="U17" s="1224"/>
      <c r="V17" s="1220">
        <v>1</v>
      </c>
      <c r="W17" s="8"/>
      <c r="X17" s="26"/>
      <c r="Y17" s="21"/>
      <c r="Z17" s="22" t="str">
        <f>IF(Y17=0," ",X17/Y17)</f>
        <v xml:space="preserve"> </v>
      </c>
      <c r="AA17" s="23"/>
      <c r="AB17" s="24" t="str">
        <f>IF(Y17=0," ",Z17/AA17)</f>
        <v xml:space="preserve"> </v>
      </c>
      <c r="AC17" s="25"/>
      <c r="AD17" s="26"/>
      <c r="AE17" s="21"/>
      <c r="AF17" s="22" t="str">
        <f>IF(AE17=0," ",AD17/AE17)</f>
        <v xml:space="preserve"> </v>
      </c>
      <c r="AG17" s="23"/>
      <c r="AH17" s="24" t="str">
        <f>IF(AE17=0," ",AF17/AG17)</f>
        <v xml:space="preserve"> </v>
      </c>
      <c r="AI17" s="25"/>
      <c r="AJ17" s="26"/>
      <c r="AK17" s="21"/>
      <c r="AL17" s="22" t="str">
        <f>IF(AK17=0," ",AJ17/AK17)</f>
        <v xml:space="preserve"> </v>
      </c>
      <c r="AM17" s="23"/>
      <c r="AN17" s="24" t="str">
        <f>IF(AK17=0," ",AL17/AM17)</f>
        <v xml:space="preserve"> </v>
      </c>
      <c r="AO17" s="25"/>
      <c r="AP17" s="26"/>
      <c r="AQ17" s="21"/>
      <c r="AR17" s="22" t="str">
        <f>IF(AQ17=0," ",AP17/AQ17)</f>
        <v xml:space="preserve"> </v>
      </c>
      <c r="AS17" s="23"/>
      <c r="AT17" s="24" t="str">
        <f>IF(AQ17=0," ",AR17/AS17)</f>
        <v xml:space="preserve"> </v>
      </c>
      <c r="AU17" s="25"/>
      <c r="AV17" s="26"/>
      <c r="AW17" s="21"/>
      <c r="AX17" s="22" t="str">
        <f>IF(AW17=0," ",AV17/AW17)</f>
        <v xml:space="preserve"> </v>
      </c>
      <c r="AY17" s="23"/>
      <c r="AZ17" s="24" t="str">
        <f>IF(AW17=0," ",AX17/AY17)</f>
        <v xml:space="preserve"> </v>
      </c>
      <c r="BA17" s="25"/>
      <c r="BB17" s="26" t="s">
        <v>325</v>
      </c>
      <c r="BC17" s="21"/>
      <c r="BD17" s="22" t="str">
        <f>IF(BC17=0," ",BB17/BC17)</f>
        <v xml:space="preserve"> </v>
      </c>
      <c r="BE17" s="23"/>
      <c r="BF17" s="24" t="str">
        <f>IF(BC17=0," ",BD17/BE17)</f>
        <v xml:space="preserve"> </v>
      </c>
      <c r="BG17" s="25" t="s">
        <v>2248</v>
      </c>
      <c r="BH17" s="26"/>
      <c r="BI17" s="21"/>
      <c r="BJ17" s="22" t="str">
        <f>IF(BI17=0," ",BH17/BI17)</f>
        <v xml:space="preserve"> </v>
      </c>
      <c r="BK17" s="23"/>
      <c r="BL17" s="24" t="str">
        <f>IF(BI17=0," ",BJ17/BK17)</f>
        <v xml:space="preserve"> </v>
      </c>
      <c r="BM17" s="25"/>
      <c r="BN17" s="26"/>
      <c r="BO17" s="21"/>
      <c r="BP17" s="22" t="str">
        <f>IF(BO17=0," ",BN17/BO17)</f>
        <v xml:space="preserve"> </v>
      </c>
      <c r="BQ17" s="23"/>
      <c r="BR17" s="24" t="str">
        <f>IF(BO17=0," ",BP17/BQ17)</f>
        <v xml:space="preserve"> </v>
      </c>
      <c r="BS17" s="25"/>
      <c r="BT17" s="26" t="s">
        <v>325</v>
      </c>
      <c r="BU17" s="21"/>
      <c r="BV17" s="22" t="str">
        <f>IF(BU17=0," ",BT17/BU17)</f>
        <v xml:space="preserve"> </v>
      </c>
      <c r="BW17" s="23"/>
      <c r="BX17" s="24" t="str">
        <f>IF(BU17=0," ",BV17/BW17)</f>
        <v xml:space="preserve"> </v>
      </c>
      <c r="BY17" s="25" t="s">
        <v>2248</v>
      </c>
      <c r="BZ17" s="26"/>
      <c r="CA17" s="21"/>
      <c r="CB17" s="22" t="str">
        <f>IF(CA17=0," ",BZ17/CA17)</f>
        <v xml:space="preserve"> </v>
      </c>
      <c r="CC17" s="23"/>
      <c r="CD17" s="24" t="str">
        <f>IF(CA17=0," ",CB17/CC17)</f>
        <v xml:space="preserve"> </v>
      </c>
      <c r="CE17" s="25"/>
      <c r="CF17" s="26"/>
      <c r="CG17" s="21"/>
      <c r="CH17" s="22" t="str">
        <f>IF(CG17=0," ",CF17/CG17)</f>
        <v xml:space="preserve"> </v>
      </c>
      <c r="CI17" s="23"/>
      <c r="CJ17" s="24" t="str">
        <f>IF(CG17=0," ",CH17/CI17)</f>
        <v xml:space="preserve"> </v>
      </c>
      <c r="CK17" s="25"/>
      <c r="CL17" s="26"/>
      <c r="CM17" s="21"/>
      <c r="CN17" s="22" t="str">
        <f>IF(CM17=0," ",CL17/CM17)</f>
        <v xml:space="preserve"> </v>
      </c>
      <c r="CO17" s="23"/>
      <c r="CP17" s="24" t="str">
        <f>IF(CM17=0," ",CN17/CO17)</f>
        <v xml:space="preserve"> </v>
      </c>
      <c r="CQ17" s="25" t="s">
        <v>2249</v>
      </c>
      <c r="CR17" s="26" t="s">
        <v>325</v>
      </c>
      <c r="CS17" s="21"/>
      <c r="CT17" s="22" t="str">
        <f>IF(CS17=0," ",CR17/CS17)</f>
        <v xml:space="preserve"> </v>
      </c>
      <c r="CU17" s="23"/>
      <c r="CV17" s="24" t="str">
        <f>IF(CS17=0," ",CT17/CU17)</f>
        <v xml:space="preserve"> </v>
      </c>
      <c r="CW17" s="25" t="s">
        <v>2249</v>
      </c>
    </row>
    <row r="18" spans="2:101" ht="15.75" customHeight="1">
      <c r="B18" s="1972" t="s">
        <v>17</v>
      </c>
      <c r="C18" s="1972"/>
      <c r="D18" s="1972"/>
      <c r="E18" s="1972"/>
      <c r="F18" s="5"/>
      <c r="G18" s="5"/>
      <c r="H18" s="5"/>
      <c r="I18" s="5"/>
      <c r="J18" s="5"/>
      <c r="K18" s="6"/>
      <c r="L18" s="6"/>
      <c r="M18" s="6"/>
      <c r="N18" s="6"/>
      <c r="O18" s="6"/>
      <c r="P18" s="6"/>
      <c r="Q18" s="6"/>
      <c r="R18" s="6"/>
      <c r="S18" s="6"/>
      <c r="T18" s="6"/>
      <c r="U18" s="6"/>
      <c r="V18" s="6"/>
    </row>
    <row r="20" spans="2:101">
      <c r="E20" s="1971"/>
      <c r="F20" s="1971"/>
      <c r="G20" s="1971"/>
      <c r="H20" s="1971"/>
      <c r="K20" s="15" t="s">
        <v>28</v>
      </c>
    </row>
    <row r="21" spans="2:101">
      <c r="E21" s="1972" t="s">
        <v>2250</v>
      </c>
      <c r="F21" s="1972"/>
      <c r="G21" s="1972"/>
      <c r="H21" s="1972"/>
    </row>
    <row r="22" spans="2:101">
      <c r="E22" s="1972" t="s">
        <v>2251</v>
      </c>
      <c r="F22" s="1972"/>
      <c r="G22" s="1972"/>
      <c r="H22" s="1972"/>
    </row>
  </sheetData>
  <mergeCells count="49">
    <mergeCell ref="E20:H20"/>
    <mergeCell ref="E21:H21"/>
    <mergeCell ref="E22:H22"/>
    <mergeCell ref="BT6:BY6"/>
    <mergeCell ref="BZ6:CE6"/>
    <mergeCell ref="CF6:CK6"/>
    <mergeCell ref="I6:I7"/>
    <mergeCell ref="J6:J7"/>
    <mergeCell ref="K6:V6"/>
    <mergeCell ref="X6:AC6"/>
    <mergeCell ref="CR6:CW6"/>
    <mergeCell ref="B18:E18"/>
    <mergeCell ref="AJ6:AO6"/>
    <mergeCell ref="AP6:AU6"/>
    <mergeCell ref="AV6:BA6"/>
    <mergeCell ref="BB6:BG6"/>
    <mergeCell ref="BH6:BM6"/>
    <mergeCell ref="BN6:BS6"/>
    <mergeCell ref="H6:H7"/>
    <mergeCell ref="BZ4:CE4"/>
    <mergeCell ref="CF4:CK4"/>
    <mergeCell ref="CL4:CQ4"/>
    <mergeCell ref="CR4:CW4"/>
    <mergeCell ref="B6:B7"/>
    <mergeCell ref="C6:C7"/>
    <mergeCell ref="D6:D7"/>
    <mergeCell ref="E6:E7"/>
    <mergeCell ref="F6:F7"/>
    <mergeCell ref="CL6:CQ6"/>
    <mergeCell ref="G6:G7"/>
    <mergeCell ref="AP4:AU4"/>
    <mergeCell ref="AV4:BA4"/>
    <mergeCell ref="BB4:BG4"/>
    <mergeCell ref="BH4:BM4"/>
    <mergeCell ref="BN4:BS4"/>
    <mergeCell ref="AD6:AI6"/>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8">
    <cfRule type="colorScale" priority="112">
      <colorScale>
        <cfvo type="num" val="0.69"/>
        <cfvo type="num" val="0.8"/>
        <cfvo type="num" val="0.9"/>
        <color rgb="FFF8696B"/>
        <color rgb="FFFFEB84"/>
        <color rgb="FF63BE7B"/>
      </colorScale>
    </cfRule>
  </conditionalFormatting>
  <conditionalFormatting sqref="AH8">
    <cfRule type="colorScale" priority="111">
      <colorScale>
        <cfvo type="num" val="0.69"/>
        <cfvo type="num" val="0.8"/>
        <cfvo type="num" val="0.9"/>
        <color rgb="FFF8696B"/>
        <color rgb="FFFFEB84"/>
        <color rgb="FF63BE7B"/>
      </colorScale>
    </cfRule>
  </conditionalFormatting>
  <conditionalFormatting sqref="AN8">
    <cfRule type="colorScale" priority="110">
      <colorScale>
        <cfvo type="num" val="0.69"/>
        <cfvo type="num" val="0.8"/>
        <cfvo type="num" val="0.9"/>
        <color rgb="FFF8696B"/>
        <color rgb="FFFFEB84"/>
        <color rgb="FF63BE7B"/>
      </colorScale>
    </cfRule>
  </conditionalFormatting>
  <conditionalFormatting sqref="AT8">
    <cfRule type="colorScale" priority="109">
      <colorScale>
        <cfvo type="num" val="0.69"/>
        <cfvo type="num" val="0.8"/>
        <cfvo type="num" val="0.9"/>
        <color rgb="FFF8696B"/>
        <color rgb="FFFFEB84"/>
        <color rgb="FF63BE7B"/>
      </colorScale>
    </cfRule>
  </conditionalFormatting>
  <conditionalFormatting sqref="AZ8">
    <cfRule type="colorScale" priority="108">
      <colorScale>
        <cfvo type="num" val="0.69"/>
        <cfvo type="num" val="0.8"/>
        <cfvo type="num" val="0.9"/>
        <color rgb="FFF8696B"/>
        <color rgb="FFFFEB84"/>
        <color rgb="FF63BE7B"/>
      </colorScale>
    </cfRule>
  </conditionalFormatting>
  <conditionalFormatting sqref="BF8">
    <cfRule type="colorScale" priority="107">
      <colorScale>
        <cfvo type="num" val="0.69"/>
        <cfvo type="num" val="0.8"/>
        <cfvo type="num" val="0.9"/>
        <color rgb="FFF8696B"/>
        <color rgb="FFFFEB84"/>
        <color rgb="FF63BE7B"/>
      </colorScale>
    </cfRule>
  </conditionalFormatting>
  <conditionalFormatting sqref="BL8">
    <cfRule type="colorScale" priority="106">
      <colorScale>
        <cfvo type="num" val="0.69"/>
        <cfvo type="num" val="0.8"/>
        <cfvo type="num" val="0.9"/>
        <color rgb="FFF8696B"/>
        <color rgb="FFFFEB84"/>
        <color rgb="FF63BE7B"/>
      </colorScale>
    </cfRule>
  </conditionalFormatting>
  <conditionalFormatting sqref="BR8">
    <cfRule type="colorScale" priority="105">
      <colorScale>
        <cfvo type="num" val="0.69"/>
        <cfvo type="num" val="0.8"/>
        <cfvo type="num" val="0.9"/>
        <color rgb="FFF8696B"/>
        <color rgb="FFFFEB84"/>
        <color rgb="FF63BE7B"/>
      </colorScale>
    </cfRule>
  </conditionalFormatting>
  <conditionalFormatting sqref="BX8">
    <cfRule type="colorScale" priority="104">
      <colorScale>
        <cfvo type="num" val="0.69"/>
        <cfvo type="num" val="0.8"/>
        <cfvo type="num" val="0.9"/>
        <color rgb="FFF8696B"/>
        <color rgb="FFFFEB84"/>
        <color rgb="FF63BE7B"/>
      </colorScale>
    </cfRule>
  </conditionalFormatting>
  <conditionalFormatting sqref="CD8">
    <cfRule type="colorScale" priority="103">
      <colorScale>
        <cfvo type="num" val="0.69"/>
        <cfvo type="num" val="0.8"/>
        <cfvo type="num" val="0.9"/>
        <color rgb="FFF8696B"/>
        <color rgb="FFFFEB84"/>
        <color rgb="FF63BE7B"/>
      </colorScale>
    </cfRule>
  </conditionalFormatting>
  <conditionalFormatting sqref="CJ8">
    <cfRule type="colorScale" priority="102">
      <colorScale>
        <cfvo type="num" val="0.69"/>
        <cfvo type="num" val="0.8"/>
        <cfvo type="num" val="0.9"/>
        <color rgb="FFF8696B"/>
        <color rgb="FFFFEB84"/>
        <color rgb="FF63BE7B"/>
      </colorScale>
    </cfRule>
  </conditionalFormatting>
  <conditionalFormatting sqref="CP8">
    <cfRule type="colorScale" priority="101">
      <colorScale>
        <cfvo type="num" val="0.69"/>
        <cfvo type="num" val="0.8"/>
        <cfvo type="num" val="0.9"/>
        <color rgb="FFF8696B"/>
        <color rgb="FFFFEB84"/>
        <color rgb="FF63BE7B"/>
      </colorScale>
    </cfRule>
  </conditionalFormatting>
  <conditionalFormatting sqref="CV8">
    <cfRule type="colorScale" priority="100">
      <colorScale>
        <cfvo type="num" val="0.69"/>
        <cfvo type="num" val="0.8"/>
        <cfvo type="num" val="0.9"/>
        <color rgb="FFF8696B"/>
        <color rgb="FFFFEB84"/>
        <color rgb="FF63BE7B"/>
      </colorScale>
    </cfRule>
  </conditionalFormatting>
  <conditionalFormatting sqref="AB11 AB9">
    <cfRule type="colorScale" priority="99">
      <colorScale>
        <cfvo type="num" val="0.69"/>
        <cfvo type="num" val="0.8"/>
        <cfvo type="num" val="0.9"/>
        <color rgb="FFF8696B"/>
        <color rgb="FFFFEB84"/>
        <color rgb="FF63BE7B"/>
      </colorScale>
    </cfRule>
  </conditionalFormatting>
  <conditionalFormatting sqref="AH9 AH11">
    <cfRule type="colorScale" priority="98">
      <colorScale>
        <cfvo type="num" val="0.69"/>
        <cfvo type="num" val="0.8"/>
        <cfvo type="num" val="0.9"/>
        <color rgb="FFF8696B"/>
        <color rgb="FFFFEB84"/>
        <color rgb="FF63BE7B"/>
      </colorScale>
    </cfRule>
  </conditionalFormatting>
  <conditionalFormatting sqref="AN9 AN11">
    <cfRule type="colorScale" priority="97">
      <colorScale>
        <cfvo type="num" val="0.69"/>
        <cfvo type="num" val="0.8"/>
        <cfvo type="num" val="0.9"/>
        <color rgb="FFF8696B"/>
        <color rgb="FFFFEB84"/>
        <color rgb="FF63BE7B"/>
      </colorScale>
    </cfRule>
  </conditionalFormatting>
  <conditionalFormatting sqref="AT9 AT11">
    <cfRule type="colorScale" priority="96">
      <colorScale>
        <cfvo type="num" val="0.69"/>
        <cfvo type="num" val="0.8"/>
        <cfvo type="num" val="0.9"/>
        <color rgb="FFF8696B"/>
        <color rgb="FFFFEB84"/>
        <color rgb="FF63BE7B"/>
      </colorScale>
    </cfRule>
  </conditionalFormatting>
  <conditionalFormatting sqref="AZ9 AZ11">
    <cfRule type="colorScale" priority="95">
      <colorScale>
        <cfvo type="num" val="0.69"/>
        <cfvo type="num" val="0.8"/>
        <cfvo type="num" val="0.9"/>
        <color rgb="FFF8696B"/>
        <color rgb="FFFFEB84"/>
        <color rgb="FF63BE7B"/>
      </colorScale>
    </cfRule>
  </conditionalFormatting>
  <conditionalFormatting sqref="BF9 BF11">
    <cfRule type="colorScale" priority="94">
      <colorScale>
        <cfvo type="num" val="0.69"/>
        <cfvo type="num" val="0.8"/>
        <cfvo type="num" val="0.9"/>
        <color rgb="FFF8696B"/>
        <color rgb="FFFFEB84"/>
        <color rgb="FF63BE7B"/>
      </colorScale>
    </cfRule>
  </conditionalFormatting>
  <conditionalFormatting sqref="BL9">
    <cfRule type="colorScale" priority="93">
      <colorScale>
        <cfvo type="num" val="0.69"/>
        <cfvo type="num" val="0.8"/>
        <cfvo type="num" val="0.9"/>
        <color rgb="FFF8696B"/>
        <color rgb="FFFFEB84"/>
        <color rgb="FF63BE7B"/>
      </colorScale>
    </cfRule>
  </conditionalFormatting>
  <conditionalFormatting sqref="BR11 BR9">
    <cfRule type="colorScale" priority="92">
      <colorScale>
        <cfvo type="num" val="0.69"/>
        <cfvo type="num" val="0.8"/>
        <cfvo type="num" val="0.9"/>
        <color rgb="FFF8696B"/>
        <color rgb="FFFFEB84"/>
        <color rgb="FF63BE7B"/>
      </colorScale>
    </cfRule>
  </conditionalFormatting>
  <conditionalFormatting sqref="BX9">
    <cfRule type="colorScale" priority="91">
      <colorScale>
        <cfvo type="num" val="0.69"/>
        <cfvo type="num" val="0.8"/>
        <cfvo type="num" val="0.9"/>
        <color rgb="FFF8696B"/>
        <color rgb="FFFFEB84"/>
        <color rgb="FF63BE7B"/>
      </colorScale>
    </cfRule>
  </conditionalFormatting>
  <conditionalFormatting sqref="CD9 CD11">
    <cfRule type="colorScale" priority="90">
      <colorScale>
        <cfvo type="num" val="0.69"/>
        <cfvo type="num" val="0.8"/>
        <cfvo type="num" val="0.9"/>
        <color rgb="FFF8696B"/>
        <color rgb="FFFFEB84"/>
        <color rgb="FF63BE7B"/>
      </colorScale>
    </cfRule>
  </conditionalFormatting>
  <conditionalFormatting sqref="CJ9 CJ11">
    <cfRule type="colorScale" priority="89">
      <colorScale>
        <cfvo type="num" val="0.69"/>
        <cfvo type="num" val="0.8"/>
        <cfvo type="num" val="0.9"/>
        <color rgb="FFF8696B"/>
        <color rgb="FFFFEB84"/>
        <color rgb="FF63BE7B"/>
      </colorScale>
    </cfRule>
  </conditionalFormatting>
  <conditionalFormatting sqref="CP9 CP11">
    <cfRule type="colorScale" priority="88">
      <colorScale>
        <cfvo type="num" val="0.69"/>
        <cfvo type="num" val="0.8"/>
        <cfvo type="num" val="0.9"/>
        <color rgb="FFF8696B"/>
        <color rgb="FFFFEB84"/>
        <color rgb="FF63BE7B"/>
      </colorScale>
    </cfRule>
  </conditionalFormatting>
  <conditionalFormatting sqref="CV9">
    <cfRule type="colorScale" priority="87">
      <colorScale>
        <cfvo type="num" val="0.69"/>
        <cfvo type="num" val="0.8"/>
        <cfvo type="num" val="0.9"/>
        <color rgb="FFF8696B"/>
        <color rgb="FFFFEB84"/>
        <color rgb="FF63BE7B"/>
      </colorScale>
    </cfRule>
  </conditionalFormatting>
  <conditionalFormatting sqref="AB13">
    <cfRule type="colorScale" priority="86">
      <colorScale>
        <cfvo type="num" val="0.69"/>
        <cfvo type="num" val="0.8"/>
        <cfvo type="num" val="0.9"/>
        <color rgb="FFF8696B"/>
        <color rgb="FFFFEB84"/>
        <color rgb="FF63BE7B"/>
      </colorScale>
    </cfRule>
  </conditionalFormatting>
  <conditionalFormatting sqref="AT13">
    <cfRule type="colorScale" priority="85">
      <colorScale>
        <cfvo type="num" val="0.69"/>
        <cfvo type="num" val="0.8"/>
        <cfvo type="num" val="0.9"/>
        <color rgb="FFF8696B"/>
        <color rgb="FFFFEB84"/>
        <color rgb="FF63BE7B"/>
      </colorScale>
    </cfRule>
  </conditionalFormatting>
  <conditionalFormatting sqref="BF13">
    <cfRule type="colorScale" priority="84">
      <colorScale>
        <cfvo type="num" val="0.69"/>
        <cfvo type="num" val="0.8"/>
        <cfvo type="num" val="0.9"/>
        <color rgb="FFF8696B"/>
        <color rgb="FFFFEB84"/>
        <color rgb="FF63BE7B"/>
      </colorScale>
    </cfRule>
  </conditionalFormatting>
  <conditionalFormatting sqref="BR13">
    <cfRule type="colorScale" priority="83">
      <colorScale>
        <cfvo type="num" val="0.69"/>
        <cfvo type="num" val="0.8"/>
        <cfvo type="num" val="0.9"/>
        <color rgb="FFF8696B"/>
        <color rgb="FFFFEB84"/>
        <color rgb="FF63BE7B"/>
      </colorScale>
    </cfRule>
  </conditionalFormatting>
  <conditionalFormatting sqref="CD13">
    <cfRule type="colorScale" priority="82">
      <colorScale>
        <cfvo type="num" val="0.69"/>
        <cfvo type="num" val="0.8"/>
        <cfvo type="num" val="0.9"/>
        <color rgb="FFF8696B"/>
        <color rgb="FFFFEB84"/>
        <color rgb="FF63BE7B"/>
      </colorScale>
    </cfRule>
  </conditionalFormatting>
  <conditionalFormatting sqref="CP13">
    <cfRule type="colorScale" priority="81">
      <colorScale>
        <cfvo type="num" val="0.69"/>
        <cfvo type="num" val="0.8"/>
        <cfvo type="num" val="0.9"/>
        <color rgb="FFF8696B"/>
        <color rgb="FFFFEB84"/>
        <color rgb="FF63BE7B"/>
      </colorScale>
    </cfRule>
  </conditionalFormatting>
  <conditionalFormatting sqref="BF16">
    <cfRule type="colorScale" priority="68">
      <colorScale>
        <cfvo type="num" val="0.69"/>
        <cfvo type="num" val="0.8"/>
        <cfvo type="num" val="0.9"/>
        <color rgb="FFF8696B"/>
        <color rgb="FFFFEB84"/>
        <color rgb="FF63BE7B"/>
      </colorScale>
    </cfRule>
  </conditionalFormatting>
  <conditionalFormatting sqref="BL16">
    <cfRule type="colorScale" priority="67">
      <colorScale>
        <cfvo type="num" val="0.69"/>
        <cfvo type="num" val="0.8"/>
        <cfvo type="num" val="0.9"/>
        <color rgb="FFF8696B"/>
        <color rgb="FFFFEB84"/>
        <color rgb="FF63BE7B"/>
      </colorScale>
    </cfRule>
  </conditionalFormatting>
  <conditionalFormatting sqref="BR16">
    <cfRule type="colorScale" priority="66">
      <colorScale>
        <cfvo type="num" val="0.69"/>
        <cfvo type="num" val="0.8"/>
        <cfvo type="num" val="0.9"/>
        <color rgb="FFF8696B"/>
        <color rgb="FFFFEB84"/>
        <color rgb="FF63BE7B"/>
      </colorScale>
    </cfRule>
  </conditionalFormatting>
  <conditionalFormatting sqref="CD16">
    <cfRule type="colorScale" priority="65">
      <colorScale>
        <cfvo type="num" val="0.69"/>
        <cfvo type="num" val="0.8"/>
        <cfvo type="num" val="0.9"/>
        <color rgb="FFF8696B"/>
        <color rgb="FFFFEB84"/>
        <color rgb="FF63BE7B"/>
      </colorScale>
    </cfRule>
  </conditionalFormatting>
  <conditionalFormatting sqref="CJ16">
    <cfRule type="colorScale" priority="64">
      <colorScale>
        <cfvo type="num" val="0.69"/>
        <cfvo type="num" val="0.8"/>
        <cfvo type="num" val="0.9"/>
        <color rgb="FFF8696B"/>
        <color rgb="FFFFEB84"/>
        <color rgb="FF63BE7B"/>
      </colorScale>
    </cfRule>
  </conditionalFormatting>
  <conditionalFormatting sqref="CP16">
    <cfRule type="colorScale" priority="63">
      <colorScale>
        <cfvo type="num" val="0.69"/>
        <cfvo type="num" val="0.8"/>
        <cfvo type="num" val="0.9"/>
        <color rgb="FFF8696B"/>
        <color rgb="FFFFEB84"/>
        <color rgb="FF63BE7B"/>
      </colorScale>
    </cfRule>
  </conditionalFormatting>
  <conditionalFormatting sqref="CV16">
    <cfRule type="colorScale" priority="62">
      <colorScale>
        <cfvo type="num" val="0.69"/>
        <cfvo type="num" val="0.8"/>
        <cfvo type="num" val="0.9"/>
        <color rgb="FFF8696B"/>
        <color rgb="FFFFEB84"/>
        <color rgb="FF63BE7B"/>
      </colorScale>
    </cfRule>
  </conditionalFormatting>
  <conditionalFormatting sqref="AB17">
    <cfRule type="colorScale" priority="61">
      <colorScale>
        <cfvo type="num" val="0.69"/>
        <cfvo type="num" val="0.8"/>
        <cfvo type="num" val="0.9"/>
        <color rgb="FFF8696B"/>
        <color rgb="FFFFEB84"/>
        <color rgb="FF63BE7B"/>
      </colorScale>
    </cfRule>
  </conditionalFormatting>
  <conditionalFormatting sqref="AH17">
    <cfRule type="colorScale" priority="60">
      <colorScale>
        <cfvo type="num" val="0.69"/>
        <cfvo type="num" val="0.8"/>
        <cfvo type="num" val="0.9"/>
        <color rgb="FFF8696B"/>
        <color rgb="FFFFEB84"/>
        <color rgb="FF63BE7B"/>
      </colorScale>
    </cfRule>
  </conditionalFormatting>
  <conditionalFormatting sqref="AN17">
    <cfRule type="colorScale" priority="59">
      <colorScale>
        <cfvo type="num" val="0.69"/>
        <cfvo type="num" val="0.8"/>
        <cfvo type="num" val="0.9"/>
        <color rgb="FFF8696B"/>
        <color rgb="FFFFEB84"/>
        <color rgb="FF63BE7B"/>
      </colorScale>
    </cfRule>
  </conditionalFormatting>
  <conditionalFormatting sqref="AT17">
    <cfRule type="colorScale" priority="58">
      <colorScale>
        <cfvo type="num" val="0.69"/>
        <cfvo type="num" val="0.8"/>
        <cfvo type="num" val="0.9"/>
        <color rgb="FFF8696B"/>
        <color rgb="FFFFEB84"/>
        <color rgb="FF63BE7B"/>
      </colorScale>
    </cfRule>
  </conditionalFormatting>
  <conditionalFormatting sqref="AZ17">
    <cfRule type="colorScale" priority="57">
      <colorScale>
        <cfvo type="num" val="0.69"/>
        <cfvo type="num" val="0.8"/>
        <cfvo type="num" val="0.9"/>
        <color rgb="FFF8696B"/>
        <color rgb="FFFFEB84"/>
        <color rgb="FF63BE7B"/>
      </colorScale>
    </cfRule>
  </conditionalFormatting>
  <conditionalFormatting sqref="AI13">
    <cfRule type="colorScale" priority="80">
      <colorScale>
        <cfvo type="num" val="0.69"/>
        <cfvo type="num" val="0.8"/>
        <cfvo type="num" val="0.9"/>
        <color rgb="FFF8696B"/>
        <color rgb="FFFFEB84"/>
        <color rgb="FF63BE7B"/>
      </colorScale>
    </cfRule>
  </conditionalFormatting>
  <conditionalFormatting sqref="AO13">
    <cfRule type="colorScale" priority="79">
      <colorScale>
        <cfvo type="num" val="0.69"/>
        <cfvo type="num" val="0.8"/>
        <cfvo type="num" val="0.9"/>
        <color rgb="FFF8696B"/>
        <color rgb="FFFFEB84"/>
        <color rgb="FF63BE7B"/>
      </colorScale>
    </cfRule>
  </conditionalFormatting>
  <conditionalFormatting sqref="BA13">
    <cfRule type="colorScale" priority="78">
      <colorScale>
        <cfvo type="num" val="0.69"/>
        <cfvo type="num" val="0.8"/>
        <cfvo type="num" val="0.9"/>
        <color rgb="FFF8696B"/>
        <color rgb="FFFFEB84"/>
        <color rgb="FF63BE7B"/>
      </colorScale>
    </cfRule>
  </conditionalFormatting>
  <conditionalFormatting sqref="BM13">
    <cfRule type="colorScale" priority="77">
      <colorScale>
        <cfvo type="num" val="0.69"/>
        <cfvo type="num" val="0.8"/>
        <cfvo type="num" val="0.9"/>
        <color rgb="FFF8696B"/>
        <color rgb="FFFFEB84"/>
        <color rgb="FF63BE7B"/>
      </colorScale>
    </cfRule>
  </conditionalFormatting>
  <conditionalFormatting sqref="BY13">
    <cfRule type="colorScale" priority="76">
      <colorScale>
        <cfvo type="num" val="0.69"/>
        <cfvo type="num" val="0.8"/>
        <cfvo type="num" val="0.9"/>
        <color rgb="FFF8696B"/>
        <color rgb="FFFFEB84"/>
        <color rgb="FF63BE7B"/>
      </colorScale>
    </cfRule>
  </conditionalFormatting>
  <conditionalFormatting sqref="CK13">
    <cfRule type="colorScale" priority="75">
      <colorScale>
        <cfvo type="num" val="0.69"/>
        <cfvo type="num" val="0.8"/>
        <cfvo type="num" val="0.9"/>
        <color rgb="FFF8696B"/>
        <color rgb="FFFFEB84"/>
        <color rgb="FF63BE7B"/>
      </colorScale>
    </cfRule>
  </conditionalFormatting>
  <conditionalFormatting sqref="CW13">
    <cfRule type="colorScale" priority="74">
      <colorScale>
        <cfvo type="num" val="0.69"/>
        <cfvo type="num" val="0.8"/>
        <cfvo type="num" val="0.9"/>
        <color rgb="FFF8696B"/>
        <color rgb="FFFFEB84"/>
        <color rgb="FF63BE7B"/>
      </colorScale>
    </cfRule>
  </conditionalFormatting>
  <conditionalFormatting sqref="AB16">
    <cfRule type="colorScale" priority="73">
      <colorScale>
        <cfvo type="num" val="0.69"/>
        <cfvo type="num" val="0.8"/>
        <cfvo type="num" val="0.9"/>
        <color rgb="FFF8696B"/>
        <color rgb="FFFFEB84"/>
        <color rgb="FF63BE7B"/>
      </colorScale>
    </cfRule>
  </conditionalFormatting>
  <conditionalFormatting sqref="AH16">
    <cfRule type="colorScale" priority="72">
      <colorScale>
        <cfvo type="num" val="0.69"/>
        <cfvo type="num" val="0.8"/>
        <cfvo type="num" val="0.9"/>
        <color rgb="FFF8696B"/>
        <color rgb="FFFFEB84"/>
        <color rgb="FF63BE7B"/>
      </colorScale>
    </cfRule>
  </conditionalFormatting>
  <conditionalFormatting sqref="AN16">
    <cfRule type="colorScale" priority="71">
      <colorScale>
        <cfvo type="num" val="0.69"/>
        <cfvo type="num" val="0.8"/>
        <cfvo type="num" val="0.9"/>
        <color rgb="FFF8696B"/>
        <color rgb="FFFFEB84"/>
        <color rgb="FF63BE7B"/>
      </colorScale>
    </cfRule>
  </conditionalFormatting>
  <conditionalFormatting sqref="AT16">
    <cfRule type="colorScale" priority="70">
      <colorScale>
        <cfvo type="num" val="0.69"/>
        <cfvo type="num" val="0.8"/>
        <cfvo type="num" val="0.9"/>
        <color rgb="FFF8696B"/>
        <color rgb="FFFFEB84"/>
        <color rgb="FF63BE7B"/>
      </colorScale>
    </cfRule>
  </conditionalFormatting>
  <conditionalFormatting sqref="AZ16">
    <cfRule type="colorScale" priority="69">
      <colorScale>
        <cfvo type="num" val="0.69"/>
        <cfvo type="num" val="0.8"/>
        <cfvo type="num" val="0.9"/>
        <color rgb="FFF8696B"/>
        <color rgb="FFFFEB84"/>
        <color rgb="FF63BE7B"/>
      </colorScale>
    </cfRule>
  </conditionalFormatting>
  <conditionalFormatting sqref="BF17">
    <cfRule type="colorScale" priority="56">
      <colorScale>
        <cfvo type="num" val="0.69"/>
        <cfvo type="num" val="0.8"/>
        <cfvo type="num" val="0.9"/>
        <color rgb="FFF8696B"/>
        <color rgb="FFFFEB84"/>
        <color rgb="FF63BE7B"/>
      </colorScale>
    </cfRule>
  </conditionalFormatting>
  <conditionalFormatting sqref="BL17">
    <cfRule type="colorScale" priority="55">
      <colorScale>
        <cfvo type="num" val="0.69"/>
        <cfvo type="num" val="0.8"/>
        <cfvo type="num" val="0.9"/>
        <color rgb="FFF8696B"/>
        <color rgb="FFFFEB84"/>
        <color rgb="FF63BE7B"/>
      </colorScale>
    </cfRule>
  </conditionalFormatting>
  <conditionalFormatting sqref="BR17">
    <cfRule type="colorScale" priority="54">
      <colorScale>
        <cfvo type="num" val="0.69"/>
        <cfvo type="num" val="0.8"/>
        <cfvo type="num" val="0.9"/>
        <color rgb="FFF8696B"/>
        <color rgb="FFFFEB84"/>
        <color rgb="FF63BE7B"/>
      </colorScale>
    </cfRule>
  </conditionalFormatting>
  <conditionalFormatting sqref="CD17">
    <cfRule type="colorScale" priority="53">
      <colorScale>
        <cfvo type="num" val="0.69"/>
        <cfvo type="num" val="0.8"/>
        <cfvo type="num" val="0.9"/>
        <color rgb="FFF8696B"/>
        <color rgb="FFFFEB84"/>
        <color rgb="FF63BE7B"/>
      </colorScale>
    </cfRule>
  </conditionalFormatting>
  <conditionalFormatting sqref="CJ17">
    <cfRule type="colorScale" priority="52">
      <colorScale>
        <cfvo type="num" val="0.69"/>
        <cfvo type="num" val="0.8"/>
        <cfvo type="num" val="0.9"/>
        <color rgb="FFF8696B"/>
        <color rgb="FFFFEB84"/>
        <color rgb="FF63BE7B"/>
      </colorScale>
    </cfRule>
  </conditionalFormatting>
  <conditionalFormatting sqref="CP17">
    <cfRule type="colorScale" priority="51">
      <colorScale>
        <cfvo type="num" val="0.69"/>
        <cfvo type="num" val="0.8"/>
        <cfvo type="num" val="0.9"/>
        <color rgb="FFF8696B"/>
        <color rgb="FFFFEB84"/>
        <color rgb="FF63BE7B"/>
      </colorScale>
    </cfRule>
  </conditionalFormatting>
  <conditionalFormatting sqref="CV17">
    <cfRule type="colorScale" priority="50">
      <colorScale>
        <cfvo type="num" val="0.69"/>
        <cfvo type="num" val="0.8"/>
        <cfvo type="num" val="0.9"/>
        <color rgb="FFF8696B"/>
        <color rgb="FFFFEB84"/>
        <color rgb="FF63BE7B"/>
      </colorScale>
    </cfRule>
  </conditionalFormatting>
  <conditionalFormatting sqref="AB12">
    <cfRule type="colorScale" priority="49">
      <colorScale>
        <cfvo type="num" val="0.69"/>
        <cfvo type="num" val="0.8"/>
        <cfvo type="num" val="0.9"/>
        <color rgb="FFF8696B"/>
        <color rgb="FFFFEB84"/>
        <color rgb="FF63BE7B"/>
      </colorScale>
    </cfRule>
  </conditionalFormatting>
  <conditionalFormatting sqref="AH12">
    <cfRule type="colorScale" priority="48">
      <colorScale>
        <cfvo type="num" val="0.69"/>
        <cfvo type="num" val="0.8"/>
        <cfvo type="num" val="0.9"/>
        <color rgb="FFF8696B"/>
        <color rgb="FFFFEB84"/>
        <color rgb="FF63BE7B"/>
      </colorScale>
    </cfRule>
  </conditionalFormatting>
  <conditionalFormatting sqref="AN12">
    <cfRule type="colorScale" priority="47">
      <colorScale>
        <cfvo type="num" val="0.69"/>
        <cfvo type="num" val="0.8"/>
        <cfvo type="num" val="0.9"/>
        <color rgb="FFF8696B"/>
        <color rgb="FFFFEB84"/>
        <color rgb="FF63BE7B"/>
      </colorScale>
    </cfRule>
  </conditionalFormatting>
  <conditionalFormatting sqref="AT12">
    <cfRule type="colorScale" priority="46">
      <colorScale>
        <cfvo type="num" val="0.69"/>
        <cfvo type="num" val="0.8"/>
        <cfvo type="num" val="0.9"/>
        <color rgb="FFF8696B"/>
        <color rgb="FFFFEB84"/>
        <color rgb="FF63BE7B"/>
      </colorScale>
    </cfRule>
  </conditionalFormatting>
  <conditionalFormatting sqref="AZ12">
    <cfRule type="colorScale" priority="45">
      <colorScale>
        <cfvo type="num" val="0.69"/>
        <cfvo type="num" val="0.8"/>
        <cfvo type="num" val="0.9"/>
        <color rgb="FFF8696B"/>
        <color rgb="FFFFEB84"/>
        <color rgb="FF63BE7B"/>
      </colorScale>
    </cfRule>
  </conditionalFormatting>
  <conditionalFormatting sqref="BF12">
    <cfRule type="colorScale" priority="44">
      <colorScale>
        <cfvo type="num" val="0.69"/>
        <cfvo type="num" val="0.8"/>
        <cfvo type="num" val="0.9"/>
        <color rgb="FFF8696B"/>
        <color rgb="FFFFEB84"/>
        <color rgb="FF63BE7B"/>
      </colorScale>
    </cfRule>
  </conditionalFormatting>
  <conditionalFormatting sqref="BL12">
    <cfRule type="colorScale" priority="43">
      <colorScale>
        <cfvo type="num" val="0.69"/>
        <cfvo type="num" val="0.8"/>
        <cfvo type="num" val="0.9"/>
        <color rgb="FFF8696B"/>
        <color rgb="FFFFEB84"/>
        <color rgb="FF63BE7B"/>
      </colorScale>
    </cfRule>
  </conditionalFormatting>
  <conditionalFormatting sqref="BR12">
    <cfRule type="colorScale" priority="42">
      <colorScale>
        <cfvo type="num" val="0.69"/>
        <cfvo type="num" val="0.8"/>
        <cfvo type="num" val="0.9"/>
        <color rgb="FFF8696B"/>
        <color rgb="FFFFEB84"/>
        <color rgb="FF63BE7B"/>
      </colorScale>
    </cfRule>
  </conditionalFormatting>
  <conditionalFormatting sqref="BX12">
    <cfRule type="colorScale" priority="41">
      <colorScale>
        <cfvo type="num" val="0.69"/>
        <cfvo type="num" val="0.8"/>
        <cfvo type="num" val="0.9"/>
        <color rgb="FFF8696B"/>
        <color rgb="FFFFEB84"/>
        <color rgb="FF63BE7B"/>
      </colorScale>
    </cfRule>
  </conditionalFormatting>
  <conditionalFormatting sqref="CD12">
    <cfRule type="colorScale" priority="40">
      <colorScale>
        <cfvo type="num" val="0.69"/>
        <cfvo type="num" val="0.8"/>
        <cfvo type="num" val="0.9"/>
        <color rgb="FFF8696B"/>
        <color rgb="FFFFEB84"/>
        <color rgb="FF63BE7B"/>
      </colorScale>
    </cfRule>
  </conditionalFormatting>
  <conditionalFormatting sqref="CJ12">
    <cfRule type="colorScale" priority="39">
      <colorScale>
        <cfvo type="num" val="0.69"/>
        <cfvo type="num" val="0.8"/>
        <cfvo type="num" val="0.9"/>
        <color rgb="FFF8696B"/>
        <color rgb="FFFFEB84"/>
        <color rgb="FF63BE7B"/>
      </colorScale>
    </cfRule>
  </conditionalFormatting>
  <conditionalFormatting sqref="CP12">
    <cfRule type="colorScale" priority="38">
      <colorScale>
        <cfvo type="num" val="0.69"/>
        <cfvo type="num" val="0.8"/>
        <cfvo type="num" val="0.9"/>
        <color rgb="FFF8696B"/>
        <color rgb="FFFFEB84"/>
        <color rgb="FF63BE7B"/>
      </colorScale>
    </cfRule>
  </conditionalFormatting>
  <conditionalFormatting sqref="CV12">
    <cfRule type="colorScale" priority="37">
      <colorScale>
        <cfvo type="num" val="0.69"/>
        <cfvo type="num" val="0.8"/>
        <cfvo type="num" val="0.9"/>
        <color rgb="FFF8696B"/>
        <color rgb="FFFFEB84"/>
        <color rgb="FF63BE7B"/>
      </colorScale>
    </cfRule>
  </conditionalFormatting>
  <conditionalFormatting sqref="AB10">
    <cfRule type="colorScale" priority="36">
      <colorScale>
        <cfvo type="num" val="0.69"/>
        <cfvo type="num" val="0.8"/>
        <cfvo type="num" val="0.9"/>
        <color rgb="FFF8696B"/>
        <color rgb="FFFFEB84"/>
        <color rgb="FF63BE7B"/>
      </colorScale>
    </cfRule>
  </conditionalFormatting>
  <conditionalFormatting sqref="AH10">
    <cfRule type="colorScale" priority="35">
      <colorScale>
        <cfvo type="num" val="0.69"/>
        <cfvo type="num" val="0.8"/>
        <cfvo type="num" val="0.9"/>
        <color rgb="FFF8696B"/>
        <color rgb="FFFFEB84"/>
        <color rgb="FF63BE7B"/>
      </colorScale>
    </cfRule>
  </conditionalFormatting>
  <conditionalFormatting sqref="AN10">
    <cfRule type="colorScale" priority="34">
      <colorScale>
        <cfvo type="num" val="0.69"/>
        <cfvo type="num" val="0.8"/>
        <cfvo type="num" val="0.9"/>
        <color rgb="FFF8696B"/>
        <color rgb="FFFFEB84"/>
        <color rgb="FF63BE7B"/>
      </colorScale>
    </cfRule>
  </conditionalFormatting>
  <conditionalFormatting sqref="AT10">
    <cfRule type="colorScale" priority="33">
      <colorScale>
        <cfvo type="num" val="0.69"/>
        <cfvo type="num" val="0.8"/>
        <cfvo type="num" val="0.9"/>
        <color rgb="FFF8696B"/>
        <color rgb="FFFFEB84"/>
        <color rgb="FF63BE7B"/>
      </colorScale>
    </cfRule>
  </conditionalFormatting>
  <conditionalFormatting sqref="AZ10">
    <cfRule type="colorScale" priority="32">
      <colorScale>
        <cfvo type="num" val="0.69"/>
        <cfvo type="num" val="0.8"/>
        <cfvo type="num" val="0.9"/>
        <color rgb="FFF8696B"/>
        <color rgb="FFFFEB84"/>
        <color rgb="FF63BE7B"/>
      </colorScale>
    </cfRule>
  </conditionalFormatting>
  <conditionalFormatting sqref="BF10">
    <cfRule type="colorScale" priority="31">
      <colorScale>
        <cfvo type="num" val="0.69"/>
        <cfvo type="num" val="0.8"/>
        <cfvo type="num" val="0.9"/>
        <color rgb="FFF8696B"/>
        <color rgb="FFFFEB84"/>
        <color rgb="FF63BE7B"/>
      </colorScale>
    </cfRule>
  </conditionalFormatting>
  <conditionalFormatting sqref="BL10">
    <cfRule type="colorScale" priority="30">
      <colorScale>
        <cfvo type="num" val="0.69"/>
        <cfvo type="num" val="0.8"/>
        <cfvo type="num" val="0.9"/>
        <color rgb="FFF8696B"/>
        <color rgb="FFFFEB84"/>
        <color rgb="FF63BE7B"/>
      </colorScale>
    </cfRule>
  </conditionalFormatting>
  <conditionalFormatting sqref="BR10">
    <cfRule type="colorScale" priority="29">
      <colorScale>
        <cfvo type="num" val="0.69"/>
        <cfvo type="num" val="0.8"/>
        <cfvo type="num" val="0.9"/>
        <color rgb="FFF8696B"/>
        <color rgb="FFFFEB84"/>
        <color rgb="FF63BE7B"/>
      </colorScale>
    </cfRule>
  </conditionalFormatting>
  <conditionalFormatting sqref="BX10">
    <cfRule type="colorScale" priority="28">
      <colorScale>
        <cfvo type="num" val="0.69"/>
        <cfvo type="num" val="0.8"/>
        <cfvo type="num" val="0.9"/>
        <color rgb="FFF8696B"/>
        <color rgb="FFFFEB84"/>
        <color rgb="FF63BE7B"/>
      </colorScale>
    </cfRule>
  </conditionalFormatting>
  <conditionalFormatting sqref="CD10">
    <cfRule type="colorScale" priority="27">
      <colorScale>
        <cfvo type="num" val="0.69"/>
        <cfvo type="num" val="0.8"/>
        <cfvo type="num" val="0.9"/>
        <color rgb="FFF8696B"/>
        <color rgb="FFFFEB84"/>
        <color rgb="FF63BE7B"/>
      </colorScale>
    </cfRule>
  </conditionalFormatting>
  <conditionalFormatting sqref="CJ10">
    <cfRule type="colorScale" priority="26">
      <colorScale>
        <cfvo type="num" val="0.69"/>
        <cfvo type="num" val="0.8"/>
        <cfvo type="num" val="0.9"/>
        <color rgb="FFF8696B"/>
        <color rgb="FFFFEB84"/>
        <color rgb="FF63BE7B"/>
      </colorScale>
    </cfRule>
  </conditionalFormatting>
  <conditionalFormatting sqref="CP10">
    <cfRule type="colorScale" priority="25">
      <colorScale>
        <cfvo type="num" val="0.69"/>
        <cfvo type="num" val="0.8"/>
        <cfvo type="num" val="0.9"/>
        <color rgb="FFF8696B"/>
        <color rgb="FFFFEB84"/>
        <color rgb="FF63BE7B"/>
      </colorScale>
    </cfRule>
  </conditionalFormatting>
  <conditionalFormatting sqref="CV10">
    <cfRule type="colorScale" priority="24">
      <colorScale>
        <cfvo type="num" val="0.69"/>
        <cfvo type="num" val="0.8"/>
        <cfvo type="num" val="0.9"/>
        <color rgb="FFF8696B"/>
        <color rgb="FFFFEB84"/>
        <color rgb="FF63BE7B"/>
      </colorScale>
    </cfRule>
  </conditionalFormatting>
  <conditionalFormatting sqref="AB14:AB15">
    <cfRule type="colorScale" priority="23">
      <colorScale>
        <cfvo type="num" val="0.69"/>
        <cfvo type="num" val="0.8"/>
        <cfvo type="num" val="0.9"/>
        <color rgb="FFF8696B"/>
        <color rgb="FFFFEB84"/>
        <color rgb="FF63BE7B"/>
      </colorScale>
    </cfRule>
  </conditionalFormatting>
  <conditionalFormatting sqref="AH14:AH15">
    <cfRule type="colorScale" priority="22">
      <colorScale>
        <cfvo type="num" val="0.69"/>
        <cfvo type="num" val="0.8"/>
        <cfvo type="num" val="0.9"/>
        <color rgb="FFF8696B"/>
        <color rgb="FFFFEB84"/>
        <color rgb="FF63BE7B"/>
      </colorScale>
    </cfRule>
  </conditionalFormatting>
  <conditionalFormatting sqref="AN14">
    <cfRule type="colorScale" priority="21">
      <colorScale>
        <cfvo type="num" val="0.69"/>
        <cfvo type="num" val="0.8"/>
        <cfvo type="num" val="0.9"/>
        <color rgb="FFF8696B"/>
        <color rgb="FFFFEB84"/>
        <color rgb="FF63BE7B"/>
      </colorScale>
    </cfRule>
  </conditionalFormatting>
  <conditionalFormatting sqref="AT15">
    <cfRule type="colorScale" priority="20">
      <colorScale>
        <cfvo type="num" val="0.69"/>
        <cfvo type="num" val="0.8"/>
        <cfvo type="num" val="0.9"/>
        <color rgb="FFF8696B"/>
        <color rgb="FFFFEB84"/>
        <color rgb="FF63BE7B"/>
      </colorScale>
    </cfRule>
  </conditionalFormatting>
  <conditionalFormatting sqref="AZ14:AZ15">
    <cfRule type="colorScale" priority="19">
      <colorScale>
        <cfvo type="num" val="0.69"/>
        <cfvo type="num" val="0.8"/>
        <cfvo type="num" val="0.9"/>
        <color rgb="FFF8696B"/>
        <color rgb="FFFFEB84"/>
        <color rgb="FF63BE7B"/>
      </colorScale>
    </cfRule>
  </conditionalFormatting>
  <conditionalFormatting sqref="BL14:BL15">
    <cfRule type="colorScale" priority="18">
      <colorScale>
        <cfvo type="num" val="0.69"/>
        <cfvo type="num" val="0.8"/>
        <cfvo type="num" val="0.9"/>
        <color rgb="FFF8696B"/>
        <color rgb="FFFFEB84"/>
        <color rgb="FF63BE7B"/>
      </colorScale>
    </cfRule>
  </conditionalFormatting>
  <conditionalFormatting sqref="BR14:BR15">
    <cfRule type="colorScale" priority="17">
      <colorScale>
        <cfvo type="num" val="0.69"/>
        <cfvo type="num" val="0.8"/>
        <cfvo type="num" val="0.9"/>
        <color rgb="FFF8696B"/>
        <color rgb="FFFFEB84"/>
        <color rgb="FF63BE7B"/>
      </colorScale>
    </cfRule>
  </conditionalFormatting>
  <conditionalFormatting sqref="CD14:CD15">
    <cfRule type="colorScale" priority="16">
      <colorScale>
        <cfvo type="num" val="0.69"/>
        <cfvo type="num" val="0.8"/>
        <cfvo type="num" val="0.9"/>
        <color rgb="FFF8696B"/>
        <color rgb="FFFFEB84"/>
        <color rgb="FF63BE7B"/>
      </colorScale>
    </cfRule>
  </conditionalFormatting>
  <conditionalFormatting sqref="CJ14:CJ15">
    <cfRule type="colorScale" priority="15">
      <colorScale>
        <cfvo type="num" val="0.69"/>
        <cfvo type="num" val="0.8"/>
        <cfvo type="num" val="0.9"/>
        <color rgb="FFF8696B"/>
        <color rgb="FFFFEB84"/>
        <color rgb="FF63BE7B"/>
      </colorScale>
    </cfRule>
  </conditionalFormatting>
  <conditionalFormatting sqref="AN15">
    <cfRule type="colorScale" priority="14">
      <colorScale>
        <cfvo type="num" val="0.69"/>
        <cfvo type="num" val="0.8"/>
        <cfvo type="num" val="0.9"/>
        <color rgb="FFF8696B"/>
        <color rgb="FFFFEB84"/>
        <color rgb="FF63BE7B"/>
      </colorScale>
    </cfRule>
  </conditionalFormatting>
  <conditionalFormatting sqref="BF14">
    <cfRule type="colorScale" priority="13">
      <colorScale>
        <cfvo type="num" val="0.69"/>
        <cfvo type="num" val="0.8"/>
        <cfvo type="num" val="0.9"/>
        <color rgb="FFF8696B"/>
        <color rgb="FFFFEB84"/>
        <color rgb="FF63BE7B"/>
      </colorScale>
    </cfRule>
  </conditionalFormatting>
  <conditionalFormatting sqref="BF15">
    <cfRule type="colorScale" priority="12">
      <colorScale>
        <cfvo type="num" val="0.69"/>
        <cfvo type="num" val="0.8"/>
        <cfvo type="num" val="0.9"/>
        <color rgb="FFF8696B"/>
        <color rgb="FFFFEB84"/>
        <color rgb="FF63BE7B"/>
      </colorScale>
    </cfRule>
  </conditionalFormatting>
  <conditionalFormatting sqref="BL11">
    <cfRule type="colorScale" priority="11">
      <colorScale>
        <cfvo type="num" val="0.69"/>
        <cfvo type="num" val="0.8"/>
        <cfvo type="num" val="0.9"/>
        <color rgb="FFF8696B"/>
        <color rgb="FFFFEB84"/>
        <color rgb="FF63BE7B"/>
      </colorScale>
    </cfRule>
  </conditionalFormatting>
  <conditionalFormatting sqref="BX14">
    <cfRule type="colorScale" priority="10">
      <colorScale>
        <cfvo type="num" val="0.69"/>
        <cfvo type="num" val="0.8"/>
        <cfvo type="num" val="0.9"/>
        <color rgb="FFF8696B"/>
        <color rgb="FFFFEB84"/>
        <color rgb="FF63BE7B"/>
      </colorScale>
    </cfRule>
  </conditionalFormatting>
  <conditionalFormatting sqref="BX15">
    <cfRule type="colorScale" priority="9">
      <colorScale>
        <cfvo type="num" val="0.69"/>
        <cfvo type="num" val="0.8"/>
        <cfvo type="num" val="0.9"/>
        <color rgb="FFF8696B"/>
        <color rgb="FFFFEB84"/>
        <color rgb="FF63BE7B"/>
      </colorScale>
    </cfRule>
  </conditionalFormatting>
  <conditionalFormatting sqref="BX16">
    <cfRule type="colorScale" priority="8">
      <colorScale>
        <cfvo type="num" val="0.69"/>
        <cfvo type="num" val="0.8"/>
        <cfvo type="num" val="0.9"/>
        <color rgb="FFF8696B"/>
        <color rgb="FFFFEB84"/>
        <color rgb="FF63BE7B"/>
      </colorScale>
    </cfRule>
  </conditionalFormatting>
  <conditionalFormatting sqref="BX17">
    <cfRule type="colorScale" priority="7">
      <colorScale>
        <cfvo type="num" val="0.69"/>
        <cfvo type="num" val="0.8"/>
        <cfvo type="num" val="0.9"/>
        <color rgb="FFF8696B"/>
        <color rgb="FFFFEB84"/>
        <color rgb="FF63BE7B"/>
      </colorScale>
    </cfRule>
  </conditionalFormatting>
  <conditionalFormatting sqref="BX11">
    <cfRule type="colorScale" priority="6">
      <colorScale>
        <cfvo type="num" val="0.69"/>
        <cfvo type="num" val="0.8"/>
        <cfvo type="num" val="0.9"/>
        <color rgb="FFF8696B"/>
        <color rgb="FFFFEB84"/>
        <color rgb="FF63BE7B"/>
      </colorScale>
    </cfRule>
  </conditionalFormatting>
  <conditionalFormatting sqref="CV11">
    <cfRule type="colorScale" priority="5">
      <colorScale>
        <cfvo type="num" val="0.69"/>
        <cfvo type="num" val="0.8"/>
        <cfvo type="num" val="0.9"/>
        <color rgb="FFF8696B"/>
        <color rgb="FFFFEB84"/>
        <color rgb="FF63BE7B"/>
      </colorScale>
    </cfRule>
  </conditionalFormatting>
  <conditionalFormatting sqref="CP14:CP15">
    <cfRule type="colorScale" priority="4">
      <colorScale>
        <cfvo type="num" val="0.69"/>
        <cfvo type="num" val="0.8"/>
        <cfvo type="num" val="0.9"/>
        <color rgb="FFF8696B"/>
        <color rgb="FFFFEB84"/>
        <color rgb="FF63BE7B"/>
      </colorScale>
    </cfRule>
  </conditionalFormatting>
  <conditionalFormatting sqref="CV14">
    <cfRule type="colorScale" priority="3">
      <colorScale>
        <cfvo type="num" val="0.69"/>
        <cfvo type="num" val="0.8"/>
        <cfvo type="num" val="0.9"/>
        <color rgb="FFF8696B"/>
        <color rgb="FFFFEB84"/>
        <color rgb="FF63BE7B"/>
      </colorScale>
    </cfRule>
  </conditionalFormatting>
  <conditionalFormatting sqref="AT14">
    <cfRule type="colorScale" priority="2">
      <colorScale>
        <cfvo type="num" val="0.69"/>
        <cfvo type="num" val="0.8"/>
        <cfvo type="num" val="0.9"/>
        <color rgb="FFF8696B"/>
        <color rgb="FFFFEB84"/>
        <color rgb="FF63BE7B"/>
      </colorScale>
    </cfRule>
  </conditionalFormatting>
  <conditionalFormatting sqref="CV15">
    <cfRule type="colorScale" priority="1">
      <colorScale>
        <cfvo type="num" val="0.69"/>
        <cfvo type="num" val="0.8"/>
        <cfvo type="num" val="0.9"/>
        <color rgb="FFF8696B"/>
        <color rgb="FFFFEB84"/>
        <color rgb="FF63BE7B"/>
      </colorScale>
    </cfRule>
  </conditionalFormatting>
  <printOptions horizontalCentered="1"/>
  <pageMargins left="0.15748031496062992" right="0.19685039370078741" top="0.27559055118110237" bottom="0.27559055118110237" header="0.31496062992125984" footer="0.31496062992125984"/>
  <pageSetup paperSize="14" scale="60" orientation="landscape"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W30"/>
  <sheetViews>
    <sheetView showGridLines="0" view="pageBreakPreview" zoomScaleNormal="100" zoomScaleSheetLayoutView="100" workbookViewId="0">
      <pane xSplit="1" ySplit="7" topLeftCell="B8" activePane="bottomRight" state="frozen"/>
      <selection pane="topRight" activeCell="B1" sqref="B1"/>
      <selection pane="bottomLeft" activeCell="A8" sqref="A8"/>
      <selection pane="bottomRight" activeCell="J8" sqref="J8"/>
    </sheetView>
  </sheetViews>
  <sheetFormatPr baseColWidth="10" defaultRowHeight="12.75"/>
  <cols>
    <col min="1" max="1" width="1.140625" style="15" customWidth="1"/>
    <col min="2" max="2" width="14.140625" style="15" customWidth="1"/>
    <col min="3" max="3" width="5.42578125" style="2" customWidth="1"/>
    <col min="4" max="4" width="16.140625" style="15" customWidth="1"/>
    <col min="5" max="5" width="14.7109375" style="15" customWidth="1"/>
    <col min="6" max="6" width="15" style="15" customWidth="1"/>
    <col min="7" max="7" width="9.28515625" style="15" customWidth="1"/>
    <col min="8" max="8" width="17.140625" style="15" customWidth="1"/>
    <col min="9" max="9" width="16.7109375" style="15" customWidth="1"/>
    <col min="10" max="10" width="10" style="15" customWidth="1"/>
    <col min="11" max="22" width="4.7109375" style="15" customWidth="1"/>
    <col min="23" max="23" width="9.5703125" style="15" customWidth="1"/>
    <col min="24" max="24" width="9.28515625" style="15" hidden="1" customWidth="1"/>
    <col min="25" max="25" width="11" style="15" hidden="1" customWidth="1"/>
    <col min="26" max="27" width="8.140625" style="15" hidden="1" customWidth="1"/>
    <col min="28" max="28" width="11.5703125" style="15" hidden="1" customWidth="1"/>
    <col min="29" max="29" width="55.42578125" style="15" hidden="1" customWidth="1"/>
    <col min="30" max="30" width="9.28515625" style="15" hidden="1" customWidth="1"/>
    <col min="31" max="31" width="11" style="15" hidden="1" customWidth="1"/>
    <col min="32" max="33" width="8.140625" style="15" hidden="1" customWidth="1"/>
    <col min="34" max="34" width="11.5703125" style="15" hidden="1" customWidth="1"/>
    <col min="35" max="35" width="55.42578125" style="15" hidden="1" customWidth="1"/>
    <col min="36" max="36" width="9.28515625" style="15" hidden="1" customWidth="1"/>
    <col min="37" max="37" width="11" style="15" hidden="1" customWidth="1"/>
    <col min="38" max="39" width="8.140625" style="15" hidden="1" customWidth="1"/>
    <col min="40" max="40" width="11.5703125" style="15" hidden="1" customWidth="1"/>
    <col min="41" max="41" width="55.42578125" style="15" hidden="1" customWidth="1"/>
    <col min="42" max="42" width="9.28515625" style="15" hidden="1" customWidth="1"/>
    <col min="43" max="43" width="11" style="15" hidden="1" customWidth="1"/>
    <col min="44" max="45" width="8.140625" style="15" hidden="1" customWidth="1"/>
    <col min="46" max="46" width="11.5703125" style="15" hidden="1" customWidth="1"/>
    <col min="47" max="47" width="55.42578125" style="15" hidden="1" customWidth="1"/>
    <col min="48" max="48" width="9.28515625" style="15" hidden="1" customWidth="1"/>
    <col min="49" max="49" width="11" style="15" hidden="1" customWidth="1"/>
    <col min="50" max="51" width="8.140625" style="15" hidden="1" customWidth="1"/>
    <col min="52" max="52" width="11.5703125" style="15" hidden="1" customWidth="1"/>
    <col min="53" max="53" width="55.42578125" style="15" hidden="1" customWidth="1"/>
    <col min="54" max="54" width="9.28515625" style="15" hidden="1" customWidth="1"/>
    <col min="55" max="55" width="11" style="15" hidden="1" customWidth="1"/>
    <col min="56" max="57" width="8.140625" style="15" hidden="1" customWidth="1"/>
    <col min="58" max="58" width="11.5703125" style="15" hidden="1" customWidth="1"/>
    <col min="59" max="59" width="55.42578125" style="15" hidden="1" customWidth="1"/>
    <col min="60" max="60" width="9.28515625" style="15" hidden="1" customWidth="1"/>
    <col min="61" max="61" width="11" style="15" hidden="1" customWidth="1"/>
    <col min="62" max="63" width="8.140625" style="15" hidden="1" customWidth="1"/>
    <col min="64" max="64" width="11.5703125" style="15" hidden="1" customWidth="1"/>
    <col min="65" max="65" width="55.42578125" style="15" hidden="1" customWidth="1"/>
    <col min="66" max="66" width="9.28515625" style="15" hidden="1" customWidth="1"/>
    <col min="67" max="67" width="11" style="15" hidden="1" customWidth="1"/>
    <col min="68" max="69" width="8.140625" style="15" hidden="1" customWidth="1"/>
    <col min="70" max="70" width="11.5703125" style="15" hidden="1" customWidth="1"/>
    <col min="71" max="71" width="55.42578125" style="15" hidden="1" customWidth="1"/>
    <col min="72" max="72" width="9.28515625" style="15" hidden="1" customWidth="1"/>
    <col min="73" max="73" width="11" style="15" hidden="1" customWidth="1"/>
    <col min="74" max="75" width="8.140625" style="15" hidden="1" customWidth="1"/>
    <col min="76" max="76" width="11.5703125" style="15" hidden="1" customWidth="1"/>
    <col min="77" max="77" width="55.42578125" style="15" hidden="1" customWidth="1"/>
    <col min="78" max="78" width="9.28515625" style="15" hidden="1" customWidth="1"/>
    <col min="79" max="79" width="11" style="15" hidden="1" customWidth="1"/>
    <col min="80" max="81" width="8.140625" style="15" hidden="1" customWidth="1"/>
    <col min="82" max="82" width="11.5703125" style="15" hidden="1" customWidth="1"/>
    <col min="83" max="83" width="55.42578125" style="15" hidden="1" customWidth="1"/>
    <col min="84" max="84" width="9.28515625" style="15" hidden="1" customWidth="1"/>
    <col min="85" max="85" width="11" style="15" hidden="1" customWidth="1"/>
    <col min="86" max="87" width="8.140625" style="15" hidden="1" customWidth="1"/>
    <col min="88" max="88" width="11.5703125" style="15" hidden="1" customWidth="1"/>
    <col min="89" max="89" width="55.42578125" style="15" hidden="1" customWidth="1"/>
    <col min="90" max="90" width="12.5703125" style="15" bestFit="1" customWidth="1"/>
    <col min="91" max="91" width="11" style="15" customWidth="1"/>
    <col min="92" max="93" width="8.140625" style="15" customWidth="1"/>
    <col min="94" max="94" width="11.5703125" style="15" customWidth="1"/>
    <col min="95" max="95" width="55.42578125" style="15" customWidth="1"/>
    <col min="96" max="96" width="12.5703125" style="15" bestFit="1" customWidth="1"/>
    <col min="97" max="97" width="11" style="15" customWidth="1"/>
    <col min="98" max="98" width="8.140625" style="15" customWidth="1"/>
    <col min="99" max="99" width="9.140625" style="15" customWidth="1"/>
    <col min="100" max="100" width="11.5703125" style="15" bestFit="1" customWidth="1"/>
    <col min="101" max="101" width="55.42578125" style="15" customWidth="1"/>
    <col min="102" max="16384" width="11.42578125" style="15"/>
  </cols>
  <sheetData>
    <row r="1" spans="1:101"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1" s="3" customFormat="1" ht="22.5" customHeight="1">
      <c r="A2" s="1980" t="s">
        <v>52</v>
      </c>
      <c r="B2" s="1981"/>
      <c r="C2" s="11"/>
      <c r="D2" s="1985" t="s">
        <v>2252</v>
      </c>
      <c r="E2" s="1985"/>
      <c r="F2" s="1985"/>
      <c r="G2" s="1985"/>
      <c r="H2" s="1985"/>
      <c r="I2" s="1985"/>
      <c r="J2" s="1985"/>
      <c r="K2" s="1985"/>
      <c r="L2" s="1985"/>
      <c r="M2" s="1985"/>
      <c r="N2" s="1981"/>
      <c r="O2" s="1978" t="s">
        <v>48</v>
      </c>
      <c r="P2" s="1978"/>
      <c r="Q2" s="1978"/>
      <c r="R2" s="1978"/>
      <c r="S2" s="1982"/>
      <c r="T2" s="1982"/>
      <c r="U2" s="1982"/>
      <c r="V2" s="1982"/>
    </row>
    <row r="3" spans="1:101" ht="5.25" customHeight="1"/>
    <row r="4" spans="1:101" ht="19.5" customHeight="1">
      <c r="B4" s="49" t="s">
        <v>18</v>
      </c>
      <c r="C4" s="1979" t="s">
        <v>2253</v>
      </c>
      <c r="D4" s="1979"/>
      <c r="E4" s="1979"/>
      <c r="F4" s="1979"/>
      <c r="G4" s="1979"/>
      <c r="H4" s="1979"/>
      <c r="I4" s="1979"/>
      <c r="J4" s="1979"/>
      <c r="K4" s="1996" t="s">
        <v>21</v>
      </c>
      <c r="L4" s="1996"/>
      <c r="M4" s="1996"/>
      <c r="N4" s="1999"/>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6" customHeight="1">
      <c r="A5" s="128"/>
      <c r="B5" s="128"/>
      <c r="C5" s="44"/>
      <c r="D5" s="128"/>
      <c r="E5" s="128"/>
      <c r="F5" s="128"/>
      <c r="G5" s="128"/>
      <c r="H5" s="128"/>
      <c r="I5" s="128"/>
      <c r="J5" s="128"/>
      <c r="K5" s="128"/>
      <c r="L5" s="128"/>
      <c r="M5" s="128"/>
      <c r="N5" s="128"/>
      <c r="O5" s="128"/>
      <c r="P5" s="128"/>
      <c r="Q5" s="128"/>
      <c r="R5" s="128"/>
      <c r="S5" s="128"/>
      <c r="T5" s="128"/>
      <c r="U5" s="128"/>
      <c r="V5" s="128"/>
      <c r="W5" s="128"/>
    </row>
    <row r="6" spans="1:101"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1"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5" t="s">
        <v>65</v>
      </c>
      <c r="X7" s="56" t="s">
        <v>31</v>
      </c>
      <c r="Y7" s="56" t="s">
        <v>32</v>
      </c>
      <c r="Z7" s="57" t="s">
        <v>33</v>
      </c>
      <c r="AA7" s="56" t="s">
        <v>34</v>
      </c>
      <c r="AB7" s="19" t="s">
        <v>35</v>
      </c>
      <c r="AC7" s="57" t="s">
        <v>36</v>
      </c>
      <c r="AD7" s="56" t="s">
        <v>31</v>
      </c>
      <c r="AE7" s="56" t="s">
        <v>32</v>
      </c>
      <c r="AF7" s="57" t="s">
        <v>33</v>
      </c>
      <c r="AG7" s="56" t="s">
        <v>34</v>
      </c>
      <c r="AH7" s="19" t="s">
        <v>35</v>
      </c>
      <c r="AI7" s="57" t="s">
        <v>36</v>
      </c>
      <c r="AJ7" s="56" t="s">
        <v>31</v>
      </c>
      <c r="AK7" s="56" t="s">
        <v>32</v>
      </c>
      <c r="AL7" s="57" t="s">
        <v>33</v>
      </c>
      <c r="AM7" s="56" t="s">
        <v>34</v>
      </c>
      <c r="AN7" s="19" t="s">
        <v>35</v>
      </c>
      <c r="AO7" s="57" t="s">
        <v>36</v>
      </c>
      <c r="AP7" s="56" t="s">
        <v>31</v>
      </c>
      <c r="AQ7" s="56" t="s">
        <v>32</v>
      </c>
      <c r="AR7" s="57" t="s">
        <v>33</v>
      </c>
      <c r="AS7" s="56" t="s">
        <v>34</v>
      </c>
      <c r="AT7" s="19" t="s">
        <v>35</v>
      </c>
      <c r="AU7" s="57" t="s">
        <v>36</v>
      </c>
      <c r="AV7" s="56" t="s">
        <v>31</v>
      </c>
      <c r="AW7" s="56" t="s">
        <v>32</v>
      </c>
      <c r="AX7" s="57" t="s">
        <v>33</v>
      </c>
      <c r="AY7" s="56" t="s">
        <v>34</v>
      </c>
      <c r="AZ7" s="19" t="s">
        <v>35</v>
      </c>
      <c r="BA7" s="57" t="s">
        <v>36</v>
      </c>
      <c r="BB7" s="56" t="s">
        <v>31</v>
      </c>
      <c r="BC7" s="56" t="s">
        <v>32</v>
      </c>
      <c r="BD7" s="57" t="s">
        <v>33</v>
      </c>
      <c r="BE7" s="56" t="s">
        <v>34</v>
      </c>
      <c r="BF7" s="19" t="s">
        <v>35</v>
      </c>
      <c r="BG7" s="57" t="s">
        <v>36</v>
      </c>
      <c r="BH7" s="56" t="s">
        <v>31</v>
      </c>
      <c r="BI7" s="56" t="s">
        <v>32</v>
      </c>
      <c r="BJ7" s="57" t="s">
        <v>33</v>
      </c>
      <c r="BK7" s="56" t="s">
        <v>34</v>
      </c>
      <c r="BL7" s="19" t="s">
        <v>35</v>
      </c>
      <c r="BM7" s="57" t="s">
        <v>36</v>
      </c>
      <c r="BN7" s="56" t="s">
        <v>31</v>
      </c>
      <c r="BO7" s="56" t="s">
        <v>32</v>
      </c>
      <c r="BP7" s="57" t="s">
        <v>33</v>
      </c>
      <c r="BQ7" s="56" t="s">
        <v>34</v>
      </c>
      <c r="BR7" s="19" t="s">
        <v>35</v>
      </c>
      <c r="BS7" s="57" t="s">
        <v>36</v>
      </c>
      <c r="BT7" s="56" t="s">
        <v>31</v>
      </c>
      <c r="BU7" s="56" t="s">
        <v>32</v>
      </c>
      <c r="BV7" s="57" t="s">
        <v>33</v>
      </c>
      <c r="BW7" s="56" t="s">
        <v>34</v>
      </c>
      <c r="BX7" s="19" t="s">
        <v>35</v>
      </c>
      <c r="BY7" s="57" t="s">
        <v>36</v>
      </c>
      <c r="BZ7" s="56" t="s">
        <v>31</v>
      </c>
      <c r="CA7" s="56" t="s">
        <v>32</v>
      </c>
      <c r="CB7" s="57" t="s">
        <v>33</v>
      </c>
      <c r="CC7" s="56" t="s">
        <v>34</v>
      </c>
      <c r="CD7" s="19" t="s">
        <v>35</v>
      </c>
      <c r="CE7" s="57" t="s">
        <v>36</v>
      </c>
      <c r="CF7" s="56" t="s">
        <v>31</v>
      </c>
      <c r="CG7" s="56" t="s">
        <v>32</v>
      </c>
      <c r="CH7" s="57" t="s">
        <v>33</v>
      </c>
      <c r="CI7" s="56" t="s">
        <v>34</v>
      </c>
      <c r="CJ7" s="19" t="s">
        <v>35</v>
      </c>
      <c r="CK7" s="57" t="s">
        <v>36</v>
      </c>
      <c r="CL7" s="56" t="s">
        <v>31</v>
      </c>
      <c r="CM7" s="56" t="s">
        <v>32</v>
      </c>
      <c r="CN7" s="57" t="s">
        <v>33</v>
      </c>
      <c r="CO7" s="56" t="s">
        <v>34</v>
      </c>
      <c r="CP7" s="19" t="s">
        <v>35</v>
      </c>
      <c r="CQ7" s="57" t="s">
        <v>36</v>
      </c>
      <c r="CR7" s="56" t="s">
        <v>31</v>
      </c>
      <c r="CS7" s="56" t="s">
        <v>32</v>
      </c>
      <c r="CT7" s="57" t="s">
        <v>33</v>
      </c>
      <c r="CU7" s="56" t="s">
        <v>34</v>
      </c>
      <c r="CV7" s="19" t="s">
        <v>35</v>
      </c>
      <c r="CW7" s="57" t="s">
        <v>36</v>
      </c>
    </row>
    <row r="8" spans="1:101" ht="99">
      <c r="B8" s="8" t="s">
        <v>905</v>
      </c>
      <c r="C8" s="9"/>
      <c r="D8" s="13" t="s">
        <v>2254</v>
      </c>
      <c r="E8" s="13" t="s">
        <v>2255</v>
      </c>
      <c r="F8" s="8" t="s">
        <v>2256</v>
      </c>
      <c r="G8" s="8" t="s">
        <v>53</v>
      </c>
      <c r="H8" s="13" t="s">
        <v>2257</v>
      </c>
      <c r="I8" s="8" t="s">
        <v>2258</v>
      </c>
      <c r="J8" s="8" t="s">
        <v>2259</v>
      </c>
      <c r="K8" s="7"/>
      <c r="L8" s="7"/>
      <c r="M8" s="12"/>
      <c r="N8" s="7"/>
      <c r="O8" s="7"/>
      <c r="P8" s="14"/>
      <c r="Q8" s="14"/>
      <c r="R8" s="14"/>
      <c r="S8" s="14"/>
      <c r="T8" s="14"/>
      <c r="U8" s="14"/>
      <c r="V8" s="14">
        <v>1</v>
      </c>
      <c r="W8" s="75"/>
      <c r="X8" s="21"/>
      <c r="Y8" s="21"/>
      <c r="Z8" s="22" t="str">
        <f>IF(Y8=0," ",X8/Y8)</f>
        <v xml:space="preserve"> </v>
      </c>
      <c r="AA8" s="58"/>
      <c r="AB8" s="24" t="str">
        <f>IF(Y8=0," ",Z8/AA8)</f>
        <v xml:space="preserve"> </v>
      </c>
      <c r="AC8" s="25"/>
      <c r="AD8" s="21"/>
      <c r="AE8" s="21"/>
      <c r="AF8" s="22" t="str">
        <f>IF(AE8=0," ",AD8/AE8)</f>
        <v xml:space="preserve"> </v>
      </c>
      <c r="AG8" s="58"/>
      <c r="AH8" s="24" t="str">
        <f>IF(AE8=0," ",AF8/AG8)</f>
        <v xml:space="preserve"> </v>
      </c>
      <c r="AI8" s="25"/>
      <c r="AJ8" s="21"/>
      <c r="AK8" s="21"/>
      <c r="AL8" s="22" t="str">
        <f>IF(AK8=0," ",AJ8/AK8)</f>
        <v xml:space="preserve"> </v>
      </c>
      <c r="AM8" s="58"/>
      <c r="AN8" s="24" t="str">
        <f>IF(AK8=0," ",AL8/AM8)</f>
        <v xml:space="preserve"> </v>
      </c>
      <c r="AO8" s="25"/>
      <c r="AP8" s="21"/>
      <c r="AQ8" s="21"/>
      <c r="AR8" s="22" t="str">
        <f>IF(AQ8=0," ",AP8/AQ8)</f>
        <v xml:space="preserve"> </v>
      </c>
      <c r="AS8" s="58"/>
      <c r="AT8" s="24" t="str">
        <f>IF(AQ8=0," ",AR8/AS8)</f>
        <v xml:space="preserve"> </v>
      </c>
      <c r="AU8" s="25"/>
      <c r="AV8" s="21"/>
      <c r="AW8" s="21"/>
      <c r="AX8" s="22" t="str">
        <f>IF(AW8=0," ",AV8/AW8)</f>
        <v xml:space="preserve"> </v>
      </c>
      <c r="AY8" s="58"/>
      <c r="AZ8" s="24" t="str">
        <f>IF(AW8=0," ",AX8/AY8)</f>
        <v xml:space="preserve"> </v>
      </c>
      <c r="BA8" s="25" t="s">
        <v>1864</v>
      </c>
      <c r="BB8" s="21"/>
      <c r="BC8" s="21"/>
      <c r="BD8" s="22" t="str">
        <f>IF(BC8=0," ",BB8/BC8)</f>
        <v xml:space="preserve"> </v>
      </c>
      <c r="BE8" s="58"/>
      <c r="BF8" s="24" t="str">
        <f>IF(BC8=0," ",BD8/BE8)</f>
        <v xml:space="preserve"> </v>
      </c>
      <c r="BG8" s="25" t="s">
        <v>1864</v>
      </c>
      <c r="BH8" s="21"/>
      <c r="BI8" s="21"/>
      <c r="BJ8" s="22" t="str">
        <f>IF(BI8=0," ",BH8/BI8)</f>
        <v xml:space="preserve"> </v>
      </c>
      <c r="BK8" s="58"/>
      <c r="BL8" s="24" t="str">
        <f>IF(BI8=0," ",BJ8/BK8)</f>
        <v xml:space="preserve"> </v>
      </c>
      <c r="BM8" s="25" t="s">
        <v>1864</v>
      </c>
      <c r="BN8" s="21"/>
      <c r="BO8" s="21"/>
      <c r="BP8" s="22" t="str">
        <f>IF(BO8=0," ",BN8/BO8)</f>
        <v xml:space="preserve"> </v>
      </c>
      <c r="BQ8" s="58"/>
      <c r="BR8" s="24" t="str">
        <f>IF(BO8=0," ",BP8/BQ8)</f>
        <v xml:space="preserve"> </v>
      </c>
      <c r="BS8" s="25" t="s">
        <v>1864</v>
      </c>
      <c r="BT8" s="21"/>
      <c r="BU8" s="21"/>
      <c r="BV8" s="22" t="str">
        <f>IF(BU8=0," ",BT8/BU8)</f>
        <v xml:space="preserve"> </v>
      </c>
      <c r="BW8" s="58"/>
      <c r="BX8" s="24" t="str">
        <f>IF(BU8=0," ",BV8/BW8)</f>
        <v xml:space="preserve"> </v>
      </c>
      <c r="BY8" s="25" t="s">
        <v>1864</v>
      </c>
      <c r="BZ8" s="21"/>
      <c r="CA8" s="21"/>
      <c r="CB8" s="22" t="str">
        <f>IF(CA8=0," ",BZ8/CA8)</f>
        <v xml:space="preserve"> </v>
      </c>
      <c r="CC8" s="58"/>
      <c r="CD8" s="24" t="str">
        <f>IF(CA8=0," ",CB8/CC8)</f>
        <v xml:space="preserve"> </v>
      </c>
      <c r="CE8" s="25"/>
      <c r="CF8" s="21"/>
      <c r="CG8" s="21"/>
      <c r="CH8" s="22" t="str">
        <f>IF(CG8=0," ",CF8/CG8)</f>
        <v xml:space="preserve"> </v>
      </c>
      <c r="CI8" s="58"/>
      <c r="CJ8" s="24" t="str">
        <f>IF(CG8=0," ",CH8/CI8)</f>
        <v xml:space="preserve"> </v>
      </c>
      <c r="CK8" s="25"/>
      <c r="CL8" s="21">
        <v>0</v>
      </c>
      <c r="CM8" s="21">
        <v>1</v>
      </c>
      <c r="CN8" s="22">
        <f>IF(CM8=0," ",CL8/CM8)</f>
        <v>0</v>
      </c>
      <c r="CO8" s="58">
        <v>1</v>
      </c>
      <c r="CP8" s="24">
        <f>IF(CM8=0," ",CN8/CO8)</f>
        <v>0</v>
      </c>
      <c r="CQ8" s="25" t="s">
        <v>2260</v>
      </c>
      <c r="CR8" s="21">
        <f>+X8+AD8+AJ8+AP8+AV8+BB8+BH8+BN8+BT8+BZ8+CF8+CL8</f>
        <v>0</v>
      </c>
      <c r="CS8" s="21">
        <f>+Y8+AE8+AK8+AQ8+AW8+BC8+BI8+BO8+BU8+CA8+CG8+CM8</f>
        <v>1</v>
      </c>
      <c r="CT8" s="22">
        <f>IF(CS8=0," ",CR8/CS8)</f>
        <v>0</v>
      </c>
      <c r="CU8" s="58">
        <v>1</v>
      </c>
      <c r="CV8" s="24">
        <f>IF(CS8=0," ",CT8/CU8)</f>
        <v>0</v>
      </c>
      <c r="CW8" s="25" t="s">
        <v>2260</v>
      </c>
    </row>
    <row r="9" spans="1:101" ht="101.25">
      <c r="B9" s="8" t="s">
        <v>905</v>
      </c>
      <c r="C9" s="9"/>
      <c r="D9" s="13" t="s">
        <v>2261</v>
      </c>
      <c r="E9" s="13" t="s">
        <v>2262</v>
      </c>
      <c r="F9" s="8" t="s">
        <v>2263</v>
      </c>
      <c r="G9" s="8" t="s">
        <v>53</v>
      </c>
      <c r="H9" s="13" t="s">
        <v>2264</v>
      </c>
      <c r="I9" s="8" t="s">
        <v>2258</v>
      </c>
      <c r="J9" s="8" t="s">
        <v>2265</v>
      </c>
      <c r="K9" s="7"/>
      <c r="L9" s="7"/>
      <c r="M9" s="12"/>
      <c r="N9" s="7"/>
      <c r="O9" s="7"/>
      <c r="P9" s="14"/>
      <c r="Q9" s="14"/>
      <c r="R9" s="14"/>
      <c r="S9" s="14"/>
      <c r="T9" s="14"/>
      <c r="U9" s="14"/>
      <c r="V9" s="14">
        <v>1</v>
      </c>
      <c r="W9" s="75"/>
      <c r="X9" s="21"/>
      <c r="Y9" s="21"/>
      <c r="Z9" s="22" t="str">
        <f>IF(Y9=0," ",X9/Y9)</f>
        <v xml:space="preserve"> </v>
      </c>
      <c r="AA9" s="58"/>
      <c r="AB9" s="24" t="str">
        <f>IF(Y9=0," ",Z9/AA9)</f>
        <v xml:space="preserve"> </v>
      </c>
      <c r="AC9" s="25"/>
      <c r="AD9" s="21"/>
      <c r="AE9" s="21"/>
      <c r="AF9" s="22" t="str">
        <f>IF(AE9=0," ",AD9/AE9)</f>
        <v xml:space="preserve"> </v>
      </c>
      <c r="AG9" s="58"/>
      <c r="AH9" s="24" t="str">
        <f>IF(AE9=0," ",AF9/AG9)</f>
        <v xml:space="preserve"> </v>
      </c>
      <c r="AI9" s="25"/>
      <c r="AJ9" s="21"/>
      <c r="AK9" s="21"/>
      <c r="AL9" s="22" t="str">
        <f>IF(AK9=0," ",AJ9/AK9)</f>
        <v xml:space="preserve"> </v>
      </c>
      <c r="AM9" s="58"/>
      <c r="AN9" s="24" t="str">
        <f>IF(AK9=0," ",AL9/AM9)</f>
        <v xml:space="preserve"> </v>
      </c>
      <c r="AO9" s="25"/>
      <c r="AP9" s="21"/>
      <c r="AQ9" s="21"/>
      <c r="AR9" s="22" t="str">
        <f>IF(AQ9=0," ",AP9/AQ9)</f>
        <v xml:space="preserve"> </v>
      </c>
      <c r="AS9" s="58"/>
      <c r="AT9" s="24" t="str">
        <f>IF(AQ9=0," ",AR9/AS9)</f>
        <v xml:space="preserve"> </v>
      </c>
      <c r="AU9" s="25"/>
      <c r="AV9" s="21"/>
      <c r="AW9" s="21"/>
      <c r="AX9" s="22" t="str">
        <f>IF(AW9=0," ",AV9/AW9)</f>
        <v xml:space="preserve"> </v>
      </c>
      <c r="AY9" s="58"/>
      <c r="AZ9" s="24" t="str">
        <f>IF(AW9=0," ",AX9/AY9)</f>
        <v xml:space="preserve"> </v>
      </c>
      <c r="BA9" s="25" t="s">
        <v>1864</v>
      </c>
      <c r="BB9" s="21"/>
      <c r="BC9" s="21"/>
      <c r="BD9" s="22" t="str">
        <f>IF(BC9=0," ",BB9/BC9)</f>
        <v xml:space="preserve"> </v>
      </c>
      <c r="BE9" s="58"/>
      <c r="BF9" s="24" t="str">
        <f>IF(BC9=0," ",BD9/BE9)</f>
        <v xml:space="preserve"> </v>
      </c>
      <c r="BG9" s="25" t="s">
        <v>1864</v>
      </c>
      <c r="BH9" s="21"/>
      <c r="BI9" s="21"/>
      <c r="BJ9" s="22" t="str">
        <f>IF(BI9=0," ",BH9/BI9)</f>
        <v xml:space="preserve"> </v>
      </c>
      <c r="BK9" s="58"/>
      <c r="BL9" s="24" t="str">
        <f>IF(BI9=0," ",BJ9/BK9)</f>
        <v xml:space="preserve"> </v>
      </c>
      <c r="BM9" s="25" t="s">
        <v>1864</v>
      </c>
      <c r="BN9" s="21"/>
      <c r="BO9" s="21"/>
      <c r="BP9" s="22" t="str">
        <f>IF(BO9=0," ",BN9/BO9)</f>
        <v xml:space="preserve"> </v>
      </c>
      <c r="BQ9" s="58"/>
      <c r="BR9" s="24" t="str">
        <f>IF(BO9=0," ",BP9/BQ9)</f>
        <v xml:space="preserve"> </v>
      </c>
      <c r="BS9" s="25" t="s">
        <v>1864</v>
      </c>
      <c r="BT9" s="21"/>
      <c r="BU9" s="21"/>
      <c r="BV9" s="22" t="str">
        <f>IF(BU9=0," ",BT9/BU9)</f>
        <v xml:space="preserve"> </v>
      </c>
      <c r="BW9" s="58"/>
      <c r="BX9" s="24" t="str">
        <f>IF(BU9=0," ",BV9/BW9)</f>
        <v xml:space="preserve"> </v>
      </c>
      <c r="BY9" s="25" t="s">
        <v>1864</v>
      </c>
      <c r="BZ9" s="21"/>
      <c r="CA9" s="21"/>
      <c r="CB9" s="22" t="str">
        <f>IF(CA9=0," ",BZ9/CA9)</f>
        <v xml:space="preserve"> </v>
      </c>
      <c r="CC9" s="58"/>
      <c r="CD9" s="24" t="str">
        <f>IF(CA9=0," ",CB9/CC9)</f>
        <v xml:space="preserve"> </v>
      </c>
      <c r="CE9" s="25" t="s">
        <v>2266</v>
      </c>
      <c r="CF9" s="21"/>
      <c r="CG9" s="21"/>
      <c r="CH9" s="22" t="str">
        <f>IF(CG9=0," ",CF9/CG9)</f>
        <v xml:space="preserve"> </v>
      </c>
      <c r="CI9" s="58"/>
      <c r="CJ9" s="24" t="str">
        <f>IF(CG9=0," ",CH9/CI9)</f>
        <v xml:space="preserve"> </v>
      </c>
      <c r="CK9" s="25"/>
      <c r="CL9" s="21">
        <v>11</v>
      </c>
      <c r="CM9" s="21">
        <v>12</v>
      </c>
      <c r="CN9" s="22">
        <f>IF(CM9=0," ",CL9/CM9)</f>
        <v>0.91666666666666663</v>
      </c>
      <c r="CO9" s="58">
        <v>1</v>
      </c>
      <c r="CP9" s="24">
        <f>IF(CM9=0," ",CN9/CO9)</f>
        <v>0.91666666666666663</v>
      </c>
      <c r="CQ9" s="25" t="s">
        <v>2267</v>
      </c>
      <c r="CR9" s="21">
        <f>+X9+AD9+AJ9+AP9+AV9+BB9+BH9+BN9+BT9+BZ9+CF9+CL9</f>
        <v>11</v>
      </c>
      <c r="CS9" s="21">
        <f t="shared" ref="CS9:CS21" si="0">+Y9+AE9+AK9+AQ9+AW9+BC9+BI9+BO9+BU9+CA9+CG9+CM9</f>
        <v>12</v>
      </c>
      <c r="CT9" s="22">
        <f>IF(CS9=0," ",CR9/CS9)</f>
        <v>0.91666666666666663</v>
      </c>
      <c r="CU9" s="58">
        <v>1</v>
      </c>
      <c r="CV9" s="24">
        <f>IF(CS9=0," ",CT9/CU9)</f>
        <v>0.91666666666666663</v>
      </c>
      <c r="CW9" s="25" t="s">
        <v>2267</v>
      </c>
    </row>
    <row r="10" spans="1:101" ht="99">
      <c r="B10" s="8" t="s">
        <v>905</v>
      </c>
      <c r="C10" s="9"/>
      <c r="D10" s="13" t="s">
        <v>2268</v>
      </c>
      <c r="E10" s="13" t="s">
        <v>2269</v>
      </c>
      <c r="F10" s="8" t="s">
        <v>2270</v>
      </c>
      <c r="G10" s="8" t="s">
        <v>53</v>
      </c>
      <c r="H10" s="13" t="s">
        <v>2271</v>
      </c>
      <c r="I10" s="8" t="s">
        <v>2258</v>
      </c>
      <c r="J10" s="8" t="s">
        <v>2265</v>
      </c>
      <c r="K10" s="7"/>
      <c r="L10" s="7"/>
      <c r="M10" s="12"/>
      <c r="N10" s="7"/>
      <c r="O10" s="7"/>
      <c r="P10" s="14"/>
      <c r="Q10" s="14"/>
      <c r="R10" s="14"/>
      <c r="S10" s="14"/>
      <c r="T10" s="14"/>
      <c r="U10" s="14"/>
      <c r="V10" s="14">
        <v>1</v>
      </c>
      <c r="W10" s="75"/>
      <c r="X10" s="21"/>
      <c r="Y10" s="21"/>
      <c r="Z10" s="22" t="str">
        <f>IF(Y10=0," ",X10/Y10)</f>
        <v xml:space="preserve"> </v>
      </c>
      <c r="AA10" s="58"/>
      <c r="AB10" s="24" t="str">
        <f>IF(Y10=0," ",Z10/AA10)</f>
        <v xml:space="preserve"> </v>
      </c>
      <c r="AC10" s="25"/>
      <c r="AD10" s="21"/>
      <c r="AE10" s="21"/>
      <c r="AF10" s="22" t="str">
        <f>IF(AE10=0," ",AD10/AE10)</f>
        <v xml:space="preserve"> </v>
      </c>
      <c r="AG10" s="58"/>
      <c r="AH10" s="24" t="str">
        <f>IF(AE10=0," ",AF10/AG10)</f>
        <v xml:space="preserve"> </v>
      </c>
      <c r="AI10" s="25"/>
      <c r="AJ10" s="21"/>
      <c r="AK10" s="21"/>
      <c r="AL10" s="22" t="str">
        <f>IF(AK10=0," ",AJ10/AK10)</f>
        <v xml:space="preserve"> </v>
      </c>
      <c r="AM10" s="58"/>
      <c r="AN10" s="24" t="str">
        <f>IF(AK10=0," ",AL10/AM10)</f>
        <v xml:space="preserve"> </v>
      </c>
      <c r="AO10" s="25"/>
      <c r="AP10" s="21"/>
      <c r="AQ10" s="21"/>
      <c r="AR10" s="22" t="str">
        <f>IF(AQ10=0," ",AP10/AQ10)</f>
        <v xml:space="preserve"> </v>
      </c>
      <c r="AS10" s="58"/>
      <c r="AT10" s="24" t="str">
        <f>IF(AQ10=0," ",AR10/AS10)</f>
        <v xml:space="preserve"> </v>
      </c>
      <c r="AU10" s="25"/>
      <c r="AV10" s="21"/>
      <c r="AW10" s="21"/>
      <c r="AX10" s="22" t="str">
        <f>IF(AW10=0," ",AV10/AW10)</f>
        <v xml:space="preserve"> </v>
      </c>
      <c r="AY10" s="58"/>
      <c r="AZ10" s="24" t="str">
        <f>IF(AW10=0," ",AX10/AY10)</f>
        <v xml:space="preserve"> </v>
      </c>
      <c r="BA10" s="25" t="s">
        <v>1864</v>
      </c>
      <c r="BB10" s="21"/>
      <c r="BC10" s="21"/>
      <c r="BD10" s="22" t="str">
        <f>IF(BC10=0," ",BB10/BC10)</f>
        <v xml:space="preserve"> </v>
      </c>
      <c r="BE10" s="58"/>
      <c r="BF10" s="24" t="str">
        <f>IF(BC10=0," ",BD10/BE10)</f>
        <v xml:space="preserve"> </v>
      </c>
      <c r="BG10" s="25" t="s">
        <v>1864</v>
      </c>
      <c r="BH10" s="21"/>
      <c r="BI10" s="21"/>
      <c r="BJ10" s="22" t="str">
        <f>IF(BI10=0," ",BH10/BI10)</f>
        <v xml:space="preserve"> </v>
      </c>
      <c r="BK10" s="58"/>
      <c r="BL10" s="24" t="str">
        <f>IF(BI10=0," ",BJ10/BK10)</f>
        <v xml:space="preserve"> </v>
      </c>
      <c r="BM10" s="25" t="s">
        <v>1864</v>
      </c>
      <c r="BN10" s="21"/>
      <c r="BO10" s="21"/>
      <c r="BP10" s="22" t="str">
        <f>IF(BO10=0," ",BN10/BO10)</f>
        <v xml:space="preserve"> </v>
      </c>
      <c r="BQ10" s="58"/>
      <c r="BR10" s="24" t="str">
        <f>IF(BO10=0," ",BP10/BQ10)</f>
        <v xml:space="preserve"> </v>
      </c>
      <c r="BS10" s="25" t="s">
        <v>1864</v>
      </c>
      <c r="BT10" s="21"/>
      <c r="BU10" s="21"/>
      <c r="BV10" s="22" t="str">
        <f>IF(BU10=0," ",BT10/BU10)</f>
        <v xml:space="preserve"> </v>
      </c>
      <c r="BW10" s="58"/>
      <c r="BX10" s="24" t="str">
        <f>IF(BU10=0," ",BV10/BW10)</f>
        <v xml:space="preserve"> </v>
      </c>
      <c r="BY10" s="25" t="s">
        <v>1864</v>
      </c>
      <c r="BZ10" s="21"/>
      <c r="CA10" s="21"/>
      <c r="CB10" s="22" t="str">
        <f>IF(CA10=0," ",BZ10/CA10)</f>
        <v xml:space="preserve"> </v>
      </c>
      <c r="CC10" s="58"/>
      <c r="CD10" s="24" t="str">
        <f>IF(CA10=0," ",CB10/CC10)</f>
        <v xml:space="preserve"> </v>
      </c>
      <c r="CE10" s="25" t="s">
        <v>2266</v>
      </c>
      <c r="CF10" s="21"/>
      <c r="CG10" s="21"/>
      <c r="CH10" s="22" t="str">
        <f>IF(CG10=0," ",CF10/CG10)</f>
        <v xml:space="preserve"> </v>
      </c>
      <c r="CI10" s="58"/>
      <c r="CJ10" s="24" t="str">
        <f>IF(CG10=0," ",CH10/CI10)</f>
        <v xml:space="preserve"> </v>
      </c>
      <c r="CK10" s="25"/>
      <c r="CL10" s="21">
        <v>1</v>
      </c>
      <c r="CM10" s="21">
        <v>1</v>
      </c>
      <c r="CN10" s="22">
        <f>IF(CM10=0," ",CL10/CM10)</f>
        <v>1</v>
      </c>
      <c r="CO10" s="58">
        <v>1</v>
      </c>
      <c r="CP10" s="24">
        <f>IF(CM10=0," ",CN10/CO10)</f>
        <v>1</v>
      </c>
      <c r="CQ10" s="25" t="s">
        <v>2272</v>
      </c>
      <c r="CR10" s="21">
        <f t="shared" ref="CR10:CR21" si="1">+X10+AD10+AJ10+AP10+AV10+BB10+BH10+BN10+BT10+BZ10+CF10+CL10</f>
        <v>1</v>
      </c>
      <c r="CS10" s="21">
        <f t="shared" si="0"/>
        <v>1</v>
      </c>
      <c r="CT10" s="22">
        <f>IF(CS10=0," ",CR10/CS10)</f>
        <v>1</v>
      </c>
      <c r="CU10" s="58">
        <v>1</v>
      </c>
      <c r="CV10" s="24">
        <f>IF(CS10=0," ",CT10/CU10)</f>
        <v>1</v>
      </c>
      <c r="CW10" s="25" t="s">
        <v>2272</v>
      </c>
    </row>
    <row r="11" spans="1:101" ht="72.75" customHeight="1">
      <c r="B11" s="8" t="s">
        <v>2273</v>
      </c>
      <c r="C11" s="9"/>
      <c r="D11" s="13" t="s">
        <v>2274</v>
      </c>
      <c r="E11" s="13" t="s">
        <v>2275</v>
      </c>
      <c r="F11" s="8" t="s">
        <v>2276</v>
      </c>
      <c r="G11" s="8" t="s">
        <v>53</v>
      </c>
      <c r="H11" s="13" t="s">
        <v>2277</v>
      </c>
      <c r="I11" s="8" t="s">
        <v>2258</v>
      </c>
      <c r="J11" s="8" t="s">
        <v>2278</v>
      </c>
      <c r="K11" s="7"/>
      <c r="L11" s="7"/>
      <c r="M11" s="12">
        <v>0.85</v>
      </c>
      <c r="N11" s="7"/>
      <c r="O11" s="7"/>
      <c r="P11" s="14">
        <v>0.85</v>
      </c>
      <c r="Q11" s="14"/>
      <c r="R11" s="14"/>
      <c r="S11" s="14">
        <v>0.85</v>
      </c>
      <c r="T11" s="14"/>
      <c r="U11" s="14"/>
      <c r="V11" s="14">
        <v>0.85</v>
      </c>
      <c r="W11" s="75"/>
      <c r="X11" s="21"/>
      <c r="Y11" s="21"/>
      <c r="Z11" s="22" t="str">
        <f>IF(Y11=0," ",X11/Y11)</f>
        <v xml:space="preserve"> </v>
      </c>
      <c r="AA11" s="58"/>
      <c r="AB11" s="24" t="str">
        <f>IF(Y11=0," ",Z11/AA11)</f>
        <v xml:space="preserve"> </v>
      </c>
      <c r="AC11" s="25"/>
      <c r="AD11" s="21"/>
      <c r="AE11" s="21"/>
      <c r="AF11" s="22" t="str">
        <f>IF(AE11=0," ",AD11/AE11)</f>
        <v xml:space="preserve"> </v>
      </c>
      <c r="AG11" s="58"/>
      <c r="AH11" s="24" t="str">
        <f>IF(AE11=0," ",AF11/AG11)</f>
        <v xml:space="preserve"> </v>
      </c>
      <c r="AI11" s="25"/>
      <c r="AJ11" s="21">
        <v>84.9</v>
      </c>
      <c r="AK11" s="21">
        <v>100</v>
      </c>
      <c r="AL11" s="22">
        <f>IF(AK11=0," ",AJ11/AK11)</f>
        <v>0.84900000000000009</v>
      </c>
      <c r="AM11" s="58">
        <v>0.85</v>
      </c>
      <c r="AN11" s="24">
        <f>IF(AK11=0," ",AL11/AM11)</f>
        <v>0.99882352941176489</v>
      </c>
      <c r="AO11" s="25" t="s">
        <v>2279</v>
      </c>
      <c r="AP11" s="21"/>
      <c r="AQ11" s="21"/>
      <c r="AR11" s="22"/>
      <c r="AS11" s="58"/>
      <c r="AT11" s="24"/>
      <c r="AU11" s="25"/>
      <c r="AV11" s="21"/>
      <c r="AW11" s="21"/>
      <c r="AX11" s="22" t="str">
        <f>IF(AW11=0," ",AV11/AW11)</f>
        <v xml:space="preserve"> </v>
      </c>
      <c r="AY11" s="58"/>
      <c r="AZ11" s="24" t="str">
        <f>IF(AW11=0," ",AX11/AY11)</f>
        <v xml:space="preserve"> </v>
      </c>
      <c r="BA11" s="25" t="s">
        <v>1864</v>
      </c>
      <c r="BB11" s="21">
        <v>249</v>
      </c>
      <c r="BC11" s="21">
        <v>306</v>
      </c>
      <c r="BD11" s="22">
        <f>IF(BC11=0," ",BB11/BC11)</f>
        <v>0.81372549019607843</v>
      </c>
      <c r="BE11" s="58">
        <v>0.85</v>
      </c>
      <c r="BF11" s="24">
        <f>IF(BC11=0," ",BD11/BE11)</f>
        <v>0.95732410611303342</v>
      </c>
      <c r="BG11" s="25" t="s">
        <v>2280</v>
      </c>
      <c r="BH11" s="21"/>
      <c r="BI11" s="21"/>
      <c r="BJ11" s="22" t="str">
        <f>IF(BI11=0," ",BH11/BI11)</f>
        <v xml:space="preserve"> </v>
      </c>
      <c r="BK11" s="58"/>
      <c r="BL11" s="24" t="str">
        <f>IF(BI11=0," ",BJ11/BK11)</f>
        <v xml:space="preserve"> </v>
      </c>
      <c r="BM11" s="25" t="s">
        <v>1864</v>
      </c>
      <c r="BN11" s="21"/>
      <c r="BO11" s="21"/>
      <c r="BP11" s="22" t="str">
        <f>IF(BO11=0," ",BN11/BO11)</f>
        <v xml:space="preserve"> </v>
      </c>
      <c r="BQ11" s="58"/>
      <c r="BR11" s="24" t="str">
        <f>IF(BO11=0," ",BP11/BQ11)</f>
        <v xml:space="preserve"> </v>
      </c>
      <c r="BS11" s="25" t="s">
        <v>1864</v>
      </c>
      <c r="BT11" s="21">
        <v>277</v>
      </c>
      <c r="BU11" s="21">
        <v>335</v>
      </c>
      <c r="BV11" s="22">
        <f>IF(BU11=0," ",BT11/BU11)</f>
        <v>0.82686567164179103</v>
      </c>
      <c r="BW11" s="58">
        <v>0.85</v>
      </c>
      <c r="BX11" s="24">
        <f>IF(BU11=0," ",BV11/BW11)</f>
        <v>0.97278314310798952</v>
      </c>
      <c r="BY11" s="25" t="s">
        <v>2281</v>
      </c>
      <c r="BZ11" s="21"/>
      <c r="CA11" s="21"/>
      <c r="CB11" s="22" t="str">
        <f>IF(CA11=0," ",BZ11/CA11)</f>
        <v xml:space="preserve"> </v>
      </c>
      <c r="CC11" s="58"/>
      <c r="CD11" s="24" t="str">
        <f>IF(CA11=0," ",CB11/CC11)</f>
        <v xml:space="preserve"> </v>
      </c>
      <c r="CE11" s="15" t="s">
        <v>2266</v>
      </c>
      <c r="CF11" s="21"/>
      <c r="CG11" s="21"/>
      <c r="CH11" s="22" t="str">
        <f>IF(CG11=0," ",CF11/CG11)</f>
        <v xml:space="preserve"> </v>
      </c>
      <c r="CI11" s="58"/>
      <c r="CJ11" s="24" t="str">
        <f>IF(CG11=0," ",CH11/CI11)</f>
        <v xml:space="preserve"> </v>
      </c>
      <c r="CK11" s="25"/>
      <c r="CL11" s="21">
        <v>231</v>
      </c>
      <c r="CM11" s="21">
        <v>298</v>
      </c>
      <c r="CN11" s="22">
        <f>IF(CM11=0," ",CL11/CM11)</f>
        <v>0.77516778523489938</v>
      </c>
      <c r="CO11" s="58">
        <v>0.85</v>
      </c>
      <c r="CP11" s="24">
        <f>IF(CM11=0," ",CN11/CO11)</f>
        <v>0.91196210027635227</v>
      </c>
      <c r="CQ11" s="25" t="s">
        <v>2282</v>
      </c>
      <c r="CR11" s="21">
        <f t="shared" si="1"/>
        <v>841.9</v>
      </c>
      <c r="CS11" s="21">
        <f t="shared" si="0"/>
        <v>1039</v>
      </c>
      <c r="CT11" s="22">
        <f>IF(CS11=0," ",CR11/CS11)</f>
        <v>0.810298363811357</v>
      </c>
      <c r="CU11" s="58">
        <v>0.85</v>
      </c>
      <c r="CV11" s="24">
        <f>IF(CS11=0," ",CT11/CU11)</f>
        <v>0.95329219271924359</v>
      </c>
      <c r="CW11" s="25" t="s">
        <v>2282</v>
      </c>
    </row>
    <row r="12" spans="1:101" ht="69.75" customHeight="1">
      <c r="B12" s="8" t="s">
        <v>2273</v>
      </c>
      <c r="C12" s="9"/>
      <c r="D12" s="13" t="s">
        <v>2283</v>
      </c>
      <c r="E12" s="13" t="s">
        <v>2284</v>
      </c>
      <c r="F12" s="8" t="s">
        <v>2285</v>
      </c>
      <c r="G12" s="8" t="s">
        <v>53</v>
      </c>
      <c r="H12" s="13" t="s">
        <v>2286</v>
      </c>
      <c r="I12" s="8" t="s">
        <v>2258</v>
      </c>
      <c r="J12" s="8" t="s">
        <v>2287</v>
      </c>
      <c r="K12" s="7"/>
      <c r="L12" s="7"/>
      <c r="M12" s="12"/>
      <c r="N12" s="7"/>
      <c r="O12" s="7"/>
      <c r="P12" s="14"/>
      <c r="Q12" s="14"/>
      <c r="R12" s="14"/>
      <c r="S12" s="14"/>
      <c r="T12" s="14"/>
      <c r="U12" s="14"/>
      <c r="V12" s="14">
        <v>1</v>
      </c>
      <c r="W12" s="75"/>
      <c r="X12" s="21"/>
      <c r="Y12" s="21"/>
      <c r="Z12" s="22" t="str">
        <f>IF(Y12=0," ",X12/Y12)</f>
        <v xml:space="preserve"> </v>
      </c>
      <c r="AA12" s="58"/>
      <c r="AB12" s="24" t="str">
        <f>IF(Y12=0," ",Z12/AA12)</f>
        <v xml:space="preserve"> </v>
      </c>
      <c r="AC12" s="25"/>
      <c r="AD12" s="21"/>
      <c r="AE12" s="21"/>
      <c r="AF12" s="22" t="str">
        <f>IF(AE12=0," ",AD12/AE12)</f>
        <v xml:space="preserve"> </v>
      </c>
      <c r="AG12" s="58"/>
      <c r="AH12" s="24" t="str">
        <f>IF(AE12=0," ",AF12/AG12)</f>
        <v xml:space="preserve"> </v>
      </c>
      <c r="AI12" s="25"/>
      <c r="AJ12" s="21"/>
      <c r="AK12" s="21"/>
      <c r="AL12" s="22" t="str">
        <f>IF(AK12=0," ",AJ12/AK12)</f>
        <v xml:space="preserve"> </v>
      </c>
      <c r="AM12" s="58"/>
      <c r="AN12" s="24" t="str">
        <f>IF(AK12=0," ",AL12/AM12)</f>
        <v xml:space="preserve"> </v>
      </c>
      <c r="AO12" s="25"/>
      <c r="AP12" s="21">
        <v>100</v>
      </c>
      <c r="AQ12" s="21">
        <v>100</v>
      </c>
      <c r="AR12" s="22">
        <f>IF(AQ12=0," ",AP12/AQ12)</f>
        <v>1</v>
      </c>
      <c r="AS12" s="58">
        <v>1</v>
      </c>
      <c r="AT12" s="24">
        <f>IF(AQ12=0," ",AR12/AS12)</f>
        <v>1</v>
      </c>
      <c r="AU12" s="25" t="s">
        <v>2288</v>
      </c>
      <c r="AV12" s="21"/>
      <c r="AW12" s="21"/>
      <c r="AX12" s="22" t="str">
        <f>IF(AW12=0," ",AV12/AW12)</f>
        <v xml:space="preserve"> </v>
      </c>
      <c r="AY12" s="58"/>
      <c r="AZ12" s="24" t="str">
        <f>IF(AW12=0," ",AX12/AY12)</f>
        <v xml:space="preserve"> </v>
      </c>
      <c r="BA12" s="25" t="s">
        <v>2289</v>
      </c>
      <c r="BB12" s="21"/>
      <c r="BC12" s="21"/>
      <c r="BD12" s="22" t="str">
        <f>IF(BC12=0," ",BB12/BC12)</f>
        <v xml:space="preserve"> </v>
      </c>
      <c r="BE12" s="58"/>
      <c r="BF12" s="24" t="str">
        <f>IF(BC12=0," ",BD12/BE12)</f>
        <v xml:space="preserve"> </v>
      </c>
      <c r="BG12" s="25" t="s">
        <v>2289</v>
      </c>
      <c r="BH12" s="21"/>
      <c r="BI12" s="21"/>
      <c r="BJ12" s="22" t="str">
        <f>IF(BI12=0," ",BH12/BI12)</f>
        <v xml:space="preserve"> </v>
      </c>
      <c r="BK12" s="58"/>
      <c r="BL12" s="24" t="str">
        <f>IF(BI12=0," ",BJ12/BK12)</f>
        <v xml:space="preserve"> </v>
      </c>
      <c r="BM12" s="25" t="s">
        <v>2289</v>
      </c>
      <c r="BN12" s="21"/>
      <c r="BO12" s="21"/>
      <c r="BP12" s="22" t="str">
        <f>IF(BO12=0," ",BN12/BO12)</f>
        <v xml:space="preserve"> </v>
      </c>
      <c r="BQ12" s="58"/>
      <c r="BR12" s="24" t="str">
        <f>IF(BO12=0," ",BP12/BQ12)</f>
        <v xml:space="preserve"> </v>
      </c>
      <c r="BS12" s="25" t="s">
        <v>2289</v>
      </c>
      <c r="BT12" s="21"/>
      <c r="BU12" s="21"/>
      <c r="BV12" s="22" t="str">
        <f>IF(BU12=0," ",BT12/BU12)</f>
        <v xml:space="preserve"> </v>
      </c>
      <c r="BW12" s="58"/>
      <c r="BX12" s="24" t="str">
        <f>IF(BU12=0," ",BV12/BW12)</f>
        <v xml:space="preserve"> </v>
      </c>
      <c r="BY12" s="25" t="s">
        <v>2289</v>
      </c>
      <c r="BZ12" s="21"/>
      <c r="CA12" s="21"/>
      <c r="CB12" s="22" t="str">
        <f>IF(CA12=0," ",BZ12/CA12)</f>
        <v xml:space="preserve"> </v>
      </c>
      <c r="CC12" s="58"/>
      <c r="CD12" s="24" t="str">
        <f>IF(CA12=0," ",CB12/CC12)</f>
        <v xml:space="preserve"> </v>
      </c>
      <c r="CE12" s="25" t="s">
        <v>2289</v>
      </c>
      <c r="CF12" s="21"/>
      <c r="CG12" s="21"/>
      <c r="CH12" s="22" t="str">
        <f>IF(CG12=0," ",CF12/CG12)</f>
        <v xml:space="preserve"> </v>
      </c>
      <c r="CI12" s="58"/>
      <c r="CJ12" s="24" t="str">
        <f>IF(CG12=0," ",CH12/CI12)</f>
        <v xml:space="preserve"> </v>
      </c>
      <c r="CK12" s="25" t="s">
        <v>2289</v>
      </c>
      <c r="CL12" s="21"/>
      <c r="CM12" s="21"/>
      <c r="CN12" s="22" t="str">
        <f>IF(CM12=0," ",CL12/CM12)</f>
        <v xml:space="preserve"> </v>
      </c>
      <c r="CO12" s="58"/>
      <c r="CP12" s="24" t="str">
        <f>IF(CM12=0," ",CN12/CO12)</f>
        <v xml:space="preserve"> </v>
      </c>
      <c r="CQ12" s="25" t="s">
        <v>2289</v>
      </c>
      <c r="CR12" s="21">
        <f t="shared" si="1"/>
        <v>100</v>
      </c>
      <c r="CS12" s="21">
        <f t="shared" si="0"/>
        <v>100</v>
      </c>
      <c r="CT12" s="22">
        <f>IF(CS12=0," ",CR12/CS12)</f>
        <v>1</v>
      </c>
      <c r="CU12" s="58">
        <v>1</v>
      </c>
      <c r="CV12" s="24">
        <f>IF(CS12=0," ",CT12/CU12)</f>
        <v>1</v>
      </c>
      <c r="CW12" s="25" t="s">
        <v>2288</v>
      </c>
    </row>
    <row r="13" spans="1:101" ht="14.25" customHeight="1">
      <c r="B13" s="33"/>
      <c r="C13" s="34"/>
      <c r="D13" s="35"/>
      <c r="E13" s="35"/>
      <c r="F13" s="36"/>
      <c r="G13" s="36"/>
      <c r="H13" s="35" t="s">
        <v>49</v>
      </c>
      <c r="I13" s="36"/>
      <c r="J13" s="36"/>
      <c r="K13" s="37"/>
      <c r="L13" s="37"/>
      <c r="M13" s="38"/>
      <c r="N13" s="37"/>
      <c r="O13" s="37"/>
      <c r="P13" s="39"/>
      <c r="Q13" s="39"/>
      <c r="R13" s="39"/>
      <c r="S13" s="39"/>
      <c r="T13" s="39"/>
      <c r="U13" s="39"/>
      <c r="V13" s="39"/>
      <c r="W13" s="36"/>
      <c r="X13" s="709"/>
      <c r="Y13" s="709"/>
      <c r="Z13" s="22"/>
      <c r="AA13" s="24"/>
      <c r="AB13" s="24"/>
      <c r="AC13" s="1203"/>
      <c r="AD13" s="1203"/>
      <c r="AE13" s="709"/>
      <c r="AF13" s="709"/>
      <c r="AG13" s="22"/>
      <c r="AH13" s="24"/>
      <c r="AI13" s="24"/>
      <c r="AJ13" s="1203"/>
      <c r="AK13" s="709"/>
      <c r="AL13" s="709"/>
      <c r="AM13" s="22"/>
      <c r="AN13" s="24"/>
      <c r="AO13" s="24"/>
      <c r="AP13" s="709"/>
      <c r="AQ13" s="709"/>
      <c r="AR13" s="22"/>
      <c r="AS13" s="24"/>
      <c r="AT13" s="24"/>
      <c r="AU13" s="710"/>
      <c r="AV13" s="1203"/>
      <c r="AW13" s="709"/>
      <c r="AX13" s="709"/>
      <c r="AY13" s="22"/>
      <c r="AZ13" s="24"/>
      <c r="BA13" s="24"/>
      <c r="BB13" s="709"/>
      <c r="BC13" s="709"/>
      <c r="BD13" s="22"/>
      <c r="BE13" s="24"/>
      <c r="BF13" s="24"/>
      <c r="BG13" s="710"/>
      <c r="BH13" s="1203"/>
      <c r="BI13" s="709"/>
      <c r="BJ13" s="709"/>
      <c r="BK13" s="22"/>
      <c r="BL13" s="24"/>
      <c r="BM13" s="24"/>
      <c r="BN13" s="709"/>
      <c r="BO13" s="709"/>
      <c r="BP13" s="22"/>
      <c r="BQ13" s="24"/>
      <c r="BR13" s="24"/>
      <c r="BS13" s="710"/>
      <c r="BT13" s="1203"/>
      <c r="BU13" s="709"/>
      <c r="BV13" s="709"/>
      <c r="BW13" s="22"/>
      <c r="BX13" s="24"/>
      <c r="BY13" s="24"/>
      <c r="BZ13" s="709"/>
      <c r="CA13" s="709"/>
      <c r="CB13" s="22"/>
      <c r="CC13" s="24"/>
      <c r="CD13" s="24"/>
      <c r="CE13" s="710"/>
      <c r="CF13" s="1203"/>
      <c r="CG13" s="709"/>
      <c r="CH13" s="709"/>
      <c r="CI13" s="22"/>
      <c r="CJ13" s="24"/>
      <c r="CK13" s="24"/>
      <c r="CL13" s="709"/>
      <c r="CM13" s="709"/>
      <c r="CN13" s="22"/>
      <c r="CO13" s="24"/>
      <c r="CP13" s="24"/>
      <c r="CQ13" s="710"/>
      <c r="CR13" s="21"/>
      <c r="CS13" s="21"/>
      <c r="CT13" s="709"/>
      <c r="CU13" s="22"/>
      <c r="CV13" s="24"/>
      <c r="CW13" s="24"/>
    </row>
    <row r="14" spans="1:101" ht="69.75" customHeight="1">
      <c r="B14" s="8" t="s">
        <v>155</v>
      </c>
      <c r="C14" s="8" t="s">
        <v>156</v>
      </c>
      <c r="D14" s="13" t="s">
        <v>157</v>
      </c>
      <c r="E14" s="13" t="s">
        <v>158</v>
      </c>
      <c r="F14" s="8" t="s">
        <v>159</v>
      </c>
      <c r="G14" s="8" t="s">
        <v>53</v>
      </c>
      <c r="H14" s="13" t="s">
        <v>160</v>
      </c>
      <c r="I14" s="8" t="s">
        <v>161</v>
      </c>
      <c r="J14" s="8" t="s">
        <v>54</v>
      </c>
      <c r="K14" s="7"/>
      <c r="L14" s="7"/>
      <c r="M14" s="12"/>
      <c r="N14" s="7">
        <v>100</v>
      </c>
      <c r="O14" s="7"/>
      <c r="P14" s="7">
        <v>100</v>
      </c>
      <c r="Q14" s="74"/>
      <c r="R14" s="74"/>
      <c r="S14" s="7">
        <v>100</v>
      </c>
      <c r="T14" s="74"/>
      <c r="U14" s="74"/>
      <c r="V14" s="7">
        <v>100</v>
      </c>
      <c r="W14" s="75" t="s">
        <v>79</v>
      </c>
      <c r="X14" s="21"/>
      <c r="Y14" s="21"/>
      <c r="Z14" s="22" t="str">
        <f t="shared" ref="Z14:Z21" si="2">IF(Y14=0," ",X14/Y14)</f>
        <v xml:space="preserve"> </v>
      </c>
      <c r="AA14" s="58"/>
      <c r="AB14" s="24" t="str">
        <f t="shared" ref="AB14:AB21" si="3">IF(Y14=0," ",Z14/AA14)</f>
        <v xml:space="preserve"> </v>
      </c>
      <c r="AC14" s="25"/>
      <c r="AD14" s="21"/>
      <c r="AE14" s="21"/>
      <c r="AF14" s="22" t="str">
        <f t="shared" ref="AF14:AF21" si="4">IF(AE14=0," ",AD14/AE14)</f>
        <v xml:space="preserve"> </v>
      </c>
      <c r="AG14" s="58"/>
      <c r="AH14" s="24" t="str">
        <f t="shared" ref="AH14:AH21" si="5">IF(AE14=0," ",AF14/AG14)</f>
        <v xml:space="preserve"> </v>
      </c>
      <c r="AI14" s="25"/>
      <c r="AJ14" s="21"/>
      <c r="AK14" s="21"/>
      <c r="AL14" s="22" t="str">
        <f t="shared" ref="AL14:AL21" si="6">IF(AK14=0," ",AJ14/AK14)</f>
        <v xml:space="preserve"> </v>
      </c>
      <c r="AM14" s="58"/>
      <c r="AN14" s="24" t="str">
        <f t="shared" ref="AN14:AN21" si="7">IF(AK14=0," ",AL14/AM14)</f>
        <v xml:space="preserve"> </v>
      </c>
      <c r="AO14" s="25"/>
      <c r="AP14" s="21"/>
      <c r="AQ14" s="21"/>
      <c r="AR14" s="22" t="str">
        <f t="shared" ref="AR14:AR21" si="8">IF(AQ14=0," ",AP14/AQ14)</f>
        <v xml:space="preserve"> </v>
      </c>
      <c r="AS14" s="58"/>
      <c r="AT14" s="24" t="str">
        <f t="shared" ref="AT14:AT21" si="9">IF(AQ14=0," ",AR14/AS14)</f>
        <v xml:space="preserve"> </v>
      </c>
      <c r="AU14" s="25"/>
      <c r="AV14" s="21"/>
      <c r="AW14" s="21"/>
      <c r="AX14" s="22" t="str">
        <f t="shared" ref="AX14:AX21" si="10">IF(AW14=0," ",AV14/AW14)</f>
        <v xml:space="preserve"> </v>
      </c>
      <c r="AY14" s="58"/>
      <c r="AZ14" s="24" t="str">
        <f t="shared" ref="AZ14:AZ21" si="11">IF(AW14=0," ",AX14/AY14)</f>
        <v xml:space="preserve"> </v>
      </c>
      <c r="BA14" s="25"/>
      <c r="BB14" s="21"/>
      <c r="BC14" s="21"/>
      <c r="BD14" s="22" t="str">
        <f t="shared" ref="BD14:BD21" si="12">IF(BC14=0," ",BB14/BC14)</f>
        <v xml:space="preserve"> </v>
      </c>
      <c r="BE14" s="58"/>
      <c r="BF14" s="24" t="str">
        <f t="shared" ref="BF14:BF21" si="13">IF(BC14=0," ",BD14/BE14)</f>
        <v xml:space="preserve"> </v>
      </c>
      <c r="BG14" s="25"/>
      <c r="BH14" s="21"/>
      <c r="BI14" s="21"/>
      <c r="BJ14" s="22" t="str">
        <f t="shared" ref="BJ14:BJ21" si="14">IF(BI14=0," ",BH14/BI14)</f>
        <v xml:space="preserve"> </v>
      </c>
      <c r="BK14" s="58"/>
      <c r="BL14" s="24" t="str">
        <f t="shared" ref="BL14:BL21" si="15">IF(BI14=0," ",BJ14/BK14)</f>
        <v xml:space="preserve"> </v>
      </c>
      <c r="BM14" s="25"/>
      <c r="BN14" s="21"/>
      <c r="BO14" s="21"/>
      <c r="BP14" s="22" t="str">
        <f t="shared" ref="BP14:BP21" si="16">IF(BO14=0," ",BN14/BO14)</f>
        <v xml:space="preserve"> </v>
      </c>
      <c r="BQ14" s="58"/>
      <c r="BR14" s="24" t="str">
        <f t="shared" ref="BR14:BR21" si="17">IF(BO14=0," ",BP14/BQ14)</f>
        <v xml:space="preserve"> </v>
      </c>
      <c r="BS14" s="25"/>
      <c r="BT14" s="21"/>
      <c r="BU14" s="21"/>
      <c r="BV14" s="22" t="str">
        <f t="shared" ref="BV14:BV21" si="18">IF(BU14=0," ",BT14/BU14)</f>
        <v xml:space="preserve"> </v>
      </c>
      <c r="BW14" s="58"/>
      <c r="BX14" s="24" t="str">
        <f t="shared" ref="BX14:BX21" si="19">IF(BU14=0," ",BV14/BW14)</f>
        <v xml:space="preserve"> </v>
      </c>
      <c r="BY14" s="25"/>
      <c r="BZ14" s="21"/>
      <c r="CA14" s="21"/>
      <c r="CB14" s="22" t="str">
        <f t="shared" ref="CB14:CB21" si="20">IF(CA14=0," ",BZ14/CA14)</f>
        <v xml:space="preserve"> </v>
      </c>
      <c r="CC14" s="58"/>
      <c r="CD14" s="24" t="str">
        <f t="shared" ref="CD14:CD21" si="21">IF(CA14=0," ",CB14/CC14)</f>
        <v xml:space="preserve"> </v>
      </c>
      <c r="CE14" s="25"/>
      <c r="CF14" s="21"/>
      <c r="CG14" s="21"/>
      <c r="CH14" s="22" t="str">
        <f t="shared" ref="CH14:CH21" si="22">IF(CG14=0," ",CF14/CG14)</f>
        <v xml:space="preserve"> </v>
      </c>
      <c r="CI14" s="58"/>
      <c r="CJ14" s="24" t="str">
        <f t="shared" ref="CJ14:CJ21" si="23">IF(CG14=0," ",CH14/CI14)</f>
        <v xml:space="preserve"> </v>
      </c>
      <c r="CK14" s="25"/>
      <c r="CL14" s="21">
        <v>21</v>
      </c>
      <c r="CM14" s="21">
        <v>23</v>
      </c>
      <c r="CN14" s="22">
        <f t="shared" ref="CN14:CN21" si="24">IF(CM14=0," ",CL14/CM14)</f>
        <v>0.91304347826086951</v>
      </c>
      <c r="CO14" s="58">
        <v>1</v>
      </c>
      <c r="CP14" s="24">
        <f t="shared" ref="CP14:CP21" si="25">IF(CM14=0," ",CN14/CO14)</f>
        <v>0.91304347826086951</v>
      </c>
      <c r="CQ14" s="25" t="s">
        <v>2290</v>
      </c>
      <c r="CR14" s="21">
        <f t="shared" si="1"/>
        <v>21</v>
      </c>
      <c r="CS14" s="21">
        <f t="shared" si="0"/>
        <v>23</v>
      </c>
      <c r="CT14" s="22">
        <f t="shared" ref="CT14:CT21" si="26">IF(CS14=0," ",CR14/CS14)</f>
        <v>0.91304347826086951</v>
      </c>
      <c r="CU14" s="58">
        <v>1</v>
      </c>
      <c r="CV14" s="24">
        <f t="shared" ref="CV14:CV21" si="27">IF(CS14=0," ",CT14/CU14)</f>
        <v>0.91304347826086951</v>
      </c>
      <c r="CW14" s="25" t="s">
        <v>2290</v>
      </c>
    </row>
    <row r="15" spans="1:101" ht="84.75" customHeight="1">
      <c r="B15" s="8" t="s">
        <v>55</v>
      </c>
      <c r="C15" s="8" t="s">
        <v>89</v>
      </c>
      <c r="D15" s="8" t="s">
        <v>56</v>
      </c>
      <c r="E15" s="8" t="s">
        <v>57</v>
      </c>
      <c r="F15" s="403" t="s">
        <v>58</v>
      </c>
      <c r="G15" s="8" t="s">
        <v>53</v>
      </c>
      <c r="H15" s="403" t="s">
        <v>59</v>
      </c>
      <c r="I15" s="8" t="s">
        <v>60</v>
      </c>
      <c r="J15" s="135" t="s">
        <v>54</v>
      </c>
      <c r="K15" s="7"/>
      <c r="L15" s="7"/>
      <c r="M15" s="12">
        <v>1</v>
      </c>
      <c r="N15" s="7"/>
      <c r="O15" s="7"/>
      <c r="P15" s="12">
        <v>1</v>
      </c>
      <c r="Q15" s="12"/>
      <c r="R15" s="7"/>
      <c r="S15" s="12">
        <v>1</v>
      </c>
      <c r="T15" s="12"/>
      <c r="U15" s="7"/>
      <c r="V15" s="12">
        <v>1</v>
      </c>
      <c r="W15" s="1247" t="s">
        <v>79</v>
      </c>
      <c r="X15" s="21"/>
      <c r="Y15" s="21"/>
      <c r="Z15" s="22" t="str">
        <f t="shared" si="2"/>
        <v xml:space="preserve"> </v>
      </c>
      <c r="AA15" s="58"/>
      <c r="AB15" s="24" t="str">
        <f t="shared" si="3"/>
        <v xml:space="preserve"> </v>
      </c>
      <c r="AC15" s="25"/>
      <c r="AD15" s="21"/>
      <c r="AE15" s="21"/>
      <c r="AF15" s="22" t="str">
        <f t="shared" si="4"/>
        <v xml:space="preserve"> </v>
      </c>
      <c r="AG15" s="58"/>
      <c r="AH15" s="24" t="str">
        <f t="shared" si="5"/>
        <v xml:space="preserve"> </v>
      </c>
      <c r="AI15" s="25"/>
      <c r="AJ15" s="21"/>
      <c r="AK15" s="21"/>
      <c r="AL15" s="22" t="str">
        <f t="shared" si="6"/>
        <v xml:space="preserve"> </v>
      </c>
      <c r="AM15" s="58"/>
      <c r="AN15" s="24" t="str">
        <f t="shared" si="7"/>
        <v xml:space="preserve"> </v>
      </c>
      <c r="AO15" s="25"/>
      <c r="AP15" s="21"/>
      <c r="AQ15" s="21"/>
      <c r="AR15" s="22" t="str">
        <f t="shared" si="8"/>
        <v xml:space="preserve"> </v>
      </c>
      <c r="AS15" s="58"/>
      <c r="AT15" s="24" t="str">
        <f t="shared" si="9"/>
        <v xml:space="preserve"> </v>
      </c>
      <c r="AU15" s="25"/>
      <c r="AV15" s="21"/>
      <c r="AW15" s="21"/>
      <c r="AX15" s="22" t="str">
        <f t="shared" si="10"/>
        <v xml:space="preserve"> </v>
      </c>
      <c r="AY15" s="58"/>
      <c r="AZ15" s="24" t="str">
        <f t="shared" si="11"/>
        <v xml:space="preserve"> </v>
      </c>
      <c r="BA15" s="25"/>
      <c r="BB15" s="21"/>
      <c r="BC15" s="21"/>
      <c r="BD15" s="22" t="str">
        <f t="shared" si="12"/>
        <v xml:space="preserve"> </v>
      </c>
      <c r="BE15" s="58"/>
      <c r="BF15" s="24" t="str">
        <f t="shared" si="13"/>
        <v xml:space="preserve"> </v>
      </c>
      <c r="BG15" s="25"/>
      <c r="BH15" s="21"/>
      <c r="BI15" s="21"/>
      <c r="BJ15" s="22" t="str">
        <f t="shared" si="14"/>
        <v xml:space="preserve"> </v>
      </c>
      <c r="BK15" s="58"/>
      <c r="BL15" s="24" t="str">
        <f t="shared" si="15"/>
        <v xml:space="preserve"> </v>
      </c>
      <c r="BM15" s="25"/>
      <c r="BN15" s="21"/>
      <c r="BO15" s="21"/>
      <c r="BP15" s="22" t="str">
        <f t="shared" si="16"/>
        <v xml:space="preserve"> </v>
      </c>
      <c r="BQ15" s="58"/>
      <c r="BR15" s="24" t="str">
        <f t="shared" si="17"/>
        <v xml:space="preserve"> </v>
      </c>
      <c r="BS15" s="25"/>
      <c r="BT15" s="21"/>
      <c r="BU15" s="21"/>
      <c r="BV15" s="22" t="str">
        <f t="shared" si="18"/>
        <v xml:space="preserve"> </v>
      </c>
      <c r="BW15" s="58"/>
      <c r="BX15" s="24" t="str">
        <f t="shared" si="19"/>
        <v xml:space="preserve"> </v>
      </c>
      <c r="BY15" s="25"/>
      <c r="BZ15" s="21"/>
      <c r="CA15" s="21"/>
      <c r="CB15" s="22" t="str">
        <f t="shared" si="20"/>
        <v xml:space="preserve"> </v>
      </c>
      <c r="CC15" s="58"/>
      <c r="CD15" s="24" t="str">
        <f t="shared" si="21"/>
        <v xml:space="preserve"> </v>
      </c>
      <c r="CE15" s="25"/>
      <c r="CF15" s="21"/>
      <c r="CG15" s="21"/>
      <c r="CH15" s="22" t="str">
        <f t="shared" si="22"/>
        <v xml:space="preserve"> </v>
      </c>
      <c r="CI15" s="58"/>
      <c r="CJ15" s="24" t="str">
        <f t="shared" si="23"/>
        <v xml:space="preserve"> </v>
      </c>
      <c r="CK15" s="25"/>
      <c r="CL15" s="21"/>
      <c r="CM15" s="21"/>
      <c r="CN15" s="22" t="str">
        <f t="shared" si="24"/>
        <v xml:space="preserve"> </v>
      </c>
      <c r="CO15" s="58"/>
      <c r="CP15" s="24" t="str">
        <f t="shared" si="25"/>
        <v xml:space="preserve"> </v>
      </c>
      <c r="CQ15" s="25" t="s">
        <v>2266</v>
      </c>
      <c r="CR15" s="21">
        <f t="shared" si="1"/>
        <v>0</v>
      </c>
      <c r="CS15" s="21">
        <f t="shared" si="0"/>
        <v>0</v>
      </c>
      <c r="CT15" s="22" t="str">
        <f t="shared" si="26"/>
        <v xml:space="preserve"> </v>
      </c>
      <c r="CU15" s="58"/>
      <c r="CV15" s="24" t="str">
        <f t="shared" si="27"/>
        <v xml:space="preserve"> </v>
      </c>
      <c r="CW15" s="25" t="s">
        <v>1864</v>
      </c>
    </row>
    <row r="16" spans="1:101" ht="91.5" customHeight="1">
      <c r="B16" s="8" t="s">
        <v>55</v>
      </c>
      <c r="C16" s="8" t="s">
        <v>88</v>
      </c>
      <c r="D16" s="8" t="s">
        <v>61</v>
      </c>
      <c r="E16" s="8" t="s">
        <v>57</v>
      </c>
      <c r="F16" s="403" t="s">
        <v>62</v>
      </c>
      <c r="G16" s="8" t="s">
        <v>53</v>
      </c>
      <c r="H16" s="8" t="s">
        <v>63</v>
      </c>
      <c r="I16" s="8" t="s">
        <v>64</v>
      </c>
      <c r="J16" s="135" t="s">
        <v>54</v>
      </c>
      <c r="K16" s="713"/>
      <c r="L16" s="714">
        <v>1</v>
      </c>
      <c r="M16" s="714"/>
      <c r="N16" s="714">
        <v>1</v>
      </c>
      <c r="O16" s="713"/>
      <c r="P16" s="60">
        <v>1</v>
      </c>
      <c r="Q16" s="715"/>
      <c r="R16" s="60">
        <v>1</v>
      </c>
      <c r="S16" s="715"/>
      <c r="T16" s="60">
        <v>1</v>
      </c>
      <c r="U16" s="716"/>
      <c r="V16" s="60">
        <v>1</v>
      </c>
      <c r="W16" s="1247" t="s">
        <v>79</v>
      </c>
      <c r="X16" s="21"/>
      <c r="Y16" s="21"/>
      <c r="Z16" s="22" t="str">
        <f t="shared" si="2"/>
        <v xml:space="preserve"> </v>
      </c>
      <c r="AA16" s="58"/>
      <c r="AB16" s="24" t="str">
        <f t="shared" si="3"/>
        <v xml:space="preserve"> </v>
      </c>
      <c r="AC16" s="25"/>
      <c r="AD16" s="21"/>
      <c r="AE16" s="21"/>
      <c r="AF16" s="22" t="str">
        <f t="shared" si="4"/>
        <v xml:space="preserve"> </v>
      </c>
      <c r="AG16" s="58"/>
      <c r="AH16" s="24" t="str">
        <f t="shared" si="5"/>
        <v xml:space="preserve"> </v>
      </c>
      <c r="AI16" s="25"/>
      <c r="AJ16" s="21"/>
      <c r="AK16" s="21"/>
      <c r="AL16" s="22" t="str">
        <f t="shared" si="6"/>
        <v xml:space="preserve"> </v>
      </c>
      <c r="AM16" s="58"/>
      <c r="AN16" s="24" t="str">
        <f t="shared" si="7"/>
        <v xml:space="preserve"> </v>
      </c>
      <c r="AO16" s="25"/>
      <c r="AP16" s="21"/>
      <c r="AQ16" s="21"/>
      <c r="AR16" s="22" t="str">
        <f t="shared" si="8"/>
        <v xml:space="preserve"> </v>
      </c>
      <c r="AS16" s="58"/>
      <c r="AT16" s="24" t="str">
        <f t="shared" si="9"/>
        <v xml:space="preserve"> </v>
      </c>
      <c r="AU16" s="25"/>
      <c r="AV16" s="21"/>
      <c r="AW16" s="21"/>
      <c r="AX16" s="22" t="str">
        <f t="shared" si="10"/>
        <v xml:space="preserve"> </v>
      </c>
      <c r="AY16" s="58"/>
      <c r="AZ16" s="24" t="str">
        <f t="shared" si="11"/>
        <v xml:space="preserve"> </v>
      </c>
      <c r="BA16" s="25"/>
      <c r="BB16" s="21"/>
      <c r="BC16" s="21"/>
      <c r="BD16" s="22" t="str">
        <f t="shared" si="12"/>
        <v xml:space="preserve"> </v>
      </c>
      <c r="BE16" s="58"/>
      <c r="BF16" s="24" t="str">
        <f t="shared" si="13"/>
        <v xml:space="preserve"> </v>
      </c>
      <c r="BG16" s="25"/>
      <c r="BH16" s="21"/>
      <c r="BI16" s="21"/>
      <c r="BJ16" s="22" t="str">
        <f t="shared" si="14"/>
        <v xml:space="preserve"> </v>
      </c>
      <c r="BK16" s="58"/>
      <c r="BL16" s="24" t="str">
        <f t="shared" si="15"/>
        <v xml:space="preserve"> </v>
      </c>
      <c r="BM16" s="25"/>
      <c r="BN16" s="21"/>
      <c r="BO16" s="21"/>
      <c r="BP16" s="22" t="str">
        <f t="shared" si="16"/>
        <v xml:space="preserve"> </v>
      </c>
      <c r="BQ16" s="58"/>
      <c r="BR16" s="24" t="str">
        <f t="shared" si="17"/>
        <v xml:space="preserve"> </v>
      </c>
      <c r="BS16" s="25"/>
      <c r="BT16" s="21"/>
      <c r="BU16" s="21"/>
      <c r="BV16" s="22" t="str">
        <f t="shared" si="18"/>
        <v xml:space="preserve"> </v>
      </c>
      <c r="BW16" s="58"/>
      <c r="BX16" s="24" t="str">
        <f t="shared" si="19"/>
        <v xml:space="preserve"> </v>
      </c>
      <c r="BY16" s="25"/>
      <c r="BZ16" s="21"/>
      <c r="CA16" s="21"/>
      <c r="CB16" s="22" t="str">
        <f t="shared" si="20"/>
        <v xml:space="preserve"> </v>
      </c>
      <c r="CC16" s="58"/>
      <c r="CD16" s="24" t="str">
        <f t="shared" si="21"/>
        <v xml:space="preserve"> </v>
      </c>
      <c r="CE16" s="25"/>
      <c r="CF16" s="21"/>
      <c r="CG16" s="21"/>
      <c r="CH16" s="22" t="str">
        <f t="shared" si="22"/>
        <v xml:space="preserve"> </v>
      </c>
      <c r="CI16" s="58"/>
      <c r="CJ16" s="24" t="str">
        <f t="shared" si="23"/>
        <v xml:space="preserve"> </v>
      </c>
      <c r="CK16" s="25"/>
      <c r="CL16" s="21"/>
      <c r="CM16" s="21"/>
      <c r="CN16" s="22" t="str">
        <f t="shared" si="24"/>
        <v xml:space="preserve"> </v>
      </c>
      <c r="CO16" s="58"/>
      <c r="CP16" s="24" t="str">
        <f t="shared" si="25"/>
        <v xml:space="preserve"> </v>
      </c>
      <c r="CQ16" s="25" t="s">
        <v>2266</v>
      </c>
      <c r="CR16" s="21">
        <f t="shared" si="1"/>
        <v>0</v>
      </c>
      <c r="CS16" s="21">
        <f t="shared" si="0"/>
        <v>0</v>
      </c>
      <c r="CT16" s="22" t="str">
        <f t="shared" si="26"/>
        <v xml:space="preserve"> </v>
      </c>
      <c r="CU16" s="58"/>
      <c r="CV16" s="24" t="str">
        <f t="shared" si="27"/>
        <v xml:space="preserve"> </v>
      </c>
      <c r="CW16" s="25" t="s">
        <v>2266</v>
      </c>
    </row>
    <row r="17" spans="2:101" ht="113.25" customHeight="1">
      <c r="B17" s="391" t="s">
        <v>260</v>
      </c>
      <c r="C17" s="8" t="s">
        <v>261</v>
      </c>
      <c r="D17" s="391" t="s">
        <v>262</v>
      </c>
      <c r="E17" s="8" t="s">
        <v>263</v>
      </c>
      <c r="F17" s="391" t="s">
        <v>264</v>
      </c>
      <c r="G17" s="8" t="s">
        <v>66</v>
      </c>
      <c r="H17" s="391" t="s">
        <v>390</v>
      </c>
      <c r="I17" s="8" t="s">
        <v>267</v>
      </c>
      <c r="J17" s="8" t="s">
        <v>391</v>
      </c>
      <c r="K17" s="7"/>
      <c r="L17" s="7"/>
      <c r="M17" s="12"/>
      <c r="N17" s="7"/>
      <c r="O17" s="7"/>
      <c r="P17" s="7"/>
      <c r="Q17" s="7"/>
      <c r="R17" s="7"/>
      <c r="S17" s="7"/>
      <c r="T17" s="7"/>
      <c r="U17" s="7"/>
      <c r="V17" s="7"/>
      <c r="W17" s="1248" t="s">
        <v>2291</v>
      </c>
      <c r="X17" s="21"/>
      <c r="Y17" s="21"/>
      <c r="Z17" s="22" t="str">
        <f t="shared" si="2"/>
        <v xml:space="preserve"> </v>
      </c>
      <c r="AA17" s="58"/>
      <c r="AB17" s="24" t="str">
        <f t="shared" si="3"/>
        <v xml:space="preserve"> </v>
      </c>
      <c r="AC17" s="25"/>
      <c r="AD17" s="21"/>
      <c r="AE17" s="21"/>
      <c r="AF17" s="22" t="str">
        <f t="shared" si="4"/>
        <v xml:space="preserve"> </v>
      </c>
      <c r="AG17" s="58"/>
      <c r="AH17" s="24" t="str">
        <f t="shared" si="5"/>
        <v xml:space="preserve"> </v>
      </c>
      <c r="AI17" s="25"/>
      <c r="AJ17" s="21"/>
      <c r="AK17" s="21"/>
      <c r="AL17" s="22" t="str">
        <f t="shared" si="6"/>
        <v xml:space="preserve"> </v>
      </c>
      <c r="AM17" s="58"/>
      <c r="AN17" s="24" t="str">
        <f t="shared" si="7"/>
        <v xml:space="preserve"> </v>
      </c>
      <c r="AO17" s="25"/>
      <c r="AP17" s="21"/>
      <c r="AQ17" s="21"/>
      <c r="AR17" s="22" t="str">
        <f t="shared" si="8"/>
        <v xml:space="preserve"> </v>
      </c>
      <c r="AS17" s="58"/>
      <c r="AT17" s="24" t="str">
        <f t="shared" si="9"/>
        <v xml:space="preserve"> </v>
      </c>
      <c r="AU17" s="25"/>
      <c r="AV17" s="21"/>
      <c r="AW17" s="21"/>
      <c r="AX17" s="22" t="str">
        <f t="shared" si="10"/>
        <v xml:space="preserve"> </v>
      </c>
      <c r="AY17" s="58"/>
      <c r="AZ17" s="24" t="str">
        <f t="shared" si="11"/>
        <v xml:space="preserve"> </v>
      </c>
      <c r="BA17" s="25"/>
      <c r="BB17" s="21"/>
      <c r="BC17" s="21"/>
      <c r="BD17" s="22" t="str">
        <f t="shared" si="12"/>
        <v xml:space="preserve"> </v>
      </c>
      <c r="BE17" s="58"/>
      <c r="BF17" s="24" t="str">
        <f t="shared" si="13"/>
        <v xml:space="preserve"> </v>
      </c>
      <c r="BG17" s="25"/>
      <c r="BH17" s="21"/>
      <c r="BI17" s="21"/>
      <c r="BJ17" s="22" t="str">
        <f t="shared" si="14"/>
        <v xml:space="preserve"> </v>
      </c>
      <c r="BK17" s="58"/>
      <c r="BL17" s="24" t="str">
        <f t="shared" si="15"/>
        <v xml:space="preserve"> </v>
      </c>
      <c r="BM17" s="25"/>
      <c r="BN17" s="21"/>
      <c r="BO17" s="21"/>
      <c r="BP17" s="22" t="str">
        <f t="shared" si="16"/>
        <v xml:space="preserve"> </v>
      </c>
      <c r="BQ17" s="58"/>
      <c r="BR17" s="24" t="str">
        <f t="shared" si="17"/>
        <v xml:space="preserve"> </v>
      </c>
      <c r="BS17" s="25"/>
      <c r="BT17" s="21"/>
      <c r="BU17" s="21"/>
      <c r="BV17" s="22" t="str">
        <f t="shared" si="18"/>
        <v xml:space="preserve"> </v>
      </c>
      <c r="BW17" s="58"/>
      <c r="BX17" s="24" t="str">
        <f t="shared" si="19"/>
        <v xml:space="preserve"> </v>
      </c>
      <c r="BY17" s="25"/>
      <c r="BZ17" s="21"/>
      <c r="CA17" s="21"/>
      <c r="CB17" s="22" t="str">
        <f t="shared" si="20"/>
        <v xml:space="preserve"> </v>
      </c>
      <c r="CC17" s="58"/>
      <c r="CD17" s="24" t="str">
        <f t="shared" si="21"/>
        <v xml:space="preserve"> </v>
      </c>
      <c r="CE17" s="25"/>
      <c r="CF17" s="21"/>
      <c r="CG17" s="21"/>
      <c r="CH17" s="22" t="str">
        <f t="shared" si="22"/>
        <v xml:space="preserve"> </v>
      </c>
      <c r="CI17" s="58"/>
      <c r="CJ17" s="24" t="str">
        <f t="shared" si="23"/>
        <v xml:space="preserve"> </v>
      </c>
      <c r="CK17" s="25"/>
      <c r="CL17" s="21"/>
      <c r="CM17" s="21"/>
      <c r="CN17" s="22" t="str">
        <f t="shared" si="24"/>
        <v xml:space="preserve"> </v>
      </c>
      <c r="CO17" s="58"/>
      <c r="CP17" s="24" t="str">
        <f t="shared" si="25"/>
        <v xml:space="preserve"> </v>
      </c>
      <c r="CQ17" s="25" t="s">
        <v>2266</v>
      </c>
      <c r="CR17" s="21">
        <f t="shared" si="1"/>
        <v>0</v>
      </c>
      <c r="CS17" s="21">
        <f t="shared" si="0"/>
        <v>0</v>
      </c>
      <c r="CT17" s="22" t="str">
        <f t="shared" si="26"/>
        <v xml:space="preserve"> </v>
      </c>
      <c r="CU17" s="58"/>
      <c r="CV17" s="24" t="str">
        <f t="shared" si="27"/>
        <v xml:space="preserve"> </v>
      </c>
      <c r="CW17" s="25" t="s">
        <v>2266</v>
      </c>
    </row>
    <row r="18" spans="2:101" ht="90.75" customHeight="1">
      <c r="B18" s="391" t="s">
        <v>260</v>
      </c>
      <c r="C18" s="8" t="s">
        <v>273</v>
      </c>
      <c r="D18" s="352" t="s">
        <v>274</v>
      </c>
      <c r="E18" s="8" t="s">
        <v>275</v>
      </c>
      <c r="F18" s="391" t="s">
        <v>276</v>
      </c>
      <c r="G18" s="8" t="s">
        <v>66</v>
      </c>
      <c r="H18" s="391" t="s">
        <v>394</v>
      </c>
      <c r="I18" s="8" t="s">
        <v>267</v>
      </c>
      <c r="J18" s="8" t="s">
        <v>391</v>
      </c>
      <c r="K18" s="7"/>
      <c r="L18" s="7"/>
      <c r="M18" s="7"/>
      <c r="N18" s="7"/>
      <c r="O18" s="7"/>
      <c r="P18" s="7"/>
      <c r="Q18" s="7"/>
      <c r="R18" s="7"/>
      <c r="S18" s="7"/>
      <c r="T18" s="7"/>
      <c r="U18" s="7"/>
      <c r="V18" s="7"/>
      <c r="W18" s="1248" t="s">
        <v>2292</v>
      </c>
      <c r="X18" s="21"/>
      <c r="Y18" s="21"/>
      <c r="Z18" s="22" t="str">
        <f t="shared" si="2"/>
        <v xml:space="preserve"> </v>
      </c>
      <c r="AA18" s="58"/>
      <c r="AB18" s="24" t="str">
        <f t="shared" si="3"/>
        <v xml:space="preserve"> </v>
      </c>
      <c r="AC18" s="25"/>
      <c r="AD18" s="21"/>
      <c r="AE18" s="21"/>
      <c r="AF18" s="22" t="str">
        <f t="shared" si="4"/>
        <v xml:space="preserve"> </v>
      </c>
      <c r="AG18" s="58"/>
      <c r="AH18" s="24" t="str">
        <f t="shared" si="5"/>
        <v xml:space="preserve"> </v>
      </c>
      <c r="AI18" s="25"/>
      <c r="AJ18" s="21"/>
      <c r="AK18" s="21"/>
      <c r="AL18" s="22" t="str">
        <f t="shared" si="6"/>
        <v xml:space="preserve"> </v>
      </c>
      <c r="AM18" s="58"/>
      <c r="AN18" s="24" t="str">
        <f t="shared" si="7"/>
        <v xml:space="preserve"> </v>
      </c>
      <c r="AO18" s="25"/>
      <c r="AP18" s="21"/>
      <c r="AQ18" s="21"/>
      <c r="AR18" s="22" t="str">
        <f t="shared" si="8"/>
        <v xml:space="preserve"> </v>
      </c>
      <c r="AS18" s="58"/>
      <c r="AT18" s="24" t="str">
        <f t="shared" si="9"/>
        <v xml:space="preserve"> </v>
      </c>
      <c r="AU18" s="25"/>
      <c r="AV18" s="21"/>
      <c r="AW18" s="21"/>
      <c r="AX18" s="22" t="str">
        <f t="shared" si="10"/>
        <v xml:space="preserve"> </v>
      </c>
      <c r="AY18" s="58"/>
      <c r="AZ18" s="24" t="str">
        <f t="shared" si="11"/>
        <v xml:space="preserve"> </v>
      </c>
      <c r="BA18" s="25"/>
      <c r="BB18" s="21"/>
      <c r="BC18" s="21"/>
      <c r="BD18" s="22" t="str">
        <f t="shared" si="12"/>
        <v xml:space="preserve"> </v>
      </c>
      <c r="BE18" s="58"/>
      <c r="BF18" s="24" t="str">
        <f t="shared" si="13"/>
        <v xml:space="preserve"> </v>
      </c>
      <c r="BG18" s="25"/>
      <c r="BH18" s="21"/>
      <c r="BI18" s="21"/>
      <c r="BJ18" s="22" t="str">
        <f t="shared" si="14"/>
        <v xml:space="preserve"> </v>
      </c>
      <c r="BK18" s="58"/>
      <c r="BL18" s="24" t="str">
        <f t="shared" si="15"/>
        <v xml:space="preserve"> </v>
      </c>
      <c r="BM18" s="25"/>
      <c r="BN18" s="21"/>
      <c r="BO18" s="21"/>
      <c r="BP18" s="22" t="str">
        <f t="shared" si="16"/>
        <v xml:space="preserve"> </v>
      </c>
      <c r="BQ18" s="58"/>
      <c r="BR18" s="24" t="str">
        <f t="shared" si="17"/>
        <v xml:space="preserve"> </v>
      </c>
      <c r="BS18" s="25"/>
      <c r="BT18" s="21"/>
      <c r="BU18" s="21"/>
      <c r="BV18" s="22" t="str">
        <f t="shared" si="18"/>
        <v xml:space="preserve"> </v>
      </c>
      <c r="BW18" s="58"/>
      <c r="BX18" s="24" t="str">
        <f t="shared" si="19"/>
        <v xml:space="preserve"> </v>
      </c>
      <c r="BY18" s="25"/>
      <c r="BZ18" s="21"/>
      <c r="CA18" s="21"/>
      <c r="CB18" s="22" t="str">
        <f t="shared" si="20"/>
        <v xml:space="preserve"> </v>
      </c>
      <c r="CC18" s="58"/>
      <c r="CD18" s="24" t="str">
        <f t="shared" si="21"/>
        <v xml:space="preserve"> </v>
      </c>
      <c r="CE18" s="25"/>
      <c r="CF18" s="21"/>
      <c r="CG18" s="21"/>
      <c r="CH18" s="22" t="str">
        <f t="shared" si="22"/>
        <v xml:space="preserve"> </v>
      </c>
      <c r="CI18" s="58"/>
      <c r="CJ18" s="24" t="str">
        <f t="shared" si="23"/>
        <v xml:space="preserve"> </v>
      </c>
      <c r="CK18" s="25"/>
      <c r="CL18" s="21"/>
      <c r="CM18" s="21"/>
      <c r="CN18" s="22" t="str">
        <f t="shared" si="24"/>
        <v xml:space="preserve"> </v>
      </c>
      <c r="CO18" s="58"/>
      <c r="CP18" s="24" t="str">
        <f t="shared" si="25"/>
        <v xml:space="preserve"> </v>
      </c>
      <c r="CQ18" s="25" t="s">
        <v>2266</v>
      </c>
      <c r="CR18" s="21">
        <f t="shared" si="1"/>
        <v>0</v>
      </c>
      <c r="CS18" s="21">
        <f t="shared" si="0"/>
        <v>0</v>
      </c>
      <c r="CT18" s="22" t="str">
        <f t="shared" si="26"/>
        <v xml:space="preserve"> </v>
      </c>
      <c r="CU18" s="58"/>
      <c r="CV18" s="24" t="str">
        <f t="shared" si="27"/>
        <v xml:space="preserve"> </v>
      </c>
      <c r="CW18" s="25" t="s">
        <v>2266</v>
      </c>
    </row>
    <row r="19" spans="2:101" ht="78" customHeight="1">
      <c r="B19" s="391" t="s">
        <v>67</v>
      </c>
      <c r="C19" s="790" t="s">
        <v>90</v>
      </c>
      <c r="D19" s="790" t="s">
        <v>93</v>
      </c>
      <c r="E19" s="790" t="s">
        <v>68</v>
      </c>
      <c r="F19" s="790" t="s">
        <v>69</v>
      </c>
      <c r="G19" s="790" t="s">
        <v>53</v>
      </c>
      <c r="H19" s="790" t="s">
        <v>70</v>
      </c>
      <c r="I19" s="790" t="s">
        <v>71</v>
      </c>
      <c r="J19" s="790" t="s">
        <v>54</v>
      </c>
      <c r="K19" s="1212" t="s">
        <v>2079</v>
      </c>
      <c r="L19" s="1213" t="s">
        <v>2079</v>
      </c>
      <c r="M19" s="1213" t="s">
        <v>2079</v>
      </c>
      <c r="N19" s="1213" t="s">
        <v>2079</v>
      </c>
      <c r="O19" s="1213" t="s">
        <v>2079</v>
      </c>
      <c r="P19" s="1213" t="s">
        <v>2079</v>
      </c>
      <c r="Q19" s="1213" t="s">
        <v>2079</v>
      </c>
      <c r="R19" s="1213" t="s">
        <v>2079</v>
      </c>
      <c r="S19" s="1213" t="s">
        <v>2079</v>
      </c>
      <c r="T19" s="1213" t="s">
        <v>2079</v>
      </c>
      <c r="U19" s="1213" t="s">
        <v>2079</v>
      </c>
      <c r="V19" s="1213" t="s">
        <v>2079</v>
      </c>
      <c r="W19" s="1249" t="s">
        <v>72</v>
      </c>
      <c r="X19" s="21"/>
      <c r="Y19" s="21"/>
      <c r="Z19" s="22" t="str">
        <f t="shared" si="2"/>
        <v xml:space="preserve"> </v>
      </c>
      <c r="AA19" s="58"/>
      <c r="AB19" s="24" t="str">
        <f t="shared" si="3"/>
        <v xml:space="preserve"> </v>
      </c>
      <c r="AC19" s="25"/>
      <c r="AD19" s="21"/>
      <c r="AE19" s="21"/>
      <c r="AF19" s="22" t="str">
        <f t="shared" si="4"/>
        <v xml:space="preserve"> </v>
      </c>
      <c r="AG19" s="58"/>
      <c r="AH19" s="24" t="str">
        <f t="shared" si="5"/>
        <v xml:space="preserve"> </v>
      </c>
      <c r="AI19" s="25"/>
      <c r="AJ19" s="21"/>
      <c r="AK19" s="21"/>
      <c r="AL19" s="22" t="str">
        <f t="shared" si="6"/>
        <v xml:space="preserve"> </v>
      </c>
      <c r="AM19" s="58"/>
      <c r="AN19" s="24" t="str">
        <f t="shared" si="7"/>
        <v xml:space="preserve"> </v>
      </c>
      <c r="AO19" s="25"/>
      <c r="AP19" s="21"/>
      <c r="AQ19" s="21"/>
      <c r="AR19" s="22" t="str">
        <f t="shared" si="8"/>
        <v xml:space="preserve"> </v>
      </c>
      <c r="AS19" s="58"/>
      <c r="AT19" s="24" t="str">
        <f t="shared" si="9"/>
        <v xml:space="preserve"> </v>
      </c>
      <c r="AU19" s="25"/>
      <c r="AV19" s="21"/>
      <c r="AW19" s="21"/>
      <c r="AX19" s="22" t="str">
        <f t="shared" si="10"/>
        <v xml:space="preserve"> </v>
      </c>
      <c r="AY19" s="58"/>
      <c r="AZ19" s="24" t="str">
        <f t="shared" si="11"/>
        <v xml:space="preserve"> </v>
      </c>
      <c r="BA19" s="25"/>
      <c r="BB19" s="21"/>
      <c r="BC19" s="21"/>
      <c r="BD19" s="22" t="str">
        <f t="shared" si="12"/>
        <v xml:space="preserve"> </v>
      </c>
      <c r="BE19" s="58"/>
      <c r="BF19" s="24" t="str">
        <f t="shared" si="13"/>
        <v xml:space="preserve"> </v>
      </c>
      <c r="BG19" s="25"/>
      <c r="BH19" s="21"/>
      <c r="BI19" s="21"/>
      <c r="BJ19" s="22" t="str">
        <f t="shared" si="14"/>
        <v xml:space="preserve"> </v>
      </c>
      <c r="BK19" s="58"/>
      <c r="BL19" s="24" t="str">
        <f t="shared" si="15"/>
        <v xml:space="preserve"> </v>
      </c>
      <c r="BM19" s="25"/>
      <c r="BN19" s="21"/>
      <c r="BO19" s="21"/>
      <c r="BP19" s="22" t="str">
        <f t="shared" si="16"/>
        <v xml:space="preserve"> </v>
      </c>
      <c r="BQ19" s="58"/>
      <c r="BR19" s="24" t="str">
        <f t="shared" si="17"/>
        <v xml:space="preserve"> </v>
      </c>
      <c r="BS19" s="25"/>
      <c r="BT19" s="21"/>
      <c r="BU19" s="21"/>
      <c r="BV19" s="22" t="str">
        <f t="shared" si="18"/>
        <v xml:space="preserve"> </v>
      </c>
      <c r="BW19" s="58"/>
      <c r="BX19" s="24" t="str">
        <f t="shared" si="19"/>
        <v xml:space="preserve"> </v>
      </c>
      <c r="BY19" s="25"/>
      <c r="BZ19" s="21"/>
      <c r="CA19" s="21"/>
      <c r="CB19" s="22" t="str">
        <f t="shared" si="20"/>
        <v xml:space="preserve"> </v>
      </c>
      <c r="CC19" s="58"/>
      <c r="CD19" s="24" t="str">
        <f t="shared" si="21"/>
        <v xml:space="preserve"> </v>
      </c>
      <c r="CE19" s="25"/>
      <c r="CF19" s="21"/>
      <c r="CG19" s="21"/>
      <c r="CH19" s="22" t="str">
        <f t="shared" si="22"/>
        <v xml:space="preserve"> </v>
      </c>
      <c r="CI19" s="58"/>
      <c r="CJ19" s="24" t="str">
        <f t="shared" si="23"/>
        <v xml:space="preserve"> </v>
      </c>
      <c r="CK19" s="25"/>
      <c r="CL19" s="564">
        <v>465391292</v>
      </c>
      <c r="CM19" s="564">
        <v>513215900</v>
      </c>
      <c r="CN19" s="22">
        <f t="shared" si="24"/>
        <v>0.9068138613788076</v>
      </c>
      <c r="CO19" s="58">
        <v>1</v>
      </c>
      <c r="CP19" s="24">
        <f t="shared" si="25"/>
        <v>0.9068138613788076</v>
      </c>
      <c r="CQ19" s="25" t="s">
        <v>2293</v>
      </c>
      <c r="CR19" s="564">
        <f t="shared" si="1"/>
        <v>465391292</v>
      </c>
      <c r="CS19" s="564">
        <f t="shared" si="0"/>
        <v>513215900</v>
      </c>
      <c r="CT19" s="22">
        <f t="shared" si="26"/>
        <v>0.9068138613788076</v>
      </c>
      <c r="CU19" s="58">
        <v>1</v>
      </c>
      <c r="CV19" s="24">
        <f t="shared" si="27"/>
        <v>0.9068138613788076</v>
      </c>
      <c r="CW19" s="25" t="s">
        <v>2293</v>
      </c>
    </row>
    <row r="20" spans="2:101" ht="89.25" customHeight="1">
      <c r="B20" s="391" t="s">
        <v>73</v>
      </c>
      <c r="C20" s="8" t="s">
        <v>91</v>
      </c>
      <c r="D20" s="8" t="s">
        <v>74</v>
      </c>
      <c r="E20" s="8" t="s">
        <v>75</v>
      </c>
      <c r="F20" s="8" t="s">
        <v>76</v>
      </c>
      <c r="G20" s="8" t="s">
        <v>53</v>
      </c>
      <c r="H20" s="8" t="s">
        <v>77</v>
      </c>
      <c r="I20" s="8" t="s">
        <v>78</v>
      </c>
      <c r="J20" s="8" t="s">
        <v>54</v>
      </c>
      <c r="K20" s="12">
        <v>0.8</v>
      </c>
      <c r="L20" s="12">
        <v>0.8</v>
      </c>
      <c r="M20" s="12">
        <v>0.8</v>
      </c>
      <c r="N20" s="12">
        <v>0.8</v>
      </c>
      <c r="O20" s="12">
        <v>0.8</v>
      </c>
      <c r="P20" s="12">
        <v>0.8</v>
      </c>
      <c r="Q20" s="12">
        <v>0.8</v>
      </c>
      <c r="R20" s="12">
        <v>0.8</v>
      </c>
      <c r="S20" s="12">
        <v>0.8</v>
      </c>
      <c r="T20" s="12">
        <v>0.8</v>
      </c>
      <c r="U20" s="12">
        <v>0.8</v>
      </c>
      <c r="V20" s="12">
        <v>0.8</v>
      </c>
      <c r="W20" s="1249" t="s">
        <v>80</v>
      </c>
      <c r="X20" s="21"/>
      <c r="Y20" s="21"/>
      <c r="Z20" s="22" t="str">
        <f t="shared" si="2"/>
        <v xml:space="preserve"> </v>
      </c>
      <c r="AA20" s="58"/>
      <c r="AB20" s="24" t="str">
        <f t="shared" si="3"/>
        <v xml:space="preserve"> </v>
      </c>
      <c r="AC20" s="25"/>
      <c r="AD20" s="21"/>
      <c r="AE20" s="21"/>
      <c r="AF20" s="22" t="str">
        <f t="shared" si="4"/>
        <v xml:space="preserve"> </v>
      </c>
      <c r="AG20" s="58"/>
      <c r="AH20" s="24" t="str">
        <f t="shared" si="5"/>
        <v xml:space="preserve"> </v>
      </c>
      <c r="AI20" s="25"/>
      <c r="AJ20" s="21"/>
      <c r="AK20" s="21"/>
      <c r="AL20" s="22" t="str">
        <f t="shared" si="6"/>
        <v xml:space="preserve"> </v>
      </c>
      <c r="AM20" s="58"/>
      <c r="AN20" s="24" t="str">
        <f t="shared" si="7"/>
        <v xml:space="preserve"> </v>
      </c>
      <c r="AO20" s="25"/>
      <c r="AP20" s="21"/>
      <c r="AQ20" s="21"/>
      <c r="AR20" s="22" t="str">
        <f t="shared" si="8"/>
        <v xml:space="preserve"> </v>
      </c>
      <c r="AS20" s="58"/>
      <c r="AT20" s="24" t="str">
        <f t="shared" si="9"/>
        <v xml:space="preserve"> </v>
      </c>
      <c r="AU20" s="25"/>
      <c r="AV20" s="21"/>
      <c r="AW20" s="21"/>
      <c r="AX20" s="22" t="str">
        <f t="shared" si="10"/>
        <v xml:space="preserve"> </v>
      </c>
      <c r="AY20" s="58"/>
      <c r="AZ20" s="24" t="str">
        <f t="shared" si="11"/>
        <v xml:space="preserve"> </v>
      </c>
      <c r="BA20" s="25"/>
      <c r="BB20" s="21"/>
      <c r="BC20" s="21"/>
      <c r="BD20" s="22" t="str">
        <f t="shared" si="12"/>
        <v xml:space="preserve"> </v>
      </c>
      <c r="BE20" s="58"/>
      <c r="BF20" s="24" t="str">
        <f t="shared" si="13"/>
        <v xml:space="preserve"> </v>
      </c>
      <c r="BG20" s="25"/>
      <c r="BH20" s="21"/>
      <c r="BI20" s="21"/>
      <c r="BJ20" s="22" t="str">
        <f t="shared" si="14"/>
        <v xml:space="preserve"> </v>
      </c>
      <c r="BK20" s="58"/>
      <c r="BL20" s="24" t="str">
        <f t="shared" si="15"/>
        <v xml:space="preserve"> </v>
      </c>
      <c r="BM20" s="25"/>
      <c r="BN20" s="21"/>
      <c r="BO20" s="21"/>
      <c r="BP20" s="22" t="str">
        <f t="shared" si="16"/>
        <v xml:space="preserve"> </v>
      </c>
      <c r="BQ20" s="58"/>
      <c r="BR20" s="24" t="str">
        <f t="shared" si="17"/>
        <v xml:space="preserve"> </v>
      </c>
      <c r="BS20" s="25"/>
      <c r="BT20" s="21"/>
      <c r="BU20" s="21"/>
      <c r="BV20" s="22" t="str">
        <f t="shared" si="18"/>
        <v xml:space="preserve"> </v>
      </c>
      <c r="BW20" s="58"/>
      <c r="BX20" s="24" t="str">
        <f t="shared" si="19"/>
        <v xml:space="preserve"> </v>
      </c>
      <c r="BY20" s="25"/>
      <c r="BZ20" s="21"/>
      <c r="CA20" s="21"/>
      <c r="CB20" s="22" t="str">
        <f t="shared" si="20"/>
        <v xml:space="preserve"> </v>
      </c>
      <c r="CC20" s="58"/>
      <c r="CD20" s="24" t="str">
        <f t="shared" si="21"/>
        <v xml:space="preserve"> </v>
      </c>
      <c r="CE20" s="25"/>
      <c r="CF20" s="21"/>
      <c r="CG20" s="21"/>
      <c r="CH20" s="22" t="str">
        <f t="shared" si="22"/>
        <v xml:space="preserve"> </v>
      </c>
      <c r="CI20" s="58"/>
      <c r="CJ20" s="24" t="str">
        <f t="shared" si="23"/>
        <v xml:space="preserve"> </v>
      </c>
      <c r="CK20" s="25"/>
      <c r="CL20" s="21"/>
      <c r="CM20" s="21"/>
      <c r="CN20" s="22" t="str">
        <f t="shared" si="24"/>
        <v xml:space="preserve"> </v>
      </c>
      <c r="CO20" s="58"/>
      <c r="CP20" s="24" t="str">
        <f t="shared" si="25"/>
        <v xml:space="preserve"> </v>
      </c>
      <c r="CQ20" s="25" t="s">
        <v>2266</v>
      </c>
      <c r="CR20" s="21">
        <f t="shared" si="1"/>
        <v>0</v>
      </c>
      <c r="CS20" s="21">
        <f t="shared" si="0"/>
        <v>0</v>
      </c>
      <c r="CT20" s="22" t="str">
        <f t="shared" si="26"/>
        <v xml:space="preserve"> </v>
      </c>
      <c r="CU20" s="58"/>
      <c r="CV20" s="24" t="str">
        <f t="shared" si="27"/>
        <v xml:space="preserve"> </v>
      </c>
      <c r="CW20" s="25" t="s">
        <v>2266</v>
      </c>
    </row>
    <row r="21" spans="2:101" ht="103.5" customHeight="1">
      <c r="B21" s="391" t="s">
        <v>81</v>
      </c>
      <c r="C21" s="8" t="s">
        <v>92</v>
      </c>
      <c r="D21" s="1136" t="s">
        <v>83</v>
      </c>
      <c r="E21" s="8" t="s">
        <v>84</v>
      </c>
      <c r="F21" s="403" t="s">
        <v>82</v>
      </c>
      <c r="G21" s="8" t="s">
        <v>66</v>
      </c>
      <c r="H21" s="8" t="s">
        <v>86</v>
      </c>
      <c r="I21" s="8" t="s">
        <v>85</v>
      </c>
      <c r="J21" s="8" t="s">
        <v>54</v>
      </c>
      <c r="K21" s="12"/>
      <c r="L21" s="12"/>
      <c r="M21" s="12">
        <v>1</v>
      </c>
      <c r="N21" s="12"/>
      <c r="O21" s="12"/>
      <c r="P21" s="12">
        <v>1</v>
      </c>
      <c r="Q21" s="12"/>
      <c r="R21" s="12"/>
      <c r="S21" s="12">
        <v>1</v>
      </c>
      <c r="T21" s="12"/>
      <c r="U21" s="12"/>
      <c r="V21" s="12">
        <v>1</v>
      </c>
      <c r="W21" s="1137" t="s">
        <v>79</v>
      </c>
      <c r="X21" s="21"/>
      <c r="Y21" s="21"/>
      <c r="Z21" s="22" t="str">
        <f t="shared" si="2"/>
        <v xml:space="preserve"> </v>
      </c>
      <c r="AA21" s="58"/>
      <c r="AB21" s="24" t="str">
        <f t="shared" si="3"/>
        <v xml:space="preserve"> </v>
      </c>
      <c r="AC21" s="25"/>
      <c r="AD21" s="21"/>
      <c r="AE21" s="21"/>
      <c r="AF21" s="22" t="str">
        <f t="shared" si="4"/>
        <v xml:space="preserve"> </v>
      </c>
      <c r="AG21" s="58"/>
      <c r="AH21" s="24" t="str">
        <f t="shared" si="5"/>
        <v xml:space="preserve"> </v>
      </c>
      <c r="AI21" s="25"/>
      <c r="AJ21" s="21"/>
      <c r="AK21" s="21"/>
      <c r="AL21" s="22" t="str">
        <f t="shared" si="6"/>
        <v xml:space="preserve"> </v>
      </c>
      <c r="AM21" s="58"/>
      <c r="AN21" s="24" t="str">
        <f t="shared" si="7"/>
        <v xml:space="preserve"> </v>
      </c>
      <c r="AO21" s="25"/>
      <c r="AP21" s="21"/>
      <c r="AQ21" s="21"/>
      <c r="AR21" s="22" t="str">
        <f t="shared" si="8"/>
        <v xml:space="preserve"> </v>
      </c>
      <c r="AS21" s="58"/>
      <c r="AT21" s="24" t="str">
        <f t="shared" si="9"/>
        <v xml:space="preserve"> </v>
      </c>
      <c r="AU21" s="25"/>
      <c r="AV21" s="21"/>
      <c r="AW21" s="21"/>
      <c r="AX21" s="22" t="str">
        <f t="shared" si="10"/>
        <v xml:space="preserve"> </v>
      </c>
      <c r="AY21" s="58"/>
      <c r="AZ21" s="24" t="str">
        <f t="shared" si="11"/>
        <v xml:space="preserve"> </v>
      </c>
      <c r="BA21" s="25"/>
      <c r="BB21" s="21"/>
      <c r="BC21" s="21"/>
      <c r="BD21" s="22" t="str">
        <f t="shared" si="12"/>
        <v xml:space="preserve"> </v>
      </c>
      <c r="BE21" s="58"/>
      <c r="BF21" s="24" t="str">
        <f t="shared" si="13"/>
        <v xml:space="preserve"> </v>
      </c>
      <c r="BG21" s="25"/>
      <c r="BH21" s="21"/>
      <c r="BI21" s="21"/>
      <c r="BJ21" s="22" t="str">
        <f t="shared" si="14"/>
        <v xml:space="preserve"> </v>
      </c>
      <c r="BK21" s="58"/>
      <c r="BL21" s="24" t="str">
        <f t="shared" si="15"/>
        <v xml:space="preserve"> </v>
      </c>
      <c r="BM21" s="25"/>
      <c r="BN21" s="21"/>
      <c r="BO21" s="21"/>
      <c r="BP21" s="22" t="str">
        <f t="shared" si="16"/>
        <v xml:space="preserve"> </v>
      </c>
      <c r="BQ21" s="58"/>
      <c r="BR21" s="24" t="str">
        <f t="shared" si="17"/>
        <v xml:space="preserve"> </v>
      </c>
      <c r="BS21" s="25"/>
      <c r="BT21" s="21"/>
      <c r="BU21" s="21"/>
      <c r="BV21" s="22" t="str">
        <f t="shared" si="18"/>
        <v xml:space="preserve"> </v>
      </c>
      <c r="BW21" s="58"/>
      <c r="BX21" s="24" t="str">
        <f t="shared" si="19"/>
        <v xml:space="preserve"> </v>
      </c>
      <c r="BY21" s="25"/>
      <c r="BZ21" s="21"/>
      <c r="CA21" s="21"/>
      <c r="CB21" s="22" t="str">
        <f t="shared" si="20"/>
        <v xml:space="preserve"> </v>
      </c>
      <c r="CC21" s="58"/>
      <c r="CD21" s="24" t="str">
        <f t="shared" si="21"/>
        <v xml:space="preserve"> </v>
      </c>
      <c r="CE21" s="25"/>
      <c r="CF21" s="21"/>
      <c r="CG21" s="21"/>
      <c r="CH21" s="22" t="str">
        <f t="shared" si="22"/>
        <v xml:space="preserve"> </v>
      </c>
      <c r="CI21" s="58"/>
      <c r="CJ21" s="24" t="str">
        <f t="shared" si="23"/>
        <v xml:space="preserve"> </v>
      </c>
      <c r="CK21" s="25"/>
      <c r="CL21" s="21">
        <v>154</v>
      </c>
      <c r="CM21" s="21">
        <v>155</v>
      </c>
      <c r="CN21" s="22">
        <f t="shared" si="24"/>
        <v>0.99354838709677418</v>
      </c>
      <c r="CO21" s="58">
        <v>1</v>
      </c>
      <c r="CP21" s="24">
        <f t="shared" si="25"/>
        <v>0.99354838709677418</v>
      </c>
      <c r="CQ21" s="25" t="s">
        <v>2294</v>
      </c>
      <c r="CR21" s="21">
        <f t="shared" si="1"/>
        <v>154</v>
      </c>
      <c r="CS21" s="21">
        <f t="shared" si="0"/>
        <v>155</v>
      </c>
      <c r="CT21" s="22">
        <f t="shared" si="26"/>
        <v>0.99354838709677418</v>
      </c>
      <c r="CU21" s="58">
        <v>1</v>
      </c>
      <c r="CV21" s="24">
        <f t="shared" si="27"/>
        <v>0.99354838709677418</v>
      </c>
      <c r="CW21" s="25" t="s">
        <v>2294</v>
      </c>
    </row>
    <row r="22" spans="2:101" ht="15.75" customHeight="1">
      <c r="B22" s="1972" t="s">
        <v>17</v>
      </c>
      <c r="C22" s="1972"/>
      <c r="D22" s="1972"/>
      <c r="E22" s="1972"/>
      <c r="F22" s="5"/>
      <c r="G22" s="5"/>
      <c r="H22" s="5"/>
      <c r="I22" s="5"/>
      <c r="J22" s="5"/>
      <c r="K22" s="6"/>
      <c r="L22" s="6"/>
      <c r="M22" s="6"/>
      <c r="N22" s="6"/>
      <c r="O22" s="6"/>
      <c r="P22" s="6"/>
      <c r="Q22" s="6"/>
      <c r="R22" s="6"/>
      <c r="S22" s="6"/>
      <c r="T22" s="6"/>
      <c r="U22" s="6"/>
      <c r="V22" s="6"/>
      <c r="CV22" s="680"/>
    </row>
    <row r="24" spans="2:101">
      <c r="E24" s="1971"/>
      <c r="F24" s="1971"/>
      <c r="G24" s="1971"/>
      <c r="H24" s="1971"/>
      <c r="K24" s="15" t="s">
        <v>28</v>
      </c>
    </row>
    <row r="25" spans="2:101">
      <c r="E25" s="1972" t="s">
        <v>2295</v>
      </c>
      <c r="F25" s="1972"/>
      <c r="G25" s="1972"/>
      <c r="H25" s="1972"/>
      <c r="CV25" s="1250"/>
    </row>
    <row r="26" spans="2:101" ht="26.25" customHeight="1">
      <c r="E26" s="1974" t="s">
        <v>2296</v>
      </c>
      <c r="F26" s="1974"/>
      <c r="G26" s="1974"/>
      <c r="H26" s="1974"/>
      <c r="CQ26" s="128"/>
      <c r="CR26" s="128"/>
    </row>
    <row r="27" spans="2:101" ht="16.5" customHeight="1">
      <c r="C27" s="15"/>
      <c r="E27" s="128"/>
      <c r="F27" s="128"/>
      <c r="G27" s="128"/>
      <c r="H27" s="128"/>
      <c r="CQ27" s="2430"/>
      <c r="CR27" s="2430"/>
    </row>
    <row r="28" spans="2:101" ht="19.5" customHeight="1">
      <c r="C28" s="15"/>
      <c r="CQ28" s="2430"/>
      <c r="CR28" s="2430"/>
    </row>
    <row r="29" spans="2:101" ht="12.75" customHeight="1">
      <c r="C29" s="15"/>
      <c r="CQ29" s="2430"/>
      <c r="CR29" s="2430"/>
    </row>
    <row r="30" spans="2:101" ht="12.75" customHeight="1">
      <c r="C30" s="15"/>
    </row>
  </sheetData>
  <mergeCells count="52">
    <mergeCell ref="E24:H24"/>
    <mergeCell ref="E25:H25"/>
    <mergeCell ref="E26:H26"/>
    <mergeCell ref="CQ27:CR27"/>
    <mergeCell ref="CQ28:CR28"/>
    <mergeCell ref="CQ29:CR29"/>
    <mergeCell ref="BT6:BY6"/>
    <mergeCell ref="BZ6:CE6"/>
    <mergeCell ref="CF6:CK6"/>
    <mergeCell ref="CL6:CQ6"/>
    <mergeCell ref="CR6:CW6"/>
    <mergeCell ref="B22:E22"/>
    <mergeCell ref="AJ6:AO6"/>
    <mergeCell ref="AP6:AU6"/>
    <mergeCell ref="AV6:BA6"/>
    <mergeCell ref="BB6:BG6"/>
    <mergeCell ref="BH6:BM6"/>
    <mergeCell ref="BN6:BS6"/>
    <mergeCell ref="H6:H7"/>
    <mergeCell ref="I6:I7"/>
    <mergeCell ref="J6:J7"/>
    <mergeCell ref="K6:V6"/>
    <mergeCell ref="X6:AC6"/>
    <mergeCell ref="AD6:AI6"/>
    <mergeCell ref="BZ4:CE4"/>
    <mergeCell ref="CF4:CK4"/>
    <mergeCell ref="CL4:CQ4"/>
    <mergeCell ref="CR4:CW4"/>
    <mergeCell ref="B6:B7"/>
    <mergeCell ref="C6:C7"/>
    <mergeCell ref="D6:D7"/>
    <mergeCell ref="E6:E7"/>
    <mergeCell ref="F6:F7"/>
    <mergeCell ref="G6:G7"/>
    <mergeCell ref="AP4:AU4"/>
    <mergeCell ref="AV4:BA4"/>
    <mergeCell ref="BB4:BG4"/>
    <mergeCell ref="BH4:BM4"/>
    <mergeCell ref="BN4:BS4"/>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11">
    <cfRule type="colorScale" priority="91">
      <colorScale>
        <cfvo type="num" val="0.69"/>
        <cfvo type="num" val="0.8"/>
        <cfvo type="num" val="0.9"/>
        <color rgb="FFF8696B"/>
        <color rgb="FFFFEB84"/>
        <color rgb="FF63BE7B"/>
      </colorScale>
    </cfRule>
  </conditionalFormatting>
  <conditionalFormatting sqref="AH11">
    <cfRule type="colorScale" priority="90">
      <colorScale>
        <cfvo type="num" val="0.69"/>
        <cfvo type="num" val="0.8"/>
        <cfvo type="num" val="0.9"/>
        <color rgb="FFF8696B"/>
        <color rgb="FFFFEB84"/>
        <color rgb="FF63BE7B"/>
      </colorScale>
    </cfRule>
  </conditionalFormatting>
  <conditionalFormatting sqref="AN11">
    <cfRule type="colorScale" priority="89">
      <colorScale>
        <cfvo type="num" val="0.69"/>
        <cfvo type="num" val="0.8"/>
        <cfvo type="num" val="0.9"/>
        <color rgb="FFF8696B"/>
        <color rgb="FFFFEB84"/>
        <color rgb="FF63BE7B"/>
      </colorScale>
    </cfRule>
  </conditionalFormatting>
  <conditionalFormatting sqref="AZ11">
    <cfRule type="colorScale" priority="88">
      <colorScale>
        <cfvo type="num" val="0.69"/>
        <cfvo type="num" val="0.8"/>
        <cfvo type="num" val="0.9"/>
        <color rgb="FFF8696B"/>
        <color rgb="FFFFEB84"/>
        <color rgb="FF63BE7B"/>
      </colorScale>
    </cfRule>
  </conditionalFormatting>
  <conditionalFormatting sqref="BF11">
    <cfRule type="colorScale" priority="87">
      <colorScale>
        <cfvo type="num" val="0.69"/>
        <cfvo type="num" val="0.8"/>
        <cfvo type="num" val="0.9"/>
        <color rgb="FFF8696B"/>
        <color rgb="FFFFEB84"/>
        <color rgb="FF63BE7B"/>
      </colorScale>
    </cfRule>
  </conditionalFormatting>
  <conditionalFormatting sqref="BL11">
    <cfRule type="colorScale" priority="86">
      <colorScale>
        <cfvo type="num" val="0.69"/>
        <cfvo type="num" val="0.8"/>
        <cfvo type="num" val="0.9"/>
        <color rgb="FFF8696B"/>
        <color rgb="FFFFEB84"/>
        <color rgb="FF63BE7B"/>
      </colorScale>
    </cfRule>
  </conditionalFormatting>
  <conditionalFormatting sqref="BR11">
    <cfRule type="colorScale" priority="85">
      <colorScale>
        <cfvo type="num" val="0.69"/>
        <cfvo type="num" val="0.8"/>
        <cfvo type="num" val="0.9"/>
        <color rgb="FFF8696B"/>
        <color rgb="FFFFEB84"/>
        <color rgb="FF63BE7B"/>
      </colorScale>
    </cfRule>
  </conditionalFormatting>
  <conditionalFormatting sqref="BX11">
    <cfRule type="colorScale" priority="84">
      <colorScale>
        <cfvo type="num" val="0.69"/>
        <cfvo type="num" val="0.8"/>
        <cfvo type="num" val="0.9"/>
        <color rgb="FFF8696B"/>
        <color rgb="FFFFEB84"/>
        <color rgb="FF63BE7B"/>
      </colorScale>
    </cfRule>
  </conditionalFormatting>
  <conditionalFormatting sqref="CD11">
    <cfRule type="colorScale" priority="83">
      <colorScale>
        <cfvo type="num" val="0.69"/>
        <cfvo type="num" val="0.8"/>
        <cfvo type="num" val="0.9"/>
        <color rgb="FFF8696B"/>
        <color rgb="FFFFEB84"/>
        <color rgb="FF63BE7B"/>
      </colorScale>
    </cfRule>
  </conditionalFormatting>
  <conditionalFormatting sqref="CJ11">
    <cfRule type="colorScale" priority="82">
      <colorScale>
        <cfvo type="num" val="0.69"/>
        <cfvo type="num" val="0.8"/>
        <cfvo type="num" val="0.9"/>
        <color rgb="FFF8696B"/>
        <color rgb="FFFFEB84"/>
        <color rgb="FF63BE7B"/>
      </colorScale>
    </cfRule>
  </conditionalFormatting>
  <conditionalFormatting sqref="CP11">
    <cfRule type="colorScale" priority="81">
      <colorScale>
        <cfvo type="num" val="0.69"/>
        <cfvo type="num" val="0.8"/>
        <cfvo type="num" val="0.9"/>
        <color rgb="FFF8696B"/>
        <color rgb="FFFFEB84"/>
        <color rgb="FF63BE7B"/>
      </colorScale>
    </cfRule>
  </conditionalFormatting>
  <conditionalFormatting sqref="CV11">
    <cfRule type="colorScale" priority="80">
      <colorScale>
        <cfvo type="num" val="0.69"/>
        <cfvo type="num" val="0.8"/>
        <cfvo type="num" val="0.9"/>
        <color rgb="FFF8696B"/>
        <color rgb="FFFFEB84"/>
        <color rgb="FF63BE7B"/>
      </colorScale>
    </cfRule>
  </conditionalFormatting>
  <conditionalFormatting sqref="AB12">
    <cfRule type="colorScale" priority="79">
      <colorScale>
        <cfvo type="num" val="0.69"/>
        <cfvo type="num" val="0.8"/>
        <cfvo type="num" val="0.9"/>
        <color rgb="FFF8696B"/>
        <color rgb="FFFFEB84"/>
        <color rgb="FF63BE7B"/>
      </colorScale>
    </cfRule>
  </conditionalFormatting>
  <conditionalFormatting sqref="AH12">
    <cfRule type="colorScale" priority="78">
      <colorScale>
        <cfvo type="num" val="0.69"/>
        <cfvo type="num" val="0.8"/>
        <cfvo type="num" val="0.9"/>
        <color rgb="FFF8696B"/>
        <color rgb="FFFFEB84"/>
        <color rgb="FF63BE7B"/>
      </colorScale>
    </cfRule>
  </conditionalFormatting>
  <conditionalFormatting sqref="AN12">
    <cfRule type="colorScale" priority="77">
      <colorScale>
        <cfvo type="num" val="0.69"/>
        <cfvo type="num" val="0.8"/>
        <cfvo type="num" val="0.9"/>
        <color rgb="FFF8696B"/>
        <color rgb="FFFFEB84"/>
        <color rgb="FF63BE7B"/>
      </colorScale>
    </cfRule>
  </conditionalFormatting>
  <conditionalFormatting sqref="AT12">
    <cfRule type="colorScale" priority="76">
      <colorScale>
        <cfvo type="num" val="0.69"/>
        <cfvo type="num" val="0.8"/>
        <cfvo type="num" val="0.9"/>
        <color rgb="FFF8696B"/>
        <color rgb="FFFFEB84"/>
        <color rgb="FF63BE7B"/>
      </colorScale>
    </cfRule>
  </conditionalFormatting>
  <conditionalFormatting sqref="AZ12">
    <cfRule type="colorScale" priority="75">
      <colorScale>
        <cfvo type="num" val="0.69"/>
        <cfvo type="num" val="0.8"/>
        <cfvo type="num" val="0.9"/>
        <color rgb="FFF8696B"/>
        <color rgb="FFFFEB84"/>
        <color rgb="FF63BE7B"/>
      </colorScale>
    </cfRule>
  </conditionalFormatting>
  <conditionalFormatting sqref="BF12">
    <cfRule type="colorScale" priority="74">
      <colorScale>
        <cfvo type="num" val="0.69"/>
        <cfvo type="num" val="0.8"/>
        <cfvo type="num" val="0.9"/>
        <color rgb="FFF8696B"/>
        <color rgb="FFFFEB84"/>
        <color rgb="FF63BE7B"/>
      </colorScale>
    </cfRule>
  </conditionalFormatting>
  <conditionalFormatting sqref="BL12">
    <cfRule type="colorScale" priority="73">
      <colorScale>
        <cfvo type="num" val="0.69"/>
        <cfvo type="num" val="0.8"/>
        <cfvo type="num" val="0.9"/>
        <color rgb="FFF8696B"/>
        <color rgb="FFFFEB84"/>
        <color rgb="FF63BE7B"/>
      </colorScale>
    </cfRule>
  </conditionalFormatting>
  <conditionalFormatting sqref="BR12">
    <cfRule type="colorScale" priority="72">
      <colorScale>
        <cfvo type="num" val="0.69"/>
        <cfvo type="num" val="0.8"/>
        <cfvo type="num" val="0.9"/>
        <color rgb="FFF8696B"/>
        <color rgb="FFFFEB84"/>
        <color rgb="FF63BE7B"/>
      </colorScale>
    </cfRule>
  </conditionalFormatting>
  <conditionalFormatting sqref="BX12">
    <cfRule type="colorScale" priority="71">
      <colorScale>
        <cfvo type="num" val="0.69"/>
        <cfvo type="num" val="0.8"/>
        <cfvo type="num" val="0.9"/>
        <color rgb="FFF8696B"/>
        <color rgb="FFFFEB84"/>
        <color rgb="FF63BE7B"/>
      </colorScale>
    </cfRule>
  </conditionalFormatting>
  <conditionalFormatting sqref="CD12">
    <cfRule type="colorScale" priority="70">
      <colorScale>
        <cfvo type="num" val="0.69"/>
        <cfvo type="num" val="0.8"/>
        <cfvo type="num" val="0.9"/>
        <color rgb="FFF8696B"/>
        <color rgb="FFFFEB84"/>
        <color rgb="FF63BE7B"/>
      </colorScale>
    </cfRule>
  </conditionalFormatting>
  <conditionalFormatting sqref="CJ12">
    <cfRule type="colorScale" priority="69">
      <colorScale>
        <cfvo type="num" val="0.69"/>
        <cfvo type="num" val="0.8"/>
        <cfvo type="num" val="0.9"/>
        <color rgb="FFF8696B"/>
        <color rgb="FFFFEB84"/>
        <color rgb="FF63BE7B"/>
      </colorScale>
    </cfRule>
  </conditionalFormatting>
  <conditionalFormatting sqref="CP12">
    <cfRule type="colorScale" priority="68">
      <colorScale>
        <cfvo type="num" val="0.69"/>
        <cfvo type="num" val="0.8"/>
        <cfvo type="num" val="0.9"/>
        <color rgb="FFF8696B"/>
        <color rgb="FFFFEB84"/>
        <color rgb="FF63BE7B"/>
      </colorScale>
    </cfRule>
  </conditionalFormatting>
  <conditionalFormatting sqref="CV12">
    <cfRule type="colorScale" priority="67">
      <colorScale>
        <cfvo type="num" val="0.69"/>
        <cfvo type="num" val="0.8"/>
        <cfvo type="num" val="0.9"/>
        <color rgb="FFF8696B"/>
        <color rgb="FFFFEB84"/>
        <color rgb="FF63BE7B"/>
      </colorScale>
    </cfRule>
  </conditionalFormatting>
  <conditionalFormatting sqref="AB13">
    <cfRule type="colorScale" priority="66">
      <colorScale>
        <cfvo type="num" val="0.69"/>
        <cfvo type="num" val="0.8"/>
        <cfvo type="num" val="0.9"/>
        <color rgb="FFF8696B"/>
        <color rgb="FFFFEB84"/>
        <color rgb="FF63BE7B"/>
      </colorScale>
    </cfRule>
  </conditionalFormatting>
  <conditionalFormatting sqref="AT13">
    <cfRule type="colorScale" priority="65">
      <colorScale>
        <cfvo type="num" val="0.69"/>
        <cfvo type="num" val="0.8"/>
        <cfvo type="num" val="0.9"/>
        <color rgb="FFF8696B"/>
        <color rgb="FFFFEB84"/>
        <color rgb="FF63BE7B"/>
      </colorScale>
    </cfRule>
  </conditionalFormatting>
  <conditionalFormatting sqref="BF13">
    <cfRule type="colorScale" priority="64">
      <colorScale>
        <cfvo type="num" val="0.69"/>
        <cfvo type="num" val="0.8"/>
        <cfvo type="num" val="0.9"/>
        <color rgb="FFF8696B"/>
        <color rgb="FFFFEB84"/>
        <color rgb="FF63BE7B"/>
      </colorScale>
    </cfRule>
  </conditionalFormatting>
  <conditionalFormatting sqref="BR13">
    <cfRule type="colorScale" priority="63">
      <colorScale>
        <cfvo type="num" val="0.69"/>
        <cfvo type="num" val="0.8"/>
        <cfvo type="num" val="0.9"/>
        <color rgb="FFF8696B"/>
        <color rgb="FFFFEB84"/>
        <color rgb="FF63BE7B"/>
      </colorScale>
    </cfRule>
  </conditionalFormatting>
  <conditionalFormatting sqref="CD13">
    <cfRule type="colorScale" priority="62">
      <colorScale>
        <cfvo type="num" val="0.69"/>
        <cfvo type="num" val="0.8"/>
        <cfvo type="num" val="0.9"/>
        <color rgb="FFF8696B"/>
        <color rgb="FFFFEB84"/>
        <color rgb="FF63BE7B"/>
      </colorScale>
    </cfRule>
  </conditionalFormatting>
  <conditionalFormatting sqref="CP13">
    <cfRule type="colorScale" priority="61">
      <colorScale>
        <cfvo type="num" val="0.69"/>
        <cfvo type="num" val="0.8"/>
        <cfvo type="num" val="0.9"/>
        <color rgb="FFF8696B"/>
        <color rgb="FFFFEB84"/>
        <color rgb="FF63BE7B"/>
      </colorScale>
    </cfRule>
  </conditionalFormatting>
  <conditionalFormatting sqref="AI13">
    <cfRule type="colorScale" priority="60">
      <colorScale>
        <cfvo type="num" val="0.69"/>
        <cfvo type="num" val="0.8"/>
        <cfvo type="num" val="0.9"/>
        <color rgb="FFF8696B"/>
        <color rgb="FFFFEB84"/>
        <color rgb="FF63BE7B"/>
      </colorScale>
    </cfRule>
  </conditionalFormatting>
  <conditionalFormatting sqref="AO13">
    <cfRule type="colorScale" priority="59">
      <colorScale>
        <cfvo type="num" val="0.69"/>
        <cfvo type="num" val="0.8"/>
        <cfvo type="num" val="0.9"/>
        <color rgb="FFF8696B"/>
        <color rgb="FFFFEB84"/>
        <color rgb="FF63BE7B"/>
      </colorScale>
    </cfRule>
  </conditionalFormatting>
  <conditionalFormatting sqref="BA13">
    <cfRule type="colorScale" priority="58">
      <colorScale>
        <cfvo type="num" val="0.69"/>
        <cfvo type="num" val="0.8"/>
        <cfvo type="num" val="0.9"/>
        <color rgb="FFF8696B"/>
        <color rgb="FFFFEB84"/>
        <color rgb="FF63BE7B"/>
      </colorScale>
    </cfRule>
  </conditionalFormatting>
  <conditionalFormatting sqref="BM13">
    <cfRule type="colorScale" priority="57">
      <colorScale>
        <cfvo type="num" val="0.69"/>
        <cfvo type="num" val="0.8"/>
        <cfvo type="num" val="0.9"/>
        <color rgb="FFF8696B"/>
        <color rgb="FFFFEB84"/>
        <color rgb="FF63BE7B"/>
      </colorScale>
    </cfRule>
  </conditionalFormatting>
  <conditionalFormatting sqref="BY13">
    <cfRule type="colorScale" priority="56">
      <colorScale>
        <cfvo type="num" val="0.69"/>
        <cfvo type="num" val="0.8"/>
        <cfvo type="num" val="0.9"/>
        <color rgb="FFF8696B"/>
        <color rgb="FFFFEB84"/>
        <color rgb="FF63BE7B"/>
      </colorScale>
    </cfRule>
  </conditionalFormatting>
  <conditionalFormatting sqref="CK13">
    <cfRule type="colorScale" priority="55">
      <colorScale>
        <cfvo type="num" val="0.69"/>
        <cfvo type="num" val="0.8"/>
        <cfvo type="num" val="0.9"/>
        <color rgb="FFF8696B"/>
        <color rgb="FFFFEB84"/>
        <color rgb="FF63BE7B"/>
      </colorScale>
    </cfRule>
  </conditionalFormatting>
  <conditionalFormatting sqref="CW13">
    <cfRule type="colorScale" priority="54">
      <colorScale>
        <cfvo type="num" val="0.69"/>
        <cfvo type="num" val="0.8"/>
        <cfvo type="num" val="0.9"/>
        <color rgb="FFF8696B"/>
        <color rgb="FFFFEB84"/>
        <color rgb="FF63BE7B"/>
      </colorScale>
    </cfRule>
  </conditionalFormatting>
  <conditionalFormatting sqref="AB14:AB21">
    <cfRule type="colorScale" priority="53">
      <colorScale>
        <cfvo type="num" val="0.69"/>
        <cfvo type="num" val="0.8"/>
        <cfvo type="num" val="0.9"/>
        <color rgb="FFF8696B"/>
        <color rgb="FFFFEB84"/>
        <color rgb="FF63BE7B"/>
      </colorScale>
    </cfRule>
  </conditionalFormatting>
  <conditionalFormatting sqref="AH14:AH21">
    <cfRule type="colorScale" priority="52">
      <colorScale>
        <cfvo type="num" val="0.69"/>
        <cfvo type="num" val="0.8"/>
        <cfvo type="num" val="0.9"/>
        <color rgb="FFF8696B"/>
        <color rgb="FFFFEB84"/>
        <color rgb="FF63BE7B"/>
      </colorScale>
    </cfRule>
  </conditionalFormatting>
  <conditionalFormatting sqref="AN14:AN21">
    <cfRule type="colorScale" priority="51">
      <colorScale>
        <cfvo type="num" val="0.69"/>
        <cfvo type="num" val="0.8"/>
        <cfvo type="num" val="0.9"/>
        <color rgb="FFF8696B"/>
        <color rgb="FFFFEB84"/>
        <color rgb="FF63BE7B"/>
      </colorScale>
    </cfRule>
  </conditionalFormatting>
  <conditionalFormatting sqref="AT14:AT21">
    <cfRule type="colorScale" priority="50">
      <colorScale>
        <cfvo type="num" val="0.69"/>
        <cfvo type="num" val="0.8"/>
        <cfvo type="num" val="0.9"/>
        <color rgb="FFF8696B"/>
        <color rgb="FFFFEB84"/>
        <color rgb="FF63BE7B"/>
      </colorScale>
    </cfRule>
  </conditionalFormatting>
  <conditionalFormatting sqref="AZ14:AZ21">
    <cfRule type="colorScale" priority="49">
      <colorScale>
        <cfvo type="num" val="0.69"/>
        <cfvo type="num" val="0.8"/>
        <cfvo type="num" val="0.9"/>
        <color rgb="FFF8696B"/>
        <color rgb="FFFFEB84"/>
        <color rgb="FF63BE7B"/>
      </colorScale>
    </cfRule>
  </conditionalFormatting>
  <conditionalFormatting sqref="BF14:BF21">
    <cfRule type="colorScale" priority="48">
      <colorScale>
        <cfvo type="num" val="0.69"/>
        <cfvo type="num" val="0.8"/>
        <cfvo type="num" val="0.9"/>
        <color rgb="FFF8696B"/>
        <color rgb="FFFFEB84"/>
        <color rgb="FF63BE7B"/>
      </colorScale>
    </cfRule>
  </conditionalFormatting>
  <conditionalFormatting sqref="BL14:BL21">
    <cfRule type="colorScale" priority="47">
      <colorScale>
        <cfvo type="num" val="0.69"/>
        <cfvo type="num" val="0.8"/>
        <cfvo type="num" val="0.9"/>
        <color rgb="FFF8696B"/>
        <color rgb="FFFFEB84"/>
        <color rgb="FF63BE7B"/>
      </colorScale>
    </cfRule>
  </conditionalFormatting>
  <conditionalFormatting sqref="BR14:BR21">
    <cfRule type="colorScale" priority="46">
      <colorScale>
        <cfvo type="num" val="0.69"/>
        <cfvo type="num" val="0.8"/>
        <cfvo type="num" val="0.9"/>
        <color rgb="FFF8696B"/>
        <color rgb="FFFFEB84"/>
        <color rgb="FF63BE7B"/>
      </colorScale>
    </cfRule>
  </conditionalFormatting>
  <conditionalFormatting sqref="BX14:BX21">
    <cfRule type="colorScale" priority="45">
      <colorScale>
        <cfvo type="num" val="0.69"/>
        <cfvo type="num" val="0.8"/>
        <cfvo type="num" val="0.9"/>
        <color rgb="FFF8696B"/>
        <color rgb="FFFFEB84"/>
        <color rgb="FF63BE7B"/>
      </colorScale>
    </cfRule>
  </conditionalFormatting>
  <conditionalFormatting sqref="CD14:CD21">
    <cfRule type="colorScale" priority="44">
      <colorScale>
        <cfvo type="num" val="0.69"/>
        <cfvo type="num" val="0.8"/>
        <cfvo type="num" val="0.9"/>
        <color rgb="FFF8696B"/>
        <color rgb="FFFFEB84"/>
        <color rgb="FF63BE7B"/>
      </colorScale>
    </cfRule>
  </conditionalFormatting>
  <conditionalFormatting sqref="CJ14:CJ21">
    <cfRule type="colorScale" priority="43">
      <colorScale>
        <cfvo type="num" val="0.69"/>
        <cfvo type="num" val="0.8"/>
        <cfvo type="num" val="0.9"/>
        <color rgb="FFF8696B"/>
        <color rgb="FFFFEB84"/>
        <color rgb="FF63BE7B"/>
      </colorScale>
    </cfRule>
  </conditionalFormatting>
  <conditionalFormatting sqref="CP14:CP21">
    <cfRule type="colorScale" priority="42">
      <colorScale>
        <cfvo type="num" val="0.69"/>
        <cfvo type="num" val="0.8"/>
        <cfvo type="num" val="0.9"/>
        <color rgb="FFF8696B"/>
        <color rgb="FFFFEB84"/>
        <color rgb="FF63BE7B"/>
      </colorScale>
    </cfRule>
  </conditionalFormatting>
  <conditionalFormatting sqref="CV14:CV21">
    <cfRule type="colorScale" priority="41">
      <colorScale>
        <cfvo type="num" val="0.69"/>
        <cfvo type="num" val="0.8"/>
        <cfvo type="num" val="0.9"/>
        <color rgb="FFF8696B"/>
        <color rgb="FFFFEB84"/>
        <color rgb="FF63BE7B"/>
      </colorScale>
    </cfRule>
  </conditionalFormatting>
  <conditionalFormatting sqref="AB8">
    <cfRule type="colorScale" priority="40">
      <colorScale>
        <cfvo type="num" val="0.69"/>
        <cfvo type="num" val="0.8"/>
        <cfvo type="num" val="0.9"/>
        <color rgb="FFF8696B"/>
        <color rgb="FFFFEB84"/>
        <color rgb="FF63BE7B"/>
      </colorScale>
    </cfRule>
  </conditionalFormatting>
  <conditionalFormatting sqref="AH8">
    <cfRule type="colorScale" priority="39">
      <colorScale>
        <cfvo type="num" val="0.69"/>
        <cfvo type="num" val="0.8"/>
        <cfvo type="num" val="0.9"/>
        <color rgb="FFF8696B"/>
        <color rgb="FFFFEB84"/>
        <color rgb="FF63BE7B"/>
      </colorScale>
    </cfRule>
  </conditionalFormatting>
  <conditionalFormatting sqref="AN8">
    <cfRule type="colorScale" priority="38">
      <colorScale>
        <cfvo type="num" val="0.69"/>
        <cfvo type="num" val="0.8"/>
        <cfvo type="num" val="0.9"/>
        <color rgb="FFF8696B"/>
        <color rgb="FFFFEB84"/>
        <color rgb="FF63BE7B"/>
      </colorScale>
    </cfRule>
  </conditionalFormatting>
  <conditionalFormatting sqref="AT8">
    <cfRule type="colorScale" priority="37">
      <colorScale>
        <cfvo type="num" val="0.69"/>
        <cfvo type="num" val="0.8"/>
        <cfvo type="num" val="0.9"/>
        <color rgb="FFF8696B"/>
        <color rgb="FFFFEB84"/>
        <color rgb="FF63BE7B"/>
      </colorScale>
    </cfRule>
  </conditionalFormatting>
  <conditionalFormatting sqref="AZ8">
    <cfRule type="colorScale" priority="36">
      <colorScale>
        <cfvo type="num" val="0.69"/>
        <cfvo type="num" val="0.8"/>
        <cfvo type="num" val="0.9"/>
        <color rgb="FFF8696B"/>
        <color rgb="FFFFEB84"/>
        <color rgb="FF63BE7B"/>
      </colorScale>
    </cfRule>
  </conditionalFormatting>
  <conditionalFormatting sqref="BF8">
    <cfRule type="colorScale" priority="35">
      <colorScale>
        <cfvo type="num" val="0.69"/>
        <cfvo type="num" val="0.8"/>
        <cfvo type="num" val="0.9"/>
        <color rgb="FFF8696B"/>
        <color rgb="FFFFEB84"/>
        <color rgb="FF63BE7B"/>
      </colorScale>
    </cfRule>
  </conditionalFormatting>
  <conditionalFormatting sqref="BL8">
    <cfRule type="colorScale" priority="34">
      <colorScale>
        <cfvo type="num" val="0.69"/>
        <cfvo type="num" val="0.8"/>
        <cfvo type="num" val="0.9"/>
        <color rgb="FFF8696B"/>
        <color rgb="FFFFEB84"/>
        <color rgb="FF63BE7B"/>
      </colorScale>
    </cfRule>
  </conditionalFormatting>
  <conditionalFormatting sqref="BR8">
    <cfRule type="colorScale" priority="33">
      <colorScale>
        <cfvo type="num" val="0.69"/>
        <cfvo type="num" val="0.8"/>
        <cfvo type="num" val="0.9"/>
        <color rgb="FFF8696B"/>
        <color rgb="FFFFEB84"/>
        <color rgb="FF63BE7B"/>
      </colorScale>
    </cfRule>
  </conditionalFormatting>
  <conditionalFormatting sqref="BX8">
    <cfRule type="colorScale" priority="32">
      <colorScale>
        <cfvo type="num" val="0.69"/>
        <cfvo type="num" val="0.8"/>
        <cfvo type="num" val="0.9"/>
        <color rgb="FFF8696B"/>
        <color rgb="FFFFEB84"/>
        <color rgb="FF63BE7B"/>
      </colorScale>
    </cfRule>
  </conditionalFormatting>
  <conditionalFormatting sqref="CD8">
    <cfRule type="colorScale" priority="31">
      <colorScale>
        <cfvo type="num" val="0.69"/>
        <cfvo type="num" val="0.8"/>
        <cfvo type="num" val="0.9"/>
        <color rgb="FFF8696B"/>
        <color rgb="FFFFEB84"/>
        <color rgb="FF63BE7B"/>
      </colorScale>
    </cfRule>
  </conditionalFormatting>
  <conditionalFormatting sqref="CJ8">
    <cfRule type="colorScale" priority="30">
      <colorScale>
        <cfvo type="num" val="0.69"/>
        <cfvo type="num" val="0.8"/>
        <cfvo type="num" val="0.9"/>
        <color rgb="FFF8696B"/>
        <color rgb="FFFFEB84"/>
        <color rgb="FF63BE7B"/>
      </colorScale>
    </cfRule>
  </conditionalFormatting>
  <conditionalFormatting sqref="CP8">
    <cfRule type="colorScale" priority="29">
      <colorScale>
        <cfvo type="num" val="0.69"/>
        <cfvo type="num" val="0.8"/>
        <cfvo type="num" val="0.9"/>
        <color rgb="FFF8696B"/>
        <color rgb="FFFFEB84"/>
        <color rgb="FF63BE7B"/>
      </colorScale>
    </cfRule>
  </conditionalFormatting>
  <conditionalFormatting sqref="CV8">
    <cfRule type="colorScale" priority="28">
      <colorScale>
        <cfvo type="num" val="0.69"/>
        <cfvo type="num" val="0.8"/>
        <cfvo type="num" val="0.9"/>
        <color rgb="FFF8696B"/>
        <color rgb="FFFFEB84"/>
        <color rgb="FF63BE7B"/>
      </colorScale>
    </cfRule>
  </conditionalFormatting>
  <conditionalFormatting sqref="AB9">
    <cfRule type="colorScale" priority="27">
      <colorScale>
        <cfvo type="num" val="0.69"/>
        <cfvo type="num" val="0.8"/>
        <cfvo type="num" val="0.9"/>
        <color rgb="FFF8696B"/>
        <color rgb="FFFFEB84"/>
        <color rgb="FF63BE7B"/>
      </colorScale>
    </cfRule>
  </conditionalFormatting>
  <conditionalFormatting sqref="AH9">
    <cfRule type="colorScale" priority="26">
      <colorScale>
        <cfvo type="num" val="0.69"/>
        <cfvo type="num" val="0.8"/>
        <cfvo type="num" val="0.9"/>
        <color rgb="FFF8696B"/>
        <color rgb="FFFFEB84"/>
        <color rgb="FF63BE7B"/>
      </colorScale>
    </cfRule>
  </conditionalFormatting>
  <conditionalFormatting sqref="AN9">
    <cfRule type="colorScale" priority="25">
      <colorScale>
        <cfvo type="num" val="0.69"/>
        <cfvo type="num" val="0.8"/>
        <cfvo type="num" val="0.9"/>
        <color rgb="FFF8696B"/>
        <color rgb="FFFFEB84"/>
        <color rgb="FF63BE7B"/>
      </colorScale>
    </cfRule>
  </conditionalFormatting>
  <conditionalFormatting sqref="AT9">
    <cfRule type="colorScale" priority="24">
      <colorScale>
        <cfvo type="num" val="0.69"/>
        <cfvo type="num" val="0.8"/>
        <cfvo type="num" val="0.9"/>
        <color rgb="FFF8696B"/>
        <color rgb="FFFFEB84"/>
        <color rgb="FF63BE7B"/>
      </colorScale>
    </cfRule>
  </conditionalFormatting>
  <conditionalFormatting sqref="AZ9">
    <cfRule type="colorScale" priority="23">
      <colorScale>
        <cfvo type="num" val="0.69"/>
        <cfvo type="num" val="0.8"/>
        <cfvo type="num" val="0.9"/>
        <color rgb="FFF8696B"/>
        <color rgb="FFFFEB84"/>
        <color rgb="FF63BE7B"/>
      </colorScale>
    </cfRule>
  </conditionalFormatting>
  <conditionalFormatting sqref="BF9">
    <cfRule type="colorScale" priority="22">
      <colorScale>
        <cfvo type="num" val="0.69"/>
        <cfvo type="num" val="0.8"/>
        <cfvo type="num" val="0.9"/>
        <color rgb="FFF8696B"/>
        <color rgb="FFFFEB84"/>
        <color rgb="FF63BE7B"/>
      </colorScale>
    </cfRule>
  </conditionalFormatting>
  <conditionalFormatting sqref="BL9">
    <cfRule type="colorScale" priority="21">
      <colorScale>
        <cfvo type="num" val="0.69"/>
        <cfvo type="num" val="0.8"/>
        <cfvo type="num" val="0.9"/>
        <color rgb="FFF8696B"/>
        <color rgb="FFFFEB84"/>
        <color rgb="FF63BE7B"/>
      </colorScale>
    </cfRule>
  </conditionalFormatting>
  <conditionalFormatting sqref="BR9">
    <cfRule type="colorScale" priority="20">
      <colorScale>
        <cfvo type="num" val="0.69"/>
        <cfvo type="num" val="0.8"/>
        <cfvo type="num" val="0.9"/>
        <color rgb="FFF8696B"/>
        <color rgb="FFFFEB84"/>
        <color rgb="FF63BE7B"/>
      </colorScale>
    </cfRule>
  </conditionalFormatting>
  <conditionalFormatting sqref="BX9">
    <cfRule type="colorScale" priority="19">
      <colorScale>
        <cfvo type="num" val="0.69"/>
        <cfvo type="num" val="0.8"/>
        <cfvo type="num" val="0.9"/>
        <color rgb="FFF8696B"/>
        <color rgb="FFFFEB84"/>
        <color rgb="FF63BE7B"/>
      </colorScale>
    </cfRule>
  </conditionalFormatting>
  <conditionalFormatting sqref="CD9">
    <cfRule type="colorScale" priority="18">
      <colorScale>
        <cfvo type="num" val="0.69"/>
        <cfvo type="num" val="0.8"/>
        <cfvo type="num" val="0.9"/>
        <color rgb="FFF8696B"/>
        <color rgb="FFFFEB84"/>
        <color rgb="FF63BE7B"/>
      </colorScale>
    </cfRule>
  </conditionalFormatting>
  <conditionalFormatting sqref="CJ9">
    <cfRule type="colorScale" priority="17">
      <colorScale>
        <cfvo type="num" val="0.69"/>
        <cfvo type="num" val="0.8"/>
        <cfvo type="num" val="0.9"/>
        <color rgb="FFF8696B"/>
        <color rgb="FFFFEB84"/>
        <color rgb="FF63BE7B"/>
      </colorScale>
    </cfRule>
  </conditionalFormatting>
  <conditionalFormatting sqref="CP9">
    <cfRule type="colorScale" priority="16">
      <colorScale>
        <cfvo type="num" val="0.69"/>
        <cfvo type="num" val="0.8"/>
        <cfvo type="num" val="0.9"/>
        <color rgb="FFF8696B"/>
        <color rgb="FFFFEB84"/>
        <color rgb="FF63BE7B"/>
      </colorScale>
    </cfRule>
  </conditionalFormatting>
  <conditionalFormatting sqref="CV9">
    <cfRule type="colorScale" priority="15">
      <colorScale>
        <cfvo type="num" val="0.69"/>
        <cfvo type="num" val="0.8"/>
        <cfvo type="num" val="0.9"/>
        <color rgb="FFF8696B"/>
        <color rgb="FFFFEB84"/>
        <color rgb="FF63BE7B"/>
      </colorScale>
    </cfRule>
  </conditionalFormatting>
  <conditionalFormatting sqref="AB10">
    <cfRule type="colorScale" priority="14">
      <colorScale>
        <cfvo type="num" val="0.69"/>
        <cfvo type="num" val="0.8"/>
        <cfvo type="num" val="0.9"/>
        <color rgb="FFF8696B"/>
        <color rgb="FFFFEB84"/>
        <color rgb="FF63BE7B"/>
      </colorScale>
    </cfRule>
  </conditionalFormatting>
  <conditionalFormatting sqref="AH10">
    <cfRule type="colorScale" priority="13">
      <colorScale>
        <cfvo type="num" val="0.69"/>
        <cfvo type="num" val="0.8"/>
        <cfvo type="num" val="0.9"/>
        <color rgb="FFF8696B"/>
        <color rgb="FFFFEB84"/>
        <color rgb="FF63BE7B"/>
      </colorScale>
    </cfRule>
  </conditionalFormatting>
  <conditionalFormatting sqref="AN10">
    <cfRule type="colorScale" priority="12">
      <colorScale>
        <cfvo type="num" val="0.69"/>
        <cfvo type="num" val="0.8"/>
        <cfvo type="num" val="0.9"/>
        <color rgb="FFF8696B"/>
        <color rgb="FFFFEB84"/>
        <color rgb="FF63BE7B"/>
      </colorScale>
    </cfRule>
  </conditionalFormatting>
  <conditionalFormatting sqref="AT10">
    <cfRule type="colorScale" priority="11">
      <colorScale>
        <cfvo type="num" val="0.69"/>
        <cfvo type="num" val="0.8"/>
        <cfvo type="num" val="0.9"/>
        <color rgb="FFF8696B"/>
        <color rgb="FFFFEB84"/>
        <color rgb="FF63BE7B"/>
      </colorScale>
    </cfRule>
  </conditionalFormatting>
  <conditionalFormatting sqref="AZ10">
    <cfRule type="colorScale" priority="10">
      <colorScale>
        <cfvo type="num" val="0.69"/>
        <cfvo type="num" val="0.8"/>
        <cfvo type="num" val="0.9"/>
        <color rgb="FFF8696B"/>
        <color rgb="FFFFEB84"/>
        <color rgb="FF63BE7B"/>
      </colorScale>
    </cfRule>
  </conditionalFormatting>
  <conditionalFormatting sqref="BF10">
    <cfRule type="colorScale" priority="9">
      <colorScale>
        <cfvo type="num" val="0.69"/>
        <cfvo type="num" val="0.8"/>
        <cfvo type="num" val="0.9"/>
        <color rgb="FFF8696B"/>
        <color rgb="FFFFEB84"/>
        <color rgb="FF63BE7B"/>
      </colorScale>
    </cfRule>
  </conditionalFormatting>
  <conditionalFormatting sqref="BL10">
    <cfRule type="colorScale" priority="8">
      <colorScale>
        <cfvo type="num" val="0.69"/>
        <cfvo type="num" val="0.8"/>
        <cfvo type="num" val="0.9"/>
        <color rgb="FFF8696B"/>
        <color rgb="FFFFEB84"/>
        <color rgb="FF63BE7B"/>
      </colorScale>
    </cfRule>
  </conditionalFormatting>
  <conditionalFormatting sqref="BR10">
    <cfRule type="colorScale" priority="7">
      <colorScale>
        <cfvo type="num" val="0.69"/>
        <cfvo type="num" val="0.8"/>
        <cfvo type="num" val="0.9"/>
        <color rgb="FFF8696B"/>
        <color rgb="FFFFEB84"/>
        <color rgb="FF63BE7B"/>
      </colorScale>
    </cfRule>
  </conditionalFormatting>
  <conditionalFormatting sqref="BX10">
    <cfRule type="colorScale" priority="6">
      <colorScale>
        <cfvo type="num" val="0.69"/>
        <cfvo type="num" val="0.8"/>
        <cfvo type="num" val="0.9"/>
        <color rgb="FFF8696B"/>
        <color rgb="FFFFEB84"/>
        <color rgb="FF63BE7B"/>
      </colorScale>
    </cfRule>
  </conditionalFormatting>
  <conditionalFormatting sqref="CD10">
    <cfRule type="colorScale" priority="5">
      <colorScale>
        <cfvo type="num" val="0.69"/>
        <cfvo type="num" val="0.8"/>
        <cfvo type="num" val="0.9"/>
        <color rgb="FFF8696B"/>
        <color rgb="FFFFEB84"/>
        <color rgb="FF63BE7B"/>
      </colorScale>
    </cfRule>
  </conditionalFormatting>
  <conditionalFormatting sqref="CJ10">
    <cfRule type="colorScale" priority="4">
      <colorScale>
        <cfvo type="num" val="0.69"/>
        <cfvo type="num" val="0.8"/>
        <cfvo type="num" val="0.9"/>
        <color rgb="FFF8696B"/>
        <color rgb="FFFFEB84"/>
        <color rgb="FF63BE7B"/>
      </colorScale>
    </cfRule>
  </conditionalFormatting>
  <conditionalFormatting sqref="CP10">
    <cfRule type="colorScale" priority="3">
      <colorScale>
        <cfvo type="num" val="0.69"/>
        <cfvo type="num" val="0.8"/>
        <cfvo type="num" val="0.9"/>
        <color rgb="FFF8696B"/>
        <color rgb="FFFFEB84"/>
        <color rgb="FF63BE7B"/>
      </colorScale>
    </cfRule>
  </conditionalFormatting>
  <conditionalFormatting sqref="CV10">
    <cfRule type="colorScale" priority="2">
      <colorScale>
        <cfvo type="num" val="0.69"/>
        <cfvo type="num" val="0.8"/>
        <cfvo type="num" val="0.9"/>
        <color rgb="FFF8696B"/>
        <color rgb="FFFFEB84"/>
        <color rgb="FF63BE7B"/>
      </colorScale>
    </cfRule>
  </conditionalFormatting>
  <conditionalFormatting sqref="AT11">
    <cfRule type="colorScale" priority="1">
      <colorScale>
        <cfvo type="num" val="0.69"/>
        <cfvo type="num" val="0.8"/>
        <cfvo type="num" val="0.9"/>
        <color rgb="FFF8696B"/>
        <color rgb="FFFFEB84"/>
        <color rgb="FF63BE7B"/>
      </colorScale>
    </cfRule>
  </conditionalFormatting>
  <printOptions horizontalCentered="1"/>
  <pageMargins left="0.19685039370078741" right="0.19685039370078741" top="0.39370078740157483" bottom="0.39370078740157483" header="0.31496062992125984" footer="0.31496062992125984"/>
  <pageSetup paperSize="190" scale="50" fitToHeight="4" orientation="landscape" r:id="rId1"/>
  <headerFooter alignWithMargins="0"/>
  <colBreaks count="1" manualBreakCount="1">
    <brk id="95" max="29"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pageSetUpPr fitToPage="1"/>
  </sheetPr>
  <dimension ref="A1:DE24"/>
  <sheetViews>
    <sheetView showGridLines="0" zoomScaleNormal="100" zoomScaleSheetLayoutView="90" workbookViewId="0">
      <selection activeCell="S8" sqref="S8"/>
    </sheetView>
  </sheetViews>
  <sheetFormatPr baseColWidth="10" defaultRowHeight="12.75"/>
  <cols>
    <col min="1" max="1" width="4.42578125" style="15" customWidth="1"/>
    <col min="2" max="2" width="24.42578125" style="15" customWidth="1"/>
    <col min="3" max="3" width="12.42578125" style="2" customWidth="1"/>
    <col min="4" max="4" width="17.140625" style="15" customWidth="1"/>
    <col min="5" max="5" width="14.7109375" style="15" hidden="1" customWidth="1"/>
    <col min="6" max="6" width="15" style="15" hidden="1" customWidth="1"/>
    <col min="7" max="7" width="9.28515625" style="15" hidden="1" customWidth="1"/>
    <col min="8" max="8" width="21" style="15" customWidth="1"/>
    <col min="9" max="9" width="14.7109375" style="15" hidden="1" customWidth="1"/>
    <col min="10" max="10" width="10" style="15" hidden="1" customWidth="1"/>
    <col min="11" max="11" width="5.42578125" style="15" customWidth="1"/>
    <col min="12" max="22" width="4.7109375" style="15" customWidth="1"/>
    <col min="23" max="23" width="9.5703125" style="210" customWidth="1"/>
    <col min="24" max="27" width="6" style="210" customWidth="1"/>
    <col min="28" max="28" width="7.140625" style="210" customWidth="1"/>
    <col min="29" max="29" width="18.85546875" style="210" customWidth="1"/>
    <col min="30" max="33" width="6" style="210" customWidth="1"/>
    <col min="34" max="34" width="8.140625" style="210" customWidth="1"/>
    <col min="35" max="35" width="17.140625" style="210" customWidth="1"/>
    <col min="36" max="39" width="6" style="210" customWidth="1"/>
    <col min="40" max="40" width="7.140625" style="210" customWidth="1"/>
    <col min="41" max="41" width="20.140625" style="210" customWidth="1"/>
    <col min="42" max="42" width="7.85546875" style="210" customWidth="1"/>
    <col min="43" max="43" width="9.85546875" style="210" customWidth="1"/>
    <col min="44" max="45" width="7.140625" style="210" customWidth="1"/>
    <col min="46" max="46" width="13.28515625" style="210" customWidth="1"/>
    <col min="47" max="47" width="55.42578125" style="210" customWidth="1"/>
    <col min="48" max="48" width="19.7109375" style="210" customWidth="1"/>
    <col min="49" max="49" width="11" style="210" customWidth="1"/>
    <col min="50" max="51" width="8.140625" style="210" customWidth="1"/>
    <col min="52" max="52" width="11.5703125" style="210" customWidth="1"/>
    <col min="53" max="53" width="55.42578125" style="210" customWidth="1"/>
    <col min="54" max="54" width="9.28515625" style="210" customWidth="1"/>
    <col min="55" max="55" width="11" style="210" customWidth="1"/>
    <col min="56" max="57" width="8.140625" style="210" customWidth="1"/>
    <col min="58" max="58" width="11.5703125" style="210" customWidth="1"/>
    <col min="59" max="59" width="63.140625" style="210" customWidth="1"/>
    <col min="60" max="60" width="9.28515625" style="210" customWidth="1"/>
    <col min="61" max="61" width="11" style="210" customWidth="1"/>
    <col min="62" max="62" width="12.7109375" style="210" customWidth="1"/>
    <col min="63" max="63" width="8.140625" style="210" customWidth="1"/>
    <col min="64" max="64" width="11.5703125" style="210" customWidth="1"/>
    <col min="65" max="65" width="55.42578125" style="210" customWidth="1"/>
    <col min="66" max="66" width="9.28515625" style="210" customWidth="1"/>
    <col min="67" max="67" width="11" style="210" customWidth="1"/>
    <col min="68" max="69" width="8.140625" style="210" customWidth="1"/>
    <col min="70" max="70" width="11.5703125" style="210" customWidth="1"/>
    <col min="71" max="71" width="58" style="210" customWidth="1"/>
    <col min="72" max="72" width="9.28515625" style="210" customWidth="1"/>
    <col min="73" max="73" width="11" style="210" customWidth="1"/>
    <col min="74" max="75" width="8.140625" style="210" customWidth="1"/>
    <col min="76" max="76" width="11.5703125" style="210" customWidth="1"/>
    <col min="77" max="77" width="55.42578125" style="210" customWidth="1"/>
    <col min="78" max="78" width="9.28515625" style="210" customWidth="1"/>
    <col min="79" max="79" width="11" style="210" customWidth="1"/>
    <col min="80" max="81" width="8.140625" style="210" customWidth="1"/>
    <col min="82" max="82" width="11.5703125" style="210" customWidth="1"/>
    <col min="83" max="83" width="55.42578125" style="210" customWidth="1"/>
    <col min="84" max="84" width="9.28515625" style="210" customWidth="1"/>
    <col min="85" max="85" width="11" style="210" customWidth="1"/>
    <col min="86" max="87" width="8.140625" style="210" customWidth="1"/>
    <col min="88" max="88" width="11.5703125" style="210" customWidth="1"/>
    <col min="89" max="89" width="47.42578125" style="210" customWidth="1"/>
    <col min="90" max="90" width="12.28515625" style="210" customWidth="1"/>
    <col min="91" max="91" width="11" style="210" customWidth="1"/>
    <col min="92" max="93" width="8.140625" style="210" customWidth="1"/>
    <col min="94" max="94" width="11.5703125" style="210" customWidth="1"/>
    <col min="95" max="95" width="94.28515625" style="210" customWidth="1"/>
    <col min="96" max="96" width="79.28515625" style="210" customWidth="1"/>
    <col min="97" max="97" width="75.42578125" style="210" customWidth="1"/>
    <col min="98" max="98" width="11.28515625" style="210" customWidth="1"/>
    <col min="99" max="99" width="11" style="210" customWidth="1"/>
    <col min="100" max="100" width="8.140625" style="210" customWidth="1"/>
    <col min="101" max="101" width="9.140625" style="210" customWidth="1"/>
    <col min="102" max="102" width="12.85546875" style="210" customWidth="1"/>
    <col min="103" max="103" width="144.28515625" style="210" customWidth="1"/>
    <col min="104" max="104" width="141.5703125" style="15" customWidth="1"/>
    <col min="105" max="105" width="140.42578125" style="15" customWidth="1"/>
    <col min="106" max="16384" width="11.42578125" style="15"/>
  </cols>
  <sheetData>
    <row r="1" spans="1:109" s="4" customFormat="1" ht="12" customHeight="1">
      <c r="A1" s="1251"/>
      <c r="B1" s="2248" t="s">
        <v>22</v>
      </c>
      <c r="C1" s="1991"/>
      <c r="D1" s="1991"/>
      <c r="E1" s="1991"/>
      <c r="F1" s="1991"/>
      <c r="G1" s="1991"/>
      <c r="H1" s="1991"/>
      <c r="I1" s="1991"/>
      <c r="J1" s="1991"/>
      <c r="K1" s="1991"/>
      <c r="L1" s="1991"/>
      <c r="M1" s="1991"/>
      <c r="N1" s="1991"/>
      <c r="O1" s="1983"/>
      <c r="P1" s="1984"/>
      <c r="Q1" s="1984"/>
      <c r="R1" s="1984"/>
      <c r="S1" s="1982"/>
      <c r="T1" s="1982"/>
      <c r="U1" s="1982"/>
      <c r="V1" s="1982"/>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c r="AU1" s="754"/>
      <c r="AV1" s="754"/>
      <c r="AW1" s="754"/>
      <c r="AX1" s="754"/>
      <c r="AY1" s="754"/>
      <c r="AZ1" s="754"/>
      <c r="BA1" s="754"/>
      <c r="BB1" s="754"/>
      <c r="BC1" s="754"/>
      <c r="BD1" s="754"/>
      <c r="BE1" s="754"/>
      <c r="BF1" s="754"/>
      <c r="BG1" s="754"/>
      <c r="BH1" s="754"/>
      <c r="BI1" s="754"/>
      <c r="BJ1" s="754"/>
      <c r="BK1" s="754"/>
      <c r="BL1" s="754"/>
      <c r="BM1" s="754"/>
      <c r="BN1" s="754"/>
      <c r="BO1" s="754"/>
      <c r="BP1" s="754"/>
      <c r="BQ1" s="754"/>
      <c r="BR1" s="754"/>
      <c r="BS1" s="754"/>
      <c r="BT1" s="754"/>
      <c r="BU1" s="754"/>
      <c r="BV1" s="754"/>
      <c r="BW1" s="754"/>
      <c r="BX1" s="754"/>
      <c r="BY1" s="754"/>
      <c r="BZ1" s="754"/>
      <c r="CA1" s="754"/>
      <c r="CB1" s="754"/>
      <c r="CC1" s="754"/>
      <c r="CD1" s="754"/>
      <c r="CE1" s="754"/>
      <c r="CF1" s="754"/>
      <c r="CG1" s="754"/>
      <c r="CH1" s="754"/>
      <c r="CI1" s="754"/>
      <c r="CJ1" s="754"/>
      <c r="CK1" s="754"/>
      <c r="CL1" s="754"/>
      <c r="CM1" s="754"/>
      <c r="CN1" s="754"/>
      <c r="CO1" s="754"/>
      <c r="CP1" s="754"/>
      <c r="CQ1" s="754"/>
      <c r="CR1" s="754"/>
      <c r="CS1" s="754"/>
      <c r="CT1" s="754"/>
      <c r="CU1" s="754"/>
      <c r="CV1" s="754"/>
      <c r="CW1" s="754"/>
      <c r="CX1" s="754"/>
      <c r="CY1" s="754"/>
    </row>
    <row r="2" spans="1:109" s="3" customFormat="1" ht="21"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c r="BZ2" s="758"/>
      <c r="CA2" s="758"/>
      <c r="CB2" s="758"/>
      <c r="CC2" s="758"/>
      <c r="CD2" s="758"/>
      <c r="CE2" s="758"/>
      <c r="CF2" s="758"/>
      <c r="CG2" s="758"/>
      <c r="CH2" s="758"/>
      <c r="CI2" s="758"/>
      <c r="CJ2" s="758"/>
      <c r="CK2" s="758"/>
      <c r="CL2" s="758"/>
      <c r="CM2" s="758"/>
      <c r="CN2" s="758"/>
      <c r="CO2" s="758"/>
      <c r="CP2" s="758"/>
      <c r="CQ2" s="758"/>
      <c r="CR2" s="758"/>
      <c r="CS2" s="758"/>
      <c r="CT2" s="758"/>
      <c r="CU2" s="758"/>
      <c r="CV2" s="758"/>
      <c r="CW2" s="758"/>
      <c r="CX2" s="758"/>
      <c r="CY2" s="758"/>
    </row>
    <row r="3" spans="1:109" ht="17.45" customHeight="1"/>
    <row r="4" spans="1:109" ht="19.5" customHeight="1">
      <c r="A4" s="1252"/>
      <c r="B4" s="49" t="s">
        <v>18</v>
      </c>
      <c r="C4" s="1979" t="s">
        <v>2297</v>
      </c>
      <c r="D4" s="1979"/>
      <c r="E4" s="1979"/>
      <c r="F4" s="1979"/>
      <c r="G4" s="1979"/>
      <c r="H4" s="1979"/>
      <c r="I4" s="1979"/>
      <c r="J4" s="1979"/>
      <c r="K4" s="1996" t="s">
        <v>21</v>
      </c>
      <c r="L4" s="1996"/>
      <c r="M4" s="1996"/>
      <c r="N4" s="1999">
        <v>2014</v>
      </c>
      <c r="O4" s="2000"/>
      <c r="P4" s="2000"/>
      <c r="Q4" s="2000"/>
      <c r="R4" s="2000"/>
      <c r="S4" s="2000"/>
      <c r="T4" s="2000"/>
      <c r="U4" s="2000"/>
      <c r="V4" s="2001"/>
      <c r="W4" s="54"/>
      <c r="X4" s="2432" t="s">
        <v>29</v>
      </c>
      <c r="Y4" s="2432"/>
      <c r="Z4" s="2432"/>
      <c r="AA4" s="2432"/>
      <c r="AB4" s="2432"/>
      <c r="AC4" s="2433"/>
      <c r="AD4" s="2431" t="s">
        <v>29</v>
      </c>
      <c r="AE4" s="2432"/>
      <c r="AF4" s="2432"/>
      <c r="AG4" s="2432"/>
      <c r="AH4" s="2432"/>
      <c r="AI4" s="2433"/>
      <c r="AJ4" s="2431" t="s">
        <v>29</v>
      </c>
      <c r="AK4" s="2432"/>
      <c r="AL4" s="2432"/>
      <c r="AM4" s="2432"/>
      <c r="AN4" s="2432"/>
      <c r="AO4" s="2433"/>
      <c r="AP4" s="2431" t="s">
        <v>29</v>
      </c>
      <c r="AQ4" s="2432"/>
      <c r="AR4" s="2432"/>
      <c r="AS4" s="2432"/>
      <c r="AT4" s="2432"/>
      <c r="AU4" s="2433"/>
      <c r="AV4" s="2431" t="s">
        <v>29</v>
      </c>
      <c r="AW4" s="2432"/>
      <c r="AX4" s="2432"/>
      <c r="AY4" s="2432"/>
      <c r="AZ4" s="2432"/>
      <c r="BA4" s="2433"/>
      <c r="BB4" s="2431" t="s">
        <v>29</v>
      </c>
      <c r="BC4" s="2432"/>
      <c r="BD4" s="2432"/>
      <c r="BE4" s="2432"/>
      <c r="BF4" s="2432"/>
      <c r="BG4" s="2433"/>
      <c r="BH4" s="2431" t="s">
        <v>29</v>
      </c>
      <c r="BI4" s="2432"/>
      <c r="BJ4" s="2432"/>
      <c r="BK4" s="2432"/>
      <c r="BL4" s="2432"/>
      <c r="BM4" s="2433"/>
      <c r="BN4" s="2431" t="s">
        <v>29</v>
      </c>
      <c r="BO4" s="2432"/>
      <c r="BP4" s="2432"/>
      <c r="BQ4" s="2432"/>
      <c r="BR4" s="2432"/>
      <c r="BS4" s="2433"/>
      <c r="BT4" s="2431" t="s">
        <v>29</v>
      </c>
      <c r="BU4" s="2432"/>
      <c r="BV4" s="2432"/>
      <c r="BW4" s="2432"/>
      <c r="BX4" s="2432"/>
      <c r="BY4" s="2433"/>
      <c r="BZ4" s="2431" t="s">
        <v>29</v>
      </c>
      <c r="CA4" s="2432"/>
      <c r="CB4" s="2432"/>
      <c r="CC4" s="2432"/>
      <c r="CD4" s="2432"/>
      <c r="CE4" s="2433"/>
      <c r="CF4" s="2431" t="s">
        <v>29</v>
      </c>
      <c r="CG4" s="2432"/>
      <c r="CH4" s="2432"/>
      <c r="CI4" s="2432"/>
      <c r="CJ4" s="2432"/>
      <c r="CK4" s="2432"/>
      <c r="CL4" s="2431" t="s">
        <v>29</v>
      </c>
      <c r="CM4" s="2432"/>
      <c r="CN4" s="2432"/>
      <c r="CO4" s="2432"/>
      <c r="CP4" s="2432"/>
      <c r="CQ4" s="2432"/>
      <c r="CR4" s="2432"/>
      <c r="CS4" s="2433"/>
      <c r="CT4" s="2432"/>
      <c r="CU4" s="2432"/>
      <c r="CV4" s="2432"/>
      <c r="CW4" s="2432"/>
      <c r="CX4" s="2432"/>
      <c r="CY4" s="2432"/>
      <c r="CZ4" s="1253" t="s">
        <v>30</v>
      </c>
      <c r="DA4" s="1254"/>
      <c r="DB4" s="1255"/>
      <c r="DC4" s="1255"/>
      <c r="DD4" s="1255"/>
      <c r="DE4" s="1255"/>
    </row>
    <row r="5" spans="1:109" ht="4.5" customHeight="1">
      <c r="A5" s="128"/>
      <c r="B5" s="128"/>
      <c r="C5" s="44"/>
      <c r="D5" s="128"/>
      <c r="E5" s="128"/>
      <c r="F5" s="128"/>
      <c r="G5" s="128"/>
      <c r="H5" s="128"/>
      <c r="I5" s="128"/>
      <c r="J5" s="128"/>
      <c r="K5" s="128"/>
      <c r="L5" s="128"/>
      <c r="M5" s="128"/>
      <c r="N5" s="128"/>
      <c r="O5" s="128"/>
      <c r="P5" s="128"/>
      <c r="Q5" s="128"/>
      <c r="R5" s="128"/>
      <c r="S5" s="128"/>
      <c r="T5" s="128"/>
      <c r="U5" s="128"/>
      <c r="V5" s="128"/>
      <c r="W5" s="54"/>
      <c r="CL5" s="1256"/>
      <c r="CM5" s="1257"/>
      <c r="CN5" s="1257"/>
      <c r="CO5" s="1257"/>
      <c r="CP5" s="1257"/>
      <c r="CQ5" s="1257"/>
      <c r="CR5" s="1257"/>
      <c r="CS5" s="1258"/>
    </row>
    <row r="6" spans="1:109" s="2" customFormat="1" ht="21.7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1259"/>
      <c r="X6" s="2434" t="s">
        <v>37</v>
      </c>
      <c r="Y6" s="2435"/>
      <c r="Z6" s="2435"/>
      <c r="AA6" s="2435"/>
      <c r="AB6" s="2435"/>
      <c r="AC6" s="2435"/>
      <c r="AD6" s="1962" t="s">
        <v>38</v>
      </c>
      <c r="AE6" s="1963"/>
      <c r="AF6" s="1963"/>
      <c r="AG6" s="1963"/>
      <c r="AH6" s="1963"/>
      <c r="AI6" s="1963"/>
      <c r="AJ6" s="1966" t="s">
        <v>39</v>
      </c>
      <c r="AK6" s="1967"/>
      <c r="AL6" s="1967"/>
      <c r="AM6" s="1967"/>
      <c r="AN6" s="1967"/>
      <c r="AO6" s="1967"/>
      <c r="AP6" s="2331" t="s">
        <v>40</v>
      </c>
      <c r="AQ6" s="2332"/>
      <c r="AR6" s="2332"/>
      <c r="AS6" s="2332"/>
      <c r="AT6" s="2332"/>
      <c r="AU6" s="2332"/>
      <c r="AV6" s="2331" t="s">
        <v>41</v>
      </c>
      <c r="AW6" s="2332"/>
      <c r="AX6" s="2332"/>
      <c r="AY6" s="2332"/>
      <c r="AZ6" s="2332"/>
      <c r="BA6" s="2332"/>
      <c r="BB6" s="2331" t="s">
        <v>42</v>
      </c>
      <c r="BC6" s="2332"/>
      <c r="BD6" s="2332"/>
      <c r="BE6" s="2332"/>
      <c r="BF6" s="2332"/>
      <c r="BG6" s="2332"/>
      <c r="BH6" s="2331" t="s">
        <v>43</v>
      </c>
      <c r="BI6" s="2332"/>
      <c r="BJ6" s="2332"/>
      <c r="BK6" s="2332"/>
      <c r="BL6" s="2332"/>
      <c r="BM6" s="2332"/>
      <c r="BN6" s="2331" t="s">
        <v>44</v>
      </c>
      <c r="BO6" s="2332"/>
      <c r="BP6" s="2332"/>
      <c r="BQ6" s="2332"/>
      <c r="BR6" s="2332"/>
      <c r="BS6" s="2332"/>
      <c r="BT6" s="2331" t="s">
        <v>45</v>
      </c>
      <c r="BU6" s="2332"/>
      <c r="BV6" s="2332"/>
      <c r="BW6" s="2332"/>
      <c r="BX6" s="2332"/>
      <c r="BY6" s="2332"/>
      <c r="BZ6" s="2331" t="s">
        <v>46</v>
      </c>
      <c r="CA6" s="2332"/>
      <c r="CB6" s="2332"/>
      <c r="CC6" s="2332"/>
      <c r="CD6" s="2332"/>
      <c r="CE6" s="2332"/>
      <c r="CF6" s="2331" t="s">
        <v>47</v>
      </c>
      <c r="CG6" s="2332"/>
      <c r="CH6" s="2332"/>
      <c r="CI6" s="2332"/>
      <c r="CJ6" s="2332"/>
      <c r="CK6" s="2332"/>
      <c r="CL6" s="2436" t="s">
        <v>87</v>
      </c>
      <c r="CM6" s="2437"/>
      <c r="CN6" s="2437"/>
      <c r="CO6" s="2437"/>
      <c r="CP6" s="2437"/>
      <c r="CQ6" s="2437"/>
      <c r="CR6" s="2437"/>
      <c r="CS6" s="2333"/>
      <c r="CT6" s="2436"/>
      <c r="CU6" s="2438"/>
      <c r="CV6" s="2438"/>
      <c r="CW6" s="2438"/>
      <c r="CX6" s="2438"/>
      <c r="CY6" s="2439"/>
      <c r="CZ6" s="1260" t="s">
        <v>51</v>
      </c>
      <c r="DA6" s="1261"/>
      <c r="DB6" s="1262"/>
      <c r="DC6" s="1263"/>
      <c r="DD6" s="1263"/>
      <c r="DE6" s="1263"/>
    </row>
    <row r="7" spans="1:109" s="2" customFormat="1" ht="39.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1264" t="s">
        <v>65</v>
      </c>
      <c r="X7" s="784" t="s">
        <v>31</v>
      </c>
      <c r="Y7" s="784" t="s">
        <v>32</v>
      </c>
      <c r="Z7" s="785" t="s">
        <v>33</v>
      </c>
      <c r="AA7" s="784" t="s">
        <v>34</v>
      </c>
      <c r="AB7" s="781" t="s">
        <v>35</v>
      </c>
      <c r="AC7" s="785" t="s">
        <v>36</v>
      </c>
      <c r="AD7" s="784" t="s">
        <v>31</v>
      </c>
      <c r="AE7" s="784" t="s">
        <v>32</v>
      </c>
      <c r="AF7" s="785" t="s">
        <v>33</v>
      </c>
      <c r="AG7" s="784" t="s">
        <v>34</v>
      </c>
      <c r="AH7" s="781" t="s">
        <v>35</v>
      </c>
      <c r="AI7" s="785" t="s">
        <v>36</v>
      </c>
      <c r="AJ7" s="784" t="s">
        <v>31</v>
      </c>
      <c r="AK7" s="784" t="s">
        <v>32</v>
      </c>
      <c r="AL7" s="785" t="s">
        <v>33</v>
      </c>
      <c r="AM7" s="784" t="s">
        <v>34</v>
      </c>
      <c r="AN7" s="781" t="s">
        <v>35</v>
      </c>
      <c r="AO7" s="785" t="s">
        <v>36</v>
      </c>
      <c r="AP7" s="784" t="s">
        <v>31</v>
      </c>
      <c r="AQ7" s="784" t="s">
        <v>32</v>
      </c>
      <c r="AR7" s="785" t="s">
        <v>33</v>
      </c>
      <c r="AS7" s="784" t="s">
        <v>34</v>
      </c>
      <c r="AT7" s="781" t="s">
        <v>35</v>
      </c>
      <c r="AU7" s="785" t="s">
        <v>36</v>
      </c>
      <c r="AV7" s="784" t="s">
        <v>31</v>
      </c>
      <c r="AW7" s="784" t="s">
        <v>32</v>
      </c>
      <c r="AX7" s="785" t="s">
        <v>33</v>
      </c>
      <c r="AY7" s="784" t="s">
        <v>34</v>
      </c>
      <c r="AZ7" s="781" t="s">
        <v>35</v>
      </c>
      <c r="BA7" s="785" t="s">
        <v>36</v>
      </c>
      <c r="BB7" s="784" t="s">
        <v>31</v>
      </c>
      <c r="BC7" s="784" t="s">
        <v>32</v>
      </c>
      <c r="BD7" s="785" t="s">
        <v>33</v>
      </c>
      <c r="BE7" s="784" t="s">
        <v>34</v>
      </c>
      <c r="BF7" s="781" t="s">
        <v>35</v>
      </c>
      <c r="BG7" s="785" t="s">
        <v>36</v>
      </c>
      <c r="BH7" s="784" t="s">
        <v>31</v>
      </c>
      <c r="BI7" s="784" t="s">
        <v>32</v>
      </c>
      <c r="BJ7" s="785" t="s">
        <v>33</v>
      </c>
      <c r="BK7" s="784" t="s">
        <v>34</v>
      </c>
      <c r="BL7" s="781" t="s">
        <v>35</v>
      </c>
      <c r="BM7" s="785" t="s">
        <v>36</v>
      </c>
      <c r="BN7" s="784" t="s">
        <v>31</v>
      </c>
      <c r="BO7" s="784" t="s">
        <v>32</v>
      </c>
      <c r="BP7" s="785" t="s">
        <v>33</v>
      </c>
      <c r="BQ7" s="784" t="s">
        <v>34</v>
      </c>
      <c r="BR7" s="781" t="s">
        <v>35</v>
      </c>
      <c r="BS7" s="785" t="s">
        <v>36</v>
      </c>
      <c r="BT7" s="784" t="s">
        <v>31</v>
      </c>
      <c r="BU7" s="784" t="s">
        <v>32</v>
      </c>
      <c r="BV7" s="785" t="s">
        <v>33</v>
      </c>
      <c r="BW7" s="784" t="s">
        <v>34</v>
      </c>
      <c r="BX7" s="781" t="s">
        <v>35</v>
      </c>
      <c r="BY7" s="785" t="s">
        <v>36</v>
      </c>
      <c r="BZ7" s="784" t="s">
        <v>31</v>
      </c>
      <c r="CA7" s="784" t="s">
        <v>32</v>
      </c>
      <c r="CB7" s="785" t="s">
        <v>33</v>
      </c>
      <c r="CC7" s="784" t="s">
        <v>34</v>
      </c>
      <c r="CD7" s="781" t="s">
        <v>35</v>
      </c>
      <c r="CE7" s="785" t="s">
        <v>36</v>
      </c>
      <c r="CF7" s="784" t="s">
        <v>31</v>
      </c>
      <c r="CG7" s="784" t="s">
        <v>32</v>
      </c>
      <c r="CH7" s="785" t="s">
        <v>33</v>
      </c>
      <c r="CI7" s="784" t="s">
        <v>34</v>
      </c>
      <c r="CJ7" s="781" t="s">
        <v>35</v>
      </c>
      <c r="CK7" s="785" t="s">
        <v>36</v>
      </c>
      <c r="CL7" s="784" t="s">
        <v>31</v>
      </c>
      <c r="CM7" s="784" t="s">
        <v>32</v>
      </c>
      <c r="CN7" s="785" t="s">
        <v>33</v>
      </c>
      <c r="CO7" s="784" t="s">
        <v>34</v>
      </c>
      <c r="CP7" s="1265" t="s">
        <v>35</v>
      </c>
      <c r="CQ7" s="1266"/>
      <c r="CR7" s="1267" t="s">
        <v>36</v>
      </c>
      <c r="CS7" s="1268"/>
      <c r="CT7" s="1269" t="s">
        <v>31</v>
      </c>
      <c r="CU7" s="1270" t="s">
        <v>32</v>
      </c>
      <c r="CV7" s="782" t="s">
        <v>33</v>
      </c>
      <c r="CW7" s="1270" t="s">
        <v>34</v>
      </c>
      <c r="CX7" s="1271" t="s">
        <v>35</v>
      </c>
      <c r="CY7" s="1272"/>
      <c r="CZ7" s="1273" t="s">
        <v>36</v>
      </c>
      <c r="DA7" s="584"/>
    </row>
    <row r="8" spans="1:109" ht="284.25" customHeight="1">
      <c r="B8" s="391" t="s">
        <v>2298</v>
      </c>
      <c r="C8" s="9"/>
      <c r="D8" s="13" t="s">
        <v>2299</v>
      </c>
      <c r="E8" s="13" t="s">
        <v>2300</v>
      </c>
      <c r="F8" s="8" t="s">
        <v>2301</v>
      </c>
      <c r="G8" s="8" t="s">
        <v>53</v>
      </c>
      <c r="H8" s="13" t="s">
        <v>2302</v>
      </c>
      <c r="I8" s="8" t="s">
        <v>2303</v>
      </c>
      <c r="J8" s="8" t="s">
        <v>2304</v>
      </c>
      <c r="K8" s="1274"/>
      <c r="L8" s="1274"/>
      <c r="M8" s="1274"/>
      <c r="N8" s="1274"/>
      <c r="O8" s="1274"/>
      <c r="P8" s="1275">
        <v>0.5</v>
      </c>
      <c r="Q8" s="14"/>
      <c r="R8" s="14"/>
      <c r="S8" s="14"/>
      <c r="T8" s="14"/>
      <c r="U8" s="74"/>
      <c r="V8" s="1276">
        <v>0.5</v>
      </c>
      <c r="W8" s="1274" t="s">
        <v>2305</v>
      </c>
      <c r="X8" s="1277"/>
      <c r="Y8" s="1278"/>
      <c r="Z8" s="22" t="str">
        <f t="shared" ref="Z8:Z20" si="0">IF(Y8=0," ",X8/Y8)</f>
        <v xml:space="preserve"> </v>
      </c>
      <c r="AA8" s="179"/>
      <c r="AB8" s="24" t="str">
        <f t="shared" ref="AB8:AB20" si="1">IF(Y8=0," ",Z8/AA8)</f>
        <v xml:space="preserve"> </v>
      </c>
      <c r="AC8" s="693" t="s">
        <v>2306</v>
      </c>
      <c r="AD8" s="623"/>
      <c r="AE8" s="623"/>
      <c r="AF8" s="22" t="str">
        <f t="shared" ref="AF8:AF20" si="2">IF(AE8=0," ",AD8/AE8)</f>
        <v xml:space="preserve"> </v>
      </c>
      <c r="AG8" s="728"/>
      <c r="AH8" s="24" t="str">
        <f t="shared" ref="AH8:AH20" si="3">IF(AE8=0," ",AF8/AG8)</f>
        <v xml:space="preserve"> </v>
      </c>
      <c r="AI8" s="693" t="s">
        <v>2306</v>
      </c>
      <c r="AJ8" s="623"/>
      <c r="AK8" s="623"/>
      <c r="AL8" s="22" t="str">
        <f t="shared" ref="AL8:AL15" si="4">IF(AK8=0," ",AJ8/AK8)</f>
        <v xml:space="preserve"> </v>
      </c>
      <c r="AM8" s="728"/>
      <c r="AN8" s="24" t="str">
        <f t="shared" ref="AN8:AN20" si="5">IF(AK8=0," ",AL8/AM8)</f>
        <v xml:space="preserve"> </v>
      </c>
      <c r="AO8" s="693" t="s">
        <v>2306</v>
      </c>
      <c r="AP8" s="623"/>
      <c r="AQ8" s="623"/>
      <c r="AR8" s="22" t="str">
        <f t="shared" ref="AR8:AR20" si="6">IF(AQ8=0," ",AP8/AQ8)</f>
        <v xml:space="preserve"> </v>
      </c>
      <c r="AS8" s="728"/>
      <c r="AT8" s="24" t="str">
        <f t="shared" ref="AT8:AT20" si="7">IF(AQ8=0," ",AR8/AS8)</f>
        <v xml:space="preserve"> </v>
      </c>
      <c r="AU8" s="693" t="s">
        <v>2306</v>
      </c>
      <c r="AV8" s="623"/>
      <c r="AW8" s="623"/>
      <c r="AX8" s="22" t="str">
        <f t="shared" ref="AX8:AX20" si="8">IF(AW8=0," ",AV8/AW8)</f>
        <v xml:space="preserve"> </v>
      </c>
      <c r="AY8" s="728"/>
      <c r="AZ8" s="24" t="str">
        <f t="shared" ref="AZ8:AZ20" si="9">IF(AW8=0," ",AX8/AY8)</f>
        <v xml:space="preserve"> </v>
      </c>
      <c r="BA8" s="693" t="s">
        <v>2306</v>
      </c>
      <c r="BB8" s="623">
        <v>15</v>
      </c>
      <c r="BC8" s="623">
        <v>16</v>
      </c>
      <c r="BD8" s="22">
        <f t="shared" ref="BD8:BD19" si="10">IF(BC8=0," ",BB8/BC8)</f>
        <v>0.9375</v>
      </c>
      <c r="BE8" s="728">
        <v>1</v>
      </c>
      <c r="BF8" s="24">
        <f t="shared" ref="BF8:BF19" si="11">IF(BC8=0," ",BD8/BE8)</f>
        <v>0.9375</v>
      </c>
      <c r="BG8" s="215" t="s">
        <v>2307</v>
      </c>
      <c r="BH8" s="623" t="s">
        <v>325</v>
      </c>
      <c r="BI8" s="623" t="s">
        <v>325</v>
      </c>
      <c r="BJ8" s="623" t="s">
        <v>325</v>
      </c>
      <c r="BK8" s="623" t="s">
        <v>325</v>
      </c>
      <c r="BL8" s="709" t="s">
        <v>325</v>
      </c>
      <c r="BM8" s="118" t="s">
        <v>2308</v>
      </c>
      <c r="BN8" s="623" t="s">
        <v>325</v>
      </c>
      <c r="BO8" s="623" t="s">
        <v>325</v>
      </c>
      <c r="BP8" s="623" t="s">
        <v>325</v>
      </c>
      <c r="BQ8" s="623" t="s">
        <v>325</v>
      </c>
      <c r="BR8" s="709" t="s">
        <v>325</v>
      </c>
      <c r="BS8" s="118" t="s">
        <v>2308</v>
      </c>
      <c r="BT8" s="623" t="s">
        <v>325</v>
      </c>
      <c r="BU8" s="623" t="s">
        <v>325</v>
      </c>
      <c r="BV8" s="623" t="s">
        <v>325</v>
      </c>
      <c r="BW8" s="623" t="s">
        <v>325</v>
      </c>
      <c r="BX8" s="709" t="s">
        <v>325</v>
      </c>
      <c r="BY8" s="118" t="s">
        <v>2308</v>
      </c>
      <c r="BZ8" s="623" t="s">
        <v>325</v>
      </c>
      <c r="CA8" s="623" t="s">
        <v>325</v>
      </c>
      <c r="CB8" s="623" t="s">
        <v>325</v>
      </c>
      <c r="CC8" s="623" t="s">
        <v>325</v>
      </c>
      <c r="CD8" s="709" t="s">
        <v>325</v>
      </c>
      <c r="CE8" s="118" t="s">
        <v>2308</v>
      </c>
      <c r="CF8" s="623" t="s">
        <v>325</v>
      </c>
      <c r="CG8" s="623" t="s">
        <v>325</v>
      </c>
      <c r="CH8" s="623" t="s">
        <v>325</v>
      </c>
      <c r="CI8" s="623" t="s">
        <v>325</v>
      </c>
      <c r="CJ8" s="709" t="s">
        <v>325</v>
      </c>
      <c r="CK8" s="118" t="s">
        <v>2308</v>
      </c>
      <c r="CL8" s="623">
        <v>1</v>
      </c>
      <c r="CM8" s="623">
        <v>1</v>
      </c>
      <c r="CN8" s="22">
        <f t="shared" ref="CN8:CN19" si="12">IF(CM8=0," ",CL8/CM8)</f>
        <v>1</v>
      </c>
      <c r="CO8" s="728">
        <v>0.5</v>
      </c>
      <c r="CP8" s="1279">
        <f t="shared" ref="CP8:CP20" si="13">IF(CM8=0," ",CN8/CO8)</f>
        <v>2</v>
      </c>
      <c r="CQ8" s="771"/>
      <c r="CR8" s="1280" t="s">
        <v>2309</v>
      </c>
      <c r="CS8" s="1281"/>
      <c r="CT8" s="795">
        <v>16</v>
      </c>
      <c r="CU8" s="623">
        <v>16</v>
      </c>
      <c r="CV8" s="22">
        <f t="shared" ref="CV8:CV19" si="14">IF(CU8=0," ",CT8/CU8)</f>
        <v>1</v>
      </c>
      <c r="CW8" s="728">
        <v>1</v>
      </c>
      <c r="CX8" s="1279">
        <f t="shared" ref="CX8:CX19" si="15">IF(CU8=0," ",CV8/CW8)</f>
        <v>1</v>
      </c>
      <c r="CY8" s="799"/>
      <c r="CZ8" s="52" t="s">
        <v>2310</v>
      </c>
      <c r="DA8" s="683"/>
    </row>
    <row r="9" spans="1:109" ht="409.6" customHeight="1">
      <c r="B9" s="391" t="s">
        <v>2311</v>
      </c>
      <c r="C9" s="9"/>
      <c r="D9" s="13" t="s">
        <v>2312</v>
      </c>
      <c r="E9" s="13" t="s">
        <v>2313</v>
      </c>
      <c r="F9" s="8" t="s">
        <v>2314</v>
      </c>
      <c r="G9" s="8" t="s">
        <v>53</v>
      </c>
      <c r="H9" s="13" t="s">
        <v>2315</v>
      </c>
      <c r="I9" s="8" t="s">
        <v>2316</v>
      </c>
      <c r="J9" s="8" t="s">
        <v>2304</v>
      </c>
      <c r="K9" s="1274"/>
      <c r="L9" s="1274"/>
      <c r="M9" s="1274"/>
      <c r="N9" s="1274"/>
      <c r="O9" s="1274"/>
      <c r="P9" s="1275">
        <v>0.5</v>
      </c>
      <c r="Q9" s="14"/>
      <c r="R9" s="14"/>
      <c r="S9" s="14"/>
      <c r="T9" s="14"/>
      <c r="U9" s="74"/>
      <c r="V9" s="1276">
        <v>0.5</v>
      </c>
      <c r="W9" s="1137"/>
      <c r="X9" s="623"/>
      <c r="Y9" s="623"/>
      <c r="Z9" s="22" t="str">
        <f t="shared" si="0"/>
        <v xml:space="preserve"> </v>
      </c>
      <c r="AA9" s="179"/>
      <c r="AB9" s="24" t="str">
        <f t="shared" si="1"/>
        <v xml:space="preserve"> </v>
      </c>
      <c r="AC9" s="693" t="s">
        <v>2306</v>
      </c>
      <c r="AD9" s="623"/>
      <c r="AE9" s="623"/>
      <c r="AF9" s="22" t="str">
        <f t="shared" si="2"/>
        <v xml:space="preserve"> </v>
      </c>
      <c r="AG9" s="728"/>
      <c r="AH9" s="24" t="str">
        <f t="shared" si="3"/>
        <v xml:space="preserve"> </v>
      </c>
      <c r="AI9" s="693" t="s">
        <v>2306</v>
      </c>
      <c r="AJ9" s="623"/>
      <c r="AK9" s="623"/>
      <c r="AL9" s="22" t="str">
        <f t="shared" si="4"/>
        <v xml:space="preserve"> </v>
      </c>
      <c r="AM9" s="728"/>
      <c r="AN9" s="24" t="str">
        <f t="shared" si="5"/>
        <v xml:space="preserve"> </v>
      </c>
      <c r="AO9" s="693" t="s">
        <v>2306</v>
      </c>
      <c r="AP9" s="623"/>
      <c r="AQ9" s="623"/>
      <c r="AR9" s="22" t="str">
        <f t="shared" si="6"/>
        <v xml:space="preserve"> </v>
      </c>
      <c r="AS9" s="728"/>
      <c r="AT9" s="24" t="str">
        <f t="shared" si="7"/>
        <v xml:space="preserve"> </v>
      </c>
      <c r="AU9" s="693" t="s">
        <v>2306</v>
      </c>
      <c r="AV9" s="623"/>
      <c r="AW9" s="623"/>
      <c r="AX9" s="22" t="str">
        <f t="shared" si="8"/>
        <v xml:space="preserve"> </v>
      </c>
      <c r="AY9" s="728"/>
      <c r="AZ9" s="24" t="str">
        <f t="shared" si="9"/>
        <v xml:space="preserve"> </v>
      </c>
      <c r="BA9" s="693" t="s">
        <v>2306</v>
      </c>
      <c r="BB9" s="623">
        <v>5</v>
      </c>
      <c r="BC9" s="623">
        <v>5</v>
      </c>
      <c r="BD9" s="22">
        <f t="shared" si="10"/>
        <v>1</v>
      </c>
      <c r="BE9" s="728">
        <v>1</v>
      </c>
      <c r="BF9" s="24">
        <f t="shared" si="11"/>
        <v>1</v>
      </c>
      <c r="BG9" s="693" t="s">
        <v>2317</v>
      </c>
      <c r="BH9" s="623" t="s">
        <v>325</v>
      </c>
      <c r="BI9" s="623" t="s">
        <v>325</v>
      </c>
      <c r="BJ9" s="623" t="s">
        <v>325</v>
      </c>
      <c r="BK9" s="623" t="s">
        <v>325</v>
      </c>
      <c r="BL9" s="709" t="s">
        <v>325</v>
      </c>
      <c r="BM9" s="118" t="s">
        <v>2308</v>
      </c>
      <c r="BN9" s="623" t="s">
        <v>325</v>
      </c>
      <c r="BO9" s="623" t="s">
        <v>325</v>
      </c>
      <c r="BP9" s="623" t="s">
        <v>325</v>
      </c>
      <c r="BQ9" s="623" t="s">
        <v>325</v>
      </c>
      <c r="BR9" s="709" t="s">
        <v>325</v>
      </c>
      <c r="BS9" s="118" t="s">
        <v>2308</v>
      </c>
      <c r="BT9" s="623" t="s">
        <v>325</v>
      </c>
      <c r="BU9" s="623" t="s">
        <v>325</v>
      </c>
      <c r="BV9" s="623" t="s">
        <v>325</v>
      </c>
      <c r="BW9" s="623" t="s">
        <v>325</v>
      </c>
      <c r="BX9" s="709" t="s">
        <v>325</v>
      </c>
      <c r="BY9" s="118" t="s">
        <v>2308</v>
      </c>
      <c r="BZ9" s="623" t="s">
        <v>325</v>
      </c>
      <c r="CA9" s="623" t="s">
        <v>325</v>
      </c>
      <c r="CB9" s="623" t="s">
        <v>325</v>
      </c>
      <c r="CC9" s="623" t="s">
        <v>325</v>
      </c>
      <c r="CD9" s="709" t="s">
        <v>325</v>
      </c>
      <c r="CE9" s="118" t="s">
        <v>2308</v>
      </c>
      <c r="CF9" s="623" t="s">
        <v>325</v>
      </c>
      <c r="CG9" s="623" t="s">
        <v>325</v>
      </c>
      <c r="CH9" s="623" t="s">
        <v>325</v>
      </c>
      <c r="CI9" s="623" t="s">
        <v>325</v>
      </c>
      <c r="CJ9" s="709" t="s">
        <v>325</v>
      </c>
      <c r="CK9" s="118" t="s">
        <v>2308</v>
      </c>
      <c r="CL9" s="623">
        <v>11</v>
      </c>
      <c r="CM9" s="623">
        <v>11</v>
      </c>
      <c r="CN9" s="22">
        <f t="shared" si="12"/>
        <v>1</v>
      </c>
      <c r="CO9" s="728">
        <v>1</v>
      </c>
      <c r="CP9" s="1279">
        <f t="shared" si="13"/>
        <v>1</v>
      </c>
      <c r="CQ9" s="1282" t="s">
        <v>2318</v>
      </c>
      <c r="CR9" s="1283" t="s">
        <v>2319</v>
      </c>
      <c r="CS9" s="1284" t="s">
        <v>2320</v>
      </c>
      <c r="CT9" s="795">
        <v>96</v>
      </c>
      <c r="CU9" s="623">
        <v>96</v>
      </c>
      <c r="CV9" s="22">
        <f t="shared" si="14"/>
        <v>1</v>
      </c>
      <c r="CW9" s="728">
        <v>1</v>
      </c>
      <c r="CX9" s="1279">
        <f t="shared" si="15"/>
        <v>1</v>
      </c>
      <c r="CY9" s="1282" t="s">
        <v>2318</v>
      </c>
      <c r="CZ9" s="1285" t="s">
        <v>2321</v>
      </c>
      <c r="DA9" s="1286" t="s">
        <v>2322</v>
      </c>
    </row>
    <row r="10" spans="1:109" ht="264.75" customHeight="1">
      <c r="B10" s="391" t="s">
        <v>2323</v>
      </c>
      <c r="C10" s="9"/>
      <c r="D10" s="13" t="s">
        <v>2324</v>
      </c>
      <c r="E10" s="13" t="s">
        <v>2325</v>
      </c>
      <c r="F10" s="8" t="s">
        <v>2326</v>
      </c>
      <c r="G10" s="8" t="s">
        <v>53</v>
      </c>
      <c r="H10" s="13" t="s">
        <v>2327</v>
      </c>
      <c r="I10" s="8" t="s">
        <v>2328</v>
      </c>
      <c r="J10" s="8" t="s">
        <v>54</v>
      </c>
      <c r="K10" s="12"/>
      <c r="L10" s="12"/>
      <c r="M10" s="12"/>
      <c r="N10" s="12"/>
      <c r="O10" s="12"/>
      <c r="P10" s="1276">
        <v>0.5</v>
      </c>
      <c r="Q10" s="14"/>
      <c r="R10" s="14"/>
      <c r="S10" s="14"/>
      <c r="T10" s="14"/>
      <c r="U10" s="74"/>
      <c r="V10" s="1276">
        <v>0.5</v>
      </c>
      <c r="W10" s="1137"/>
      <c r="X10" s="623"/>
      <c r="Y10" s="623"/>
      <c r="Z10" s="22" t="str">
        <f t="shared" si="0"/>
        <v xml:space="preserve"> </v>
      </c>
      <c r="AA10" s="728"/>
      <c r="AB10" s="24" t="str">
        <f t="shared" si="1"/>
        <v xml:space="preserve"> </v>
      </c>
      <c r="AC10" s="693" t="s">
        <v>2306</v>
      </c>
      <c r="AD10" s="623"/>
      <c r="AE10" s="623"/>
      <c r="AF10" s="22" t="str">
        <f t="shared" si="2"/>
        <v xml:space="preserve"> </v>
      </c>
      <c r="AG10" s="728"/>
      <c r="AH10" s="24" t="str">
        <f t="shared" si="3"/>
        <v xml:space="preserve"> </v>
      </c>
      <c r="AI10" s="693" t="s">
        <v>2306</v>
      </c>
      <c r="AJ10" s="623"/>
      <c r="AK10" s="623"/>
      <c r="AL10" s="22" t="str">
        <f t="shared" si="4"/>
        <v xml:space="preserve"> </v>
      </c>
      <c r="AM10" s="728"/>
      <c r="AN10" s="24" t="str">
        <f t="shared" si="5"/>
        <v xml:space="preserve"> </v>
      </c>
      <c r="AO10" s="693" t="s">
        <v>2306</v>
      </c>
      <c r="AP10" s="623"/>
      <c r="AQ10" s="623"/>
      <c r="AR10" s="22" t="str">
        <f t="shared" si="6"/>
        <v xml:space="preserve"> </v>
      </c>
      <c r="AS10" s="728"/>
      <c r="AT10" s="24" t="str">
        <f t="shared" si="7"/>
        <v xml:space="preserve"> </v>
      </c>
      <c r="AU10" s="693" t="s">
        <v>2306</v>
      </c>
      <c r="AV10" s="623"/>
      <c r="AW10" s="623"/>
      <c r="AX10" s="22" t="str">
        <f t="shared" si="8"/>
        <v xml:space="preserve"> </v>
      </c>
      <c r="AY10" s="728"/>
      <c r="AZ10" s="24" t="str">
        <f t="shared" si="9"/>
        <v xml:space="preserve"> </v>
      </c>
      <c r="BA10" s="693" t="s">
        <v>2306</v>
      </c>
      <c r="BB10" s="623">
        <v>6</v>
      </c>
      <c r="BC10" s="623">
        <v>6</v>
      </c>
      <c r="BD10" s="22">
        <f t="shared" si="10"/>
        <v>1</v>
      </c>
      <c r="BE10" s="728">
        <v>1</v>
      </c>
      <c r="BF10" s="24">
        <f t="shared" si="11"/>
        <v>1</v>
      </c>
      <c r="BG10" s="693" t="s">
        <v>2329</v>
      </c>
      <c r="BH10" s="623" t="s">
        <v>325</v>
      </c>
      <c r="BI10" s="623" t="s">
        <v>325</v>
      </c>
      <c r="BJ10" s="623" t="s">
        <v>325</v>
      </c>
      <c r="BK10" s="623" t="s">
        <v>325</v>
      </c>
      <c r="BL10" s="709" t="s">
        <v>325</v>
      </c>
      <c r="BM10" s="118" t="s">
        <v>2308</v>
      </c>
      <c r="BN10" s="623" t="s">
        <v>325</v>
      </c>
      <c r="BO10" s="623" t="s">
        <v>325</v>
      </c>
      <c r="BP10" s="623" t="s">
        <v>325</v>
      </c>
      <c r="BQ10" s="623" t="s">
        <v>325</v>
      </c>
      <c r="BR10" s="709" t="s">
        <v>325</v>
      </c>
      <c r="BS10" s="118" t="s">
        <v>2308</v>
      </c>
      <c r="BT10" s="623" t="s">
        <v>325</v>
      </c>
      <c r="BU10" s="623" t="s">
        <v>325</v>
      </c>
      <c r="BV10" s="623" t="s">
        <v>325</v>
      </c>
      <c r="BW10" s="709" t="s">
        <v>325</v>
      </c>
      <c r="BX10" s="709" t="s">
        <v>325</v>
      </c>
      <c r="BY10" s="118" t="s">
        <v>2308</v>
      </c>
      <c r="BZ10" s="623" t="s">
        <v>325</v>
      </c>
      <c r="CA10" s="623" t="s">
        <v>325</v>
      </c>
      <c r="CB10" s="623" t="s">
        <v>325</v>
      </c>
      <c r="CC10" s="709" t="s">
        <v>325</v>
      </c>
      <c r="CD10" s="709" t="s">
        <v>325</v>
      </c>
      <c r="CE10" s="118" t="s">
        <v>2308</v>
      </c>
      <c r="CF10" s="623" t="s">
        <v>325</v>
      </c>
      <c r="CG10" s="623" t="s">
        <v>325</v>
      </c>
      <c r="CH10" s="623" t="s">
        <v>325</v>
      </c>
      <c r="CI10" s="709" t="s">
        <v>325</v>
      </c>
      <c r="CJ10" s="709" t="s">
        <v>325</v>
      </c>
      <c r="CK10" s="118" t="s">
        <v>2308</v>
      </c>
      <c r="CL10" s="623">
        <v>5</v>
      </c>
      <c r="CM10" s="623">
        <v>5</v>
      </c>
      <c r="CN10" s="22">
        <f t="shared" si="12"/>
        <v>1</v>
      </c>
      <c r="CO10" s="728">
        <v>1</v>
      </c>
      <c r="CP10" s="1279">
        <f t="shared" si="13"/>
        <v>1</v>
      </c>
      <c r="CQ10" s="771"/>
      <c r="CR10" s="1280" t="s">
        <v>2330</v>
      </c>
      <c r="CS10" s="1281"/>
      <c r="CT10" s="795">
        <v>11</v>
      </c>
      <c r="CU10" s="623">
        <v>11</v>
      </c>
      <c r="CV10" s="22">
        <f t="shared" si="14"/>
        <v>1</v>
      </c>
      <c r="CW10" s="728">
        <v>1</v>
      </c>
      <c r="CX10" s="1279">
        <f t="shared" si="15"/>
        <v>1</v>
      </c>
      <c r="CY10" s="1287"/>
      <c r="CZ10" s="1288" t="s">
        <v>2331</v>
      </c>
      <c r="DA10" s="1289"/>
    </row>
    <row r="11" spans="1:109" ht="14.25" customHeight="1">
      <c r="B11" s="33"/>
      <c r="C11" s="34"/>
      <c r="D11" s="35"/>
      <c r="E11" s="35"/>
      <c r="F11" s="36"/>
      <c r="G11" s="36"/>
      <c r="H11" s="35" t="s">
        <v>49</v>
      </c>
      <c r="I11" s="36"/>
      <c r="J11" s="36"/>
      <c r="K11" s="37"/>
      <c r="L11" s="37"/>
      <c r="M11" s="38"/>
      <c r="N11" s="37"/>
      <c r="O11" s="37"/>
      <c r="P11" s="39"/>
      <c r="Q11" s="39"/>
      <c r="R11" s="39"/>
      <c r="S11" s="39"/>
      <c r="T11" s="39"/>
      <c r="U11" s="39"/>
      <c r="V11" s="39"/>
      <c r="W11" s="1290"/>
      <c r="X11" s="709"/>
      <c r="Y11" s="709"/>
      <c r="Z11" s="22" t="str">
        <f t="shared" si="0"/>
        <v xml:space="preserve"> </v>
      </c>
      <c r="AA11" s="24"/>
      <c r="AB11" s="24"/>
      <c r="AC11" s="1203"/>
      <c r="AD11" s="1203"/>
      <c r="AE11" s="709"/>
      <c r="AF11" s="22" t="str">
        <f t="shared" si="2"/>
        <v xml:space="preserve"> </v>
      </c>
      <c r="AG11" s="22"/>
      <c r="AH11" s="24"/>
      <c r="AI11" s="24"/>
      <c r="AJ11" s="1203"/>
      <c r="AK11" s="709"/>
      <c r="AL11" s="22" t="str">
        <f t="shared" si="4"/>
        <v xml:space="preserve"> </v>
      </c>
      <c r="AM11" s="22"/>
      <c r="AN11" s="24"/>
      <c r="AO11" s="24"/>
      <c r="AP11" s="709"/>
      <c r="AQ11" s="709"/>
      <c r="AR11" s="22" t="str">
        <f t="shared" si="6"/>
        <v xml:space="preserve"> </v>
      </c>
      <c r="AS11" s="24"/>
      <c r="AT11" s="24"/>
      <c r="AU11" s="710"/>
      <c r="AV11" s="1203"/>
      <c r="AW11" s="709"/>
      <c r="AX11" s="22" t="str">
        <f t="shared" si="8"/>
        <v xml:space="preserve"> </v>
      </c>
      <c r="AY11" s="22"/>
      <c r="AZ11" s="24"/>
      <c r="BA11" s="24"/>
      <c r="BB11" s="709"/>
      <c r="BC11" s="709"/>
      <c r="BD11" s="22" t="str">
        <f t="shared" si="10"/>
        <v xml:space="preserve"> </v>
      </c>
      <c r="BE11" s="24"/>
      <c r="BF11" s="24"/>
      <c r="BG11" s="710"/>
      <c r="BH11" s="1203"/>
      <c r="BI11" s="709"/>
      <c r="BJ11" s="22" t="str">
        <f t="shared" ref="BJ11:BJ20" si="16">IF(BI11=0," ",BH11/BI11)</f>
        <v xml:space="preserve"> </v>
      </c>
      <c r="BK11" s="22"/>
      <c r="BL11" s="24"/>
      <c r="BM11" s="24"/>
      <c r="BN11" s="709"/>
      <c r="BO11" s="709"/>
      <c r="BP11" s="22" t="str">
        <f t="shared" ref="BP11:BP20" si="17">IF(BO11=0," ",BN11/BO11)</f>
        <v xml:space="preserve"> </v>
      </c>
      <c r="BQ11" s="24"/>
      <c r="BR11" s="24"/>
      <c r="BS11" s="710"/>
      <c r="BT11" s="1203"/>
      <c r="BU11" s="709"/>
      <c r="BV11" s="22" t="str">
        <f t="shared" ref="BV11:BV19" si="18">IF(BU11=0," ",BT11/BU11)</f>
        <v xml:space="preserve"> </v>
      </c>
      <c r="BW11" s="22"/>
      <c r="BX11" s="24"/>
      <c r="BY11" s="24"/>
      <c r="BZ11" s="709"/>
      <c r="CA11" s="709"/>
      <c r="CB11" s="22" t="str">
        <f t="shared" ref="CB11:CB20" si="19">IF(CA11=0," ",BZ11/CA11)</f>
        <v xml:space="preserve"> </v>
      </c>
      <c r="CC11" s="24"/>
      <c r="CD11" s="24"/>
      <c r="CE11" s="710"/>
      <c r="CF11" s="1203"/>
      <c r="CG11" s="709"/>
      <c r="CH11" s="22" t="str">
        <f t="shared" ref="CH11:CH20" si="20">IF(CG11=0," ",CF11/CG11)</f>
        <v xml:space="preserve"> </v>
      </c>
      <c r="CI11" s="22"/>
      <c r="CJ11" s="24"/>
      <c r="CK11" s="24"/>
      <c r="CL11" s="709"/>
      <c r="CM11" s="709"/>
      <c r="CN11" s="22" t="str">
        <f t="shared" si="12"/>
        <v xml:space="preserve"> </v>
      </c>
      <c r="CO11" s="24"/>
      <c r="CP11" s="1279"/>
      <c r="CQ11" s="1291"/>
      <c r="CR11" s="1292"/>
      <c r="CS11" s="1293"/>
      <c r="CT11" s="48"/>
      <c r="CU11" s="709"/>
      <c r="CV11" s="22" t="str">
        <f t="shared" si="14"/>
        <v xml:space="preserve"> </v>
      </c>
      <c r="CW11" s="22"/>
      <c r="CX11" s="1279"/>
      <c r="CY11" s="1279"/>
      <c r="CZ11" s="42"/>
      <c r="DA11" s="43"/>
    </row>
    <row r="12" spans="1:109" ht="109.5" hidden="1" customHeight="1">
      <c r="B12" s="8" t="s">
        <v>2332</v>
      </c>
      <c r="C12" s="8" t="s">
        <v>156</v>
      </c>
      <c r="D12" s="13" t="s">
        <v>157</v>
      </c>
      <c r="E12" s="13" t="s">
        <v>158</v>
      </c>
      <c r="F12" s="8" t="s">
        <v>159</v>
      </c>
      <c r="G12" s="8" t="s">
        <v>53</v>
      </c>
      <c r="H12" s="13" t="s">
        <v>160</v>
      </c>
      <c r="I12" s="8" t="s">
        <v>161</v>
      </c>
      <c r="J12" s="8" t="s">
        <v>54</v>
      </c>
      <c r="K12" s="7"/>
      <c r="L12" s="7"/>
      <c r="M12" s="12"/>
      <c r="N12" s="7">
        <v>100</v>
      </c>
      <c r="O12" s="7"/>
      <c r="P12" s="7">
        <v>100</v>
      </c>
      <c r="Q12" s="74"/>
      <c r="R12" s="74"/>
      <c r="S12" s="7">
        <v>100</v>
      </c>
      <c r="T12" s="74"/>
      <c r="U12" s="74"/>
      <c r="V12" s="7">
        <v>100</v>
      </c>
      <c r="W12" s="1137" t="s">
        <v>79</v>
      </c>
      <c r="X12" s="623"/>
      <c r="Y12" s="623"/>
      <c r="Z12" s="22" t="str">
        <f t="shared" si="0"/>
        <v xml:space="preserve"> </v>
      </c>
      <c r="AA12" s="728"/>
      <c r="AB12" s="728" t="str">
        <f t="shared" si="1"/>
        <v xml:space="preserve"> </v>
      </c>
      <c r="AC12" s="215"/>
      <c r="AD12" s="623"/>
      <c r="AE12" s="623"/>
      <c r="AF12" s="22" t="str">
        <f t="shared" si="2"/>
        <v xml:space="preserve"> </v>
      </c>
      <c r="AG12" s="728"/>
      <c r="AH12" s="728" t="str">
        <f t="shared" si="3"/>
        <v xml:space="preserve"> </v>
      </c>
      <c r="AI12" s="215"/>
      <c r="AJ12" s="623"/>
      <c r="AK12" s="623"/>
      <c r="AL12" s="22" t="str">
        <f t="shared" si="4"/>
        <v xml:space="preserve"> </v>
      </c>
      <c r="AM12" s="728"/>
      <c r="AN12" s="728" t="str">
        <f t="shared" si="5"/>
        <v xml:space="preserve"> </v>
      </c>
      <c r="AO12" s="215"/>
      <c r="AP12" s="623"/>
      <c r="AQ12" s="623"/>
      <c r="AR12" s="22" t="str">
        <f t="shared" si="6"/>
        <v xml:space="preserve"> </v>
      </c>
      <c r="AS12" s="728"/>
      <c r="AT12" s="728" t="str">
        <f t="shared" si="7"/>
        <v xml:space="preserve"> </v>
      </c>
      <c r="AU12" s="215"/>
      <c r="AV12" s="623"/>
      <c r="AW12" s="623"/>
      <c r="AX12" s="22" t="str">
        <f t="shared" si="8"/>
        <v xml:space="preserve"> </v>
      </c>
      <c r="AY12" s="728"/>
      <c r="AZ12" s="728" t="str">
        <f t="shared" si="9"/>
        <v xml:space="preserve"> </v>
      </c>
      <c r="BA12" s="215"/>
      <c r="BB12" s="623"/>
      <c r="BC12" s="623"/>
      <c r="BD12" s="22" t="str">
        <f t="shared" si="10"/>
        <v xml:space="preserve"> </v>
      </c>
      <c r="BE12" s="728"/>
      <c r="BF12" s="728" t="str">
        <f t="shared" si="11"/>
        <v xml:space="preserve"> </v>
      </c>
      <c r="BG12" s="215"/>
      <c r="BH12" s="623"/>
      <c r="BI12" s="623"/>
      <c r="BJ12" s="22" t="str">
        <f t="shared" si="16"/>
        <v xml:space="preserve"> </v>
      </c>
      <c r="BK12" s="728"/>
      <c r="BL12" s="728" t="str">
        <f t="shared" ref="BL12:BL20" si="21">IF(BI12=0," ",BJ12/BK12)</f>
        <v xml:space="preserve"> </v>
      </c>
      <c r="BM12" s="215"/>
      <c r="BN12" s="623"/>
      <c r="BO12" s="623"/>
      <c r="BP12" s="22" t="str">
        <f t="shared" si="17"/>
        <v xml:space="preserve"> </v>
      </c>
      <c r="BQ12" s="728"/>
      <c r="BR12" s="728" t="str">
        <f t="shared" ref="BR12:BR20" si="22">IF(BO12=0," ",BP12/BQ12)</f>
        <v xml:space="preserve"> </v>
      </c>
      <c r="BS12" s="215"/>
      <c r="BT12" s="623"/>
      <c r="BU12" s="623"/>
      <c r="BV12" s="22" t="str">
        <f t="shared" si="18"/>
        <v xml:space="preserve"> </v>
      </c>
      <c r="BW12" s="728"/>
      <c r="BX12" s="728" t="str">
        <f t="shared" ref="BX12:BX19" si="23">IF(BU12=0," ",BV12/BW12)</f>
        <v xml:space="preserve"> </v>
      </c>
      <c r="BY12" s="215"/>
      <c r="BZ12" s="623"/>
      <c r="CA12" s="623"/>
      <c r="CB12" s="22" t="str">
        <f t="shared" si="19"/>
        <v xml:space="preserve"> </v>
      </c>
      <c r="CC12" s="728"/>
      <c r="CD12" s="728" t="str">
        <f t="shared" ref="CD12:CD20" si="24">IF(CA12=0," ",CB12/CC12)</f>
        <v xml:space="preserve"> </v>
      </c>
      <c r="CE12" s="215"/>
      <c r="CF12" s="623"/>
      <c r="CG12" s="623"/>
      <c r="CH12" s="22" t="str">
        <f t="shared" si="20"/>
        <v xml:space="preserve"> </v>
      </c>
      <c r="CI12" s="728"/>
      <c r="CJ12" s="728" t="str">
        <f t="shared" ref="CJ12:CJ20" si="25">IF(CG12=0," ",CH12/CI12)</f>
        <v xml:space="preserve"> </v>
      </c>
      <c r="CK12" s="215"/>
      <c r="CL12" s="623"/>
      <c r="CM12" s="623"/>
      <c r="CN12" s="22" t="str">
        <f t="shared" si="12"/>
        <v xml:space="preserve"> </v>
      </c>
      <c r="CO12" s="728"/>
      <c r="CP12" s="797" t="str">
        <f t="shared" si="13"/>
        <v xml:space="preserve"> </v>
      </c>
      <c r="CQ12" s="1282"/>
      <c r="CR12" s="52"/>
      <c r="CS12" s="1294"/>
      <c r="CT12" s="795"/>
      <c r="CU12" s="623"/>
      <c r="CV12" s="22" t="str">
        <f t="shared" si="14"/>
        <v xml:space="preserve"> </v>
      </c>
      <c r="CW12" s="728"/>
      <c r="CX12" s="728" t="str">
        <f t="shared" si="15"/>
        <v xml:space="preserve"> </v>
      </c>
      <c r="CY12" s="1295"/>
    </row>
    <row r="13" spans="1:109" ht="87.75" customHeight="1">
      <c r="B13" s="8" t="s">
        <v>155</v>
      </c>
      <c r="C13" s="8"/>
      <c r="D13" s="13" t="s">
        <v>157</v>
      </c>
      <c r="E13" s="13" t="s">
        <v>158</v>
      </c>
      <c r="F13" s="8" t="s">
        <v>159</v>
      </c>
      <c r="G13" s="8" t="s">
        <v>53</v>
      </c>
      <c r="H13" s="13" t="s">
        <v>160</v>
      </c>
      <c r="I13" s="8" t="s">
        <v>161</v>
      </c>
      <c r="J13" s="8" t="s">
        <v>54</v>
      </c>
      <c r="K13" s="7"/>
      <c r="L13" s="7"/>
      <c r="M13" s="12"/>
      <c r="N13" s="1296">
        <v>1</v>
      </c>
      <c r="O13" s="7"/>
      <c r="P13" s="1296">
        <v>1</v>
      </c>
      <c r="Q13" s="74"/>
      <c r="R13" s="74"/>
      <c r="S13" s="1296">
        <v>1</v>
      </c>
      <c r="T13" s="74"/>
      <c r="U13" s="74"/>
      <c r="V13" s="1296">
        <v>1</v>
      </c>
      <c r="W13" s="53"/>
      <c r="X13" s="718" t="s">
        <v>325</v>
      </c>
      <c r="Y13" s="21"/>
      <c r="Z13" s="22" t="str">
        <f t="shared" si="0"/>
        <v xml:space="preserve"> </v>
      </c>
      <c r="AA13" s="719" t="s">
        <v>325</v>
      </c>
      <c r="AB13" s="24" t="str">
        <f t="shared" si="1"/>
        <v xml:space="preserve"> </v>
      </c>
      <c r="AC13" s="215" t="s">
        <v>2333</v>
      </c>
      <c r="AD13" s="718" t="s">
        <v>325</v>
      </c>
      <c r="AE13" s="21"/>
      <c r="AF13" s="22" t="str">
        <f t="shared" si="2"/>
        <v xml:space="preserve"> </v>
      </c>
      <c r="AG13" s="719" t="s">
        <v>325</v>
      </c>
      <c r="AH13" s="24" t="str">
        <f t="shared" si="3"/>
        <v xml:space="preserve"> </v>
      </c>
      <c r="AI13" s="215" t="s">
        <v>2333</v>
      </c>
      <c r="AJ13" s="718" t="s">
        <v>325</v>
      </c>
      <c r="AK13" s="21"/>
      <c r="AL13" s="22" t="str">
        <f t="shared" si="4"/>
        <v xml:space="preserve"> </v>
      </c>
      <c r="AM13" s="719" t="s">
        <v>325</v>
      </c>
      <c r="AN13" s="24" t="str">
        <f t="shared" si="5"/>
        <v xml:space="preserve"> </v>
      </c>
      <c r="AO13" s="215" t="s">
        <v>2333</v>
      </c>
      <c r="AP13" s="623">
        <v>1</v>
      </c>
      <c r="AQ13" s="623">
        <v>2</v>
      </c>
      <c r="AR13" s="22">
        <f t="shared" si="6"/>
        <v>0.5</v>
      </c>
      <c r="AS13" s="797">
        <v>1</v>
      </c>
      <c r="AT13" s="24">
        <f t="shared" si="7"/>
        <v>0.5</v>
      </c>
      <c r="AU13" s="215" t="s">
        <v>2334</v>
      </c>
      <c r="AV13" s="718" t="s">
        <v>325</v>
      </c>
      <c r="AW13" s="21"/>
      <c r="AX13" s="22" t="str">
        <f t="shared" si="8"/>
        <v xml:space="preserve"> </v>
      </c>
      <c r="AY13" s="719" t="s">
        <v>325</v>
      </c>
      <c r="AZ13" s="24" t="str">
        <f t="shared" si="9"/>
        <v xml:space="preserve"> </v>
      </c>
      <c r="BA13" s="1297" t="s">
        <v>2333</v>
      </c>
      <c r="BB13" s="718" t="s">
        <v>325</v>
      </c>
      <c r="BC13" s="21"/>
      <c r="BD13" s="22" t="str">
        <f t="shared" si="10"/>
        <v xml:space="preserve"> </v>
      </c>
      <c r="BE13" s="719" t="s">
        <v>325</v>
      </c>
      <c r="BF13" s="24" t="str">
        <f t="shared" si="11"/>
        <v xml:space="preserve"> </v>
      </c>
      <c r="BG13" s="1297" t="s">
        <v>2333</v>
      </c>
      <c r="BH13" s="718" t="s">
        <v>325</v>
      </c>
      <c r="BI13" s="21"/>
      <c r="BJ13" s="22" t="str">
        <f t="shared" si="16"/>
        <v xml:space="preserve"> </v>
      </c>
      <c r="BK13" s="719" t="s">
        <v>325</v>
      </c>
      <c r="BL13" s="24" t="str">
        <f t="shared" si="21"/>
        <v xml:space="preserve"> </v>
      </c>
      <c r="BM13" s="1297" t="s">
        <v>2333</v>
      </c>
      <c r="BN13" s="718" t="s">
        <v>325</v>
      </c>
      <c r="BO13" s="21"/>
      <c r="BP13" s="22" t="str">
        <f t="shared" si="17"/>
        <v xml:space="preserve"> </v>
      </c>
      <c r="BQ13" s="719" t="s">
        <v>325</v>
      </c>
      <c r="BR13" s="24" t="str">
        <f t="shared" si="22"/>
        <v xml:space="preserve"> </v>
      </c>
      <c r="BS13" s="1297" t="s">
        <v>2333</v>
      </c>
      <c r="BT13" s="1298">
        <v>1</v>
      </c>
      <c r="BU13" s="1298">
        <v>2</v>
      </c>
      <c r="BV13" s="22">
        <f t="shared" si="18"/>
        <v>0.5</v>
      </c>
      <c r="BW13" s="58">
        <v>1</v>
      </c>
      <c r="BX13" s="24">
        <f t="shared" si="23"/>
        <v>0.5</v>
      </c>
      <c r="BY13" s="25" t="s">
        <v>2335</v>
      </c>
      <c r="BZ13" s="623" t="s">
        <v>325</v>
      </c>
      <c r="CA13" s="623" t="s">
        <v>325</v>
      </c>
      <c r="CB13" s="623" t="s">
        <v>325</v>
      </c>
      <c r="CC13" s="709" t="s">
        <v>325</v>
      </c>
      <c r="CD13" s="709" t="s">
        <v>325</v>
      </c>
      <c r="CE13" s="118" t="s">
        <v>2308</v>
      </c>
      <c r="CF13" s="623" t="s">
        <v>325</v>
      </c>
      <c r="CG13" s="623" t="s">
        <v>325</v>
      </c>
      <c r="CH13" s="623" t="s">
        <v>325</v>
      </c>
      <c r="CI13" s="709" t="s">
        <v>325</v>
      </c>
      <c r="CJ13" s="709" t="s">
        <v>325</v>
      </c>
      <c r="CK13" s="118" t="s">
        <v>2308</v>
      </c>
      <c r="CL13" s="1299">
        <v>22</v>
      </c>
      <c r="CM13" s="1299">
        <v>24</v>
      </c>
      <c r="CN13" s="22">
        <f>IF(CM13=0," ",CL13/CM13)</f>
        <v>0.91666666666666663</v>
      </c>
      <c r="CO13" s="58">
        <v>1</v>
      </c>
      <c r="CP13" s="1279">
        <f>IF(CM13=0," ",CN13/CO13)</f>
        <v>0.91666666666666663</v>
      </c>
      <c r="CQ13" s="771"/>
      <c r="CR13" s="1300" t="s">
        <v>1710</v>
      </c>
      <c r="CS13" s="1301"/>
      <c r="CT13" s="1302">
        <v>22</v>
      </c>
      <c r="CU13" s="1299">
        <v>24</v>
      </c>
      <c r="CV13" s="22">
        <f t="shared" si="14"/>
        <v>0.91666666666666663</v>
      </c>
      <c r="CW13" s="58">
        <v>1</v>
      </c>
      <c r="CX13" s="1279">
        <f t="shared" si="15"/>
        <v>0.91666666666666663</v>
      </c>
      <c r="CY13" s="1303"/>
      <c r="CZ13" s="1300" t="s">
        <v>1710</v>
      </c>
      <c r="DA13" s="585"/>
    </row>
    <row r="14" spans="1:109" ht="69.75" customHeight="1">
      <c r="B14" s="8" t="s">
        <v>2336</v>
      </c>
      <c r="C14" s="8" t="s">
        <v>89</v>
      </c>
      <c r="D14" s="8" t="s">
        <v>56</v>
      </c>
      <c r="E14" s="8" t="s">
        <v>57</v>
      </c>
      <c r="F14" s="8" t="s">
        <v>58</v>
      </c>
      <c r="G14" s="8" t="s">
        <v>53</v>
      </c>
      <c r="H14" s="403" t="s">
        <v>59</v>
      </c>
      <c r="I14" s="8" t="s">
        <v>60</v>
      </c>
      <c r="J14" s="8" t="s">
        <v>54</v>
      </c>
      <c r="K14" s="7"/>
      <c r="L14" s="7"/>
      <c r="M14" s="1296">
        <v>1</v>
      </c>
      <c r="N14" s="7"/>
      <c r="O14" s="7"/>
      <c r="P14" s="1296">
        <v>1</v>
      </c>
      <c r="Q14" s="12"/>
      <c r="R14" s="7"/>
      <c r="S14" s="1296">
        <v>1</v>
      </c>
      <c r="T14" s="12"/>
      <c r="U14" s="7"/>
      <c r="V14" s="1296">
        <v>1</v>
      </c>
      <c r="W14" s="53" t="s">
        <v>79</v>
      </c>
      <c r="X14" s="718" t="s">
        <v>325</v>
      </c>
      <c r="Y14" s="21"/>
      <c r="Z14" s="22" t="str">
        <f t="shared" si="0"/>
        <v xml:space="preserve"> </v>
      </c>
      <c r="AA14" s="719" t="s">
        <v>325</v>
      </c>
      <c r="AB14" s="24" t="str">
        <f t="shared" si="1"/>
        <v xml:space="preserve"> </v>
      </c>
      <c r="AC14" s="215" t="s">
        <v>2337</v>
      </c>
      <c r="AD14" s="718" t="s">
        <v>325</v>
      </c>
      <c r="AE14" s="21"/>
      <c r="AF14" s="22" t="str">
        <f t="shared" si="2"/>
        <v xml:space="preserve"> </v>
      </c>
      <c r="AG14" s="719" t="s">
        <v>325</v>
      </c>
      <c r="AH14" s="24" t="str">
        <f t="shared" si="3"/>
        <v xml:space="preserve"> </v>
      </c>
      <c r="AI14" s="215" t="s">
        <v>2337</v>
      </c>
      <c r="AJ14" s="21">
        <v>0</v>
      </c>
      <c r="AK14" s="21">
        <v>0</v>
      </c>
      <c r="AL14" s="22" t="str">
        <f t="shared" si="4"/>
        <v xml:space="preserve"> </v>
      </c>
      <c r="AM14" s="719" t="s">
        <v>325</v>
      </c>
      <c r="AN14" s="24" t="str">
        <f t="shared" si="5"/>
        <v xml:space="preserve"> </v>
      </c>
      <c r="AO14" s="215" t="s">
        <v>2338</v>
      </c>
      <c r="AP14" s="694" t="s">
        <v>1110</v>
      </c>
      <c r="AQ14" s="1304">
        <v>100</v>
      </c>
      <c r="AR14" s="694" t="s">
        <v>1110</v>
      </c>
      <c r="AS14" s="23">
        <v>1</v>
      </c>
      <c r="AT14" s="694" t="s">
        <v>1110</v>
      </c>
      <c r="AU14" s="215" t="s">
        <v>2338</v>
      </c>
      <c r="AV14" s="694" t="s">
        <v>1110</v>
      </c>
      <c r="AW14" s="1304">
        <v>100</v>
      </c>
      <c r="AX14" s="694" t="s">
        <v>1110</v>
      </c>
      <c r="AY14" s="23">
        <v>1</v>
      </c>
      <c r="AZ14" s="694" t="s">
        <v>1110</v>
      </c>
      <c r="BA14" s="1305" t="s">
        <v>1108</v>
      </c>
      <c r="BB14" s="22" t="s">
        <v>1110</v>
      </c>
      <c r="BC14" s="1304">
        <v>100</v>
      </c>
      <c r="BD14" s="22" t="s">
        <v>1110</v>
      </c>
      <c r="BE14" s="23">
        <v>1</v>
      </c>
      <c r="BF14" s="24" t="s">
        <v>1110</v>
      </c>
      <c r="BG14" s="1205" t="s">
        <v>2339</v>
      </c>
      <c r="BH14" s="22" t="s">
        <v>1110</v>
      </c>
      <c r="BI14" s="1304">
        <v>100</v>
      </c>
      <c r="BJ14" s="22" t="s">
        <v>1110</v>
      </c>
      <c r="BK14" s="23">
        <v>1</v>
      </c>
      <c r="BL14" s="24" t="s">
        <v>1110</v>
      </c>
      <c r="BM14" s="1205" t="s">
        <v>2339</v>
      </c>
      <c r="BN14" s="22" t="s">
        <v>1110</v>
      </c>
      <c r="BO14" s="1304">
        <v>100</v>
      </c>
      <c r="BP14" s="22" t="s">
        <v>1110</v>
      </c>
      <c r="BQ14" s="23">
        <v>1</v>
      </c>
      <c r="BR14" s="24" t="s">
        <v>1110</v>
      </c>
      <c r="BS14" s="1205" t="s">
        <v>2339</v>
      </c>
      <c r="BT14" s="22" t="s">
        <v>1110</v>
      </c>
      <c r="BU14" s="1304">
        <v>100</v>
      </c>
      <c r="BV14" s="22" t="s">
        <v>1110</v>
      </c>
      <c r="BW14" s="23">
        <v>1</v>
      </c>
      <c r="BX14" s="24" t="s">
        <v>1110</v>
      </c>
      <c r="BY14" s="1205" t="s">
        <v>2339</v>
      </c>
      <c r="BZ14" s="22" t="s">
        <v>1110</v>
      </c>
      <c r="CA14" s="1304">
        <v>100</v>
      </c>
      <c r="CB14" s="22" t="s">
        <v>1110</v>
      </c>
      <c r="CC14" s="23">
        <v>1</v>
      </c>
      <c r="CD14" s="24" t="s">
        <v>1110</v>
      </c>
      <c r="CE14" s="1205" t="s">
        <v>2339</v>
      </c>
      <c r="CF14" s="22" t="s">
        <v>1110</v>
      </c>
      <c r="CG14" s="1304">
        <v>100</v>
      </c>
      <c r="CH14" s="22" t="s">
        <v>1110</v>
      </c>
      <c r="CI14" s="23">
        <v>1</v>
      </c>
      <c r="CJ14" s="24" t="s">
        <v>1110</v>
      </c>
      <c r="CK14" s="1205" t="s">
        <v>2339</v>
      </c>
      <c r="CL14" s="22" t="s">
        <v>1110</v>
      </c>
      <c r="CM14" s="1304">
        <v>100</v>
      </c>
      <c r="CN14" s="22" t="s">
        <v>1110</v>
      </c>
      <c r="CO14" s="23">
        <v>1</v>
      </c>
      <c r="CP14" s="1279" t="s">
        <v>1110</v>
      </c>
      <c r="CQ14" s="787"/>
      <c r="CR14" s="1306" t="s">
        <v>326</v>
      </c>
      <c r="CS14" s="1307"/>
      <c r="CT14" s="1308" t="s">
        <v>1110</v>
      </c>
      <c r="CU14" s="1304">
        <v>100</v>
      </c>
      <c r="CV14" s="22" t="s">
        <v>1110</v>
      </c>
      <c r="CW14" s="23">
        <v>1</v>
      </c>
      <c r="CX14" s="1279" t="s">
        <v>1110</v>
      </c>
      <c r="CY14" s="1309"/>
      <c r="CZ14" s="1310" t="s">
        <v>327</v>
      </c>
      <c r="DA14" s="1289"/>
    </row>
    <row r="15" spans="1:109" ht="87" customHeight="1">
      <c r="B15" s="8" t="s">
        <v>2340</v>
      </c>
      <c r="C15" s="8" t="s">
        <v>88</v>
      </c>
      <c r="D15" s="8" t="s">
        <v>61</v>
      </c>
      <c r="E15" s="8" t="s">
        <v>57</v>
      </c>
      <c r="F15" s="8" t="s">
        <v>62</v>
      </c>
      <c r="G15" s="8" t="s">
        <v>53</v>
      </c>
      <c r="H15" s="8" t="s">
        <v>63</v>
      </c>
      <c r="I15" s="8" t="s">
        <v>64</v>
      </c>
      <c r="J15" s="8" t="s">
        <v>54</v>
      </c>
      <c r="K15" s="713"/>
      <c r="L15" s="1296">
        <v>1</v>
      </c>
      <c r="M15" s="714"/>
      <c r="N15" s="1296">
        <v>1</v>
      </c>
      <c r="O15" s="713"/>
      <c r="P15" s="1296">
        <v>1</v>
      </c>
      <c r="Q15" s="715"/>
      <c r="R15" s="1296">
        <v>1</v>
      </c>
      <c r="S15" s="715"/>
      <c r="T15" s="1296">
        <v>1</v>
      </c>
      <c r="U15" s="716"/>
      <c r="V15" s="1296">
        <v>1</v>
      </c>
      <c r="W15" s="53" t="s">
        <v>79</v>
      </c>
      <c r="X15" s="1209"/>
      <c r="Y15" s="1210"/>
      <c r="Z15" s="22" t="str">
        <f t="shared" si="0"/>
        <v xml:space="preserve"> </v>
      </c>
      <c r="AA15" s="58"/>
      <c r="AB15" s="24" t="str">
        <f t="shared" si="1"/>
        <v xml:space="preserve"> </v>
      </c>
      <c r="AC15" s="1311" t="s">
        <v>1280</v>
      </c>
      <c r="AD15" s="1312" t="s">
        <v>325</v>
      </c>
      <c r="AE15" s="1313"/>
      <c r="AF15" s="281" t="str">
        <f t="shared" si="2"/>
        <v xml:space="preserve"> </v>
      </c>
      <c r="AG15" s="1314" t="s">
        <v>325</v>
      </c>
      <c r="AH15" s="1211" t="str">
        <f t="shared" si="3"/>
        <v xml:space="preserve"> </v>
      </c>
      <c r="AI15" s="1315" t="s">
        <v>148</v>
      </c>
      <c r="AJ15" s="718" t="s">
        <v>325</v>
      </c>
      <c r="AK15" s="21"/>
      <c r="AL15" s="22" t="str">
        <f t="shared" si="4"/>
        <v xml:space="preserve"> </v>
      </c>
      <c r="AM15" s="719" t="s">
        <v>325</v>
      </c>
      <c r="AN15" s="24" t="str">
        <f t="shared" si="5"/>
        <v xml:space="preserve"> </v>
      </c>
      <c r="AO15" s="1311" t="s">
        <v>1280</v>
      </c>
      <c r="AP15" s="1210">
        <v>100</v>
      </c>
      <c r="AQ15" s="1210">
        <v>100</v>
      </c>
      <c r="AR15" s="22">
        <f>IF(AQ15=0," ",AP15/AQ15)</f>
        <v>1</v>
      </c>
      <c r="AS15" s="23">
        <v>1</v>
      </c>
      <c r="AT15" s="24">
        <f>IF(AQ15=0," ",AR15/AS15)</f>
        <v>1</v>
      </c>
      <c r="AU15" s="224" t="s">
        <v>2341</v>
      </c>
      <c r="AV15" s="718" t="s">
        <v>325</v>
      </c>
      <c r="AW15" s="21"/>
      <c r="AX15" s="22" t="str">
        <f>IF(AW15=0," ",AV15/AW15)</f>
        <v xml:space="preserve"> </v>
      </c>
      <c r="AY15" s="719" t="s">
        <v>325</v>
      </c>
      <c r="AZ15" s="24" t="str">
        <f>IF(AW15=0," ",AX15/AY15)</f>
        <v xml:space="preserve"> </v>
      </c>
      <c r="BA15" s="1311" t="s">
        <v>1280</v>
      </c>
      <c r="BB15" s="1209">
        <v>100</v>
      </c>
      <c r="BC15" s="1210">
        <v>100</v>
      </c>
      <c r="BD15" s="22">
        <f>IF(BC15=0," ",BB15/BC15)</f>
        <v>1</v>
      </c>
      <c r="BE15" s="58">
        <v>1</v>
      </c>
      <c r="BF15" s="24">
        <f>IF(BC15=0," ",BD15/BE15)</f>
        <v>1</v>
      </c>
      <c r="BG15" s="1205" t="s">
        <v>972</v>
      </c>
      <c r="BH15" s="22" t="s">
        <v>325</v>
      </c>
      <c r="BI15" s="658"/>
      <c r="BJ15" s="281" t="str">
        <f>IF(BI15=0," ",BH15/BI15)</f>
        <v xml:space="preserve"> </v>
      </c>
      <c r="BK15" s="22" t="s">
        <v>325</v>
      </c>
      <c r="BL15" s="1211" t="str">
        <f>IF(BI15=0," ",BJ15/BK15)</f>
        <v xml:space="preserve"> </v>
      </c>
      <c r="BM15" s="1205" t="s">
        <v>1280</v>
      </c>
      <c r="BN15" s="22" t="s">
        <v>325</v>
      </c>
      <c r="BO15" s="658"/>
      <c r="BP15" s="281" t="str">
        <f>IF(BO15=0," ",BN15/BO15)</f>
        <v xml:space="preserve"> </v>
      </c>
      <c r="BQ15" s="22" t="s">
        <v>325</v>
      </c>
      <c r="BR15" s="1211" t="str">
        <f>IF(BO15=0," ",BP15/BQ15)</f>
        <v xml:space="preserve"> </v>
      </c>
      <c r="BS15" s="1205" t="s">
        <v>148</v>
      </c>
      <c r="BT15" s="22" t="s">
        <v>325</v>
      </c>
      <c r="BU15" s="658"/>
      <c r="BV15" s="281" t="str">
        <f>IF(BU15=0," ",BT15/BU15)</f>
        <v xml:space="preserve"> </v>
      </c>
      <c r="BW15" s="22" t="s">
        <v>325</v>
      </c>
      <c r="BX15" s="1211" t="str">
        <f>IF(BU15=0," ",BV15/BW15)</f>
        <v xml:space="preserve"> </v>
      </c>
      <c r="BY15" s="1311" t="s">
        <v>1280</v>
      </c>
      <c r="BZ15" s="22" t="s">
        <v>325</v>
      </c>
      <c r="CA15" s="658"/>
      <c r="CB15" s="281" t="str">
        <f>IF(CA15=0," ",BZ15/CA15)</f>
        <v xml:space="preserve"> </v>
      </c>
      <c r="CC15" s="22" t="s">
        <v>325</v>
      </c>
      <c r="CD15" s="1211" t="str">
        <f>IF(CA15=0," ",CB15/CC15)</f>
        <v xml:space="preserve"> </v>
      </c>
      <c r="CE15" s="215" t="s">
        <v>148</v>
      </c>
      <c r="CF15" s="22" t="s">
        <v>325</v>
      </c>
      <c r="CG15" s="658"/>
      <c r="CH15" s="281" t="str">
        <f>IF(CG15=0," ",CF15/CG15)</f>
        <v xml:space="preserve"> </v>
      </c>
      <c r="CI15" s="22" t="s">
        <v>325</v>
      </c>
      <c r="CJ15" s="1211" t="str">
        <f>IF(CG15=0," ",CH15/CI15)</f>
        <v xml:space="preserve"> </v>
      </c>
      <c r="CK15" s="1311" t="s">
        <v>1280</v>
      </c>
      <c r="CL15" s="22" t="s">
        <v>1110</v>
      </c>
      <c r="CM15" s="1304">
        <v>100</v>
      </c>
      <c r="CN15" s="22" t="s">
        <v>1110</v>
      </c>
      <c r="CO15" s="23">
        <v>1</v>
      </c>
      <c r="CP15" s="1279" t="s">
        <v>1110</v>
      </c>
      <c r="CQ15" s="771"/>
      <c r="CR15" s="1316" t="s">
        <v>162</v>
      </c>
      <c r="CS15" s="1317"/>
      <c r="CT15" s="1308" t="s">
        <v>1110</v>
      </c>
      <c r="CU15" s="1304">
        <v>100</v>
      </c>
      <c r="CV15" s="22" t="s">
        <v>1110</v>
      </c>
      <c r="CW15" s="23">
        <v>1</v>
      </c>
      <c r="CX15" s="1279" t="s">
        <v>1110</v>
      </c>
      <c r="CY15" s="799"/>
      <c r="CZ15" s="1280" t="s">
        <v>162</v>
      </c>
      <c r="DA15" s="585"/>
    </row>
    <row r="16" spans="1:109" ht="113.25" hidden="1" customHeight="1">
      <c r="B16" s="391" t="s">
        <v>260</v>
      </c>
      <c r="C16" s="8" t="s">
        <v>261</v>
      </c>
      <c r="D16" s="391" t="s">
        <v>262</v>
      </c>
      <c r="E16" s="8" t="s">
        <v>263</v>
      </c>
      <c r="F16" s="391" t="s">
        <v>264</v>
      </c>
      <c r="G16" s="8" t="s">
        <v>66</v>
      </c>
      <c r="H16" s="391" t="s">
        <v>390</v>
      </c>
      <c r="I16" s="8" t="s">
        <v>267</v>
      </c>
      <c r="J16" s="8" t="s">
        <v>391</v>
      </c>
      <c r="K16" s="7"/>
      <c r="L16" s="7"/>
      <c r="M16" s="7"/>
      <c r="N16" s="7"/>
      <c r="O16" s="7"/>
      <c r="P16" s="7"/>
      <c r="Q16" s="7"/>
      <c r="R16" s="7"/>
      <c r="S16" s="7"/>
      <c r="T16" s="7"/>
      <c r="U16" s="7"/>
      <c r="V16" s="7"/>
      <c r="W16" s="1249" t="s">
        <v>2291</v>
      </c>
      <c r="X16" s="68"/>
      <c r="Y16" s="623"/>
      <c r="Z16" s="157" t="str">
        <f t="shared" si="0"/>
        <v xml:space="preserve"> </v>
      </c>
      <c r="AA16" s="58"/>
      <c r="AB16" s="728" t="str">
        <f t="shared" si="1"/>
        <v xml:space="preserve"> </v>
      </c>
      <c r="AC16" s="215"/>
      <c r="AD16" s="623"/>
      <c r="AE16" s="623"/>
      <c r="AF16" s="157" t="str">
        <f t="shared" si="2"/>
        <v xml:space="preserve"> </v>
      </c>
      <c r="AG16" s="728"/>
      <c r="AH16" s="728" t="str">
        <f t="shared" si="3"/>
        <v xml:space="preserve"> </v>
      </c>
      <c r="AI16" s="215"/>
      <c r="AJ16" s="623"/>
      <c r="AK16" s="623"/>
      <c r="AL16" s="157" t="str">
        <f>IF(AK16=0," ",AJ16/AK16)</f>
        <v xml:space="preserve"> </v>
      </c>
      <c r="AM16" s="728"/>
      <c r="AN16" s="728" t="str">
        <f t="shared" si="5"/>
        <v xml:space="preserve"> </v>
      </c>
      <c r="AO16" s="215"/>
      <c r="AP16" s="623"/>
      <c r="AQ16" s="623"/>
      <c r="AR16" s="157" t="str">
        <f t="shared" si="6"/>
        <v xml:space="preserve"> </v>
      </c>
      <c r="AS16" s="728"/>
      <c r="AT16" s="728" t="str">
        <f t="shared" si="7"/>
        <v xml:space="preserve"> </v>
      </c>
      <c r="AU16" s="215"/>
      <c r="AV16" s="623"/>
      <c r="AW16" s="623"/>
      <c r="AX16" s="157" t="str">
        <f t="shared" si="8"/>
        <v xml:space="preserve"> </v>
      </c>
      <c r="AY16" s="728"/>
      <c r="AZ16" s="728" t="str">
        <f t="shared" si="9"/>
        <v xml:space="preserve"> </v>
      </c>
      <c r="BA16" s="215"/>
      <c r="BB16" s="623"/>
      <c r="BC16" s="623"/>
      <c r="BD16" s="157" t="str">
        <f t="shared" si="10"/>
        <v xml:space="preserve"> </v>
      </c>
      <c r="BE16" s="728"/>
      <c r="BF16" s="728" t="str">
        <f t="shared" si="11"/>
        <v xml:space="preserve"> </v>
      </c>
      <c r="BG16" s="215"/>
      <c r="BH16" s="623"/>
      <c r="BI16" s="623"/>
      <c r="BJ16" s="157" t="str">
        <f t="shared" si="16"/>
        <v xml:space="preserve"> </v>
      </c>
      <c r="BK16" s="728"/>
      <c r="BL16" s="728" t="str">
        <f t="shared" si="21"/>
        <v xml:space="preserve"> </v>
      </c>
      <c r="BM16" s="215"/>
      <c r="BN16" s="623"/>
      <c r="BO16" s="623"/>
      <c r="BP16" s="157" t="str">
        <f t="shared" si="17"/>
        <v xml:space="preserve"> </v>
      </c>
      <c r="BQ16" s="728"/>
      <c r="BR16" s="728" t="str">
        <f t="shared" si="22"/>
        <v xml:space="preserve"> </v>
      </c>
      <c r="BS16" s="215"/>
      <c r="BT16" s="623"/>
      <c r="BU16" s="623"/>
      <c r="BV16" s="157" t="str">
        <f t="shared" si="18"/>
        <v xml:space="preserve"> </v>
      </c>
      <c r="BW16" s="728"/>
      <c r="BX16" s="728" t="str">
        <f t="shared" si="23"/>
        <v xml:space="preserve"> </v>
      </c>
      <c r="BY16" s="215"/>
      <c r="BZ16" s="623"/>
      <c r="CA16" s="623"/>
      <c r="CB16" s="157" t="str">
        <f t="shared" si="19"/>
        <v xml:space="preserve"> </v>
      </c>
      <c r="CC16" s="728"/>
      <c r="CD16" s="728" t="str">
        <f t="shared" si="24"/>
        <v xml:space="preserve"> </v>
      </c>
      <c r="CE16" s="215"/>
      <c r="CF16" s="623"/>
      <c r="CG16" s="623"/>
      <c r="CH16" s="157" t="str">
        <f t="shared" si="20"/>
        <v xml:space="preserve"> </v>
      </c>
      <c r="CI16" s="728"/>
      <c r="CJ16" s="728" t="str">
        <f t="shared" si="25"/>
        <v xml:space="preserve"> </v>
      </c>
      <c r="CK16" s="215"/>
      <c r="CL16" s="623"/>
      <c r="CM16" s="623"/>
      <c r="CN16" s="157" t="str">
        <f t="shared" si="12"/>
        <v xml:space="preserve"> </v>
      </c>
      <c r="CO16" s="728"/>
      <c r="CP16" s="797" t="str">
        <f t="shared" si="13"/>
        <v xml:space="preserve"> </v>
      </c>
      <c r="CQ16" s="1282"/>
      <c r="CR16" s="52"/>
      <c r="CS16" s="1294"/>
      <c r="CT16" s="795"/>
      <c r="CU16" s="623"/>
      <c r="CV16" s="157" t="str">
        <f t="shared" si="14"/>
        <v xml:space="preserve"> </v>
      </c>
      <c r="CW16" s="728"/>
      <c r="CX16" s="797" t="str">
        <f t="shared" si="15"/>
        <v xml:space="preserve"> </v>
      </c>
      <c r="CY16" s="1282"/>
      <c r="CZ16" s="52"/>
      <c r="DA16" s="683"/>
    </row>
    <row r="17" spans="2:105" ht="90.75" hidden="1" customHeight="1">
      <c r="B17" s="391" t="s">
        <v>260</v>
      </c>
      <c r="C17" s="8" t="s">
        <v>273</v>
      </c>
      <c r="D17" s="352" t="s">
        <v>274</v>
      </c>
      <c r="E17" s="8" t="s">
        <v>275</v>
      </c>
      <c r="F17" s="391" t="s">
        <v>276</v>
      </c>
      <c r="G17" s="8" t="s">
        <v>66</v>
      </c>
      <c r="H17" s="391" t="s">
        <v>394</v>
      </c>
      <c r="I17" s="8" t="s">
        <v>267</v>
      </c>
      <c r="J17" s="8" t="s">
        <v>391</v>
      </c>
      <c r="K17" s="7"/>
      <c r="L17" s="7"/>
      <c r="M17" s="7"/>
      <c r="N17" s="7"/>
      <c r="O17" s="7"/>
      <c r="P17" s="7"/>
      <c r="Q17" s="7"/>
      <c r="R17" s="7"/>
      <c r="S17" s="7"/>
      <c r="T17" s="7"/>
      <c r="U17" s="7"/>
      <c r="V17" s="7"/>
      <c r="W17" s="1249" t="s">
        <v>2292</v>
      </c>
      <c r="X17" s="68"/>
      <c r="Y17" s="623"/>
      <c r="Z17" s="157" t="str">
        <f t="shared" si="0"/>
        <v xml:space="preserve"> </v>
      </c>
      <c r="AA17" s="58"/>
      <c r="AB17" s="728" t="str">
        <f t="shared" si="1"/>
        <v xml:space="preserve"> </v>
      </c>
      <c r="AC17" s="215"/>
      <c r="AD17" s="623"/>
      <c r="AE17" s="623"/>
      <c r="AF17" s="157" t="str">
        <f t="shared" si="2"/>
        <v xml:space="preserve"> </v>
      </c>
      <c r="AG17" s="728"/>
      <c r="AH17" s="728" t="str">
        <f t="shared" si="3"/>
        <v xml:space="preserve"> </v>
      </c>
      <c r="AI17" s="215"/>
      <c r="AJ17" s="623"/>
      <c r="AK17" s="623"/>
      <c r="AL17" s="157" t="str">
        <f>IF(AK17=0," ",AJ17/AK17)</f>
        <v xml:space="preserve"> </v>
      </c>
      <c r="AM17" s="728"/>
      <c r="AN17" s="728" t="str">
        <f t="shared" si="5"/>
        <v xml:space="preserve"> </v>
      </c>
      <c r="AO17" s="215"/>
      <c r="AP17" s="623"/>
      <c r="AQ17" s="623"/>
      <c r="AR17" s="157" t="str">
        <f t="shared" si="6"/>
        <v xml:space="preserve"> </v>
      </c>
      <c r="AS17" s="728"/>
      <c r="AT17" s="728" t="str">
        <f t="shared" si="7"/>
        <v xml:space="preserve"> </v>
      </c>
      <c r="AU17" s="215"/>
      <c r="AV17" s="623"/>
      <c r="AW17" s="623"/>
      <c r="AX17" s="157" t="str">
        <f t="shared" si="8"/>
        <v xml:space="preserve"> </v>
      </c>
      <c r="AY17" s="728"/>
      <c r="AZ17" s="728" t="str">
        <f t="shared" si="9"/>
        <v xml:space="preserve"> </v>
      </c>
      <c r="BA17" s="215"/>
      <c r="BB17" s="623"/>
      <c r="BC17" s="623"/>
      <c r="BD17" s="157" t="str">
        <f t="shared" si="10"/>
        <v xml:space="preserve"> </v>
      </c>
      <c r="BE17" s="728"/>
      <c r="BF17" s="728" t="str">
        <f t="shared" si="11"/>
        <v xml:space="preserve"> </v>
      </c>
      <c r="BG17" s="215"/>
      <c r="BH17" s="623"/>
      <c r="BI17" s="623"/>
      <c r="BJ17" s="157" t="str">
        <f t="shared" si="16"/>
        <v xml:space="preserve"> </v>
      </c>
      <c r="BK17" s="728"/>
      <c r="BL17" s="728" t="str">
        <f t="shared" si="21"/>
        <v xml:space="preserve"> </v>
      </c>
      <c r="BM17" s="215"/>
      <c r="BN17" s="623"/>
      <c r="BO17" s="623"/>
      <c r="BP17" s="157" t="str">
        <f t="shared" si="17"/>
        <v xml:space="preserve"> </v>
      </c>
      <c r="BQ17" s="728"/>
      <c r="BR17" s="728" t="str">
        <f t="shared" si="22"/>
        <v xml:space="preserve"> </v>
      </c>
      <c r="BS17" s="215"/>
      <c r="BT17" s="623"/>
      <c r="BU17" s="623"/>
      <c r="BV17" s="157" t="str">
        <f t="shared" si="18"/>
        <v xml:space="preserve"> </v>
      </c>
      <c r="BW17" s="728"/>
      <c r="BX17" s="728" t="str">
        <f t="shared" si="23"/>
        <v xml:space="preserve"> </v>
      </c>
      <c r="BY17" s="215"/>
      <c r="BZ17" s="623"/>
      <c r="CA17" s="623"/>
      <c r="CB17" s="157" t="str">
        <f t="shared" si="19"/>
        <v xml:space="preserve"> </v>
      </c>
      <c r="CC17" s="728"/>
      <c r="CD17" s="728" t="str">
        <f t="shared" si="24"/>
        <v xml:space="preserve"> </v>
      </c>
      <c r="CE17" s="215"/>
      <c r="CF17" s="623"/>
      <c r="CG17" s="623"/>
      <c r="CH17" s="157" t="str">
        <f t="shared" si="20"/>
        <v xml:space="preserve"> </v>
      </c>
      <c r="CI17" s="728"/>
      <c r="CJ17" s="728" t="str">
        <f t="shared" si="25"/>
        <v xml:space="preserve"> </v>
      </c>
      <c r="CK17" s="215"/>
      <c r="CL17" s="623"/>
      <c r="CM17" s="623"/>
      <c r="CN17" s="157" t="str">
        <f t="shared" si="12"/>
        <v xml:space="preserve"> </v>
      </c>
      <c r="CO17" s="728"/>
      <c r="CP17" s="797" t="str">
        <f t="shared" si="13"/>
        <v xml:space="preserve"> </v>
      </c>
      <c r="CQ17" s="1282"/>
      <c r="CR17" s="52"/>
      <c r="CS17" s="1294"/>
      <c r="CT17" s="795"/>
      <c r="CU17" s="623"/>
      <c r="CV17" s="157" t="str">
        <f t="shared" si="14"/>
        <v xml:space="preserve"> </v>
      </c>
      <c r="CW17" s="728"/>
      <c r="CX17" s="797" t="str">
        <f t="shared" si="15"/>
        <v xml:space="preserve"> </v>
      </c>
      <c r="CY17" s="1282"/>
      <c r="CZ17" s="52"/>
      <c r="DA17" s="683"/>
    </row>
    <row r="18" spans="2:105" ht="78" hidden="1" customHeight="1">
      <c r="B18" s="391" t="s">
        <v>67</v>
      </c>
      <c r="C18" s="790" t="s">
        <v>90</v>
      </c>
      <c r="D18" s="790" t="s">
        <v>93</v>
      </c>
      <c r="E18" s="790" t="s">
        <v>68</v>
      </c>
      <c r="F18" s="790" t="s">
        <v>69</v>
      </c>
      <c r="G18" s="790" t="s">
        <v>53</v>
      </c>
      <c r="H18" s="790" t="s">
        <v>70</v>
      </c>
      <c r="I18" s="790" t="s">
        <v>71</v>
      </c>
      <c r="J18" s="790" t="s">
        <v>54</v>
      </c>
      <c r="K18" s="1212" t="s">
        <v>2079</v>
      </c>
      <c r="L18" s="1213" t="s">
        <v>2079</v>
      </c>
      <c r="M18" s="1213" t="s">
        <v>2079</v>
      </c>
      <c r="N18" s="1213" t="s">
        <v>2079</v>
      </c>
      <c r="O18" s="1213" t="s">
        <v>2079</v>
      </c>
      <c r="P18" s="1213" t="s">
        <v>2079</v>
      </c>
      <c r="Q18" s="1213" t="s">
        <v>2079</v>
      </c>
      <c r="R18" s="1213" t="s">
        <v>2079</v>
      </c>
      <c r="S18" s="1213" t="s">
        <v>2079</v>
      </c>
      <c r="T18" s="1213" t="s">
        <v>2079</v>
      </c>
      <c r="U18" s="1213" t="s">
        <v>2079</v>
      </c>
      <c r="V18" s="1213" t="s">
        <v>2079</v>
      </c>
      <c r="W18" s="1249" t="s">
        <v>72</v>
      </c>
      <c r="X18" s="68"/>
      <c r="Y18" s="623"/>
      <c r="Z18" s="157" t="str">
        <f t="shared" si="0"/>
        <v xml:space="preserve"> </v>
      </c>
      <c r="AA18" s="58"/>
      <c r="AB18" s="728" t="str">
        <f t="shared" si="1"/>
        <v xml:space="preserve"> </v>
      </c>
      <c r="AC18" s="215"/>
      <c r="AD18" s="623"/>
      <c r="AE18" s="623"/>
      <c r="AF18" s="157" t="str">
        <f t="shared" si="2"/>
        <v xml:space="preserve"> </v>
      </c>
      <c r="AG18" s="728"/>
      <c r="AH18" s="728" t="str">
        <f t="shared" si="3"/>
        <v xml:space="preserve"> </v>
      </c>
      <c r="AI18" s="215"/>
      <c r="AJ18" s="623"/>
      <c r="AK18" s="623"/>
      <c r="AL18" s="157" t="str">
        <f>IF(AK18=0," ",AJ18/AK18)</f>
        <v xml:space="preserve"> </v>
      </c>
      <c r="AM18" s="728"/>
      <c r="AN18" s="728" t="str">
        <f t="shared" si="5"/>
        <v xml:space="preserve"> </v>
      </c>
      <c r="AO18" s="215"/>
      <c r="AP18" s="623"/>
      <c r="AQ18" s="623"/>
      <c r="AR18" s="157" t="str">
        <f t="shared" si="6"/>
        <v xml:space="preserve"> </v>
      </c>
      <c r="AS18" s="728"/>
      <c r="AT18" s="728" t="str">
        <f t="shared" si="7"/>
        <v xml:space="preserve"> </v>
      </c>
      <c r="AU18" s="215"/>
      <c r="AV18" s="623"/>
      <c r="AW18" s="623"/>
      <c r="AX18" s="157" t="str">
        <f t="shared" si="8"/>
        <v xml:space="preserve"> </v>
      </c>
      <c r="AY18" s="728"/>
      <c r="AZ18" s="728" t="str">
        <f t="shared" si="9"/>
        <v xml:space="preserve"> </v>
      </c>
      <c r="BA18" s="215"/>
      <c r="BB18" s="623"/>
      <c r="BC18" s="623"/>
      <c r="BD18" s="157" t="str">
        <f t="shared" si="10"/>
        <v xml:space="preserve"> </v>
      </c>
      <c r="BE18" s="728"/>
      <c r="BF18" s="728" t="str">
        <f t="shared" si="11"/>
        <v xml:space="preserve"> </v>
      </c>
      <c r="BG18" s="215"/>
      <c r="BH18" s="623"/>
      <c r="BI18" s="623"/>
      <c r="BJ18" s="157" t="str">
        <f t="shared" si="16"/>
        <v xml:space="preserve"> </v>
      </c>
      <c r="BK18" s="728"/>
      <c r="BL18" s="728" t="str">
        <f t="shared" si="21"/>
        <v xml:space="preserve"> </v>
      </c>
      <c r="BM18" s="215"/>
      <c r="BN18" s="623"/>
      <c r="BO18" s="623"/>
      <c r="BP18" s="157" t="str">
        <f t="shared" si="17"/>
        <v xml:space="preserve"> </v>
      </c>
      <c r="BQ18" s="728"/>
      <c r="BR18" s="728" t="str">
        <f t="shared" si="22"/>
        <v xml:space="preserve"> </v>
      </c>
      <c r="BS18" s="215"/>
      <c r="BT18" s="623"/>
      <c r="BU18" s="623"/>
      <c r="BV18" s="157" t="str">
        <f t="shared" si="18"/>
        <v xml:space="preserve"> </v>
      </c>
      <c r="BW18" s="728"/>
      <c r="BX18" s="728" t="str">
        <f t="shared" si="23"/>
        <v xml:space="preserve"> </v>
      </c>
      <c r="BY18" s="215"/>
      <c r="BZ18" s="623"/>
      <c r="CA18" s="623"/>
      <c r="CB18" s="157" t="str">
        <f t="shared" si="19"/>
        <v xml:space="preserve"> </v>
      </c>
      <c r="CC18" s="728"/>
      <c r="CD18" s="728" t="str">
        <f t="shared" si="24"/>
        <v xml:space="preserve"> </v>
      </c>
      <c r="CE18" s="215"/>
      <c r="CF18" s="623"/>
      <c r="CG18" s="623"/>
      <c r="CH18" s="157" t="str">
        <f t="shared" si="20"/>
        <v xml:space="preserve"> </v>
      </c>
      <c r="CI18" s="728"/>
      <c r="CJ18" s="728" t="str">
        <f t="shared" si="25"/>
        <v xml:space="preserve"> </v>
      </c>
      <c r="CK18" s="215"/>
      <c r="CL18" s="623"/>
      <c r="CM18" s="623"/>
      <c r="CN18" s="157" t="str">
        <f t="shared" si="12"/>
        <v xml:space="preserve"> </v>
      </c>
      <c r="CO18" s="728"/>
      <c r="CP18" s="797" t="str">
        <f t="shared" si="13"/>
        <v xml:space="preserve"> </v>
      </c>
      <c r="CQ18" s="1282"/>
      <c r="CR18" s="52"/>
      <c r="CS18" s="1294"/>
      <c r="CT18" s="795"/>
      <c r="CU18" s="623"/>
      <c r="CV18" s="157" t="str">
        <f t="shared" si="14"/>
        <v xml:space="preserve"> </v>
      </c>
      <c r="CW18" s="728"/>
      <c r="CX18" s="797" t="str">
        <f t="shared" si="15"/>
        <v xml:space="preserve"> </v>
      </c>
      <c r="CY18" s="1282"/>
      <c r="CZ18" s="52"/>
      <c r="DA18" s="683"/>
    </row>
    <row r="19" spans="2:105" ht="89.25" hidden="1" customHeight="1">
      <c r="B19" s="391" t="s">
        <v>73</v>
      </c>
      <c r="C19" s="8" t="s">
        <v>91</v>
      </c>
      <c r="D19" s="8" t="s">
        <v>74</v>
      </c>
      <c r="E19" s="8" t="s">
        <v>75</v>
      </c>
      <c r="F19" s="8" t="s">
        <v>76</v>
      </c>
      <c r="G19" s="8" t="s">
        <v>53</v>
      </c>
      <c r="H19" s="8" t="s">
        <v>77</v>
      </c>
      <c r="I19" s="8" t="s">
        <v>78</v>
      </c>
      <c r="J19" s="8" t="s">
        <v>54</v>
      </c>
      <c r="K19" s="12">
        <v>0.8</v>
      </c>
      <c r="L19" s="12">
        <v>0.8</v>
      </c>
      <c r="M19" s="12">
        <v>0.8</v>
      </c>
      <c r="N19" s="12">
        <v>0.8</v>
      </c>
      <c r="O19" s="12">
        <v>0.8</v>
      </c>
      <c r="P19" s="12">
        <v>0.8</v>
      </c>
      <c r="Q19" s="12">
        <v>0.8</v>
      </c>
      <c r="R19" s="12">
        <v>0.8</v>
      </c>
      <c r="S19" s="12">
        <v>0.8</v>
      </c>
      <c r="T19" s="12">
        <v>0.8</v>
      </c>
      <c r="U19" s="12">
        <v>0.8</v>
      </c>
      <c r="V19" s="12">
        <v>0.8</v>
      </c>
      <c r="W19" s="1249" t="s">
        <v>80</v>
      </c>
      <c r="X19" s="68"/>
      <c r="Y19" s="623"/>
      <c r="Z19" s="157" t="str">
        <f t="shared" si="0"/>
        <v xml:space="preserve"> </v>
      </c>
      <c r="AA19" s="58"/>
      <c r="AB19" s="728" t="str">
        <f t="shared" si="1"/>
        <v xml:space="preserve"> </v>
      </c>
      <c r="AC19" s="215"/>
      <c r="AD19" s="623"/>
      <c r="AE19" s="623"/>
      <c r="AF19" s="157" t="str">
        <f t="shared" si="2"/>
        <v xml:space="preserve"> </v>
      </c>
      <c r="AG19" s="728"/>
      <c r="AH19" s="728" t="str">
        <f t="shared" si="3"/>
        <v xml:space="preserve"> </v>
      </c>
      <c r="AI19" s="215"/>
      <c r="AJ19" s="623"/>
      <c r="AK19" s="623"/>
      <c r="AL19" s="157" t="str">
        <f>IF(AK19=0," ",AJ19/AK19)</f>
        <v xml:space="preserve"> </v>
      </c>
      <c r="AM19" s="728"/>
      <c r="AN19" s="728" t="str">
        <f t="shared" si="5"/>
        <v xml:space="preserve"> </v>
      </c>
      <c r="AO19" s="215"/>
      <c r="AP19" s="623"/>
      <c r="AQ19" s="623"/>
      <c r="AR19" s="157" t="str">
        <f t="shared" si="6"/>
        <v xml:space="preserve"> </v>
      </c>
      <c r="AS19" s="728"/>
      <c r="AT19" s="728" t="str">
        <f t="shared" si="7"/>
        <v xml:space="preserve"> </v>
      </c>
      <c r="AU19" s="215"/>
      <c r="AV19" s="623"/>
      <c r="AW19" s="623"/>
      <c r="AX19" s="157" t="str">
        <f t="shared" si="8"/>
        <v xml:space="preserve"> </v>
      </c>
      <c r="AY19" s="728"/>
      <c r="AZ19" s="728" t="str">
        <f t="shared" si="9"/>
        <v xml:space="preserve"> </v>
      </c>
      <c r="BA19" s="215"/>
      <c r="BB19" s="623"/>
      <c r="BC19" s="623"/>
      <c r="BD19" s="157" t="str">
        <f t="shared" si="10"/>
        <v xml:space="preserve"> </v>
      </c>
      <c r="BE19" s="728"/>
      <c r="BF19" s="728" t="str">
        <f t="shared" si="11"/>
        <v xml:space="preserve"> </v>
      </c>
      <c r="BG19" s="215"/>
      <c r="BH19" s="623"/>
      <c r="BI19" s="623"/>
      <c r="BJ19" s="157" t="str">
        <f t="shared" si="16"/>
        <v xml:space="preserve"> </v>
      </c>
      <c r="BK19" s="728"/>
      <c r="BL19" s="728" t="str">
        <f t="shared" si="21"/>
        <v xml:space="preserve"> </v>
      </c>
      <c r="BM19" s="215"/>
      <c r="BN19" s="623"/>
      <c r="BO19" s="623"/>
      <c r="BP19" s="157" t="str">
        <f t="shared" si="17"/>
        <v xml:space="preserve"> </v>
      </c>
      <c r="BQ19" s="728"/>
      <c r="BR19" s="728" t="str">
        <f t="shared" si="22"/>
        <v xml:space="preserve"> </v>
      </c>
      <c r="BS19" s="215"/>
      <c r="BT19" s="623"/>
      <c r="BU19" s="623"/>
      <c r="BV19" s="157" t="str">
        <f t="shared" si="18"/>
        <v xml:space="preserve"> </v>
      </c>
      <c r="BW19" s="728"/>
      <c r="BX19" s="728" t="str">
        <f t="shared" si="23"/>
        <v xml:space="preserve"> </v>
      </c>
      <c r="BY19" s="215"/>
      <c r="BZ19" s="623"/>
      <c r="CA19" s="623"/>
      <c r="CB19" s="157" t="str">
        <f t="shared" si="19"/>
        <v xml:space="preserve"> </v>
      </c>
      <c r="CC19" s="728"/>
      <c r="CD19" s="728" t="str">
        <f t="shared" si="24"/>
        <v xml:space="preserve"> </v>
      </c>
      <c r="CE19" s="215"/>
      <c r="CF19" s="623"/>
      <c r="CG19" s="623"/>
      <c r="CH19" s="157" t="str">
        <f t="shared" si="20"/>
        <v xml:space="preserve"> </v>
      </c>
      <c r="CI19" s="728"/>
      <c r="CJ19" s="728" t="str">
        <f t="shared" si="25"/>
        <v xml:space="preserve"> </v>
      </c>
      <c r="CK19" s="215"/>
      <c r="CL19" s="623"/>
      <c r="CM19" s="623"/>
      <c r="CN19" s="157" t="str">
        <f t="shared" si="12"/>
        <v xml:space="preserve"> </v>
      </c>
      <c r="CO19" s="728"/>
      <c r="CP19" s="797" t="str">
        <f t="shared" si="13"/>
        <v xml:space="preserve"> </v>
      </c>
      <c r="CQ19" s="1282"/>
      <c r="CR19" s="52"/>
      <c r="CS19" s="1294"/>
      <c r="CT19" s="795"/>
      <c r="CU19" s="623"/>
      <c r="CV19" s="157" t="str">
        <f t="shared" si="14"/>
        <v xml:space="preserve"> </v>
      </c>
      <c r="CW19" s="728"/>
      <c r="CX19" s="797" t="str">
        <f t="shared" si="15"/>
        <v xml:space="preserve"> </v>
      </c>
      <c r="CY19" s="1282"/>
      <c r="CZ19" s="52"/>
      <c r="DA19" s="683"/>
    </row>
    <row r="20" spans="2:105" ht="137.25" customHeight="1">
      <c r="B20" s="391" t="s">
        <v>2342</v>
      </c>
      <c r="C20" s="8" t="s">
        <v>92</v>
      </c>
      <c r="D20" s="1136" t="s">
        <v>83</v>
      </c>
      <c r="E20" s="8" t="s">
        <v>84</v>
      </c>
      <c r="F20" s="8" t="s">
        <v>1322</v>
      </c>
      <c r="G20" s="8" t="s">
        <v>66</v>
      </c>
      <c r="H20" s="8" t="s">
        <v>1323</v>
      </c>
      <c r="I20" s="8" t="s">
        <v>85</v>
      </c>
      <c r="J20" s="8" t="s">
        <v>54</v>
      </c>
      <c r="K20" s="12"/>
      <c r="L20" s="12"/>
      <c r="M20" s="1296">
        <v>1</v>
      </c>
      <c r="N20" s="12"/>
      <c r="O20" s="12"/>
      <c r="P20" s="1296">
        <v>1</v>
      </c>
      <c r="Q20" s="12"/>
      <c r="R20" s="12"/>
      <c r="S20" s="1296">
        <v>1</v>
      </c>
      <c r="T20" s="12"/>
      <c r="U20" s="12"/>
      <c r="V20" s="1296">
        <v>1</v>
      </c>
      <c r="W20" s="1137" t="s">
        <v>79</v>
      </c>
      <c r="X20" s="718" t="s">
        <v>325</v>
      </c>
      <c r="Y20" s="21"/>
      <c r="Z20" s="22" t="str">
        <f t="shared" si="0"/>
        <v xml:space="preserve"> </v>
      </c>
      <c r="AA20" s="719" t="s">
        <v>325</v>
      </c>
      <c r="AB20" s="24" t="str">
        <f t="shared" si="1"/>
        <v xml:space="preserve"> </v>
      </c>
      <c r="AC20" s="215" t="s">
        <v>2333</v>
      </c>
      <c r="AD20" s="718" t="s">
        <v>325</v>
      </c>
      <c r="AE20" s="21"/>
      <c r="AF20" s="22" t="str">
        <f t="shared" si="2"/>
        <v xml:space="preserve"> </v>
      </c>
      <c r="AG20" s="719" t="s">
        <v>325</v>
      </c>
      <c r="AH20" s="24" t="str">
        <f t="shared" si="3"/>
        <v xml:space="preserve"> </v>
      </c>
      <c r="AI20" s="215" t="s">
        <v>2333</v>
      </c>
      <c r="AJ20" s="56">
        <v>27</v>
      </c>
      <c r="AK20" s="56">
        <v>27</v>
      </c>
      <c r="AL20" s="22">
        <f>IF(AK20=0," ",AJ20/AK20)</f>
        <v>1</v>
      </c>
      <c r="AM20" s="1104">
        <v>1</v>
      </c>
      <c r="AN20" s="24">
        <f t="shared" si="5"/>
        <v>1</v>
      </c>
      <c r="AO20" s="695" t="s">
        <v>2343</v>
      </c>
      <c r="AP20" s="718" t="s">
        <v>325</v>
      </c>
      <c r="AQ20" s="21"/>
      <c r="AR20" s="22" t="str">
        <f t="shared" si="6"/>
        <v xml:space="preserve"> </v>
      </c>
      <c r="AS20" s="719" t="s">
        <v>325</v>
      </c>
      <c r="AT20" s="24" t="str">
        <f t="shared" si="7"/>
        <v xml:space="preserve"> </v>
      </c>
      <c r="AU20" s="215" t="s">
        <v>2333</v>
      </c>
      <c r="AV20" s="718" t="s">
        <v>325</v>
      </c>
      <c r="AW20" s="21"/>
      <c r="AX20" s="22" t="str">
        <f t="shared" si="8"/>
        <v xml:space="preserve"> </v>
      </c>
      <c r="AY20" s="719" t="s">
        <v>325</v>
      </c>
      <c r="AZ20" s="24" t="str">
        <f t="shared" si="9"/>
        <v xml:space="preserve"> </v>
      </c>
      <c r="BA20" s="215" t="s">
        <v>2333</v>
      </c>
      <c r="BB20" s="56">
        <v>30</v>
      </c>
      <c r="BC20" s="56">
        <v>31</v>
      </c>
      <c r="BD20" s="100">
        <f>BB20/BC20</f>
        <v>0.967741935483871</v>
      </c>
      <c r="BE20" s="100">
        <v>1</v>
      </c>
      <c r="BF20" s="100">
        <f>BD20/BE20</f>
        <v>0.967741935483871</v>
      </c>
      <c r="BG20" s="1318" t="s">
        <v>2344</v>
      </c>
      <c r="BH20" s="718" t="s">
        <v>325</v>
      </c>
      <c r="BI20" s="21"/>
      <c r="BJ20" s="22" t="str">
        <f t="shared" si="16"/>
        <v xml:space="preserve"> </v>
      </c>
      <c r="BK20" s="719" t="s">
        <v>325</v>
      </c>
      <c r="BL20" s="24" t="str">
        <f t="shared" si="21"/>
        <v xml:space="preserve"> </v>
      </c>
      <c r="BM20" s="215" t="s">
        <v>2333</v>
      </c>
      <c r="BN20" s="718" t="s">
        <v>325</v>
      </c>
      <c r="BO20" s="21"/>
      <c r="BP20" s="22" t="str">
        <f t="shared" si="17"/>
        <v xml:space="preserve"> </v>
      </c>
      <c r="BQ20" s="719" t="s">
        <v>325</v>
      </c>
      <c r="BR20" s="24" t="str">
        <f t="shared" si="22"/>
        <v xml:space="preserve"> </v>
      </c>
      <c r="BS20" s="215" t="s">
        <v>2333</v>
      </c>
      <c r="BT20" s="98">
        <v>36</v>
      </c>
      <c r="BU20" s="56">
        <v>36</v>
      </c>
      <c r="BV20" s="1319">
        <f>BT20/BU20</f>
        <v>1</v>
      </c>
      <c r="BW20" s="1319">
        <v>1</v>
      </c>
      <c r="BX20" s="1319">
        <f>BV20/BW20</f>
        <v>1</v>
      </c>
      <c r="BY20" s="1103" t="s">
        <v>2345</v>
      </c>
      <c r="BZ20" s="718" t="s">
        <v>325</v>
      </c>
      <c r="CA20" s="21"/>
      <c r="CB20" s="22" t="str">
        <f t="shared" si="19"/>
        <v xml:space="preserve"> </v>
      </c>
      <c r="CC20" s="719" t="s">
        <v>325</v>
      </c>
      <c r="CD20" s="24" t="str">
        <f t="shared" si="24"/>
        <v xml:space="preserve"> </v>
      </c>
      <c r="CE20" s="215" t="s">
        <v>2333</v>
      </c>
      <c r="CF20" s="718" t="s">
        <v>325</v>
      </c>
      <c r="CG20" s="21"/>
      <c r="CH20" s="22" t="str">
        <f t="shared" si="20"/>
        <v xml:space="preserve"> </v>
      </c>
      <c r="CI20" s="719" t="s">
        <v>325</v>
      </c>
      <c r="CJ20" s="24" t="str">
        <f t="shared" si="25"/>
        <v xml:space="preserve"> </v>
      </c>
      <c r="CK20" s="1205" t="s">
        <v>2333</v>
      </c>
      <c r="CL20" s="56">
        <v>38</v>
      </c>
      <c r="CM20" s="56">
        <v>38</v>
      </c>
      <c r="CN20" s="1104">
        <f>CL20/CM20</f>
        <v>1</v>
      </c>
      <c r="CO20" s="1104">
        <v>1</v>
      </c>
      <c r="CP20" s="1320">
        <f t="shared" si="13"/>
        <v>1</v>
      </c>
      <c r="CQ20" s="764"/>
      <c r="CR20" s="1321" t="s">
        <v>2345</v>
      </c>
      <c r="CS20" s="1322"/>
      <c r="CT20" s="1323">
        <f>AVERAGE(BX20,CD20,CJ20,CP20)</f>
        <v>1</v>
      </c>
      <c r="CU20" s="100">
        <v>1</v>
      </c>
      <c r="CV20" s="100">
        <f>CT20/CU20</f>
        <v>1</v>
      </c>
      <c r="CW20" s="100">
        <v>1</v>
      </c>
      <c r="CX20" s="1324">
        <f>CV20/CW20</f>
        <v>1</v>
      </c>
      <c r="CY20" s="1325"/>
      <c r="CZ20" s="1326" t="s">
        <v>315</v>
      </c>
      <c r="DA20" s="898"/>
    </row>
    <row r="21" spans="2:105" ht="15.75" customHeight="1">
      <c r="B21" s="2440" t="s">
        <v>17</v>
      </c>
      <c r="C21" s="2440"/>
      <c r="D21" s="2440"/>
      <c r="E21" s="2440"/>
      <c r="F21" s="5"/>
      <c r="G21" s="5"/>
      <c r="H21" s="5"/>
      <c r="I21" s="5"/>
      <c r="J21" s="5"/>
      <c r="K21" s="6"/>
      <c r="L21" s="6"/>
      <c r="M21" s="6"/>
      <c r="N21" s="6"/>
      <c r="O21" s="6"/>
      <c r="P21" s="6"/>
      <c r="Q21" s="6"/>
      <c r="R21" s="6"/>
      <c r="S21" s="6"/>
      <c r="T21" s="6"/>
      <c r="U21" s="6"/>
      <c r="V21" s="6"/>
      <c r="BA21" s="1327"/>
    </row>
    <row r="22" spans="2:105" ht="27" customHeight="1">
      <c r="AP22" s="2392"/>
      <c r="AQ22" s="2392"/>
      <c r="AR22" s="2392"/>
      <c r="AS22" s="2392"/>
      <c r="AT22" s="2392"/>
      <c r="BA22" s="1327"/>
    </row>
    <row r="23" spans="2:105" ht="12.75" customHeight="1">
      <c r="AP23" s="2441" t="s">
        <v>2346</v>
      </c>
      <c r="AQ23" s="2429"/>
      <c r="AR23" s="2429"/>
      <c r="AS23" s="2429"/>
      <c r="AT23" s="2429"/>
    </row>
    <row r="24" spans="2:105" ht="12.75" customHeight="1">
      <c r="AP24" s="2442" t="s">
        <v>2347</v>
      </c>
      <c r="AQ24" s="2009"/>
      <c r="AR24" s="2009"/>
      <c r="AS24" s="2009"/>
      <c r="AT24" s="2009"/>
    </row>
  </sheetData>
  <mergeCells count="49">
    <mergeCell ref="AP22:AT22"/>
    <mergeCell ref="AP23:AT23"/>
    <mergeCell ref="AP24:AT24"/>
    <mergeCell ref="BT6:BY6"/>
    <mergeCell ref="BZ6:CE6"/>
    <mergeCell ref="CF6:CK6"/>
    <mergeCell ref="CL6:CS6"/>
    <mergeCell ref="CT6:CY6"/>
    <mergeCell ref="B21:E21"/>
    <mergeCell ref="AJ6:AO6"/>
    <mergeCell ref="AP6:AU6"/>
    <mergeCell ref="AV6:BA6"/>
    <mergeCell ref="BB6:BG6"/>
    <mergeCell ref="BH6:BM6"/>
    <mergeCell ref="BN6:BS6"/>
    <mergeCell ref="H6:H7"/>
    <mergeCell ref="I6:I7"/>
    <mergeCell ref="J6:J7"/>
    <mergeCell ref="K6:V6"/>
    <mergeCell ref="X6:AC6"/>
    <mergeCell ref="AD6:AI6"/>
    <mergeCell ref="BZ4:CE4"/>
    <mergeCell ref="AV4:BA4"/>
    <mergeCell ref="BB4:BG4"/>
    <mergeCell ref="BH4:BM4"/>
    <mergeCell ref="BN4:BS4"/>
    <mergeCell ref="CF4:CK4"/>
    <mergeCell ref="CL4:CS4"/>
    <mergeCell ref="CT4:CY4"/>
    <mergeCell ref="B6:B7"/>
    <mergeCell ref="C6:C7"/>
    <mergeCell ref="D6:D7"/>
    <mergeCell ref="E6:E7"/>
    <mergeCell ref="F6:F7"/>
    <mergeCell ref="G6:G7"/>
    <mergeCell ref="AP4:AU4"/>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I11">
    <cfRule type="colorScale" priority="129">
      <colorScale>
        <cfvo type="num" val="0.69"/>
        <cfvo type="num" val="0.8"/>
        <cfvo type="num" val="0.9"/>
        <color rgb="FFF8696B"/>
        <color rgb="FFFFEB84"/>
        <color rgb="FF63BE7B"/>
      </colorScale>
    </cfRule>
  </conditionalFormatting>
  <conditionalFormatting sqref="AO11">
    <cfRule type="colorScale" priority="128">
      <colorScale>
        <cfvo type="num" val="0.69"/>
        <cfvo type="num" val="0.8"/>
        <cfvo type="num" val="0.9"/>
        <color rgb="FFF8696B"/>
        <color rgb="FFFFEB84"/>
        <color rgb="FF63BE7B"/>
      </colorScale>
    </cfRule>
  </conditionalFormatting>
  <conditionalFormatting sqref="BA11">
    <cfRule type="colorScale" priority="127">
      <colorScale>
        <cfvo type="num" val="0.69"/>
        <cfvo type="num" val="0.8"/>
        <cfvo type="num" val="0.9"/>
        <color rgb="FFF8696B"/>
        <color rgb="FFFFEB84"/>
        <color rgb="FF63BE7B"/>
      </colorScale>
    </cfRule>
  </conditionalFormatting>
  <conditionalFormatting sqref="BM11">
    <cfRule type="colorScale" priority="126">
      <colorScale>
        <cfvo type="num" val="0.69"/>
        <cfvo type="num" val="0.8"/>
        <cfvo type="num" val="0.9"/>
        <color rgb="FFF8696B"/>
        <color rgb="FFFFEB84"/>
        <color rgb="FF63BE7B"/>
      </colorScale>
    </cfRule>
  </conditionalFormatting>
  <conditionalFormatting sqref="BY11">
    <cfRule type="colorScale" priority="125">
      <colorScale>
        <cfvo type="num" val="0.69"/>
        <cfvo type="num" val="0.8"/>
        <cfvo type="num" val="0.9"/>
        <color rgb="FFF8696B"/>
        <color rgb="FFFFEB84"/>
        <color rgb="FF63BE7B"/>
      </colorScale>
    </cfRule>
  </conditionalFormatting>
  <conditionalFormatting sqref="CK11">
    <cfRule type="colorScale" priority="124">
      <colorScale>
        <cfvo type="num" val="0.69"/>
        <cfvo type="num" val="0.8"/>
        <cfvo type="num" val="0.9"/>
        <color rgb="FFF8696B"/>
        <color rgb="FFFFEB84"/>
        <color rgb="FF63BE7B"/>
      </colorScale>
    </cfRule>
  </conditionalFormatting>
  <conditionalFormatting sqref="CY11">
    <cfRule type="colorScale" priority="123">
      <colorScale>
        <cfvo type="num" val="0.69"/>
        <cfvo type="num" val="0.8"/>
        <cfvo type="num" val="0.9"/>
        <color rgb="FFF8696B"/>
        <color rgb="FFFFEB84"/>
        <color rgb="FF63BE7B"/>
      </colorScale>
    </cfRule>
  </conditionalFormatting>
  <conditionalFormatting sqref="AN16:AN19 AN12">
    <cfRule type="colorScale" priority="122">
      <colorScale>
        <cfvo type="num" val="0.69"/>
        <cfvo type="num" val="0.8"/>
        <cfvo type="num" val="0.9"/>
        <color rgb="FFF8696B"/>
        <color rgb="FFFFEB84"/>
        <color rgb="FF63BE7B"/>
      </colorScale>
    </cfRule>
  </conditionalFormatting>
  <conditionalFormatting sqref="AT16:AT19 AT12">
    <cfRule type="colorScale" priority="115">
      <colorScale>
        <cfvo type="num" val="0.69"/>
        <cfvo type="num" val="0.8"/>
        <cfvo type="num" val="0.9"/>
        <color rgb="FFF8696B"/>
        <color rgb="FFFFEB84"/>
        <color rgb="FF63BE7B"/>
      </colorScale>
    </cfRule>
  </conditionalFormatting>
  <conditionalFormatting sqref="BF10">
    <cfRule type="colorScale" priority="104">
      <colorScale>
        <cfvo type="num" val="0.69"/>
        <cfvo type="num" val="0.8"/>
        <cfvo type="num" val="0.9"/>
        <color rgb="FFF8696B"/>
        <color rgb="FFFFEB84"/>
        <color rgb="FF63BE7B"/>
      </colorScale>
    </cfRule>
  </conditionalFormatting>
  <conditionalFormatting sqref="BR16:BR19 BR12">
    <cfRule type="colorScale" priority="100">
      <colorScale>
        <cfvo type="num" val="0.69"/>
        <cfvo type="num" val="0.8"/>
        <cfvo type="num" val="0.9"/>
        <color rgb="FFF8696B"/>
        <color rgb="FFFFEB84"/>
        <color rgb="FF63BE7B"/>
      </colorScale>
    </cfRule>
  </conditionalFormatting>
  <conditionalFormatting sqref="CJ16:CJ19 CJ12">
    <cfRule type="colorScale" priority="97">
      <colorScale>
        <cfvo type="num" val="0.69"/>
        <cfvo type="num" val="0.8"/>
        <cfvo type="num" val="0.9"/>
        <color rgb="FFF8696B"/>
        <color rgb="FFFFEB84"/>
        <color rgb="FF63BE7B"/>
      </colorScale>
    </cfRule>
  </conditionalFormatting>
  <conditionalFormatting sqref="AN9">
    <cfRule type="colorScale" priority="117">
      <colorScale>
        <cfvo type="num" val="0.69"/>
        <cfvo type="num" val="0.8"/>
        <cfvo type="num" val="0.9"/>
        <color rgb="FFF8696B"/>
        <color rgb="FFFFEB84"/>
        <color rgb="FF63BE7B"/>
      </colorScale>
    </cfRule>
  </conditionalFormatting>
  <conditionalFormatting sqref="AN8">
    <cfRule type="colorScale" priority="116">
      <colorScale>
        <cfvo type="num" val="0.69"/>
        <cfvo type="num" val="0.8"/>
        <cfvo type="num" val="0.9"/>
        <color rgb="FFF8696B"/>
        <color rgb="FFFFEB84"/>
        <color rgb="FF63BE7B"/>
      </colorScale>
    </cfRule>
  </conditionalFormatting>
  <conditionalFormatting sqref="AT20">
    <cfRule type="colorScale" priority="114">
      <colorScale>
        <cfvo type="num" val="0.69"/>
        <cfvo type="num" val="0.8"/>
        <cfvo type="num" val="0.9"/>
        <color rgb="FFF8696B"/>
        <color rgb="FFFFEB84"/>
        <color rgb="FF63BE7B"/>
      </colorScale>
    </cfRule>
  </conditionalFormatting>
  <conditionalFormatting sqref="AH8">
    <cfRule type="colorScale" priority="82">
      <colorScale>
        <cfvo type="num" val="0.69"/>
        <cfvo type="num" val="0.8"/>
        <cfvo type="num" val="0.9"/>
        <color rgb="FFF8696B"/>
        <color rgb="FFFFEB84"/>
        <color rgb="FF63BE7B"/>
      </colorScale>
    </cfRule>
  </conditionalFormatting>
  <conditionalFormatting sqref="AB16:AB19 AB12">
    <cfRule type="colorScale" priority="81">
      <colorScale>
        <cfvo type="num" val="0.69"/>
        <cfvo type="num" val="0.8"/>
        <cfvo type="num" val="0.9"/>
        <color rgb="FFF8696B"/>
        <color rgb="FFFFEB84"/>
        <color rgb="FF63BE7B"/>
      </colorScale>
    </cfRule>
  </conditionalFormatting>
  <conditionalFormatting sqref="AB20">
    <cfRule type="colorScale" priority="80">
      <colorScale>
        <cfvo type="num" val="0.69"/>
        <cfvo type="num" val="0.8"/>
        <cfvo type="num" val="0.9"/>
        <color rgb="FFF8696B"/>
        <color rgb="FFFFEB84"/>
        <color rgb="FF63BE7B"/>
      </colorScale>
    </cfRule>
  </conditionalFormatting>
  <conditionalFormatting sqref="AB14">
    <cfRule type="colorScale" priority="79">
      <colorScale>
        <cfvo type="num" val="0.69"/>
        <cfvo type="num" val="0.8"/>
        <cfvo type="num" val="0.9"/>
        <color rgb="FFF8696B"/>
        <color rgb="FFFFEB84"/>
        <color rgb="FF63BE7B"/>
      </colorScale>
    </cfRule>
  </conditionalFormatting>
  <conditionalFormatting sqref="AN20">
    <cfRule type="colorScale" priority="121">
      <colorScale>
        <cfvo type="num" val="0.69"/>
        <cfvo type="num" val="0.8"/>
        <cfvo type="num" val="0.9"/>
        <color rgb="FFF8696B"/>
        <color rgb="FFFFEB84"/>
        <color rgb="FF63BE7B"/>
      </colorScale>
    </cfRule>
  </conditionalFormatting>
  <conditionalFormatting sqref="AB9">
    <cfRule type="colorScale" priority="76">
      <colorScale>
        <cfvo type="num" val="0.69"/>
        <cfvo type="num" val="0.8"/>
        <cfvo type="num" val="0.9"/>
        <color rgb="FFF8696B"/>
        <color rgb="FFFFEB84"/>
        <color rgb="FF63BE7B"/>
      </colorScale>
    </cfRule>
  </conditionalFormatting>
  <conditionalFormatting sqref="AN14">
    <cfRule type="colorScale" priority="120">
      <colorScale>
        <cfvo type="num" val="0.69"/>
        <cfvo type="num" val="0.8"/>
        <cfvo type="num" val="0.9"/>
        <color rgb="FFF8696B"/>
        <color rgb="FFFFEB84"/>
        <color rgb="FF63BE7B"/>
      </colorScale>
    </cfRule>
  </conditionalFormatting>
  <conditionalFormatting sqref="AN13">
    <cfRule type="colorScale" priority="119">
      <colorScale>
        <cfvo type="num" val="0.69"/>
        <cfvo type="num" val="0.8"/>
        <cfvo type="num" val="0.9"/>
        <color rgb="FFF8696B"/>
        <color rgb="FFFFEB84"/>
        <color rgb="FF63BE7B"/>
      </colorScale>
    </cfRule>
  </conditionalFormatting>
  <conditionalFormatting sqref="AN10">
    <cfRule type="colorScale" priority="118">
      <colorScale>
        <cfvo type="num" val="0.69"/>
        <cfvo type="num" val="0.8"/>
        <cfvo type="num" val="0.9"/>
        <color rgb="FFF8696B"/>
        <color rgb="FFFFEB84"/>
        <color rgb="FF63BE7B"/>
      </colorScale>
    </cfRule>
  </conditionalFormatting>
  <conditionalFormatting sqref="AT13">
    <cfRule type="colorScale" priority="113">
      <colorScale>
        <cfvo type="num" val="0.69"/>
        <cfvo type="num" val="0.8"/>
        <cfvo type="num" val="0.9"/>
        <color rgb="FFF8696B"/>
        <color rgb="FFFFEB84"/>
        <color rgb="FF63BE7B"/>
      </colorScale>
    </cfRule>
  </conditionalFormatting>
  <conditionalFormatting sqref="AT10">
    <cfRule type="colorScale" priority="112">
      <colorScale>
        <cfvo type="num" val="0.69"/>
        <cfvo type="num" val="0.8"/>
        <cfvo type="num" val="0.9"/>
        <color rgb="FFF8696B"/>
        <color rgb="FFFFEB84"/>
        <color rgb="FF63BE7B"/>
      </colorScale>
    </cfRule>
  </conditionalFormatting>
  <conditionalFormatting sqref="AT9">
    <cfRule type="colorScale" priority="111">
      <colorScale>
        <cfvo type="num" val="0.69"/>
        <cfvo type="num" val="0.8"/>
        <cfvo type="num" val="0.9"/>
        <color rgb="FFF8696B"/>
        <color rgb="FFFFEB84"/>
        <color rgb="FF63BE7B"/>
      </colorScale>
    </cfRule>
  </conditionalFormatting>
  <conditionalFormatting sqref="AT8">
    <cfRule type="colorScale" priority="110">
      <colorScale>
        <cfvo type="num" val="0.69"/>
        <cfvo type="num" val="0.8"/>
        <cfvo type="num" val="0.9"/>
        <color rgb="FFF8696B"/>
        <color rgb="FFFFEB84"/>
        <color rgb="FF63BE7B"/>
      </colorScale>
    </cfRule>
  </conditionalFormatting>
  <conditionalFormatting sqref="AZ16:AZ19 AZ12">
    <cfRule type="colorScale" priority="109">
      <colorScale>
        <cfvo type="num" val="0.69"/>
        <cfvo type="num" val="0.8"/>
        <cfvo type="num" val="0.9"/>
        <color rgb="FFF8696B"/>
        <color rgb="FFFFEB84"/>
        <color rgb="FF63BE7B"/>
      </colorScale>
    </cfRule>
  </conditionalFormatting>
  <conditionalFormatting sqref="AZ10">
    <cfRule type="colorScale" priority="108">
      <colorScale>
        <cfvo type="num" val="0.69"/>
        <cfvo type="num" val="0.8"/>
        <cfvo type="num" val="0.9"/>
        <color rgb="FFF8696B"/>
        <color rgb="FFFFEB84"/>
        <color rgb="FF63BE7B"/>
      </colorScale>
    </cfRule>
  </conditionalFormatting>
  <conditionalFormatting sqref="AZ9">
    <cfRule type="colorScale" priority="107">
      <colorScale>
        <cfvo type="num" val="0.69"/>
        <cfvo type="num" val="0.8"/>
        <cfvo type="num" val="0.9"/>
        <color rgb="FFF8696B"/>
        <color rgb="FFFFEB84"/>
        <color rgb="FF63BE7B"/>
      </colorScale>
    </cfRule>
  </conditionalFormatting>
  <conditionalFormatting sqref="AZ8">
    <cfRule type="colorScale" priority="106">
      <colorScale>
        <cfvo type="num" val="0.69"/>
        <cfvo type="num" val="0.8"/>
        <cfvo type="num" val="0.9"/>
        <color rgb="FFF8696B"/>
        <color rgb="FFFFEB84"/>
        <color rgb="FF63BE7B"/>
      </colorScale>
    </cfRule>
  </conditionalFormatting>
  <conditionalFormatting sqref="BF16:BF19 BF12">
    <cfRule type="colorScale" priority="105">
      <colorScale>
        <cfvo type="num" val="0.69"/>
        <cfvo type="num" val="0.8"/>
        <cfvo type="num" val="0.9"/>
        <color rgb="FFF8696B"/>
        <color rgb="FFFFEB84"/>
        <color rgb="FF63BE7B"/>
      </colorScale>
    </cfRule>
  </conditionalFormatting>
  <conditionalFormatting sqref="BF9">
    <cfRule type="colorScale" priority="103">
      <colorScale>
        <cfvo type="num" val="0.69"/>
        <cfvo type="num" val="0.8"/>
        <cfvo type="num" val="0.9"/>
        <color rgb="FFF8696B"/>
        <color rgb="FFFFEB84"/>
        <color rgb="FF63BE7B"/>
      </colorScale>
    </cfRule>
  </conditionalFormatting>
  <conditionalFormatting sqref="BF8">
    <cfRule type="colorScale" priority="102">
      <colorScale>
        <cfvo type="num" val="0.69"/>
        <cfvo type="num" val="0.8"/>
        <cfvo type="num" val="0.9"/>
        <color rgb="FFF8696B"/>
        <color rgb="FFFFEB84"/>
        <color rgb="FF63BE7B"/>
      </colorScale>
    </cfRule>
  </conditionalFormatting>
  <conditionalFormatting sqref="BL16:BL19 BL12">
    <cfRule type="colorScale" priority="101">
      <colorScale>
        <cfvo type="num" val="0.69"/>
        <cfvo type="num" val="0.8"/>
        <cfvo type="num" val="0.9"/>
        <color rgb="FFF8696B"/>
        <color rgb="FFFFEB84"/>
        <color rgb="FF63BE7B"/>
      </colorScale>
    </cfRule>
  </conditionalFormatting>
  <conditionalFormatting sqref="BX16:BX19 BX12">
    <cfRule type="colorScale" priority="99">
      <colorScale>
        <cfvo type="num" val="0.69"/>
        <cfvo type="num" val="0.8"/>
        <cfvo type="num" val="0.9"/>
        <color rgb="FFF8696B"/>
        <color rgb="FFFFEB84"/>
        <color rgb="FF63BE7B"/>
      </colorScale>
    </cfRule>
  </conditionalFormatting>
  <conditionalFormatting sqref="CD16:CD19 CD12">
    <cfRule type="colorScale" priority="98">
      <colorScale>
        <cfvo type="num" val="0.69"/>
        <cfvo type="num" val="0.8"/>
        <cfvo type="num" val="0.9"/>
        <color rgb="FFF8696B"/>
        <color rgb="FFFFEB84"/>
        <color rgb="FF63BE7B"/>
      </colorScale>
    </cfRule>
  </conditionalFormatting>
  <conditionalFormatting sqref="CP16:CP19 CP12">
    <cfRule type="colorScale" priority="96">
      <colorScale>
        <cfvo type="num" val="0.69"/>
        <cfvo type="num" val="0.8"/>
        <cfvo type="num" val="0.9"/>
        <color rgb="FFF8696B"/>
        <color rgb="FFFFEB84"/>
        <color rgb="FF63BE7B"/>
      </colorScale>
    </cfRule>
  </conditionalFormatting>
  <conditionalFormatting sqref="CP10">
    <cfRule type="colorScale" priority="95">
      <colorScale>
        <cfvo type="num" val="0.69"/>
        <cfvo type="num" val="0.8"/>
        <cfvo type="num" val="0.9"/>
        <color rgb="FFF8696B"/>
        <color rgb="FFFFEB84"/>
        <color rgb="FF63BE7B"/>
      </colorScale>
    </cfRule>
  </conditionalFormatting>
  <conditionalFormatting sqref="CP9">
    <cfRule type="colorScale" priority="94">
      <colorScale>
        <cfvo type="num" val="0.69"/>
        <cfvo type="num" val="0.8"/>
        <cfvo type="num" val="0.9"/>
        <color rgb="FFF8696B"/>
        <color rgb="FFFFEB84"/>
        <color rgb="FF63BE7B"/>
      </colorScale>
    </cfRule>
  </conditionalFormatting>
  <conditionalFormatting sqref="CP8">
    <cfRule type="colorScale" priority="93">
      <colorScale>
        <cfvo type="num" val="0.69"/>
        <cfvo type="num" val="0.8"/>
        <cfvo type="num" val="0.9"/>
        <color rgb="FFF8696B"/>
        <color rgb="FFFFEB84"/>
        <color rgb="FF63BE7B"/>
      </colorScale>
    </cfRule>
  </conditionalFormatting>
  <conditionalFormatting sqref="CX16:CX19 CX12">
    <cfRule type="colorScale" priority="92">
      <colorScale>
        <cfvo type="num" val="0.69"/>
        <cfvo type="num" val="0.8"/>
        <cfvo type="num" val="0.9"/>
        <color rgb="FFF8696B"/>
        <color rgb="FFFFEB84"/>
        <color rgb="FF63BE7B"/>
      </colorScale>
    </cfRule>
  </conditionalFormatting>
  <conditionalFormatting sqref="CX10">
    <cfRule type="colorScale" priority="91">
      <colorScale>
        <cfvo type="num" val="0.69"/>
        <cfvo type="num" val="0.8"/>
        <cfvo type="num" val="0.9"/>
        <color rgb="FFF8696B"/>
        <color rgb="FFFFEB84"/>
        <color rgb="FF63BE7B"/>
      </colorScale>
    </cfRule>
  </conditionalFormatting>
  <conditionalFormatting sqref="CX9">
    <cfRule type="colorScale" priority="90">
      <colorScale>
        <cfvo type="num" val="0.69"/>
        <cfvo type="num" val="0.8"/>
        <cfvo type="num" val="0.9"/>
        <color rgb="FFF8696B"/>
        <color rgb="FFFFEB84"/>
        <color rgb="FF63BE7B"/>
      </colorScale>
    </cfRule>
  </conditionalFormatting>
  <conditionalFormatting sqref="CX8">
    <cfRule type="colorScale" priority="89">
      <colorScale>
        <cfvo type="num" val="0.69"/>
        <cfvo type="num" val="0.8"/>
        <cfvo type="num" val="0.9"/>
        <color rgb="FFF8696B"/>
        <color rgb="FFFFEB84"/>
        <color rgb="FF63BE7B"/>
      </colorScale>
    </cfRule>
  </conditionalFormatting>
  <conditionalFormatting sqref="AH16:AH19 AH12">
    <cfRule type="colorScale" priority="88">
      <colorScale>
        <cfvo type="num" val="0.69"/>
        <cfvo type="num" val="0.8"/>
        <cfvo type="num" val="0.9"/>
        <color rgb="FFF8696B"/>
        <color rgb="FFFFEB84"/>
        <color rgb="FF63BE7B"/>
      </colorScale>
    </cfRule>
  </conditionalFormatting>
  <conditionalFormatting sqref="AH20">
    <cfRule type="colorScale" priority="87">
      <colorScale>
        <cfvo type="num" val="0.69"/>
        <cfvo type="num" val="0.8"/>
        <cfvo type="num" val="0.9"/>
        <color rgb="FFF8696B"/>
        <color rgb="FFFFEB84"/>
        <color rgb="FF63BE7B"/>
      </colorScale>
    </cfRule>
  </conditionalFormatting>
  <conditionalFormatting sqref="AH14">
    <cfRule type="colorScale" priority="86">
      <colorScale>
        <cfvo type="num" val="0.69"/>
        <cfvo type="num" val="0.8"/>
        <cfvo type="num" val="0.9"/>
        <color rgb="FFF8696B"/>
        <color rgb="FFFFEB84"/>
        <color rgb="FF63BE7B"/>
      </colorScale>
    </cfRule>
  </conditionalFormatting>
  <conditionalFormatting sqref="AH13">
    <cfRule type="colorScale" priority="85">
      <colorScale>
        <cfvo type="num" val="0.69"/>
        <cfvo type="num" val="0.8"/>
        <cfvo type="num" val="0.9"/>
        <color rgb="FFF8696B"/>
        <color rgb="FFFFEB84"/>
        <color rgb="FF63BE7B"/>
      </colorScale>
    </cfRule>
  </conditionalFormatting>
  <conditionalFormatting sqref="AH10">
    <cfRule type="colorScale" priority="84">
      <colorScale>
        <cfvo type="num" val="0.69"/>
        <cfvo type="num" val="0.8"/>
        <cfvo type="num" val="0.9"/>
        <color rgb="FFF8696B"/>
        <color rgb="FFFFEB84"/>
        <color rgb="FF63BE7B"/>
      </colorScale>
    </cfRule>
  </conditionalFormatting>
  <conditionalFormatting sqref="AH9">
    <cfRule type="colorScale" priority="83">
      <colorScale>
        <cfvo type="num" val="0.69"/>
        <cfvo type="num" val="0.8"/>
        <cfvo type="num" val="0.9"/>
        <color rgb="FFF8696B"/>
        <color rgb="FFFFEB84"/>
        <color rgb="FF63BE7B"/>
      </colorScale>
    </cfRule>
  </conditionalFormatting>
  <conditionalFormatting sqref="AB13">
    <cfRule type="colorScale" priority="78">
      <colorScale>
        <cfvo type="num" val="0.69"/>
        <cfvo type="num" val="0.8"/>
        <cfvo type="num" val="0.9"/>
        <color rgb="FFF8696B"/>
        <color rgb="FFFFEB84"/>
        <color rgb="FF63BE7B"/>
      </colorScale>
    </cfRule>
  </conditionalFormatting>
  <conditionalFormatting sqref="AB10">
    <cfRule type="colorScale" priority="77">
      <colorScale>
        <cfvo type="num" val="0.69"/>
        <cfvo type="num" val="0.8"/>
        <cfvo type="num" val="0.9"/>
        <color rgb="FFF8696B"/>
        <color rgb="FFFFEB84"/>
        <color rgb="FF63BE7B"/>
      </colorScale>
    </cfRule>
  </conditionalFormatting>
  <conditionalFormatting sqref="AB8">
    <cfRule type="colorScale" priority="75">
      <colorScale>
        <cfvo type="num" val="0.69"/>
        <cfvo type="num" val="0.8"/>
        <cfvo type="num" val="0.9"/>
        <color rgb="FFF8696B"/>
        <color rgb="FFFFEB84"/>
        <color rgb="FF63BE7B"/>
      </colorScale>
    </cfRule>
  </conditionalFormatting>
  <conditionalFormatting sqref="BX13">
    <cfRule type="colorScale" priority="74">
      <colorScale>
        <cfvo type="num" val="0.69"/>
        <cfvo type="num" val="0.8"/>
        <cfvo type="num" val="0.9"/>
        <color rgb="FFF8696B"/>
        <color rgb="FFFFEB84"/>
        <color rgb="FF63BE7B"/>
      </colorScale>
    </cfRule>
  </conditionalFormatting>
  <conditionalFormatting sqref="AZ13">
    <cfRule type="colorScale" priority="73">
      <colorScale>
        <cfvo type="num" val="0.69"/>
        <cfvo type="num" val="0.8"/>
        <cfvo type="num" val="0.9"/>
        <color rgb="FFF8696B"/>
        <color rgb="FFFFEB84"/>
        <color rgb="FF63BE7B"/>
      </colorScale>
    </cfRule>
  </conditionalFormatting>
  <conditionalFormatting sqref="BF13">
    <cfRule type="colorScale" priority="72">
      <colorScale>
        <cfvo type="num" val="0.69"/>
        <cfvo type="num" val="0.8"/>
        <cfvo type="num" val="0.9"/>
        <color rgb="FFF8696B"/>
        <color rgb="FFFFEB84"/>
        <color rgb="FF63BE7B"/>
      </colorScale>
    </cfRule>
  </conditionalFormatting>
  <conditionalFormatting sqref="CP13">
    <cfRule type="colorScale" priority="71">
      <colorScale>
        <cfvo type="num" val="0.69"/>
        <cfvo type="num" val="0.8"/>
        <cfvo type="num" val="0.9"/>
        <color rgb="FFF8696B"/>
        <color rgb="FFFFEB84"/>
        <color rgb="FF63BE7B"/>
      </colorScale>
    </cfRule>
  </conditionalFormatting>
  <conditionalFormatting sqref="CX13">
    <cfRule type="colorScale" priority="70">
      <colorScale>
        <cfvo type="num" val="0.69"/>
        <cfvo type="num" val="0.8"/>
        <cfvo type="num" val="0.9"/>
        <color rgb="FFF8696B"/>
        <color rgb="FFFFEB84"/>
        <color rgb="FF63BE7B"/>
      </colorScale>
    </cfRule>
  </conditionalFormatting>
  <conditionalFormatting sqref="BL13">
    <cfRule type="colorScale" priority="69">
      <colorScale>
        <cfvo type="num" val="0.69"/>
        <cfvo type="num" val="0.8"/>
        <cfvo type="num" val="0.9"/>
        <color rgb="FFF8696B"/>
        <color rgb="FFFFEB84"/>
        <color rgb="FF63BE7B"/>
      </colorScale>
    </cfRule>
  </conditionalFormatting>
  <conditionalFormatting sqref="BR13">
    <cfRule type="colorScale" priority="68">
      <colorScale>
        <cfvo type="num" val="0.69"/>
        <cfvo type="num" val="0.8"/>
        <cfvo type="num" val="0.9"/>
        <color rgb="FFF8696B"/>
        <color rgb="FFFFEB84"/>
        <color rgb="FF63BE7B"/>
      </colorScale>
    </cfRule>
  </conditionalFormatting>
  <conditionalFormatting sqref="CP14">
    <cfRule type="colorScale" priority="67">
      <colorScale>
        <cfvo type="num" val="0.69"/>
        <cfvo type="num" val="0.8"/>
        <cfvo type="num" val="0.9"/>
        <color rgb="FFF8696B"/>
        <color rgb="FFFFEB84"/>
        <color rgb="FF63BE7B"/>
      </colorScale>
    </cfRule>
  </conditionalFormatting>
  <conditionalFormatting sqref="CP14">
    <cfRule type="colorScale" priority="66">
      <colorScale>
        <cfvo type="num" val="0.69"/>
        <cfvo type="num" val="0.8"/>
        <cfvo type="num" val="0.9"/>
        <color rgb="FFF8696B"/>
        <color rgb="FFFFEB84"/>
        <color rgb="FF63BE7B"/>
      </colorScale>
    </cfRule>
  </conditionalFormatting>
  <conditionalFormatting sqref="CJ14">
    <cfRule type="colorScale" priority="65">
      <colorScale>
        <cfvo type="num" val="0.69"/>
        <cfvo type="num" val="0.8"/>
        <cfvo type="num" val="0.9"/>
        <color rgb="FFF8696B"/>
        <color rgb="FFFFEB84"/>
        <color rgb="FF63BE7B"/>
      </colorScale>
    </cfRule>
  </conditionalFormatting>
  <conditionalFormatting sqref="CJ14">
    <cfRule type="colorScale" priority="64">
      <colorScale>
        <cfvo type="num" val="0.69"/>
        <cfvo type="num" val="0.8"/>
        <cfvo type="num" val="0.9"/>
        <color rgb="FFF8696B"/>
        <color rgb="FFFFEB84"/>
        <color rgb="FF63BE7B"/>
      </colorScale>
    </cfRule>
  </conditionalFormatting>
  <conditionalFormatting sqref="CD14">
    <cfRule type="colorScale" priority="63">
      <colorScale>
        <cfvo type="num" val="0.69"/>
        <cfvo type="num" val="0.8"/>
        <cfvo type="num" val="0.9"/>
        <color rgb="FFF8696B"/>
        <color rgb="FFFFEB84"/>
        <color rgb="FF63BE7B"/>
      </colorScale>
    </cfRule>
  </conditionalFormatting>
  <conditionalFormatting sqref="CD14">
    <cfRule type="colorScale" priority="62">
      <colorScale>
        <cfvo type="num" val="0.69"/>
        <cfvo type="num" val="0.8"/>
        <cfvo type="num" val="0.9"/>
        <color rgb="FFF8696B"/>
        <color rgb="FFFFEB84"/>
        <color rgb="FF63BE7B"/>
      </colorScale>
    </cfRule>
  </conditionalFormatting>
  <conditionalFormatting sqref="BX14">
    <cfRule type="colorScale" priority="61">
      <colorScale>
        <cfvo type="num" val="0.69"/>
        <cfvo type="num" val="0.8"/>
        <cfvo type="num" val="0.9"/>
        <color rgb="FFF8696B"/>
        <color rgb="FFFFEB84"/>
        <color rgb="FF63BE7B"/>
      </colorScale>
    </cfRule>
  </conditionalFormatting>
  <conditionalFormatting sqref="BX14">
    <cfRule type="colorScale" priority="60">
      <colorScale>
        <cfvo type="num" val="0.69"/>
        <cfvo type="num" val="0.8"/>
        <cfvo type="num" val="0.9"/>
        <color rgb="FFF8696B"/>
        <color rgb="FFFFEB84"/>
        <color rgb="FF63BE7B"/>
      </colorScale>
    </cfRule>
  </conditionalFormatting>
  <conditionalFormatting sqref="BR14">
    <cfRule type="colorScale" priority="59">
      <colorScale>
        <cfvo type="num" val="0.69"/>
        <cfvo type="num" val="0.8"/>
        <cfvo type="num" val="0.9"/>
        <color rgb="FFF8696B"/>
        <color rgb="FFFFEB84"/>
        <color rgb="FF63BE7B"/>
      </colorScale>
    </cfRule>
  </conditionalFormatting>
  <conditionalFormatting sqref="BR14">
    <cfRule type="colorScale" priority="58">
      <colorScale>
        <cfvo type="num" val="0.69"/>
        <cfvo type="num" val="0.8"/>
        <cfvo type="num" val="0.9"/>
        <color rgb="FFF8696B"/>
        <color rgb="FFFFEB84"/>
        <color rgb="FF63BE7B"/>
      </colorScale>
    </cfRule>
  </conditionalFormatting>
  <conditionalFormatting sqref="BL14">
    <cfRule type="colorScale" priority="57">
      <colorScale>
        <cfvo type="num" val="0.69"/>
        <cfvo type="num" val="0.8"/>
        <cfvo type="num" val="0.9"/>
        <color rgb="FFF8696B"/>
        <color rgb="FFFFEB84"/>
        <color rgb="FF63BE7B"/>
      </colorScale>
    </cfRule>
  </conditionalFormatting>
  <conditionalFormatting sqref="BL14">
    <cfRule type="colorScale" priority="56">
      <colorScale>
        <cfvo type="num" val="0.69"/>
        <cfvo type="num" val="0.8"/>
        <cfvo type="num" val="0.9"/>
        <color rgb="FFF8696B"/>
        <color rgb="FFFFEB84"/>
        <color rgb="FF63BE7B"/>
      </colorScale>
    </cfRule>
  </conditionalFormatting>
  <conditionalFormatting sqref="BF14">
    <cfRule type="colorScale" priority="55">
      <colorScale>
        <cfvo type="num" val="0.69"/>
        <cfvo type="num" val="0.8"/>
        <cfvo type="num" val="0.9"/>
        <color rgb="FFF8696B"/>
        <color rgb="FFFFEB84"/>
        <color rgb="FF63BE7B"/>
      </colorScale>
    </cfRule>
  </conditionalFormatting>
  <conditionalFormatting sqref="BF14">
    <cfRule type="colorScale" priority="54">
      <colorScale>
        <cfvo type="num" val="0.69"/>
        <cfvo type="num" val="0.8"/>
        <cfvo type="num" val="0.9"/>
        <color rgb="FFF8696B"/>
        <color rgb="FFFFEB84"/>
        <color rgb="FF63BE7B"/>
      </colorScale>
    </cfRule>
  </conditionalFormatting>
  <conditionalFormatting sqref="AV14">
    <cfRule type="colorScale" priority="53">
      <colorScale>
        <cfvo type="num" val="0.69"/>
        <cfvo type="num" val="0.8"/>
        <cfvo type="num" val="0.9"/>
        <color rgb="FFF8696B"/>
        <color rgb="FFFFEB84"/>
        <color rgb="FF63BE7B"/>
      </colorScale>
    </cfRule>
  </conditionalFormatting>
  <conditionalFormatting sqref="AV14">
    <cfRule type="colorScale" priority="52">
      <colorScale>
        <cfvo type="num" val="0.69"/>
        <cfvo type="num" val="0.8"/>
        <cfvo type="num" val="0.9"/>
        <color rgb="FFF8696B"/>
        <color rgb="FFFFEB84"/>
        <color rgb="FF63BE7B"/>
      </colorScale>
    </cfRule>
  </conditionalFormatting>
  <conditionalFormatting sqref="AX14">
    <cfRule type="colorScale" priority="51">
      <colorScale>
        <cfvo type="num" val="0.69"/>
        <cfvo type="num" val="0.8"/>
        <cfvo type="num" val="0.9"/>
        <color rgb="FFF8696B"/>
        <color rgb="FFFFEB84"/>
        <color rgb="FF63BE7B"/>
      </colorScale>
    </cfRule>
  </conditionalFormatting>
  <conditionalFormatting sqref="AX14">
    <cfRule type="colorScale" priority="50">
      <colorScale>
        <cfvo type="num" val="0.69"/>
        <cfvo type="num" val="0.8"/>
        <cfvo type="num" val="0.9"/>
        <color rgb="FFF8696B"/>
        <color rgb="FFFFEB84"/>
        <color rgb="FF63BE7B"/>
      </colorScale>
    </cfRule>
  </conditionalFormatting>
  <conditionalFormatting sqref="AZ14">
    <cfRule type="colorScale" priority="49">
      <colorScale>
        <cfvo type="num" val="0.69"/>
        <cfvo type="num" val="0.8"/>
        <cfvo type="num" val="0.9"/>
        <color rgb="FFF8696B"/>
        <color rgb="FFFFEB84"/>
        <color rgb="FF63BE7B"/>
      </colorScale>
    </cfRule>
  </conditionalFormatting>
  <conditionalFormatting sqref="AZ14">
    <cfRule type="colorScale" priority="48">
      <colorScale>
        <cfvo type="num" val="0.69"/>
        <cfvo type="num" val="0.8"/>
        <cfvo type="num" val="0.9"/>
        <color rgb="FFF8696B"/>
        <color rgb="FFFFEB84"/>
        <color rgb="FF63BE7B"/>
      </colorScale>
    </cfRule>
  </conditionalFormatting>
  <conditionalFormatting sqref="AP14">
    <cfRule type="colorScale" priority="47">
      <colorScale>
        <cfvo type="num" val="0.69"/>
        <cfvo type="num" val="0.8"/>
        <cfvo type="num" val="0.9"/>
        <color rgb="FFF8696B"/>
        <color rgb="FFFFEB84"/>
        <color rgb="FF63BE7B"/>
      </colorScale>
    </cfRule>
  </conditionalFormatting>
  <conditionalFormatting sqref="AP14">
    <cfRule type="colorScale" priority="46">
      <colorScale>
        <cfvo type="num" val="0.69"/>
        <cfvo type="num" val="0.8"/>
        <cfvo type="num" val="0.9"/>
        <color rgb="FFF8696B"/>
        <color rgb="FFFFEB84"/>
        <color rgb="FF63BE7B"/>
      </colorScale>
    </cfRule>
  </conditionalFormatting>
  <conditionalFormatting sqref="AR14">
    <cfRule type="colorScale" priority="45">
      <colorScale>
        <cfvo type="num" val="0.69"/>
        <cfvo type="num" val="0.8"/>
        <cfvo type="num" val="0.9"/>
        <color rgb="FFF8696B"/>
        <color rgb="FFFFEB84"/>
        <color rgb="FF63BE7B"/>
      </colorScale>
    </cfRule>
  </conditionalFormatting>
  <conditionalFormatting sqref="AR14">
    <cfRule type="colorScale" priority="44">
      <colorScale>
        <cfvo type="num" val="0.69"/>
        <cfvo type="num" val="0.8"/>
        <cfvo type="num" val="0.9"/>
        <color rgb="FFF8696B"/>
        <color rgb="FFFFEB84"/>
        <color rgb="FF63BE7B"/>
      </colorScale>
    </cfRule>
  </conditionalFormatting>
  <conditionalFormatting sqref="AT14">
    <cfRule type="colorScale" priority="43">
      <colorScale>
        <cfvo type="num" val="0.69"/>
        <cfvo type="num" val="0.8"/>
        <cfvo type="num" val="0.9"/>
        <color rgb="FFF8696B"/>
        <color rgb="FFFFEB84"/>
        <color rgb="FF63BE7B"/>
      </colorScale>
    </cfRule>
  </conditionalFormatting>
  <conditionalFormatting sqref="AT14">
    <cfRule type="colorScale" priority="42">
      <colorScale>
        <cfvo type="num" val="0.69"/>
        <cfvo type="num" val="0.8"/>
        <cfvo type="num" val="0.9"/>
        <color rgb="FFF8696B"/>
        <color rgb="FFFFEB84"/>
        <color rgb="FF63BE7B"/>
      </colorScale>
    </cfRule>
  </conditionalFormatting>
  <conditionalFormatting sqref="CX14">
    <cfRule type="colorScale" priority="41">
      <colorScale>
        <cfvo type="num" val="0.69"/>
        <cfvo type="num" val="0.8"/>
        <cfvo type="num" val="0.9"/>
        <color rgb="FFF8696B"/>
        <color rgb="FFFFEB84"/>
        <color rgb="FF63BE7B"/>
      </colorScale>
    </cfRule>
  </conditionalFormatting>
  <conditionalFormatting sqref="CX14">
    <cfRule type="colorScale" priority="40">
      <colorScale>
        <cfvo type="num" val="0.69"/>
        <cfvo type="num" val="0.8"/>
        <cfvo type="num" val="0.9"/>
        <color rgb="FFF8696B"/>
        <color rgb="FFFFEB84"/>
        <color rgb="FF63BE7B"/>
      </colorScale>
    </cfRule>
  </conditionalFormatting>
  <conditionalFormatting sqref="BR15">
    <cfRule type="colorScale" priority="39">
      <colorScale>
        <cfvo type="num" val="0.69"/>
        <cfvo type="num" val="0.8"/>
        <cfvo type="num" val="0.9"/>
        <color rgb="FFF8696B"/>
        <color rgb="FFFFEB84"/>
        <color rgb="FF63BE7B"/>
      </colorScale>
    </cfRule>
  </conditionalFormatting>
  <conditionalFormatting sqref="BR15">
    <cfRule type="colorScale" priority="38">
      <colorScale>
        <cfvo type="num" val="0.69"/>
        <cfvo type="num" val="0.8"/>
        <cfvo type="num" val="0.9"/>
        <color rgb="FFF8696B"/>
        <color rgb="FFFFEB84"/>
        <color rgb="FF63BE7B"/>
      </colorScale>
    </cfRule>
  </conditionalFormatting>
  <conditionalFormatting sqref="BR15">
    <cfRule type="colorScale" priority="37">
      <colorScale>
        <cfvo type="num" val="0.69"/>
        <cfvo type="num" val="0.8"/>
        <cfvo type="num" val="0.9"/>
        <color rgb="FFF8696B"/>
        <color rgb="FFFFEB84"/>
        <color rgb="FF63BE7B"/>
      </colorScale>
    </cfRule>
  </conditionalFormatting>
  <conditionalFormatting sqref="AB15">
    <cfRule type="colorScale" priority="36">
      <colorScale>
        <cfvo type="num" val="0.69"/>
        <cfvo type="num" val="0.8"/>
        <cfvo type="num" val="0.9"/>
        <color rgb="FFF8696B"/>
        <color rgb="FFFFEB84"/>
        <color rgb="FF63BE7B"/>
      </colorScale>
    </cfRule>
  </conditionalFormatting>
  <conditionalFormatting sqref="AT15">
    <cfRule type="colorScale" priority="35">
      <colorScale>
        <cfvo type="num" val="0.69"/>
        <cfvo type="num" val="0.8"/>
        <cfvo type="num" val="0.9"/>
        <color rgb="FFF8696B"/>
        <color rgb="FFFFEB84"/>
        <color rgb="FF63BE7B"/>
      </colorScale>
    </cfRule>
  </conditionalFormatting>
  <conditionalFormatting sqref="BF15">
    <cfRule type="colorScale" priority="34">
      <colorScale>
        <cfvo type="num" val="0.69"/>
        <cfvo type="num" val="0.8"/>
        <cfvo type="num" val="0.9"/>
        <color rgb="FFF8696B"/>
        <color rgb="FFFFEB84"/>
        <color rgb="FF63BE7B"/>
      </colorScale>
    </cfRule>
  </conditionalFormatting>
  <conditionalFormatting sqref="AT15">
    <cfRule type="colorScale" priority="33">
      <colorScale>
        <cfvo type="num" val="0.69"/>
        <cfvo type="num" val="0.8"/>
        <cfvo type="num" val="0.9"/>
        <color rgb="FFF8696B"/>
        <color rgb="FFFFEB84"/>
        <color rgb="FF63BE7B"/>
      </colorScale>
    </cfRule>
  </conditionalFormatting>
  <conditionalFormatting sqref="BF15">
    <cfRule type="colorScale" priority="32">
      <colorScale>
        <cfvo type="num" val="0.69"/>
        <cfvo type="num" val="0.8"/>
        <cfvo type="num" val="0.9"/>
        <color rgb="FFF8696B"/>
        <color rgb="FFFFEB84"/>
        <color rgb="FF63BE7B"/>
      </colorScale>
    </cfRule>
  </conditionalFormatting>
  <conditionalFormatting sqref="BF15">
    <cfRule type="colorScale" priority="31">
      <colorScale>
        <cfvo type="num" val="0.69"/>
        <cfvo type="num" val="0.8"/>
        <cfvo type="num" val="0.9"/>
        <color rgb="FFF8696B"/>
        <color rgb="FFFFEB84"/>
        <color rgb="FF63BE7B"/>
      </colorScale>
    </cfRule>
  </conditionalFormatting>
  <conditionalFormatting sqref="AH15">
    <cfRule type="colorScale" priority="30">
      <colorScale>
        <cfvo type="num" val="0.69"/>
        <cfvo type="num" val="0.8"/>
        <cfvo type="num" val="0.9"/>
        <color rgb="FFF8696B"/>
        <color rgb="FFFFEB84"/>
        <color rgb="FF63BE7B"/>
      </colorScale>
    </cfRule>
  </conditionalFormatting>
  <conditionalFormatting sqref="AH15">
    <cfRule type="colorScale" priority="29">
      <colorScale>
        <cfvo type="num" val="0.69"/>
        <cfvo type="num" val="0.8"/>
        <cfvo type="num" val="0.9"/>
        <color rgb="FFF8696B"/>
        <color rgb="FFFFEB84"/>
        <color rgb="FF63BE7B"/>
      </colorScale>
    </cfRule>
  </conditionalFormatting>
  <conditionalFormatting sqref="AH15">
    <cfRule type="colorScale" priority="28">
      <colorScale>
        <cfvo type="num" val="0.69"/>
        <cfvo type="num" val="0.8"/>
        <cfvo type="num" val="0.9"/>
        <color rgb="FFF8696B"/>
        <color rgb="FFFFEB84"/>
        <color rgb="FF63BE7B"/>
      </colorScale>
    </cfRule>
  </conditionalFormatting>
  <conditionalFormatting sqref="AH15">
    <cfRule type="colorScale" priority="27">
      <colorScale>
        <cfvo type="num" val="0.69"/>
        <cfvo type="num" val="0.8"/>
        <cfvo type="num" val="0.9"/>
        <color rgb="FFF8696B"/>
        <color rgb="FFFFEB84"/>
        <color rgb="FF63BE7B"/>
      </colorScale>
    </cfRule>
  </conditionalFormatting>
  <conditionalFormatting sqref="AH15">
    <cfRule type="colorScale" priority="26">
      <colorScale>
        <cfvo type="num" val="0.69"/>
        <cfvo type="num" val="0.8"/>
        <cfvo type="num" val="0.9"/>
        <color rgb="FFF8696B"/>
        <color rgb="FFFFEB84"/>
        <color rgb="FF63BE7B"/>
      </colorScale>
    </cfRule>
  </conditionalFormatting>
  <conditionalFormatting sqref="CD15">
    <cfRule type="colorScale" priority="25">
      <colorScale>
        <cfvo type="num" val="0.69"/>
        <cfvo type="num" val="0.8"/>
        <cfvo type="num" val="0.9"/>
        <color rgb="FFF8696B"/>
        <color rgb="FFFFEB84"/>
        <color rgb="FF63BE7B"/>
      </colorScale>
    </cfRule>
  </conditionalFormatting>
  <conditionalFormatting sqref="CD15">
    <cfRule type="colorScale" priority="24">
      <colorScale>
        <cfvo type="num" val="0.69"/>
        <cfvo type="num" val="0.8"/>
        <cfvo type="num" val="0.9"/>
        <color rgb="FFF8696B"/>
        <color rgb="FFFFEB84"/>
        <color rgb="FF63BE7B"/>
      </colorScale>
    </cfRule>
  </conditionalFormatting>
  <conditionalFormatting sqref="CD15">
    <cfRule type="colorScale" priority="23">
      <colorScale>
        <cfvo type="num" val="0.69"/>
        <cfvo type="num" val="0.8"/>
        <cfvo type="num" val="0.9"/>
        <color rgb="FFF8696B"/>
        <color rgb="FFFFEB84"/>
        <color rgb="FF63BE7B"/>
      </colorScale>
    </cfRule>
  </conditionalFormatting>
  <conditionalFormatting sqref="BL15">
    <cfRule type="colorScale" priority="22">
      <colorScale>
        <cfvo type="num" val="0.69"/>
        <cfvo type="num" val="0.8"/>
        <cfvo type="num" val="0.9"/>
        <color rgb="FFF8696B"/>
        <color rgb="FFFFEB84"/>
        <color rgb="FF63BE7B"/>
      </colorScale>
    </cfRule>
  </conditionalFormatting>
  <conditionalFormatting sqref="BL15">
    <cfRule type="colorScale" priority="21">
      <colorScale>
        <cfvo type="num" val="0.69"/>
        <cfvo type="num" val="0.8"/>
        <cfvo type="num" val="0.9"/>
        <color rgb="FFF8696B"/>
        <color rgb="FFFFEB84"/>
        <color rgb="FF63BE7B"/>
      </colorScale>
    </cfRule>
  </conditionalFormatting>
  <conditionalFormatting sqref="BL15">
    <cfRule type="colorScale" priority="20">
      <colorScale>
        <cfvo type="num" val="0.69"/>
        <cfvo type="num" val="0.8"/>
        <cfvo type="num" val="0.9"/>
        <color rgb="FFF8696B"/>
        <color rgb="FFFFEB84"/>
        <color rgb="FF63BE7B"/>
      </colorScale>
    </cfRule>
  </conditionalFormatting>
  <conditionalFormatting sqref="BX15">
    <cfRule type="colorScale" priority="19">
      <colorScale>
        <cfvo type="num" val="0.69"/>
        <cfvo type="num" val="0.8"/>
        <cfvo type="num" val="0.9"/>
        <color rgb="FFF8696B"/>
        <color rgb="FFFFEB84"/>
        <color rgb="FF63BE7B"/>
      </colorScale>
    </cfRule>
  </conditionalFormatting>
  <conditionalFormatting sqref="BX15">
    <cfRule type="colorScale" priority="18">
      <colorScale>
        <cfvo type="num" val="0.69"/>
        <cfvo type="num" val="0.8"/>
        <cfvo type="num" val="0.9"/>
        <color rgb="FFF8696B"/>
        <color rgb="FFFFEB84"/>
        <color rgb="FF63BE7B"/>
      </colorScale>
    </cfRule>
  </conditionalFormatting>
  <conditionalFormatting sqref="BX15">
    <cfRule type="colorScale" priority="17">
      <colorScale>
        <cfvo type="num" val="0.69"/>
        <cfvo type="num" val="0.8"/>
        <cfvo type="num" val="0.9"/>
        <color rgb="FFF8696B"/>
        <color rgb="FFFFEB84"/>
        <color rgb="FF63BE7B"/>
      </colorScale>
    </cfRule>
  </conditionalFormatting>
  <conditionalFormatting sqref="CJ15">
    <cfRule type="colorScale" priority="16">
      <colorScale>
        <cfvo type="num" val="0.69"/>
        <cfvo type="num" val="0.8"/>
        <cfvo type="num" val="0.9"/>
        <color rgb="FFF8696B"/>
        <color rgb="FFFFEB84"/>
        <color rgb="FF63BE7B"/>
      </colorScale>
    </cfRule>
  </conditionalFormatting>
  <conditionalFormatting sqref="CJ15">
    <cfRule type="colorScale" priority="15">
      <colorScale>
        <cfvo type="num" val="0.69"/>
        <cfvo type="num" val="0.8"/>
        <cfvo type="num" val="0.9"/>
        <color rgb="FFF8696B"/>
        <color rgb="FFFFEB84"/>
        <color rgb="FF63BE7B"/>
      </colorScale>
    </cfRule>
  </conditionalFormatting>
  <conditionalFormatting sqref="CJ15">
    <cfRule type="colorScale" priority="14">
      <colorScale>
        <cfvo type="num" val="0.69"/>
        <cfvo type="num" val="0.8"/>
        <cfvo type="num" val="0.9"/>
        <color rgb="FFF8696B"/>
        <color rgb="FFFFEB84"/>
        <color rgb="FF63BE7B"/>
      </colorScale>
    </cfRule>
  </conditionalFormatting>
  <conditionalFormatting sqref="CP15">
    <cfRule type="colorScale" priority="13">
      <colorScale>
        <cfvo type="num" val="0.69"/>
        <cfvo type="num" val="0.8"/>
        <cfvo type="num" val="0.9"/>
        <color rgb="FFF8696B"/>
        <color rgb="FFFFEB84"/>
        <color rgb="FF63BE7B"/>
      </colorScale>
    </cfRule>
  </conditionalFormatting>
  <conditionalFormatting sqref="CP15">
    <cfRule type="colorScale" priority="12">
      <colorScale>
        <cfvo type="num" val="0.69"/>
        <cfvo type="num" val="0.8"/>
        <cfvo type="num" val="0.9"/>
        <color rgb="FFF8696B"/>
        <color rgb="FFFFEB84"/>
        <color rgb="FF63BE7B"/>
      </colorScale>
    </cfRule>
  </conditionalFormatting>
  <conditionalFormatting sqref="CP20">
    <cfRule type="colorScale" priority="11">
      <colorScale>
        <cfvo type="num" val="0.69"/>
        <cfvo type="num" val="0.8"/>
        <cfvo type="num" val="0.9"/>
        <color rgb="FFF8696B"/>
        <color rgb="FFFFEB84"/>
        <color rgb="FF63BE7B"/>
      </colorScale>
    </cfRule>
  </conditionalFormatting>
  <conditionalFormatting sqref="CX15">
    <cfRule type="colorScale" priority="10">
      <colorScale>
        <cfvo type="num" val="0.69"/>
        <cfvo type="num" val="0.8"/>
        <cfvo type="num" val="0.9"/>
        <color rgb="FFF8696B"/>
        <color rgb="FFFFEB84"/>
        <color rgb="FF63BE7B"/>
      </colorScale>
    </cfRule>
  </conditionalFormatting>
  <conditionalFormatting sqref="CX15">
    <cfRule type="colorScale" priority="9">
      <colorScale>
        <cfvo type="num" val="0.69"/>
        <cfvo type="num" val="0.8"/>
        <cfvo type="num" val="0.9"/>
        <color rgb="FFF8696B"/>
        <color rgb="FFFFEB84"/>
        <color rgb="FF63BE7B"/>
      </colorScale>
    </cfRule>
  </conditionalFormatting>
  <conditionalFormatting sqref="AZ20">
    <cfRule type="colorScale" priority="8">
      <colorScale>
        <cfvo type="num" val="0.69"/>
        <cfvo type="num" val="0.8"/>
        <cfvo type="num" val="0.9"/>
        <color rgb="FFF8696B"/>
        <color rgb="FFFFEB84"/>
        <color rgb="FF63BE7B"/>
      </colorScale>
    </cfRule>
  </conditionalFormatting>
  <conditionalFormatting sqref="BL20">
    <cfRule type="colorScale" priority="7">
      <colorScale>
        <cfvo type="num" val="0.69"/>
        <cfvo type="num" val="0.8"/>
        <cfvo type="num" val="0.9"/>
        <color rgb="FFF8696B"/>
        <color rgb="FFFFEB84"/>
        <color rgb="FF63BE7B"/>
      </colorScale>
    </cfRule>
  </conditionalFormatting>
  <conditionalFormatting sqref="BR20">
    <cfRule type="colorScale" priority="6">
      <colorScale>
        <cfvo type="num" val="0.69"/>
        <cfvo type="num" val="0.8"/>
        <cfvo type="num" val="0.9"/>
        <color rgb="FFF8696B"/>
        <color rgb="FFFFEB84"/>
        <color rgb="FF63BE7B"/>
      </colorScale>
    </cfRule>
  </conditionalFormatting>
  <conditionalFormatting sqref="CD20">
    <cfRule type="colorScale" priority="5">
      <colorScale>
        <cfvo type="num" val="0.69"/>
        <cfvo type="num" val="0.8"/>
        <cfvo type="num" val="0.9"/>
        <color rgb="FFF8696B"/>
        <color rgb="FFFFEB84"/>
        <color rgb="FF63BE7B"/>
      </colorScale>
    </cfRule>
  </conditionalFormatting>
  <conditionalFormatting sqref="CJ20">
    <cfRule type="colorScale" priority="4">
      <colorScale>
        <cfvo type="num" val="0.69"/>
        <cfvo type="num" val="0.8"/>
        <cfvo type="num" val="0.9"/>
        <color rgb="FFF8696B"/>
        <color rgb="FFFFEB84"/>
        <color rgb="FF63BE7B"/>
      </colorScale>
    </cfRule>
  </conditionalFormatting>
  <conditionalFormatting sqref="AZ15">
    <cfRule type="colorScale" priority="3">
      <colorScale>
        <cfvo type="num" val="0.69"/>
        <cfvo type="num" val="0.8"/>
        <cfvo type="num" val="0.9"/>
        <color rgb="FFF8696B"/>
        <color rgb="FFFFEB84"/>
        <color rgb="FF63BE7B"/>
      </colorScale>
    </cfRule>
  </conditionalFormatting>
  <conditionalFormatting sqref="AN15">
    <cfRule type="colorScale" priority="2">
      <colorScale>
        <cfvo type="num" val="0.69"/>
        <cfvo type="num" val="0.8"/>
        <cfvo type="num" val="0.9"/>
        <color rgb="FFF8696B"/>
        <color rgb="FFFFEB84"/>
        <color rgb="FF63BE7B"/>
      </colorScale>
    </cfRule>
  </conditionalFormatting>
  <conditionalFormatting sqref="CZ11:DA11">
    <cfRule type="colorScale" priority="1">
      <colorScale>
        <cfvo type="num" val="0.69"/>
        <cfvo type="num" val="0.8"/>
        <cfvo type="num" val="0.9"/>
        <color rgb="FFF8696B"/>
        <color rgb="FFFFEB84"/>
        <color rgb="FF63BE7B"/>
      </colorScale>
    </cfRule>
  </conditionalFormatting>
  <printOptions horizontalCentered="1" verticalCentered="1"/>
  <pageMargins left="0" right="0" top="0" bottom="0" header="0" footer="0"/>
  <pageSetup paperSize="257" scale="65" orientation="landscape" horizontalDpi="4294967293"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W31"/>
  <sheetViews>
    <sheetView showGridLines="0" view="pageBreakPreview" zoomScaleNormal="100" zoomScaleSheetLayoutView="100" workbookViewId="0">
      <selection activeCell="B6" sqref="B6:B7"/>
    </sheetView>
  </sheetViews>
  <sheetFormatPr baseColWidth="10" defaultRowHeight="12.75"/>
  <cols>
    <col min="1" max="1" width="1.140625" style="15" customWidth="1"/>
    <col min="2" max="2" width="18.85546875" style="15" customWidth="1"/>
    <col min="3" max="3" width="5.42578125" style="2" customWidth="1"/>
    <col min="4" max="4" width="16.140625" style="15" customWidth="1"/>
    <col min="5" max="5" width="14.7109375" style="15" customWidth="1"/>
    <col min="6" max="6" width="16.28515625" style="15" customWidth="1"/>
    <col min="7" max="7" width="9.28515625" style="15" customWidth="1"/>
    <col min="8" max="8" width="21.5703125" style="15" customWidth="1"/>
    <col min="9" max="9" width="16.7109375" style="15" customWidth="1"/>
    <col min="10" max="10" width="10" style="15" customWidth="1"/>
    <col min="11" max="13" width="4.7109375" style="126" customWidth="1"/>
    <col min="14" max="14" width="4.7109375" style="235" customWidth="1"/>
    <col min="15" max="22" width="4.7109375" style="15" customWidth="1"/>
    <col min="23" max="23" width="9.5703125" style="15" customWidth="1"/>
    <col min="24" max="24" width="9.28515625" style="15" hidden="1" customWidth="1"/>
    <col min="25" max="25" width="11" style="15" hidden="1" customWidth="1"/>
    <col min="26" max="27" width="8.140625" style="15" hidden="1" customWidth="1"/>
    <col min="28" max="28" width="11.5703125" style="15" hidden="1" customWidth="1"/>
    <col min="29" max="29" width="20" style="15" hidden="1" customWidth="1"/>
    <col min="30" max="30" width="9.28515625" style="15" hidden="1" customWidth="1"/>
    <col min="31" max="31" width="11" style="15" hidden="1" customWidth="1"/>
    <col min="32" max="33" width="8.140625" style="15" hidden="1" customWidth="1"/>
    <col min="34" max="34" width="11.5703125" style="15" hidden="1" customWidth="1"/>
    <col min="35" max="35" width="20" style="15" hidden="1" customWidth="1"/>
    <col min="36" max="36" width="9.28515625" style="15" hidden="1" customWidth="1"/>
    <col min="37" max="37" width="11" style="15" hidden="1" customWidth="1"/>
    <col min="38" max="39" width="8.140625" style="15" hidden="1" customWidth="1"/>
    <col min="40" max="40" width="11.5703125" style="15" hidden="1" customWidth="1"/>
    <col min="41" max="41" width="21" style="15" hidden="1" customWidth="1"/>
    <col min="42" max="42" width="9.28515625" style="15" hidden="1" customWidth="1"/>
    <col min="43" max="43" width="11" style="15" hidden="1" customWidth="1"/>
    <col min="44" max="45" width="8.140625" style="15" hidden="1" customWidth="1"/>
    <col min="46" max="46" width="11.5703125" style="15" hidden="1" customWidth="1"/>
    <col min="47" max="47" width="20.28515625" style="15" hidden="1" customWidth="1"/>
    <col min="48" max="48" width="9.28515625" style="15" hidden="1" customWidth="1"/>
    <col min="49" max="49" width="11" style="15" hidden="1" customWidth="1"/>
    <col min="50" max="51" width="8.140625" style="15" hidden="1" customWidth="1"/>
    <col min="52" max="52" width="11.5703125" style="15" hidden="1" customWidth="1"/>
    <col min="53" max="53" width="55.42578125" style="15" hidden="1" customWidth="1"/>
    <col min="54" max="54" width="12.85546875" style="15" hidden="1" customWidth="1"/>
    <col min="55" max="55" width="11" style="15" hidden="1" customWidth="1"/>
    <col min="56" max="56" width="10.140625" style="15" hidden="1" customWidth="1"/>
    <col min="57" max="57" width="8.140625" style="15" hidden="1" customWidth="1"/>
    <col min="58" max="58" width="11.5703125" style="15" hidden="1" customWidth="1"/>
    <col min="59" max="59" width="23.7109375" style="15" hidden="1" customWidth="1"/>
    <col min="60" max="60" width="10" style="15" hidden="1" customWidth="1"/>
    <col min="61" max="61" width="11" style="15" hidden="1" customWidth="1"/>
    <col min="62" max="63" width="8.140625" style="15" hidden="1" customWidth="1"/>
    <col min="64" max="64" width="11.5703125" style="15" hidden="1" customWidth="1"/>
    <col min="65" max="65" width="20.42578125" style="15" hidden="1" customWidth="1"/>
    <col min="66" max="66" width="10" style="15" hidden="1" customWidth="1"/>
    <col min="67" max="67" width="11" style="15" hidden="1" customWidth="1"/>
    <col min="68" max="68" width="7.7109375" style="15" hidden="1" customWidth="1"/>
    <col min="69" max="69" width="8.140625" style="15" hidden="1" customWidth="1"/>
    <col min="70" max="70" width="11.5703125" style="15" hidden="1" customWidth="1"/>
    <col min="71" max="71" width="26.85546875" style="15" hidden="1" customWidth="1"/>
    <col min="72" max="72" width="9.28515625" style="15" hidden="1" customWidth="1"/>
    <col min="73" max="73" width="11" style="15" hidden="1" customWidth="1"/>
    <col min="74" max="75" width="8.140625" style="15" hidden="1" customWidth="1"/>
    <col min="76" max="76" width="11.5703125" style="15" hidden="1" customWidth="1"/>
    <col min="77" max="77" width="55.42578125" style="15" hidden="1" customWidth="1"/>
    <col min="78" max="78" width="9.28515625" style="15" hidden="1" customWidth="1"/>
    <col min="79" max="79" width="11" style="15" hidden="1" customWidth="1"/>
    <col min="80" max="81" width="8.140625" style="15" hidden="1" customWidth="1"/>
    <col min="82" max="82" width="11.5703125" style="15" hidden="1" customWidth="1"/>
    <col min="83" max="83" width="55.42578125" style="15" hidden="1" customWidth="1"/>
    <col min="84" max="84" width="9.28515625" style="15" hidden="1" customWidth="1"/>
    <col min="85" max="85" width="11" style="15" hidden="1" customWidth="1"/>
    <col min="86" max="87" width="8.140625" style="15" hidden="1" customWidth="1"/>
    <col min="88" max="88" width="11.5703125" style="15" hidden="1" customWidth="1"/>
    <col min="89" max="89" width="55.42578125" style="15" hidden="1" customWidth="1"/>
    <col min="90" max="90" width="14.42578125" style="15" customWidth="1"/>
    <col min="91" max="91" width="16.42578125" style="15" customWidth="1"/>
    <col min="92" max="93" width="8.140625" style="15" customWidth="1"/>
    <col min="94" max="94" width="11.5703125" style="15" customWidth="1"/>
    <col min="95" max="95" width="55.42578125" style="15" customWidth="1"/>
    <col min="96" max="96" width="9.28515625" style="15" customWidth="1"/>
    <col min="97" max="97" width="11" style="15" customWidth="1"/>
    <col min="98" max="98" width="8.140625" style="15" customWidth="1"/>
    <col min="99" max="99" width="9.140625" style="15" customWidth="1"/>
    <col min="100" max="100" width="12.85546875" style="15" customWidth="1"/>
    <col min="101" max="101" width="31.28515625" style="15" customWidth="1"/>
    <col min="102" max="16384" width="11.42578125" style="15"/>
  </cols>
  <sheetData>
    <row r="1" spans="1:101"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1"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row>
    <row r="3" spans="1:101" ht="5.25" customHeight="1"/>
    <row r="4" spans="1:101" ht="19.5" customHeight="1">
      <c r="B4" s="49" t="s">
        <v>18</v>
      </c>
      <c r="C4" s="1979" t="s">
        <v>2348</v>
      </c>
      <c r="D4" s="1979"/>
      <c r="E4" s="1979"/>
      <c r="F4" s="1979"/>
      <c r="G4" s="1979"/>
      <c r="H4" s="1979"/>
      <c r="I4" s="1979"/>
      <c r="J4" s="1979"/>
      <c r="K4" s="1996" t="s">
        <v>21</v>
      </c>
      <c r="L4" s="1996"/>
      <c r="M4" s="1996"/>
      <c r="N4" s="1999">
        <v>2014</v>
      </c>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6" customHeight="1">
      <c r="A5" s="128"/>
      <c r="B5" s="128"/>
      <c r="C5" s="44"/>
      <c r="D5" s="128"/>
      <c r="E5" s="128"/>
      <c r="F5" s="128"/>
      <c r="G5" s="128"/>
      <c r="H5" s="128"/>
      <c r="I5" s="128"/>
      <c r="J5" s="128"/>
      <c r="K5" s="129"/>
      <c r="L5" s="129"/>
      <c r="M5" s="129"/>
      <c r="N5" s="1328"/>
      <c r="O5" s="128"/>
      <c r="P5" s="128"/>
      <c r="Q5" s="128"/>
      <c r="R5" s="128"/>
      <c r="S5" s="128"/>
      <c r="T5" s="128"/>
      <c r="U5" s="128"/>
      <c r="V5" s="128"/>
      <c r="W5" s="128"/>
    </row>
    <row r="6" spans="1:101"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9" t="s">
        <v>44</v>
      </c>
      <c r="BO6" s="1970"/>
      <c r="BP6" s="1970"/>
      <c r="BQ6" s="1970"/>
      <c r="BR6" s="1970"/>
      <c r="BS6" s="1970"/>
      <c r="BT6" s="1966" t="s">
        <v>45</v>
      </c>
      <c r="BU6" s="1967"/>
      <c r="BV6" s="1967"/>
      <c r="BW6" s="1967"/>
      <c r="BX6" s="1967"/>
      <c r="BY6" s="1967"/>
      <c r="BZ6" s="1966" t="s">
        <v>46</v>
      </c>
      <c r="CA6" s="1967"/>
      <c r="CB6" s="1967"/>
      <c r="CC6" s="1967"/>
      <c r="CD6" s="1967"/>
      <c r="CE6" s="196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1" s="2" customFormat="1" ht="30.75" customHeight="1">
      <c r="B7" s="1968"/>
      <c r="C7" s="1968"/>
      <c r="D7" s="1968"/>
      <c r="E7" s="1968"/>
      <c r="F7" s="1968"/>
      <c r="G7" s="1968"/>
      <c r="H7" s="1992"/>
      <c r="I7" s="1968"/>
      <c r="J7" s="1968"/>
      <c r="K7" s="47" t="s">
        <v>13</v>
      </c>
      <c r="L7" s="47" t="s">
        <v>0</v>
      </c>
      <c r="M7" s="47" t="s">
        <v>1</v>
      </c>
      <c r="N7" s="47" t="s">
        <v>14</v>
      </c>
      <c r="O7" s="47" t="s">
        <v>2</v>
      </c>
      <c r="P7" s="47" t="s">
        <v>3</v>
      </c>
      <c r="Q7" s="130" t="s">
        <v>4</v>
      </c>
      <c r="R7" s="130" t="s">
        <v>5</v>
      </c>
      <c r="S7" s="47" t="s">
        <v>6</v>
      </c>
      <c r="T7" s="47" t="s">
        <v>7</v>
      </c>
      <c r="U7" s="47" t="s">
        <v>8</v>
      </c>
      <c r="V7" s="47" t="s">
        <v>9</v>
      </c>
      <c r="W7" s="55" t="s">
        <v>412</v>
      </c>
      <c r="X7" s="56" t="s">
        <v>31</v>
      </c>
      <c r="Y7" s="56" t="s">
        <v>32</v>
      </c>
      <c r="Z7" s="57" t="s">
        <v>33</v>
      </c>
      <c r="AA7" s="56" t="s">
        <v>34</v>
      </c>
      <c r="AB7" s="19" t="s">
        <v>35</v>
      </c>
      <c r="AC7" s="57" t="s">
        <v>36</v>
      </c>
      <c r="AD7" s="56" t="s">
        <v>31</v>
      </c>
      <c r="AE7" s="56" t="s">
        <v>32</v>
      </c>
      <c r="AF7" s="57" t="s">
        <v>33</v>
      </c>
      <c r="AG7" s="56" t="s">
        <v>34</v>
      </c>
      <c r="AH7" s="19" t="s">
        <v>35</v>
      </c>
      <c r="AI7" s="57" t="s">
        <v>36</v>
      </c>
      <c r="AJ7" s="56" t="s">
        <v>31</v>
      </c>
      <c r="AK7" s="56" t="s">
        <v>32</v>
      </c>
      <c r="AL7" s="57" t="s">
        <v>33</v>
      </c>
      <c r="AM7" s="56" t="s">
        <v>34</v>
      </c>
      <c r="AN7" s="19" t="s">
        <v>35</v>
      </c>
      <c r="AO7" s="57" t="s">
        <v>36</v>
      </c>
      <c r="AP7" s="56" t="s">
        <v>31</v>
      </c>
      <c r="AQ7" s="56" t="s">
        <v>32</v>
      </c>
      <c r="AR7" s="57" t="s">
        <v>33</v>
      </c>
      <c r="AS7" s="56" t="s">
        <v>34</v>
      </c>
      <c r="AT7" s="19" t="s">
        <v>35</v>
      </c>
      <c r="AU7" s="57" t="s">
        <v>36</v>
      </c>
      <c r="AV7" s="56" t="s">
        <v>31</v>
      </c>
      <c r="AW7" s="56" t="s">
        <v>32</v>
      </c>
      <c r="AX7" s="57" t="s">
        <v>33</v>
      </c>
      <c r="AY7" s="56" t="s">
        <v>34</v>
      </c>
      <c r="AZ7" s="19" t="s">
        <v>35</v>
      </c>
      <c r="BA7" s="57" t="s">
        <v>36</v>
      </c>
      <c r="BB7" s="56" t="s">
        <v>31</v>
      </c>
      <c r="BC7" s="56" t="s">
        <v>32</v>
      </c>
      <c r="BD7" s="57" t="s">
        <v>33</v>
      </c>
      <c r="BE7" s="56" t="s">
        <v>34</v>
      </c>
      <c r="BF7" s="19" t="s">
        <v>35</v>
      </c>
      <c r="BG7" s="57" t="s">
        <v>36</v>
      </c>
      <c r="BH7" s="56" t="s">
        <v>31</v>
      </c>
      <c r="BI7" s="56" t="s">
        <v>32</v>
      </c>
      <c r="BJ7" s="57" t="s">
        <v>33</v>
      </c>
      <c r="BK7" s="56" t="s">
        <v>34</v>
      </c>
      <c r="BL7" s="19" t="s">
        <v>35</v>
      </c>
      <c r="BM7" s="57" t="s">
        <v>36</v>
      </c>
      <c r="BN7" s="56" t="s">
        <v>31</v>
      </c>
      <c r="BO7" s="56" t="s">
        <v>32</v>
      </c>
      <c r="BP7" s="57" t="s">
        <v>33</v>
      </c>
      <c r="BQ7" s="56" t="s">
        <v>34</v>
      </c>
      <c r="BR7" s="19" t="s">
        <v>35</v>
      </c>
      <c r="BS7" s="57" t="s">
        <v>36</v>
      </c>
      <c r="BT7" s="56" t="s">
        <v>31</v>
      </c>
      <c r="BU7" s="56" t="s">
        <v>32</v>
      </c>
      <c r="BV7" s="57" t="s">
        <v>33</v>
      </c>
      <c r="BW7" s="56" t="s">
        <v>34</v>
      </c>
      <c r="BX7" s="19" t="s">
        <v>35</v>
      </c>
      <c r="BY7" s="57" t="s">
        <v>36</v>
      </c>
      <c r="BZ7" s="56" t="s">
        <v>31</v>
      </c>
      <c r="CA7" s="56" t="s">
        <v>32</v>
      </c>
      <c r="CB7" s="57" t="s">
        <v>33</v>
      </c>
      <c r="CC7" s="56" t="s">
        <v>34</v>
      </c>
      <c r="CD7" s="19" t="s">
        <v>35</v>
      </c>
      <c r="CE7" s="57" t="s">
        <v>36</v>
      </c>
      <c r="CF7" s="56" t="s">
        <v>31</v>
      </c>
      <c r="CG7" s="56" t="s">
        <v>32</v>
      </c>
      <c r="CH7" s="57" t="s">
        <v>33</v>
      </c>
      <c r="CI7" s="56" t="s">
        <v>34</v>
      </c>
      <c r="CJ7" s="19" t="s">
        <v>35</v>
      </c>
      <c r="CK7" s="57" t="s">
        <v>36</v>
      </c>
      <c r="CL7" s="56" t="s">
        <v>31</v>
      </c>
      <c r="CM7" s="56" t="s">
        <v>32</v>
      </c>
      <c r="CN7" s="57" t="s">
        <v>33</v>
      </c>
      <c r="CO7" s="56" t="s">
        <v>34</v>
      </c>
      <c r="CP7" s="19" t="s">
        <v>35</v>
      </c>
      <c r="CQ7" s="57" t="s">
        <v>36</v>
      </c>
      <c r="CR7" s="56" t="s">
        <v>31</v>
      </c>
      <c r="CS7" s="56" t="s">
        <v>32</v>
      </c>
      <c r="CT7" s="57" t="s">
        <v>33</v>
      </c>
      <c r="CU7" s="56" t="s">
        <v>34</v>
      </c>
      <c r="CV7" s="19" t="s">
        <v>35</v>
      </c>
      <c r="CW7" s="57" t="s">
        <v>36</v>
      </c>
    </row>
    <row r="8" spans="1:101" ht="83.25" customHeight="1">
      <c r="B8" s="13" t="s">
        <v>416</v>
      </c>
      <c r="C8" s="9" t="s">
        <v>2349</v>
      </c>
      <c r="D8" s="13" t="s">
        <v>2350</v>
      </c>
      <c r="E8" s="13" t="s">
        <v>2351</v>
      </c>
      <c r="F8" s="13" t="s">
        <v>2352</v>
      </c>
      <c r="G8" s="8" t="s">
        <v>53</v>
      </c>
      <c r="H8" s="404" t="s">
        <v>2353</v>
      </c>
      <c r="I8" s="789" t="s">
        <v>2354</v>
      </c>
      <c r="J8" s="8" t="s">
        <v>2355</v>
      </c>
      <c r="K8" s="7"/>
      <c r="L8" s="7"/>
      <c r="M8" s="12"/>
      <c r="N8" s="12"/>
      <c r="O8" s="12">
        <v>1</v>
      </c>
      <c r="P8" s="1197"/>
      <c r="Q8" s="1197"/>
      <c r="R8" s="1197"/>
      <c r="S8" s="1197"/>
      <c r="T8" s="1197"/>
      <c r="U8" s="1197"/>
      <c r="V8" s="1329"/>
      <c r="W8" s="75"/>
      <c r="X8" s="21" t="s">
        <v>1108</v>
      </c>
      <c r="Y8" s="58"/>
      <c r="Z8" s="22" t="str">
        <f t="shared" ref="Z8:Z15" si="0">IF(Y8=0," ",X8/Y8)</f>
        <v xml:space="preserve"> </v>
      </c>
      <c r="AA8" s="58" t="s">
        <v>2266</v>
      </c>
      <c r="AB8" s="24" t="str">
        <f t="shared" ref="AB8:AB15" si="1">IF(Y8=0," ",Z8/AA8)</f>
        <v xml:space="preserve"> </v>
      </c>
      <c r="AC8" s="58" t="s">
        <v>2266</v>
      </c>
      <c r="AD8" s="21"/>
      <c r="AE8" s="21"/>
      <c r="AF8" s="22" t="str">
        <f t="shared" ref="AF8:AF15" si="2">IF(AE8=0," ",AD8/AE8)</f>
        <v xml:space="preserve"> </v>
      </c>
      <c r="AG8" s="58" t="s">
        <v>2266</v>
      </c>
      <c r="AH8" s="24" t="str">
        <f>IF(AE8=0," ",AF8/AG8)</f>
        <v xml:space="preserve"> </v>
      </c>
      <c r="AI8" s="58" t="s">
        <v>2266</v>
      </c>
      <c r="AJ8" s="21" t="s">
        <v>1108</v>
      </c>
      <c r="AK8" s="21"/>
      <c r="AL8" s="22" t="str">
        <f t="shared" ref="AL8:AL15" si="3">IF(AK8=0," ",AJ8/AK8)</f>
        <v xml:space="preserve"> </v>
      </c>
      <c r="AM8" s="58" t="s">
        <v>2266</v>
      </c>
      <c r="AN8" s="24" t="str">
        <f t="shared" ref="AN8:AN15" si="4">IF(AK8=0," ",AL8/AM8)</f>
        <v xml:space="preserve"> </v>
      </c>
      <c r="AO8" s="58" t="s">
        <v>2266</v>
      </c>
      <c r="AP8" s="21" t="s">
        <v>1108</v>
      </c>
      <c r="AQ8" s="21"/>
      <c r="AR8" s="22" t="str">
        <f t="shared" ref="AR8:AR15" si="5">IF(AQ8=0," ",AP8/AQ8)</f>
        <v xml:space="preserve"> </v>
      </c>
      <c r="AS8" s="58" t="s">
        <v>2266</v>
      </c>
      <c r="AT8" s="24" t="str">
        <f t="shared" ref="AT8:AT15" si="6">IF(AQ8=0," ",AR8/AS8)</f>
        <v xml:space="preserve"> </v>
      </c>
      <c r="AU8" s="25" t="s">
        <v>2266</v>
      </c>
      <c r="AV8" s="21"/>
      <c r="AW8" s="21"/>
      <c r="AX8" s="22" t="str">
        <f t="shared" ref="AX8:AX15" si="7">IF(AW8=0," ",AV8/AW8)</f>
        <v xml:space="preserve"> </v>
      </c>
      <c r="AY8" s="58"/>
      <c r="AZ8" s="24" t="str">
        <f t="shared" ref="AZ8:AZ15" si="8">IF(AW8=0," ",AX8/AY8)</f>
        <v xml:space="preserve"> </v>
      </c>
      <c r="BA8" s="25"/>
      <c r="BB8" s="21" t="s">
        <v>1108</v>
      </c>
      <c r="BC8" s="21"/>
      <c r="BD8" s="22" t="str">
        <f t="shared" ref="BD8:BD15" si="9">IF(BC8=0," ",BB8/BC8)</f>
        <v xml:space="preserve"> </v>
      </c>
      <c r="BE8" s="58" t="s">
        <v>2266</v>
      </c>
      <c r="BF8" s="24" t="str">
        <f t="shared" ref="BF8:BF15" si="10">IF(BC8=0," ",BD8/BE8)</f>
        <v xml:space="preserve"> </v>
      </c>
      <c r="BG8" s="25" t="s">
        <v>2266</v>
      </c>
      <c r="BH8" s="21" t="s">
        <v>1108</v>
      </c>
      <c r="BI8" s="21"/>
      <c r="BJ8" s="22" t="str">
        <f t="shared" ref="BJ8:BJ15" si="11">IF(BI8=0," ",BH8/BI8)</f>
        <v xml:space="preserve"> </v>
      </c>
      <c r="BK8" s="58" t="s">
        <v>2266</v>
      </c>
      <c r="BL8" s="24" t="str">
        <f t="shared" ref="BL8:BL15" si="12">IF(BI8=0," ",BJ8/BK8)</f>
        <v xml:space="preserve"> </v>
      </c>
      <c r="BM8" s="25" t="s">
        <v>2266</v>
      </c>
      <c r="BN8" s="21" t="s">
        <v>1108</v>
      </c>
      <c r="BO8" s="21"/>
      <c r="BP8" s="22" t="str">
        <f>IF(BO8=0," ",BN8/BO8)</f>
        <v xml:space="preserve"> </v>
      </c>
      <c r="BQ8" s="58" t="s">
        <v>2266</v>
      </c>
      <c r="BR8" s="24" t="str">
        <f>IF(BO8=0," ",BP8/BQ8)</f>
        <v xml:space="preserve"> </v>
      </c>
      <c r="BS8" s="25" t="s">
        <v>2266</v>
      </c>
      <c r="BT8" s="21" t="s">
        <v>385</v>
      </c>
      <c r="BU8" s="21"/>
      <c r="BV8" s="22" t="str">
        <f t="shared" ref="BV8:BV15" si="13">IF(BU8=0," ",BT8/BU8)</f>
        <v xml:space="preserve"> </v>
      </c>
      <c r="BW8" s="58"/>
      <c r="BX8" s="24" t="str">
        <f t="shared" ref="BX8:BX15" si="14">IF(BU8=0," ",BV8/BW8)</f>
        <v xml:space="preserve"> </v>
      </c>
      <c r="BY8" s="25" t="s">
        <v>2356</v>
      </c>
      <c r="BZ8" s="21" t="s">
        <v>385</v>
      </c>
      <c r="CA8" s="21"/>
      <c r="CB8" s="22" t="str">
        <f>IF(CA8=0," ",BZ8/CA8)</f>
        <v xml:space="preserve"> </v>
      </c>
      <c r="CC8" s="58"/>
      <c r="CD8" s="24" t="str">
        <f>IF(CA8=0," ",CB8/CC8)</f>
        <v xml:space="preserve"> </v>
      </c>
      <c r="CE8" s="25" t="s">
        <v>2356</v>
      </c>
      <c r="CF8" s="21"/>
      <c r="CG8" s="21"/>
      <c r="CH8" s="22" t="str">
        <f t="shared" ref="CH8:CH15" si="15">IF(CG8=0," ",CF8/CG8)</f>
        <v xml:space="preserve"> </v>
      </c>
      <c r="CI8" s="58"/>
      <c r="CJ8" s="24" t="str">
        <f t="shared" ref="CJ8:CJ15" si="16">IF(CG8=0," ",CH8/CI8)</f>
        <v xml:space="preserve"> </v>
      </c>
      <c r="CK8" s="25"/>
      <c r="CL8" s="21" t="s">
        <v>385</v>
      </c>
      <c r="CM8" s="21"/>
      <c r="CN8" s="22" t="str">
        <f t="shared" ref="CN8:CN15" si="17">IF(CM8=0," ",CL8/CM8)</f>
        <v xml:space="preserve"> </v>
      </c>
      <c r="CO8" s="58"/>
      <c r="CP8" s="24" t="str">
        <f t="shared" ref="CP8:CP15" si="18">IF(CM8=0," ",CN8/CO8)</f>
        <v xml:space="preserve"> </v>
      </c>
      <c r="CQ8" s="25" t="s">
        <v>2356</v>
      </c>
      <c r="CR8" s="21">
        <v>100</v>
      </c>
      <c r="CS8" s="21">
        <v>100</v>
      </c>
      <c r="CT8" s="22">
        <f t="shared" ref="CT8:CT15" si="19">IF(CS8=0," ",CR8/CS8)</f>
        <v>1</v>
      </c>
      <c r="CU8" s="58">
        <v>1</v>
      </c>
      <c r="CV8" s="24">
        <f t="shared" ref="CV8:CV15" si="20">IF(CS8=0," ",CT8/CU8)</f>
        <v>1</v>
      </c>
      <c r="CW8" s="25"/>
    </row>
    <row r="9" spans="1:101" s="210" customFormat="1" ht="62.25" customHeight="1">
      <c r="B9" s="789" t="s">
        <v>2357</v>
      </c>
      <c r="C9" s="722" t="s">
        <v>2358</v>
      </c>
      <c r="D9" s="789" t="s">
        <v>2359</v>
      </c>
      <c r="E9" s="789" t="s">
        <v>2360</v>
      </c>
      <c r="F9" s="790" t="s">
        <v>2361</v>
      </c>
      <c r="G9" s="790" t="s">
        <v>53</v>
      </c>
      <c r="H9" s="1330" t="s">
        <v>2362</v>
      </c>
      <c r="I9" s="789" t="s">
        <v>2363</v>
      </c>
      <c r="J9" s="790" t="s">
        <v>2364</v>
      </c>
      <c r="K9" s="1224"/>
      <c r="L9" s="1224"/>
      <c r="M9" s="1220"/>
      <c r="N9" s="1224"/>
      <c r="O9" s="1331">
        <f>5/8</f>
        <v>0.625</v>
      </c>
      <c r="P9" s="1197"/>
      <c r="Q9" s="1197"/>
      <c r="R9" s="1331">
        <f>3/8</f>
        <v>0.375</v>
      </c>
      <c r="S9" s="1197"/>
      <c r="T9" s="1197"/>
      <c r="U9" s="1197"/>
      <c r="V9" s="1329"/>
      <c r="W9" s="1137"/>
      <c r="X9" s="623" t="s">
        <v>1108</v>
      </c>
      <c r="Y9" s="623"/>
      <c r="Z9" s="157" t="str">
        <f t="shared" si="0"/>
        <v xml:space="preserve"> </v>
      </c>
      <c r="AA9" s="728" t="s">
        <v>2266</v>
      </c>
      <c r="AB9" s="728" t="str">
        <f t="shared" si="1"/>
        <v xml:space="preserve"> </v>
      </c>
      <c r="AC9" s="728" t="s">
        <v>2266</v>
      </c>
      <c r="AD9" s="623"/>
      <c r="AE9" s="623"/>
      <c r="AF9" s="157" t="str">
        <f t="shared" si="2"/>
        <v xml:space="preserve"> </v>
      </c>
      <c r="AG9" s="728" t="s">
        <v>2266</v>
      </c>
      <c r="AH9" s="728" t="str">
        <f>IF(AE9=0," ",AF9/AG9)</f>
        <v xml:space="preserve"> </v>
      </c>
      <c r="AI9" s="728" t="s">
        <v>2266</v>
      </c>
      <c r="AJ9" s="623" t="s">
        <v>1108</v>
      </c>
      <c r="AK9" s="623"/>
      <c r="AL9" s="157" t="str">
        <f t="shared" si="3"/>
        <v xml:space="preserve"> </v>
      </c>
      <c r="AM9" s="728" t="s">
        <v>2266</v>
      </c>
      <c r="AN9" s="728" t="str">
        <f t="shared" si="4"/>
        <v xml:space="preserve"> </v>
      </c>
      <c r="AO9" s="728" t="s">
        <v>2266</v>
      </c>
      <c r="AP9" s="623" t="s">
        <v>1108</v>
      </c>
      <c r="AQ9" s="623"/>
      <c r="AR9" s="157" t="str">
        <f t="shared" si="5"/>
        <v xml:space="preserve"> </v>
      </c>
      <c r="AS9" s="728" t="s">
        <v>2266</v>
      </c>
      <c r="AT9" s="728" t="str">
        <f t="shared" si="6"/>
        <v xml:space="preserve"> </v>
      </c>
      <c r="AU9" s="215" t="s">
        <v>2266</v>
      </c>
      <c r="AV9" s="623"/>
      <c r="AW9" s="623"/>
      <c r="AX9" s="157" t="str">
        <f t="shared" si="7"/>
        <v xml:space="preserve"> </v>
      </c>
      <c r="AY9" s="728"/>
      <c r="AZ9" s="728" t="str">
        <f t="shared" si="8"/>
        <v xml:space="preserve"> </v>
      </c>
      <c r="BA9" s="215"/>
      <c r="BB9" s="623" t="s">
        <v>1108</v>
      </c>
      <c r="BC9" s="623"/>
      <c r="BD9" s="157" t="str">
        <f t="shared" si="9"/>
        <v xml:space="preserve"> </v>
      </c>
      <c r="BE9" s="728" t="s">
        <v>2266</v>
      </c>
      <c r="BF9" s="728" t="str">
        <f t="shared" si="10"/>
        <v xml:space="preserve"> </v>
      </c>
      <c r="BG9" s="215" t="s">
        <v>2266</v>
      </c>
      <c r="BH9" s="623" t="s">
        <v>1108</v>
      </c>
      <c r="BI9" s="623"/>
      <c r="BJ9" s="157" t="str">
        <f t="shared" si="11"/>
        <v xml:space="preserve"> </v>
      </c>
      <c r="BK9" s="728" t="s">
        <v>2266</v>
      </c>
      <c r="BL9" s="728" t="str">
        <f t="shared" si="12"/>
        <v xml:space="preserve"> </v>
      </c>
      <c r="BM9" s="215" t="s">
        <v>2266</v>
      </c>
      <c r="BN9" s="21" t="s">
        <v>1108</v>
      </c>
      <c r="BO9" s="21"/>
      <c r="BP9" s="22" t="str">
        <f>IF(BO9=0," ",BN9/BO9)</f>
        <v xml:space="preserve"> </v>
      </c>
      <c r="BQ9" s="1331">
        <v>1</v>
      </c>
      <c r="BR9" s="728" t="str">
        <f>IF(BO9=0," ",BP9/BQ9)</f>
        <v xml:space="preserve"> </v>
      </c>
      <c r="BS9" s="215" t="s">
        <v>2365</v>
      </c>
      <c r="BT9" s="21" t="s">
        <v>385</v>
      </c>
      <c r="BU9" s="623"/>
      <c r="BV9" s="22" t="str">
        <f t="shared" si="13"/>
        <v xml:space="preserve"> </v>
      </c>
      <c r="BW9" s="728"/>
      <c r="BX9" s="24" t="str">
        <f t="shared" si="14"/>
        <v xml:space="preserve"> </v>
      </c>
      <c r="BY9" s="25" t="s">
        <v>2356</v>
      </c>
      <c r="BZ9" s="21" t="s">
        <v>385</v>
      </c>
      <c r="CA9" s="623"/>
      <c r="CB9" s="22" t="str">
        <f>IF(CA9=0," ",BZ9/CA9)</f>
        <v xml:space="preserve"> </v>
      </c>
      <c r="CC9" s="728"/>
      <c r="CD9" s="24" t="str">
        <f>IF(CA9=0," ",CB9/CC9)</f>
        <v xml:space="preserve"> </v>
      </c>
      <c r="CE9" s="25" t="s">
        <v>2356</v>
      </c>
      <c r="CF9" s="623"/>
      <c r="CG9" s="623"/>
      <c r="CH9" s="157" t="str">
        <f t="shared" si="15"/>
        <v xml:space="preserve"> </v>
      </c>
      <c r="CI9" s="728"/>
      <c r="CJ9" s="728" t="str">
        <f t="shared" si="16"/>
        <v xml:space="preserve"> </v>
      </c>
      <c r="CK9" s="215"/>
      <c r="CL9" s="21" t="s">
        <v>385</v>
      </c>
      <c r="CM9" s="623"/>
      <c r="CN9" s="22" t="str">
        <f t="shared" si="17"/>
        <v xml:space="preserve"> </v>
      </c>
      <c r="CO9" s="728"/>
      <c r="CP9" s="24" t="str">
        <f t="shared" si="18"/>
        <v xml:space="preserve"> </v>
      </c>
      <c r="CQ9" s="25" t="s">
        <v>2356</v>
      </c>
      <c r="CR9" s="623">
        <v>7</v>
      </c>
      <c r="CS9" s="623">
        <v>8</v>
      </c>
      <c r="CT9" s="22">
        <f t="shared" si="19"/>
        <v>0.875</v>
      </c>
      <c r="CU9" s="728">
        <v>1</v>
      </c>
      <c r="CV9" s="24">
        <f t="shared" si="20"/>
        <v>0.875</v>
      </c>
      <c r="CW9" s="215"/>
    </row>
    <row r="10" spans="1:101" s="210" customFormat="1" ht="96" customHeight="1">
      <c r="B10" s="789" t="s">
        <v>155</v>
      </c>
      <c r="C10" s="722" t="s">
        <v>2366</v>
      </c>
      <c r="D10" s="789" t="s">
        <v>2367</v>
      </c>
      <c r="E10" s="789" t="s">
        <v>2368</v>
      </c>
      <c r="F10" s="790" t="s">
        <v>2369</v>
      </c>
      <c r="G10" s="790" t="s">
        <v>53</v>
      </c>
      <c r="H10" s="789" t="s">
        <v>2370</v>
      </c>
      <c r="I10" s="789" t="s">
        <v>2371</v>
      </c>
      <c r="J10" s="790"/>
      <c r="K10" s="1224"/>
      <c r="L10" s="1224"/>
      <c r="M10" s="1220"/>
      <c r="N10" s="1197">
        <f>7/21</f>
        <v>0.33333333333333331</v>
      </c>
      <c r="O10" s="1224"/>
      <c r="P10" s="1197"/>
      <c r="Q10" s="1197"/>
      <c r="R10" s="1197">
        <f>7/21</f>
        <v>0.33333333333333331</v>
      </c>
      <c r="S10" s="1197"/>
      <c r="T10" s="1197"/>
      <c r="U10" s="1197"/>
      <c r="V10" s="1329">
        <f>7/21</f>
        <v>0.33333333333333331</v>
      </c>
      <c r="W10" s="1137"/>
      <c r="X10" s="623" t="s">
        <v>1108</v>
      </c>
      <c r="Y10" s="623"/>
      <c r="Z10" s="157" t="str">
        <f t="shared" si="0"/>
        <v xml:space="preserve"> </v>
      </c>
      <c r="AA10" s="728" t="s">
        <v>2266</v>
      </c>
      <c r="AB10" s="728" t="str">
        <f t="shared" si="1"/>
        <v xml:space="preserve"> </v>
      </c>
      <c r="AC10" s="728" t="s">
        <v>2266</v>
      </c>
      <c r="AD10" s="623"/>
      <c r="AE10" s="623"/>
      <c r="AF10" s="157" t="str">
        <f t="shared" si="2"/>
        <v xml:space="preserve"> </v>
      </c>
      <c r="AG10" s="728" t="s">
        <v>2266</v>
      </c>
      <c r="AH10" s="728" t="str">
        <f>IF(AE10=0," ",AF10/AG10)</f>
        <v xml:space="preserve"> </v>
      </c>
      <c r="AI10" s="728" t="s">
        <v>2266</v>
      </c>
      <c r="AJ10" s="623" t="s">
        <v>1108</v>
      </c>
      <c r="AK10" s="623"/>
      <c r="AL10" s="157" t="str">
        <f t="shared" si="3"/>
        <v xml:space="preserve"> </v>
      </c>
      <c r="AM10" s="728" t="s">
        <v>2266</v>
      </c>
      <c r="AN10" s="728" t="str">
        <f t="shared" si="4"/>
        <v xml:space="preserve"> </v>
      </c>
      <c r="AO10" s="728" t="s">
        <v>2266</v>
      </c>
      <c r="AP10" s="623">
        <v>8</v>
      </c>
      <c r="AQ10" s="623">
        <v>28</v>
      </c>
      <c r="AR10" s="157">
        <f t="shared" si="5"/>
        <v>0.2857142857142857</v>
      </c>
      <c r="AS10" s="728">
        <v>0.32</v>
      </c>
      <c r="AT10" s="728">
        <f t="shared" si="6"/>
        <v>0.89285714285714279</v>
      </c>
      <c r="AU10" s="215" t="s">
        <v>2372</v>
      </c>
      <c r="AV10" s="623"/>
      <c r="AW10" s="623"/>
      <c r="AX10" s="157" t="str">
        <f t="shared" si="7"/>
        <v xml:space="preserve"> </v>
      </c>
      <c r="AY10" s="728"/>
      <c r="AZ10" s="728" t="str">
        <f t="shared" si="8"/>
        <v xml:space="preserve"> </v>
      </c>
      <c r="BA10" s="215"/>
      <c r="BB10" s="623" t="s">
        <v>1108</v>
      </c>
      <c r="BC10" s="623"/>
      <c r="BD10" s="157" t="str">
        <f t="shared" si="9"/>
        <v xml:space="preserve"> </v>
      </c>
      <c r="BE10" s="728" t="s">
        <v>2266</v>
      </c>
      <c r="BF10" s="728" t="str">
        <f t="shared" si="10"/>
        <v xml:space="preserve"> </v>
      </c>
      <c r="BG10" s="215" t="s">
        <v>2266</v>
      </c>
      <c r="BH10" s="623" t="s">
        <v>1108</v>
      </c>
      <c r="BI10" s="623"/>
      <c r="BJ10" s="157" t="str">
        <f t="shared" si="11"/>
        <v xml:space="preserve"> </v>
      </c>
      <c r="BK10" s="728" t="s">
        <v>2266</v>
      </c>
      <c r="BL10" s="728" t="str">
        <f t="shared" si="12"/>
        <v xml:space="preserve"> </v>
      </c>
      <c r="BM10" s="215" t="s">
        <v>2266</v>
      </c>
      <c r="BN10" s="21" t="s">
        <v>1108</v>
      </c>
      <c r="BO10" s="21"/>
      <c r="BP10" s="22" t="str">
        <f>IF(BO10=0," ",BN10/BO10)</f>
        <v xml:space="preserve"> </v>
      </c>
      <c r="BQ10" s="1332">
        <v>0.36</v>
      </c>
      <c r="BR10" s="728" t="str">
        <f>IF(BO10=0," ",BP10/BQ10)</f>
        <v xml:space="preserve"> </v>
      </c>
      <c r="BS10" s="215" t="s">
        <v>2373</v>
      </c>
      <c r="BT10" s="21" t="s">
        <v>385</v>
      </c>
      <c r="BU10" s="623"/>
      <c r="BV10" s="22" t="str">
        <f t="shared" si="13"/>
        <v xml:space="preserve"> </v>
      </c>
      <c r="BW10" s="728"/>
      <c r="BX10" s="24" t="str">
        <f t="shared" si="14"/>
        <v xml:space="preserve"> </v>
      </c>
      <c r="BY10" s="25" t="s">
        <v>2356</v>
      </c>
      <c r="BZ10" s="21" t="s">
        <v>385</v>
      </c>
      <c r="CA10" s="623"/>
      <c r="CB10" s="22" t="str">
        <f>IF(CA10=0," ",BZ10/CA10)</f>
        <v xml:space="preserve"> </v>
      </c>
      <c r="CC10" s="728"/>
      <c r="CD10" s="24" t="str">
        <f>IF(CA10=0," ",CB10/CC10)</f>
        <v xml:space="preserve"> </v>
      </c>
      <c r="CE10" s="25" t="s">
        <v>2356</v>
      </c>
      <c r="CF10" s="623"/>
      <c r="CG10" s="623"/>
      <c r="CH10" s="157" t="str">
        <f t="shared" si="15"/>
        <v xml:space="preserve"> </v>
      </c>
      <c r="CI10" s="728"/>
      <c r="CJ10" s="728" t="str">
        <f t="shared" si="16"/>
        <v xml:space="preserve"> </v>
      </c>
      <c r="CK10" s="215"/>
      <c r="CL10" s="623">
        <v>4</v>
      </c>
      <c r="CM10" s="623">
        <v>21</v>
      </c>
      <c r="CN10" s="22">
        <f t="shared" si="17"/>
        <v>0.19047619047619047</v>
      </c>
      <c r="CO10" s="728">
        <v>0.33</v>
      </c>
      <c r="CP10" s="24">
        <f t="shared" si="18"/>
        <v>0.57720057720057716</v>
      </c>
      <c r="CQ10" s="215" t="s">
        <v>2374</v>
      </c>
      <c r="CR10" s="623">
        <v>18</v>
      </c>
      <c r="CS10" s="623">
        <v>21</v>
      </c>
      <c r="CT10" s="22">
        <f t="shared" si="19"/>
        <v>0.8571428571428571</v>
      </c>
      <c r="CU10" s="728">
        <v>1</v>
      </c>
      <c r="CV10" s="24">
        <f t="shared" si="20"/>
        <v>0.8571428571428571</v>
      </c>
      <c r="CW10" s="215" t="s">
        <v>2375</v>
      </c>
    </row>
    <row r="11" spans="1:101" s="210" customFormat="1" ht="102.75" customHeight="1">
      <c r="B11" s="789" t="s">
        <v>155</v>
      </c>
      <c r="C11" s="722" t="s">
        <v>2376</v>
      </c>
      <c r="D11" s="789" t="s">
        <v>2377</v>
      </c>
      <c r="E11" s="789" t="s">
        <v>2378</v>
      </c>
      <c r="F11" s="790" t="s">
        <v>2379</v>
      </c>
      <c r="G11" s="790" t="s">
        <v>53</v>
      </c>
      <c r="H11" s="789" t="s">
        <v>2380</v>
      </c>
      <c r="I11" s="789" t="s">
        <v>2381</v>
      </c>
      <c r="J11" s="790"/>
      <c r="K11" s="1224"/>
      <c r="L11" s="1224"/>
      <c r="M11" s="1220"/>
      <c r="N11" s="1197">
        <f>9/20</f>
        <v>0.45</v>
      </c>
      <c r="O11" s="1224"/>
      <c r="P11" s="1197"/>
      <c r="Q11" s="1197"/>
      <c r="R11" s="1197">
        <f>8/20</f>
        <v>0.4</v>
      </c>
      <c r="S11" s="1197"/>
      <c r="T11" s="1197"/>
      <c r="U11" s="1197"/>
      <c r="V11" s="1329">
        <f>3/20</f>
        <v>0.15</v>
      </c>
      <c r="W11" s="1137"/>
      <c r="X11" s="623" t="s">
        <v>1108</v>
      </c>
      <c r="Y11" s="623"/>
      <c r="Z11" s="157"/>
      <c r="AA11" s="728" t="s">
        <v>2266</v>
      </c>
      <c r="AB11" s="728"/>
      <c r="AC11" s="728" t="s">
        <v>2266</v>
      </c>
      <c r="AD11" s="623"/>
      <c r="AE11" s="623"/>
      <c r="AF11" s="157"/>
      <c r="AG11" s="728" t="s">
        <v>2266</v>
      </c>
      <c r="AH11" s="728"/>
      <c r="AI11" s="728" t="s">
        <v>2266</v>
      </c>
      <c r="AJ11" s="623"/>
      <c r="AK11" s="623"/>
      <c r="AL11" s="157"/>
      <c r="AM11" s="728"/>
      <c r="AN11" s="728"/>
      <c r="AO11" s="728"/>
      <c r="AP11" s="623"/>
      <c r="AQ11" s="623"/>
      <c r="AR11" s="157"/>
      <c r="AS11" s="728"/>
      <c r="AT11" s="728"/>
      <c r="AU11" s="215"/>
      <c r="AV11" s="623"/>
      <c r="AW11" s="623"/>
      <c r="AX11" s="157"/>
      <c r="AY11" s="728"/>
      <c r="AZ11" s="728"/>
      <c r="BA11" s="215"/>
      <c r="BB11" s="623" t="s">
        <v>1108</v>
      </c>
      <c r="BC11" s="623"/>
      <c r="BD11" s="157" t="str">
        <f t="shared" si="9"/>
        <v xml:space="preserve"> </v>
      </c>
      <c r="BE11" s="728" t="s">
        <v>2266</v>
      </c>
      <c r="BF11" s="728" t="str">
        <f t="shared" si="10"/>
        <v xml:space="preserve"> </v>
      </c>
      <c r="BG11" s="215" t="s">
        <v>2266</v>
      </c>
      <c r="BH11" s="623" t="s">
        <v>1108</v>
      </c>
      <c r="BI11" s="623"/>
      <c r="BJ11" s="157"/>
      <c r="BK11" s="728" t="s">
        <v>2266</v>
      </c>
      <c r="BL11" s="728"/>
      <c r="BM11" s="215" t="s">
        <v>2266</v>
      </c>
      <c r="BN11" s="21" t="s">
        <v>1108</v>
      </c>
      <c r="BO11" s="21"/>
      <c r="BP11" s="22" t="str">
        <f>IF(BO11=0," ",BN11/BO11)</f>
        <v xml:space="preserve"> </v>
      </c>
      <c r="BQ11" s="728">
        <v>0.41</v>
      </c>
      <c r="BR11" s="728" t="str">
        <f>IF(BO11=0," ",BP11/BQ11)</f>
        <v xml:space="preserve"> </v>
      </c>
      <c r="BS11" s="215" t="s">
        <v>2382</v>
      </c>
      <c r="BT11" s="21" t="s">
        <v>385</v>
      </c>
      <c r="BU11" s="623"/>
      <c r="BV11" s="22" t="str">
        <f t="shared" si="13"/>
        <v xml:space="preserve"> </v>
      </c>
      <c r="BW11" s="728"/>
      <c r="BX11" s="24" t="str">
        <f t="shared" si="14"/>
        <v xml:space="preserve"> </v>
      </c>
      <c r="BY11" s="25" t="s">
        <v>2356</v>
      </c>
      <c r="BZ11" s="21" t="s">
        <v>385</v>
      </c>
      <c r="CA11" s="623"/>
      <c r="CB11" s="22" t="str">
        <f>IF(CA11=0," ",BZ11/CA11)</f>
        <v xml:space="preserve"> </v>
      </c>
      <c r="CC11" s="728"/>
      <c r="CD11" s="24" t="str">
        <f>IF(CA11=0," ",CB11/CC11)</f>
        <v xml:space="preserve"> </v>
      </c>
      <c r="CE11" s="25" t="s">
        <v>2356</v>
      </c>
      <c r="CF11" s="623"/>
      <c r="CG11" s="623"/>
      <c r="CH11" s="157"/>
      <c r="CI11" s="728"/>
      <c r="CJ11" s="728"/>
      <c r="CK11" s="215"/>
      <c r="CL11" s="623">
        <v>1</v>
      </c>
      <c r="CM11" s="623">
        <v>20</v>
      </c>
      <c r="CN11" s="22">
        <f t="shared" si="17"/>
        <v>0.05</v>
      </c>
      <c r="CO11" s="728">
        <v>0.15</v>
      </c>
      <c r="CP11" s="24">
        <f t="shared" si="18"/>
        <v>0.33333333333333337</v>
      </c>
      <c r="CQ11" s="215" t="s">
        <v>2383</v>
      </c>
      <c r="CR11" s="623">
        <v>18</v>
      </c>
      <c r="CS11" s="623">
        <v>20</v>
      </c>
      <c r="CT11" s="22">
        <f t="shared" si="19"/>
        <v>0.9</v>
      </c>
      <c r="CU11" s="728">
        <v>1</v>
      </c>
      <c r="CV11" s="24">
        <f t="shared" si="20"/>
        <v>0.9</v>
      </c>
      <c r="CW11" s="215" t="s">
        <v>2383</v>
      </c>
    </row>
    <row r="12" spans="1:101" s="210" customFormat="1" ht="87.75" customHeight="1">
      <c r="B12" s="789" t="s">
        <v>155</v>
      </c>
      <c r="C12" s="722" t="s">
        <v>2384</v>
      </c>
      <c r="D12" s="789" t="s">
        <v>2385</v>
      </c>
      <c r="E12" s="789" t="s">
        <v>2386</v>
      </c>
      <c r="F12" s="790" t="s">
        <v>2387</v>
      </c>
      <c r="G12" s="790" t="s">
        <v>53</v>
      </c>
      <c r="H12" s="789" t="s">
        <v>2388</v>
      </c>
      <c r="I12" s="789" t="s">
        <v>2389</v>
      </c>
      <c r="J12" s="790"/>
      <c r="K12" s="1224"/>
      <c r="L12" s="1224"/>
      <c r="M12" s="1220"/>
      <c r="N12" s="1197"/>
      <c r="O12" s="1224"/>
      <c r="P12" s="1197"/>
      <c r="Q12" s="1197"/>
      <c r="R12" s="1197">
        <f>2/5</f>
        <v>0.4</v>
      </c>
      <c r="S12" s="1197"/>
      <c r="T12" s="1197"/>
      <c r="U12" s="1197"/>
      <c r="V12" s="1329">
        <f>3/5</f>
        <v>0.6</v>
      </c>
      <c r="W12" s="1137"/>
      <c r="X12" s="623" t="s">
        <v>1108</v>
      </c>
      <c r="Y12" s="623"/>
      <c r="Z12" s="157"/>
      <c r="AA12" s="728" t="s">
        <v>2266</v>
      </c>
      <c r="AB12" s="728"/>
      <c r="AC12" s="728" t="s">
        <v>2266</v>
      </c>
      <c r="AD12" s="623"/>
      <c r="AE12" s="623"/>
      <c r="AF12" s="157"/>
      <c r="AG12" s="728" t="s">
        <v>2266</v>
      </c>
      <c r="AH12" s="728"/>
      <c r="AI12" s="728" t="s">
        <v>2266</v>
      </c>
      <c r="AJ12" s="623" t="s">
        <v>1108</v>
      </c>
      <c r="AK12" s="623"/>
      <c r="AL12" s="157"/>
      <c r="AM12" s="728" t="s">
        <v>2266</v>
      </c>
      <c r="AN12" s="728"/>
      <c r="AO12" s="728" t="s">
        <v>2266</v>
      </c>
      <c r="AP12" s="623" t="s">
        <v>1108</v>
      </c>
      <c r="AQ12" s="623"/>
      <c r="AR12" s="157"/>
      <c r="AS12" s="728" t="s">
        <v>2266</v>
      </c>
      <c r="AT12" s="728"/>
      <c r="AU12" s="215" t="s">
        <v>2266</v>
      </c>
      <c r="AV12" s="623"/>
      <c r="AW12" s="623"/>
      <c r="AX12" s="157"/>
      <c r="AY12" s="728"/>
      <c r="AZ12" s="728"/>
      <c r="BA12" s="215"/>
      <c r="BB12" s="623" t="s">
        <v>1108</v>
      </c>
      <c r="BC12" s="623"/>
      <c r="BD12" s="157" t="str">
        <f t="shared" si="9"/>
        <v xml:space="preserve"> </v>
      </c>
      <c r="BE12" s="728" t="s">
        <v>2266</v>
      </c>
      <c r="BF12" s="728" t="str">
        <f t="shared" si="10"/>
        <v xml:space="preserve"> </v>
      </c>
      <c r="BG12" s="215" t="s">
        <v>2266</v>
      </c>
      <c r="BH12" s="623" t="s">
        <v>1108</v>
      </c>
      <c r="BI12" s="623"/>
      <c r="BJ12" s="157"/>
      <c r="BK12" s="728" t="s">
        <v>2266</v>
      </c>
      <c r="BL12" s="728"/>
      <c r="BM12" s="215" t="s">
        <v>2266</v>
      </c>
      <c r="BN12" s="21" t="s">
        <v>1108</v>
      </c>
      <c r="BO12" s="21"/>
      <c r="BP12" s="22" t="str">
        <f>IF(BO12=0," ",BN12/BO12)</f>
        <v xml:space="preserve"> </v>
      </c>
      <c r="BQ12" s="728">
        <v>1</v>
      </c>
      <c r="BR12" s="728" t="str">
        <f>IF(BO12=0," ",BP12/BQ12)</f>
        <v xml:space="preserve"> </v>
      </c>
      <c r="BS12" s="215" t="s">
        <v>2390</v>
      </c>
      <c r="BT12" s="21" t="s">
        <v>385</v>
      </c>
      <c r="BU12" s="623"/>
      <c r="BV12" s="22" t="str">
        <f t="shared" si="13"/>
        <v xml:space="preserve"> </v>
      </c>
      <c r="BW12" s="728"/>
      <c r="BX12" s="24" t="str">
        <f t="shared" si="14"/>
        <v xml:space="preserve"> </v>
      </c>
      <c r="BY12" s="25" t="s">
        <v>2356</v>
      </c>
      <c r="BZ12" s="21" t="s">
        <v>385</v>
      </c>
      <c r="CA12" s="623"/>
      <c r="CB12" s="22" t="str">
        <f>IF(CA12=0," ",BZ12/CA12)</f>
        <v xml:space="preserve"> </v>
      </c>
      <c r="CC12" s="728"/>
      <c r="CD12" s="24" t="str">
        <f>IF(CA12=0," ",CB12/CC12)</f>
        <v xml:space="preserve"> </v>
      </c>
      <c r="CE12" s="25" t="s">
        <v>2356</v>
      </c>
      <c r="CF12" s="623"/>
      <c r="CG12" s="623"/>
      <c r="CH12" s="157"/>
      <c r="CI12" s="728"/>
      <c r="CJ12" s="728"/>
      <c r="CK12" s="215"/>
      <c r="CL12" s="623">
        <v>2</v>
      </c>
      <c r="CM12" s="623">
        <v>5</v>
      </c>
      <c r="CN12" s="22">
        <f t="shared" si="17"/>
        <v>0.4</v>
      </c>
      <c r="CO12" s="728">
        <v>0.6</v>
      </c>
      <c r="CP12" s="24">
        <f t="shared" si="18"/>
        <v>0.66666666666666674</v>
      </c>
      <c r="CQ12" s="215" t="s">
        <v>2391</v>
      </c>
      <c r="CR12" s="623">
        <v>4</v>
      </c>
      <c r="CS12" s="623">
        <v>5</v>
      </c>
      <c r="CT12" s="22">
        <f t="shared" si="19"/>
        <v>0.8</v>
      </c>
      <c r="CU12" s="728">
        <v>1</v>
      </c>
      <c r="CV12" s="24">
        <f t="shared" si="20"/>
        <v>0.8</v>
      </c>
      <c r="CW12" s="215" t="s">
        <v>2391</v>
      </c>
    </row>
    <row r="13" spans="1:101" ht="87" customHeight="1">
      <c r="B13" s="13" t="s">
        <v>94</v>
      </c>
      <c r="C13" s="9" t="s">
        <v>2392</v>
      </c>
      <c r="D13" s="13" t="s">
        <v>2393</v>
      </c>
      <c r="E13" s="13" t="s">
        <v>2394</v>
      </c>
      <c r="F13" s="8" t="s">
        <v>2395</v>
      </c>
      <c r="G13" s="8" t="s">
        <v>53</v>
      </c>
      <c r="H13" s="404" t="s">
        <v>2396</v>
      </c>
      <c r="I13" s="789" t="s">
        <v>2397</v>
      </c>
      <c r="J13" s="8" t="s">
        <v>2364</v>
      </c>
      <c r="K13" s="7"/>
      <c r="L13" s="7"/>
      <c r="M13" s="12"/>
      <c r="N13" s="12"/>
      <c r="P13" s="1197">
        <f>7/9</f>
        <v>0.77777777777777779</v>
      </c>
      <c r="Q13" s="1197"/>
      <c r="R13" s="210"/>
      <c r="S13" s="1197"/>
      <c r="T13" s="1197"/>
      <c r="U13" s="1197"/>
      <c r="V13" s="1333">
        <f>2/9</f>
        <v>0.22222222222222221</v>
      </c>
      <c r="W13" s="75"/>
      <c r="X13" s="21" t="s">
        <v>1108</v>
      </c>
      <c r="Y13" s="21"/>
      <c r="Z13" s="22"/>
      <c r="AA13" s="58" t="s">
        <v>2266</v>
      </c>
      <c r="AB13" s="24"/>
      <c r="AC13" s="58" t="s">
        <v>2266</v>
      </c>
      <c r="AD13" s="21"/>
      <c r="AE13" s="21"/>
      <c r="AF13" s="22"/>
      <c r="AG13" s="58" t="s">
        <v>2266</v>
      </c>
      <c r="AH13" s="24"/>
      <c r="AI13" s="58" t="s">
        <v>2266</v>
      </c>
      <c r="AJ13" s="21" t="s">
        <v>1108</v>
      </c>
      <c r="AK13" s="21"/>
      <c r="AL13" s="22"/>
      <c r="AM13" s="58" t="s">
        <v>2266</v>
      </c>
      <c r="AN13" s="24"/>
      <c r="AO13" s="58" t="s">
        <v>2266</v>
      </c>
      <c r="AP13" s="21" t="s">
        <v>1108</v>
      </c>
      <c r="AQ13" s="21"/>
      <c r="AR13" s="22"/>
      <c r="AS13" s="58" t="s">
        <v>2266</v>
      </c>
      <c r="AT13" s="24"/>
      <c r="AU13" s="25" t="s">
        <v>2266</v>
      </c>
      <c r="AV13" s="21"/>
      <c r="AW13" s="21"/>
      <c r="AX13" s="22"/>
      <c r="AY13" s="58"/>
      <c r="AZ13" s="24"/>
      <c r="BA13" s="25"/>
      <c r="BB13" s="21">
        <v>7</v>
      </c>
      <c r="BC13" s="21">
        <v>11</v>
      </c>
      <c r="BD13" s="22">
        <f t="shared" si="9"/>
        <v>0.63636363636363635</v>
      </c>
      <c r="BE13" s="58">
        <v>0.64</v>
      </c>
      <c r="BF13" s="24">
        <f t="shared" si="10"/>
        <v>0.99431818181818177</v>
      </c>
      <c r="BG13" s="25" t="s">
        <v>2398</v>
      </c>
      <c r="BH13" s="21" t="s">
        <v>1108</v>
      </c>
      <c r="BI13" s="21"/>
      <c r="BJ13" s="22"/>
      <c r="BK13" s="58" t="s">
        <v>2266</v>
      </c>
      <c r="BL13" s="24"/>
      <c r="BM13" s="25" t="s">
        <v>2266</v>
      </c>
      <c r="BN13" s="21" t="s">
        <v>1108</v>
      </c>
      <c r="BO13" s="21"/>
      <c r="BP13" s="22"/>
      <c r="BQ13" s="58" t="s">
        <v>2266</v>
      </c>
      <c r="BR13" s="24"/>
      <c r="BS13" s="25" t="s">
        <v>2266</v>
      </c>
      <c r="BT13" s="21" t="s">
        <v>385</v>
      </c>
      <c r="BU13" s="21"/>
      <c r="BV13" s="22"/>
      <c r="BW13" s="58"/>
      <c r="BX13" s="24"/>
      <c r="BY13" s="25" t="s">
        <v>2356</v>
      </c>
      <c r="BZ13" s="21" t="s">
        <v>385</v>
      </c>
      <c r="CA13" s="21"/>
      <c r="CB13" s="22"/>
      <c r="CC13" s="58"/>
      <c r="CD13" s="24"/>
      <c r="CE13" s="25" t="s">
        <v>2356</v>
      </c>
      <c r="CF13" s="21"/>
      <c r="CG13" s="21"/>
      <c r="CH13" s="22"/>
      <c r="CI13" s="58"/>
      <c r="CJ13" s="24"/>
      <c r="CK13" s="25"/>
      <c r="CL13" s="21">
        <v>2</v>
      </c>
      <c r="CM13" s="21">
        <v>9</v>
      </c>
      <c r="CN13" s="22">
        <f t="shared" si="17"/>
        <v>0.22222222222222221</v>
      </c>
      <c r="CO13" s="58">
        <v>0.222</v>
      </c>
      <c r="CP13" s="24">
        <f t="shared" si="18"/>
        <v>1.0010010010010009</v>
      </c>
      <c r="CQ13" s="25" t="s">
        <v>2399</v>
      </c>
      <c r="CR13" s="21">
        <v>9</v>
      </c>
      <c r="CS13" s="21">
        <v>9</v>
      </c>
      <c r="CT13" s="22">
        <f t="shared" si="19"/>
        <v>1</v>
      </c>
      <c r="CU13" s="58">
        <v>1</v>
      </c>
      <c r="CV13" s="24">
        <f t="shared" si="20"/>
        <v>1</v>
      </c>
      <c r="CW13" s="25" t="s">
        <v>2399</v>
      </c>
    </row>
    <row r="14" spans="1:101" ht="79.5" customHeight="1">
      <c r="B14" s="13" t="s">
        <v>2400</v>
      </c>
      <c r="C14" s="9" t="s">
        <v>2401</v>
      </c>
      <c r="D14" s="13" t="s">
        <v>2402</v>
      </c>
      <c r="E14" s="13" t="s">
        <v>2403</v>
      </c>
      <c r="F14" s="8" t="s">
        <v>2404</v>
      </c>
      <c r="G14" s="8" t="s">
        <v>53</v>
      </c>
      <c r="H14" s="404" t="s">
        <v>2405</v>
      </c>
      <c r="I14" s="789" t="s">
        <v>2406</v>
      </c>
      <c r="J14" s="8" t="s">
        <v>2355</v>
      </c>
      <c r="K14" s="7"/>
      <c r="L14" s="7"/>
      <c r="M14" s="12"/>
      <c r="N14" s="12"/>
      <c r="O14" s="7"/>
      <c r="P14" s="1197"/>
      <c r="Q14" s="1197"/>
      <c r="R14" s="1197"/>
      <c r="S14" s="1220" t="s">
        <v>2407</v>
      </c>
      <c r="T14" s="1197"/>
      <c r="U14" s="1197"/>
      <c r="V14" s="1329"/>
      <c r="W14" s="75"/>
      <c r="X14" s="21" t="s">
        <v>1108</v>
      </c>
      <c r="Y14" s="21"/>
      <c r="Z14" s="22"/>
      <c r="AA14" s="58" t="s">
        <v>2266</v>
      </c>
      <c r="AB14" s="24"/>
      <c r="AC14" s="58" t="s">
        <v>2266</v>
      </c>
      <c r="AD14" s="21"/>
      <c r="AE14" s="21"/>
      <c r="AF14" s="22"/>
      <c r="AG14" s="58" t="s">
        <v>2266</v>
      </c>
      <c r="AH14" s="24"/>
      <c r="AI14" s="58" t="s">
        <v>2266</v>
      </c>
      <c r="AJ14" s="21"/>
      <c r="AK14" s="21"/>
      <c r="AL14" s="22"/>
      <c r="AM14" s="58"/>
      <c r="AN14" s="24"/>
      <c r="AO14" s="58"/>
      <c r="AP14" s="21"/>
      <c r="AQ14" s="21"/>
      <c r="AR14" s="22"/>
      <c r="AS14" s="58"/>
      <c r="AT14" s="24"/>
      <c r="AU14" s="25"/>
      <c r="AV14" s="21"/>
      <c r="AW14" s="21"/>
      <c r="AX14" s="22"/>
      <c r="AY14" s="58"/>
      <c r="AZ14" s="24"/>
      <c r="BA14" s="25"/>
      <c r="BB14" s="21" t="s">
        <v>1108</v>
      </c>
      <c r="BC14" s="21"/>
      <c r="BD14" s="22" t="str">
        <f t="shared" si="9"/>
        <v xml:space="preserve"> </v>
      </c>
      <c r="BE14" s="58" t="s">
        <v>2266</v>
      </c>
      <c r="BF14" s="24" t="str">
        <f t="shared" si="10"/>
        <v xml:space="preserve"> </v>
      </c>
      <c r="BG14" s="25" t="s">
        <v>2266</v>
      </c>
      <c r="BH14" s="21" t="s">
        <v>1108</v>
      </c>
      <c r="BI14" s="21"/>
      <c r="BJ14" s="22"/>
      <c r="BK14" s="58" t="s">
        <v>2266</v>
      </c>
      <c r="BL14" s="24"/>
      <c r="BM14" s="25" t="s">
        <v>2266</v>
      </c>
      <c r="BN14" s="21" t="s">
        <v>1108</v>
      </c>
      <c r="BO14" s="21"/>
      <c r="BP14" s="22"/>
      <c r="BQ14" s="58" t="s">
        <v>2266</v>
      </c>
      <c r="BR14" s="24"/>
      <c r="BS14" s="25" t="s">
        <v>2266</v>
      </c>
      <c r="BT14" s="21" t="s">
        <v>385</v>
      </c>
      <c r="BU14" s="21"/>
      <c r="BV14" s="22"/>
      <c r="BW14" s="58"/>
      <c r="BX14" s="24"/>
      <c r="BY14" s="25" t="s">
        <v>2356</v>
      </c>
      <c r="BZ14" s="21" t="s">
        <v>385</v>
      </c>
      <c r="CA14" s="21"/>
      <c r="CB14" s="22"/>
      <c r="CC14" s="58"/>
      <c r="CD14" s="24"/>
      <c r="CE14" s="25" t="s">
        <v>2356</v>
      </c>
      <c r="CF14" s="21"/>
      <c r="CG14" s="21"/>
      <c r="CH14" s="22"/>
      <c r="CI14" s="58"/>
      <c r="CJ14" s="24"/>
      <c r="CK14" s="25"/>
      <c r="CL14" s="21" t="s">
        <v>385</v>
      </c>
      <c r="CM14" s="21"/>
      <c r="CN14" s="22"/>
      <c r="CO14" s="58"/>
      <c r="CP14" s="24"/>
      <c r="CQ14" s="25" t="s">
        <v>2356</v>
      </c>
      <c r="CR14" s="21">
        <v>100</v>
      </c>
      <c r="CS14" s="21">
        <v>100</v>
      </c>
      <c r="CT14" s="22">
        <f t="shared" si="19"/>
        <v>1</v>
      </c>
      <c r="CU14" s="58">
        <v>1</v>
      </c>
      <c r="CV14" s="24">
        <f t="shared" si="20"/>
        <v>1</v>
      </c>
      <c r="CW14" s="25" t="s">
        <v>2408</v>
      </c>
    </row>
    <row r="15" spans="1:101" ht="104.25" customHeight="1">
      <c r="B15" s="13" t="s">
        <v>2400</v>
      </c>
      <c r="C15" s="9" t="s">
        <v>2409</v>
      </c>
      <c r="D15" s="13" t="s">
        <v>2410</v>
      </c>
      <c r="E15" s="13" t="s">
        <v>2411</v>
      </c>
      <c r="F15" s="8" t="s">
        <v>2412</v>
      </c>
      <c r="G15" s="8" t="s">
        <v>53</v>
      </c>
      <c r="H15" s="404" t="s">
        <v>2413</v>
      </c>
      <c r="I15" s="789" t="s">
        <v>2414</v>
      </c>
      <c r="J15" s="8" t="s">
        <v>2355</v>
      </c>
      <c r="K15" s="7"/>
      <c r="L15" s="7"/>
      <c r="M15" s="12"/>
      <c r="N15" s="74">
        <f>3/3</f>
        <v>1</v>
      </c>
      <c r="O15" s="7"/>
      <c r="P15" s="1197"/>
      <c r="Q15" s="1197"/>
      <c r="R15" s="1197"/>
      <c r="S15" s="1197"/>
      <c r="T15" s="1197"/>
      <c r="U15" s="1197"/>
      <c r="V15" s="1329"/>
      <c r="W15" s="75"/>
      <c r="X15" s="21" t="s">
        <v>1108</v>
      </c>
      <c r="Y15" s="21"/>
      <c r="Z15" s="22" t="str">
        <f t="shared" si="0"/>
        <v xml:space="preserve"> </v>
      </c>
      <c r="AA15" s="58" t="s">
        <v>2266</v>
      </c>
      <c r="AB15" s="24" t="str">
        <f t="shared" si="1"/>
        <v xml:space="preserve"> </v>
      </c>
      <c r="AC15" s="58" t="s">
        <v>2266</v>
      </c>
      <c r="AD15" s="21"/>
      <c r="AE15" s="21"/>
      <c r="AF15" s="22" t="str">
        <f t="shared" si="2"/>
        <v xml:space="preserve"> </v>
      </c>
      <c r="AG15" s="58" t="s">
        <v>2266</v>
      </c>
      <c r="AH15" s="24" t="str">
        <f>IF(AE15=0," ",AF15/AG15)</f>
        <v xml:space="preserve"> </v>
      </c>
      <c r="AI15" s="58" t="s">
        <v>2266</v>
      </c>
      <c r="AJ15" s="21"/>
      <c r="AK15" s="21"/>
      <c r="AL15" s="22" t="str">
        <f t="shared" si="3"/>
        <v xml:space="preserve"> </v>
      </c>
      <c r="AM15" s="58"/>
      <c r="AN15" s="24" t="str">
        <f t="shared" si="4"/>
        <v xml:space="preserve"> </v>
      </c>
      <c r="AO15" s="58"/>
      <c r="AP15" s="21"/>
      <c r="AQ15" s="21"/>
      <c r="AR15" s="22" t="str">
        <f t="shared" si="5"/>
        <v xml:space="preserve"> </v>
      </c>
      <c r="AS15" s="58"/>
      <c r="AT15" s="24" t="str">
        <f t="shared" si="6"/>
        <v xml:space="preserve"> </v>
      </c>
      <c r="AU15" s="25"/>
      <c r="AV15" s="21"/>
      <c r="AW15" s="21"/>
      <c r="AX15" s="22" t="str">
        <f t="shared" si="7"/>
        <v xml:space="preserve"> </v>
      </c>
      <c r="AY15" s="58"/>
      <c r="AZ15" s="24" t="str">
        <f t="shared" si="8"/>
        <v xml:space="preserve"> </v>
      </c>
      <c r="BA15" s="25"/>
      <c r="BB15" s="21" t="s">
        <v>1108</v>
      </c>
      <c r="BC15" s="21"/>
      <c r="BD15" s="22" t="str">
        <f t="shared" si="9"/>
        <v xml:space="preserve"> </v>
      </c>
      <c r="BE15" s="58" t="s">
        <v>2266</v>
      </c>
      <c r="BF15" s="24" t="str">
        <f t="shared" si="10"/>
        <v xml:space="preserve"> </v>
      </c>
      <c r="BG15" s="25" t="s">
        <v>2266</v>
      </c>
      <c r="BH15" s="21" t="s">
        <v>1108</v>
      </c>
      <c r="BI15" s="21"/>
      <c r="BJ15" s="22" t="str">
        <f t="shared" si="11"/>
        <v xml:space="preserve"> </v>
      </c>
      <c r="BK15" s="58" t="s">
        <v>2266</v>
      </c>
      <c r="BL15" s="24" t="str">
        <f t="shared" si="12"/>
        <v xml:space="preserve"> </v>
      </c>
      <c r="BM15" s="25" t="s">
        <v>2266</v>
      </c>
      <c r="BN15" s="21" t="s">
        <v>1108</v>
      </c>
      <c r="BO15" s="21"/>
      <c r="BP15" s="22" t="str">
        <f>IF(BO15=0," ",BN15/BO15)</f>
        <v xml:space="preserve"> </v>
      </c>
      <c r="BQ15" s="58" t="s">
        <v>2266</v>
      </c>
      <c r="BR15" s="24" t="str">
        <f>IF(BO15=0," ",BP15/BQ15)</f>
        <v xml:space="preserve"> </v>
      </c>
      <c r="BS15" s="25" t="s">
        <v>2266</v>
      </c>
      <c r="BT15" s="21" t="s">
        <v>385</v>
      </c>
      <c r="BU15" s="21"/>
      <c r="BV15" s="22" t="str">
        <f t="shared" si="13"/>
        <v xml:space="preserve"> </v>
      </c>
      <c r="BW15" s="58"/>
      <c r="BX15" s="24" t="str">
        <f t="shared" si="14"/>
        <v xml:space="preserve"> </v>
      </c>
      <c r="BY15" s="25" t="s">
        <v>2356</v>
      </c>
      <c r="BZ15" s="21" t="s">
        <v>385</v>
      </c>
      <c r="CA15" s="21"/>
      <c r="CB15" s="22" t="str">
        <f>IF(CA15=0," ",BZ15/CA15)</f>
        <v xml:space="preserve"> </v>
      </c>
      <c r="CC15" s="58"/>
      <c r="CD15" s="24" t="str">
        <f>IF(CA15=0," ",CB15/CC15)</f>
        <v xml:space="preserve"> </v>
      </c>
      <c r="CE15" s="25" t="s">
        <v>2356</v>
      </c>
      <c r="CF15" s="21"/>
      <c r="CG15" s="21"/>
      <c r="CH15" s="22" t="str">
        <f t="shared" si="15"/>
        <v xml:space="preserve"> </v>
      </c>
      <c r="CI15" s="58"/>
      <c r="CJ15" s="24" t="str">
        <f t="shared" si="16"/>
        <v xml:space="preserve"> </v>
      </c>
      <c r="CK15" s="25"/>
      <c r="CL15" s="21" t="s">
        <v>385</v>
      </c>
      <c r="CM15" s="21"/>
      <c r="CN15" s="22" t="str">
        <f t="shared" si="17"/>
        <v xml:space="preserve"> </v>
      </c>
      <c r="CO15" s="58"/>
      <c r="CP15" s="24" t="str">
        <f t="shared" si="18"/>
        <v xml:space="preserve"> </v>
      </c>
      <c r="CQ15" s="25" t="s">
        <v>2356</v>
      </c>
      <c r="CR15" s="21">
        <v>100</v>
      </c>
      <c r="CS15" s="21">
        <v>100</v>
      </c>
      <c r="CT15" s="22">
        <f t="shared" si="19"/>
        <v>1</v>
      </c>
      <c r="CU15" s="58">
        <v>1</v>
      </c>
      <c r="CV15" s="24">
        <f t="shared" si="20"/>
        <v>1</v>
      </c>
      <c r="CW15" s="25" t="s">
        <v>2415</v>
      </c>
    </row>
    <row r="16" spans="1:101" ht="14.25" customHeight="1">
      <c r="B16" s="33"/>
      <c r="C16" s="34"/>
      <c r="D16" s="35"/>
      <c r="E16" s="35"/>
      <c r="F16" s="36"/>
      <c r="G16" s="36"/>
      <c r="H16" s="35" t="s">
        <v>49</v>
      </c>
      <c r="I16" s="36"/>
      <c r="J16" s="36"/>
      <c r="K16" s="37"/>
      <c r="L16" s="37"/>
      <c r="M16" s="37"/>
      <c r="N16" s="37"/>
      <c r="O16" s="37"/>
      <c r="P16" s="37"/>
      <c r="Q16" s="37"/>
      <c r="R16" s="1334"/>
      <c r="S16" s="1334"/>
      <c r="T16" s="1334"/>
      <c r="U16" s="1334"/>
      <c r="V16" s="1335"/>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709"/>
      <c r="BV16" s="709"/>
      <c r="BW16" s="22"/>
      <c r="BX16" s="24"/>
      <c r="BY16" s="24"/>
      <c r="BZ16" s="36"/>
      <c r="CA16" s="709"/>
      <c r="CB16" s="709"/>
      <c r="CC16" s="22"/>
      <c r="CD16" s="24"/>
      <c r="CE16" s="24"/>
      <c r="CF16" s="1203"/>
      <c r="CG16" s="709"/>
      <c r="CH16" s="709"/>
      <c r="CI16" s="22"/>
      <c r="CJ16" s="24"/>
      <c r="CK16" s="24"/>
      <c r="CL16" s="709"/>
      <c r="CM16" s="709"/>
      <c r="CN16" s="22"/>
      <c r="CO16" s="24"/>
      <c r="CP16" s="24"/>
      <c r="CQ16" s="710"/>
      <c r="CR16" s="1203"/>
      <c r="CS16" s="709"/>
      <c r="CT16" s="709"/>
      <c r="CU16" s="22"/>
      <c r="CV16" s="24"/>
      <c r="CW16" s="24"/>
    </row>
    <row r="17" spans="2:101" ht="106.5" customHeight="1">
      <c r="B17" s="8" t="s">
        <v>155</v>
      </c>
      <c r="C17" s="8" t="s">
        <v>156</v>
      </c>
      <c r="D17" s="13" t="s">
        <v>157</v>
      </c>
      <c r="E17" s="13" t="s">
        <v>158</v>
      </c>
      <c r="F17" s="8" t="s">
        <v>251</v>
      </c>
      <c r="G17" s="8" t="s">
        <v>53</v>
      </c>
      <c r="H17" s="13" t="s">
        <v>160</v>
      </c>
      <c r="I17" s="8" t="s">
        <v>161</v>
      </c>
      <c r="J17" s="8" t="s">
        <v>54</v>
      </c>
      <c r="K17" s="7"/>
      <c r="L17" s="7"/>
      <c r="M17" s="12"/>
      <c r="N17" s="7"/>
      <c r="O17" s="7"/>
      <c r="P17" s="1220">
        <v>0.5</v>
      </c>
      <c r="Q17" s="1225"/>
      <c r="R17" s="1225"/>
      <c r="S17" s="1224"/>
      <c r="T17" s="1225"/>
      <c r="U17" s="1225"/>
      <c r="V17" s="1204">
        <v>0.5</v>
      </c>
      <c r="W17" s="75" t="s">
        <v>259</v>
      </c>
      <c r="X17" s="21" t="s">
        <v>1108</v>
      </c>
      <c r="Y17" s="21"/>
      <c r="Z17" s="22" t="str">
        <f t="shared" ref="Z17:Z22" si="21">IF(Y17=0," ",X17/Y17)</f>
        <v xml:space="preserve"> </v>
      </c>
      <c r="AA17" s="58" t="s">
        <v>2266</v>
      </c>
      <c r="AB17" s="24" t="str">
        <f t="shared" ref="AB17:AB22" si="22">IF(Y17=0," ",Z17/AA17)</f>
        <v xml:space="preserve"> </v>
      </c>
      <c r="AC17" s="58" t="s">
        <v>2266</v>
      </c>
      <c r="AD17" s="21"/>
      <c r="AE17" s="21"/>
      <c r="AF17" s="22" t="str">
        <f t="shared" ref="AF17:AF22" si="23">IF(AE17=0," ",AD17/AE17)</f>
        <v xml:space="preserve"> </v>
      </c>
      <c r="AG17" s="58" t="s">
        <v>2266</v>
      </c>
      <c r="AH17" s="24" t="str">
        <f>IF(AE17=0," ",AF17/AG17)</f>
        <v xml:space="preserve"> </v>
      </c>
      <c r="AI17" s="58" t="s">
        <v>2266</v>
      </c>
      <c r="AJ17" s="21" t="s">
        <v>1108</v>
      </c>
      <c r="AK17" s="21"/>
      <c r="AL17" s="22" t="str">
        <f>IF(AK17=0," ",AJ17/AK17)</f>
        <v xml:space="preserve"> </v>
      </c>
      <c r="AM17" s="58" t="s">
        <v>2266</v>
      </c>
      <c r="AN17" s="24" t="str">
        <f>IF(AK17=0," ",AL17/AM17)</f>
        <v xml:space="preserve"> </v>
      </c>
      <c r="AO17" s="58" t="s">
        <v>2266</v>
      </c>
      <c r="AP17" s="21">
        <v>44</v>
      </c>
      <c r="AQ17" s="21">
        <v>57</v>
      </c>
      <c r="AR17" s="22">
        <f t="shared" ref="AR17:AR22" si="24">IF(AQ17=0," ",AP17/AQ17)</f>
        <v>0.77192982456140347</v>
      </c>
      <c r="AS17" s="58">
        <v>1</v>
      </c>
      <c r="AT17" s="24">
        <f t="shared" ref="AT17:AT22" si="25">IF(AQ17=0," ",AR17/AS17)</f>
        <v>0.77192982456140347</v>
      </c>
      <c r="AU17" s="687" t="s">
        <v>2416</v>
      </c>
      <c r="AV17" s="21"/>
      <c r="AW17" s="21"/>
      <c r="AX17" s="22" t="str">
        <f t="shared" ref="AX17:AX22" si="26">IF(AW17=0," ",AV17/AW17)</f>
        <v xml:space="preserve"> </v>
      </c>
      <c r="AY17" s="58"/>
      <c r="AZ17" s="24" t="str">
        <f t="shared" ref="AZ17:AZ22" si="27">IF(AW17=0," ",AX17/AY17)</f>
        <v xml:space="preserve"> </v>
      </c>
      <c r="BA17" s="25"/>
      <c r="BB17" s="1336">
        <v>54</v>
      </c>
      <c r="BC17" s="1336">
        <v>76</v>
      </c>
      <c r="BD17" s="22">
        <f t="shared" ref="BD17:BD22" si="28">IF(BC17=0," ",BB17/BC17)</f>
        <v>0.71052631578947367</v>
      </c>
      <c r="BE17" s="58">
        <v>0.5</v>
      </c>
      <c r="BF17" s="24">
        <f t="shared" ref="BF17:BF22" si="29">IF(BC17=0," ",BD17/BE17)</f>
        <v>1.4210526315789473</v>
      </c>
      <c r="BG17" s="25" t="s">
        <v>2417</v>
      </c>
      <c r="BH17" s="21" t="s">
        <v>2418</v>
      </c>
      <c r="BI17" s="21"/>
      <c r="BJ17" s="22" t="str">
        <f t="shared" ref="BJ17:BJ22" si="30">IF(BI17=0," ",BH17/BI17)</f>
        <v xml:space="preserve"> </v>
      </c>
      <c r="BK17" s="21" t="s">
        <v>2418</v>
      </c>
      <c r="BL17" s="24" t="str">
        <f t="shared" ref="BL17:BL22" si="31">IF(BI17=0," ",BJ17/BK17)</f>
        <v xml:space="preserve"> </v>
      </c>
      <c r="BM17" s="25" t="s">
        <v>2419</v>
      </c>
      <c r="BN17" s="21" t="s">
        <v>1108</v>
      </c>
      <c r="BO17" s="21"/>
      <c r="BP17" s="22" t="str">
        <f t="shared" ref="BP17:BP22" si="32">IF(BO17=0," ",BN17/BO17)</f>
        <v xml:space="preserve"> </v>
      </c>
      <c r="BQ17" s="21" t="s">
        <v>2418</v>
      </c>
      <c r="BR17" s="24" t="str">
        <f t="shared" ref="BR17:BR22" si="33">IF(BO17=0," ",BP17/BQ17)</f>
        <v xml:space="preserve"> </v>
      </c>
      <c r="BS17" s="25" t="s">
        <v>2419</v>
      </c>
      <c r="BT17" s="21" t="s">
        <v>385</v>
      </c>
      <c r="BU17" s="21"/>
      <c r="BV17" s="22" t="str">
        <f t="shared" ref="BV17:BV22" si="34">IF(BU17=0," ",BT17/BU17)</f>
        <v xml:space="preserve"> </v>
      </c>
      <c r="BW17" s="58"/>
      <c r="BX17" s="24" t="str">
        <f t="shared" ref="BX17:BX22" si="35">IF(BU17=0," ",BV17/BW17)</f>
        <v xml:space="preserve"> </v>
      </c>
      <c r="BY17" s="25" t="s">
        <v>2356</v>
      </c>
      <c r="BZ17" s="21" t="s">
        <v>385</v>
      </c>
      <c r="CA17" s="21"/>
      <c r="CB17" s="22" t="str">
        <f t="shared" ref="CB17:CB22" si="36">IF(CA17=0," ",BZ17/CA17)</f>
        <v xml:space="preserve"> </v>
      </c>
      <c r="CC17" s="58"/>
      <c r="CD17" s="24" t="str">
        <f t="shared" ref="CD17:CD22" si="37">IF(CA17=0," ",CB17/CC17)</f>
        <v xml:space="preserve"> </v>
      </c>
      <c r="CE17" s="25" t="s">
        <v>2356</v>
      </c>
      <c r="CF17" s="21"/>
      <c r="CG17" s="21"/>
      <c r="CH17" s="22" t="str">
        <f t="shared" ref="CH17:CH22" si="38">IF(CG17=0," ",CF17/CG17)</f>
        <v xml:space="preserve"> </v>
      </c>
      <c r="CI17" s="58"/>
      <c r="CJ17" s="24" t="str">
        <f t="shared" ref="CJ17:CJ22" si="39">IF(CG17=0," ",CH17/CI17)</f>
        <v xml:space="preserve"> </v>
      </c>
      <c r="CK17" s="25"/>
      <c r="CL17" s="21">
        <f>150-54</f>
        <v>96</v>
      </c>
      <c r="CM17" s="21">
        <f>170-76</f>
        <v>94</v>
      </c>
      <c r="CN17" s="22">
        <f t="shared" ref="CN17:CN22" si="40">IF(CM17=0," ",CL17/CM17)</f>
        <v>1.0212765957446808</v>
      </c>
      <c r="CO17" s="58">
        <v>0.5</v>
      </c>
      <c r="CP17" s="24">
        <f t="shared" ref="CP17:CP22" si="41">IF(CM17=0," ",CN17/CO17)</f>
        <v>2.0425531914893615</v>
      </c>
      <c r="CQ17" s="25" t="s">
        <v>2420</v>
      </c>
      <c r="CR17" s="21">
        <v>150</v>
      </c>
      <c r="CS17" s="21">
        <v>170</v>
      </c>
      <c r="CT17" s="22">
        <f t="shared" ref="CT17:CT22" si="42">IF(CS17=0," ",CR17/CS17)</f>
        <v>0.88235294117647056</v>
      </c>
      <c r="CU17" s="58">
        <v>1</v>
      </c>
      <c r="CV17" s="24">
        <f t="shared" ref="CV17:CV22" si="43">IF(CS17=0," ",CT17/CU17)</f>
        <v>0.88235294117647056</v>
      </c>
      <c r="CW17" s="25" t="s">
        <v>2421</v>
      </c>
    </row>
    <row r="18" spans="2:101" ht="66.75" customHeight="1">
      <c r="B18" s="790" t="s">
        <v>55</v>
      </c>
      <c r="C18" s="790" t="s">
        <v>89</v>
      </c>
      <c r="D18" s="790" t="s">
        <v>56</v>
      </c>
      <c r="E18" s="790" t="s">
        <v>57</v>
      </c>
      <c r="F18" s="790" t="s">
        <v>58</v>
      </c>
      <c r="G18" s="790" t="s">
        <v>53</v>
      </c>
      <c r="H18" s="847" t="s">
        <v>258</v>
      </c>
      <c r="I18" s="790" t="s">
        <v>60</v>
      </c>
      <c r="J18" s="206" t="s">
        <v>54</v>
      </c>
      <c r="K18" s="1224"/>
      <c r="L18" s="1224"/>
      <c r="M18" s="1220">
        <v>1</v>
      </c>
      <c r="N18" s="1224"/>
      <c r="O18" s="1224"/>
      <c r="P18" s="1220">
        <v>1</v>
      </c>
      <c r="Q18" s="1220"/>
      <c r="R18" s="1224"/>
      <c r="S18" s="1220">
        <v>1</v>
      </c>
      <c r="T18" s="1220"/>
      <c r="U18" s="1224"/>
      <c r="V18" s="1204">
        <v>1</v>
      </c>
      <c r="W18" s="790" t="s">
        <v>259</v>
      </c>
      <c r="X18" s="701" t="s">
        <v>1108</v>
      </c>
      <c r="Y18" s="701">
        <v>0</v>
      </c>
      <c r="Z18" s="1243" t="s">
        <v>332</v>
      </c>
      <c r="AA18" s="1244">
        <v>1</v>
      </c>
      <c r="AB18" s="1245" t="s">
        <v>332</v>
      </c>
      <c r="AC18" s="1246" t="s">
        <v>1281</v>
      </c>
      <c r="AD18" s="701"/>
      <c r="AE18" s="701"/>
      <c r="AF18" s="1243" t="str">
        <f t="shared" si="23"/>
        <v xml:space="preserve"> </v>
      </c>
      <c r="AG18" s="1244">
        <v>1</v>
      </c>
      <c r="AH18" s="1245" t="s">
        <v>332</v>
      </c>
      <c r="AI18" s="1246" t="s">
        <v>1281</v>
      </c>
      <c r="AJ18" s="701" t="s">
        <v>1108</v>
      </c>
      <c r="AK18" s="701">
        <v>0</v>
      </c>
      <c r="AL18" s="1243" t="s">
        <v>332</v>
      </c>
      <c r="AM18" s="1244">
        <v>1</v>
      </c>
      <c r="AN18" s="1245" t="s">
        <v>332</v>
      </c>
      <c r="AO18" s="1246" t="s">
        <v>1281</v>
      </c>
      <c r="AP18" s="701" t="s">
        <v>1108</v>
      </c>
      <c r="AQ18" s="701"/>
      <c r="AR18" s="1243" t="str">
        <f t="shared" si="24"/>
        <v xml:space="preserve"> </v>
      </c>
      <c r="AS18" s="1245" t="s">
        <v>2266</v>
      </c>
      <c r="AT18" s="1245" t="str">
        <f t="shared" si="25"/>
        <v xml:space="preserve"> </v>
      </c>
      <c r="AU18" s="1246" t="s">
        <v>2266</v>
      </c>
      <c r="AV18" s="701"/>
      <c r="AW18" s="701"/>
      <c r="AX18" s="1243" t="str">
        <f t="shared" si="26"/>
        <v xml:space="preserve"> </v>
      </c>
      <c r="AY18" s="1245"/>
      <c r="AZ18" s="1245" t="str">
        <f t="shared" si="27"/>
        <v xml:space="preserve"> </v>
      </c>
      <c r="BA18" s="1246"/>
      <c r="BB18" s="701" t="s">
        <v>1108</v>
      </c>
      <c r="BC18" s="1245">
        <v>0</v>
      </c>
      <c r="BD18" s="1243" t="str">
        <f t="shared" si="28"/>
        <v xml:space="preserve"> </v>
      </c>
      <c r="BE18" s="1245">
        <v>1</v>
      </c>
      <c r="BF18" s="1245" t="str">
        <f t="shared" si="29"/>
        <v xml:space="preserve"> </v>
      </c>
      <c r="BG18" s="1246" t="s">
        <v>1281</v>
      </c>
      <c r="BH18" s="701" t="s">
        <v>1108</v>
      </c>
      <c r="BI18" s="701"/>
      <c r="BJ18" s="1243" t="str">
        <f t="shared" si="30"/>
        <v xml:space="preserve"> </v>
      </c>
      <c r="BK18" s="1245" t="s">
        <v>2266</v>
      </c>
      <c r="BL18" s="1245" t="str">
        <f t="shared" si="31"/>
        <v xml:space="preserve"> </v>
      </c>
      <c r="BM18" s="1337" t="s">
        <v>148</v>
      </c>
      <c r="BN18" s="701">
        <v>3</v>
      </c>
      <c r="BO18" s="701">
        <v>24</v>
      </c>
      <c r="BP18" s="22">
        <f t="shared" si="32"/>
        <v>0.125</v>
      </c>
      <c r="BQ18" s="1245">
        <v>1</v>
      </c>
      <c r="BR18" s="24">
        <f t="shared" si="33"/>
        <v>0.125</v>
      </c>
      <c r="BS18" s="1337" t="s">
        <v>2422</v>
      </c>
      <c r="BT18" s="21">
        <v>3</v>
      </c>
      <c r="BU18" s="21">
        <v>24</v>
      </c>
      <c r="BV18" s="22">
        <f t="shared" si="34"/>
        <v>0.125</v>
      </c>
      <c r="BW18" s="58">
        <v>1</v>
      </c>
      <c r="BX18" s="24">
        <f t="shared" si="35"/>
        <v>0.125</v>
      </c>
      <c r="BY18" s="25" t="s">
        <v>2423</v>
      </c>
      <c r="BZ18" s="21">
        <v>0</v>
      </c>
      <c r="CA18" s="21">
        <v>0</v>
      </c>
      <c r="CB18" s="22" t="str">
        <f t="shared" si="36"/>
        <v xml:space="preserve"> </v>
      </c>
      <c r="CC18" s="58">
        <v>1</v>
      </c>
      <c r="CD18" s="24" t="str">
        <f t="shared" si="37"/>
        <v xml:space="preserve"> </v>
      </c>
      <c r="CE18" s="25" t="s">
        <v>2356</v>
      </c>
      <c r="CF18" s="21"/>
      <c r="CG18" s="21"/>
      <c r="CH18" s="22" t="str">
        <f t="shared" si="38"/>
        <v xml:space="preserve"> </v>
      </c>
      <c r="CI18" s="58"/>
      <c r="CJ18" s="24" t="str">
        <f t="shared" si="39"/>
        <v xml:space="preserve"> </v>
      </c>
      <c r="CK18" s="25"/>
      <c r="CL18" s="21">
        <v>100</v>
      </c>
      <c r="CM18" s="21">
        <v>100</v>
      </c>
      <c r="CN18" s="22">
        <f t="shared" si="40"/>
        <v>1</v>
      </c>
      <c r="CO18" s="58">
        <v>1</v>
      </c>
      <c r="CP18" s="24">
        <f t="shared" si="41"/>
        <v>1</v>
      </c>
      <c r="CQ18" s="25" t="s">
        <v>2424</v>
      </c>
      <c r="CR18" s="21">
        <v>100</v>
      </c>
      <c r="CS18" s="21">
        <v>100</v>
      </c>
      <c r="CT18" s="22">
        <f t="shared" si="42"/>
        <v>1</v>
      </c>
      <c r="CU18" s="58">
        <v>1</v>
      </c>
      <c r="CV18" s="24">
        <f t="shared" si="43"/>
        <v>1</v>
      </c>
      <c r="CW18" s="25" t="s">
        <v>327</v>
      </c>
    </row>
    <row r="19" spans="2:101" s="210" customFormat="1" ht="91.5" customHeight="1">
      <c r="B19" s="790" t="s">
        <v>55</v>
      </c>
      <c r="C19" s="790" t="s">
        <v>88</v>
      </c>
      <c r="D19" s="790" t="s">
        <v>61</v>
      </c>
      <c r="E19" s="790" t="s">
        <v>57</v>
      </c>
      <c r="F19" s="847" t="s">
        <v>62</v>
      </c>
      <c r="G19" s="790" t="s">
        <v>53</v>
      </c>
      <c r="H19" s="790" t="s">
        <v>63</v>
      </c>
      <c r="I19" s="790" t="s">
        <v>64</v>
      </c>
      <c r="J19" s="206" t="s">
        <v>54</v>
      </c>
      <c r="K19" s="737"/>
      <c r="L19" s="738">
        <v>1</v>
      </c>
      <c r="M19" s="738"/>
      <c r="N19" s="738">
        <v>1</v>
      </c>
      <c r="O19" s="737"/>
      <c r="P19" s="1338">
        <v>1</v>
      </c>
      <c r="Q19" s="739"/>
      <c r="R19" s="1338">
        <v>1</v>
      </c>
      <c r="S19" s="739"/>
      <c r="T19" s="1338">
        <v>1</v>
      </c>
      <c r="U19" s="740"/>
      <c r="V19" s="1207">
        <v>1</v>
      </c>
      <c r="W19" s="790" t="s">
        <v>259</v>
      </c>
      <c r="X19" s="623" t="s">
        <v>1108</v>
      </c>
      <c r="Y19" s="623"/>
      <c r="Z19" s="157" t="str">
        <f t="shared" si="21"/>
        <v xml:space="preserve"> </v>
      </c>
      <c r="AA19" s="728" t="s">
        <v>2266</v>
      </c>
      <c r="AB19" s="728" t="str">
        <f t="shared" si="22"/>
        <v xml:space="preserve"> </v>
      </c>
      <c r="AC19" s="728" t="s">
        <v>2266</v>
      </c>
      <c r="AD19" s="623"/>
      <c r="AE19" s="623"/>
      <c r="AF19" s="157" t="str">
        <f t="shared" si="23"/>
        <v xml:space="preserve"> </v>
      </c>
      <c r="AG19" s="728" t="s">
        <v>2266</v>
      </c>
      <c r="AH19" s="728" t="str">
        <f>IF(AE19=0," ",AF19/AG19)</f>
        <v xml:space="preserve"> </v>
      </c>
      <c r="AI19" s="728" t="s">
        <v>2266</v>
      </c>
      <c r="AJ19" s="623"/>
      <c r="AK19" s="623"/>
      <c r="AL19" s="157" t="str">
        <f>IF(AK19=0," ",AJ19/AK19)</f>
        <v xml:space="preserve"> </v>
      </c>
      <c r="AM19" s="728"/>
      <c r="AN19" s="728" t="str">
        <f>IF(AK19=0," ",AL19/AM19)</f>
        <v xml:space="preserve"> </v>
      </c>
      <c r="AO19" s="728"/>
      <c r="AP19" s="623"/>
      <c r="AQ19" s="623"/>
      <c r="AR19" s="157" t="str">
        <f t="shared" si="24"/>
        <v xml:space="preserve"> </v>
      </c>
      <c r="AS19" s="728"/>
      <c r="AT19" s="728" t="str">
        <f t="shared" si="25"/>
        <v xml:space="preserve"> </v>
      </c>
      <c r="AU19" s="215"/>
      <c r="AV19" s="623"/>
      <c r="AW19" s="623"/>
      <c r="AX19" s="157" t="str">
        <f t="shared" si="26"/>
        <v xml:space="preserve"> </v>
      </c>
      <c r="AY19" s="728"/>
      <c r="AZ19" s="728" t="str">
        <f t="shared" si="27"/>
        <v xml:space="preserve"> </v>
      </c>
      <c r="BA19" s="215"/>
      <c r="BB19" s="623" t="s">
        <v>1108</v>
      </c>
      <c r="BC19" s="623"/>
      <c r="BD19" s="157" t="str">
        <f t="shared" si="28"/>
        <v xml:space="preserve"> </v>
      </c>
      <c r="BE19" s="728"/>
      <c r="BF19" s="728" t="str">
        <f t="shared" si="29"/>
        <v xml:space="preserve"> </v>
      </c>
      <c r="BG19" s="1339" t="s">
        <v>148</v>
      </c>
      <c r="BH19" s="21" t="s">
        <v>1108</v>
      </c>
      <c r="BI19" s="21"/>
      <c r="BJ19" s="22" t="str">
        <f t="shared" si="30"/>
        <v xml:space="preserve"> </v>
      </c>
      <c r="BK19" s="58" t="s">
        <v>2266</v>
      </c>
      <c r="BL19" s="24" t="str">
        <f t="shared" si="31"/>
        <v xml:space="preserve"> </v>
      </c>
      <c r="BM19" s="241" t="s">
        <v>148</v>
      </c>
      <c r="BN19" s="623">
        <v>0</v>
      </c>
      <c r="BO19" s="623">
        <v>100</v>
      </c>
      <c r="BP19" s="22">
        <f t="shared" si="32"/>
        <v>0</v>
      </c>
      <c r="BQ19" s="738">
        <v>1</v>
      </c>
      <c r="BR19" s="728">
        <f t="shared" si="33"/>
        <v>0</v>
      </c>
      <c r="BS19" s="1339" t="s">
        <v>2425</v>
      </c>
      <c r="BT19" s="21" t="s">
        <v>385</v>
      </c>
      <c r="BU19" s="623"/>
      <c r="BV19" s="22" t="str">
        <f t="shared" si="34"/>
        <v xml:space="preserve"> </v>
      </c>
      <c r="BW19" s="728"/>
      <c r="BX19" s="24" t="str">
        <f t="shared" si="35"/>
        <v xml:space="preserve"> </v>
      </c>
      <c r="BY19" s="25" t="s">
        <v>2356</v>
      </c>
      <c r="BZ19" s="21" t="s">
        <v>385</v>
      </c>
      <c r="CA19" s="623"/>
      <c r="CB19" s="22" t="str">
        <f t="shared" si="36"/>
        <v xml:space="preserve"> </v>
      </c>
      <c r="CC19" s="728"/>
      <c r="CD19" s="24" t="str">
        <f t="shared" si="37"/>
        <v xml:space="preserve"> </v>
      </c>
      <c r="CE19" s="25" t="s">
        <v>2356</v>
      </c>
      <c r="CF19" s="623"/>
      <c r="CG19" s="623"/>
      <c r="CH19" s="157" t="str">
        <f t="shared" si="38"/>
        <v xml:space="preserve"> </v>
      </c>
      <c r="CI19" s="728"/>
      <c r="CJ19" s="728" t="str">
        <f t="shared" si="39"/>
        <v xml:space="preserve"> </v>
      </c>
      <c r="CK19" s="215"/>
      <c r="CL19" s="623">
        <v>0</v>
      </c>
      <c r="CM19" s="623">
        <v>100</v>
      </c>
      <c r="CN19" s="22">
        <f t="shared" si="40"/>
        <v>0</v>
      </c>
      <c r="CO19" s="728">
        <v>1</v>
      </c>
      <c r="CP19" s="24">
        <f t="shared" si="41"/>
        <v>0</v>
      </c>
      <c r="CQ19" s="215" t="s">
        <v>2426</v>
      </c>
      <c r="CR19" s="623">
        <v>0</v>
      </c>
      <c r="CS19" s="623">
        <v>100</v>
      </c>
      <c r="CT19" s="22">
        <f>IF(CS19=0," ",CR19/CS19)</f>
        <v>0</v>
      </c>
      <c r="CU19" s="58">
        <v>1</v>
      </c>
      <c r="CV19" s="24">
        <f>IF(CS19=0," ",CT19/CU19)</f>
        <v>0</v>
      </c>
      <c r="CW19" s="215" t="s">
        <v>2426</v>
      </c>
    </row>
    <row r="20" spans="2:101" ht="85.5" customHeight="1">
      <c r="B20" s="391" t="s">
        <v>67</v>
      </c>
      <c r="C20" s="790" t="s">
        <v>90</v>
      </c>
      <c r="D20" s="790" t="s">
        <v>93</v>
      </c>
      <c r="E20" s="790" t="s">
        <v>68</v>
      </c>
      <c r="F20" s="790" t="s">
        <v>69</v>
      </c>
      <c r="G20" s="790" t="s">
        <v>53</v>
      </c>
      <c r="H20" s="790" t="s">
        <v>70</v>
      </c>
      <c r="I20" s="790" t="s">
        <v>71</v>
      </c>
      <c r="J20" s="790" t="s">
        <v>54</v>
      </c>
      <c r="K20" s="1212"/>
      <c r="L20" s="1213"/>
      <c r="M20" s="1213"/>
      <c r="N20" s="1340"/>
      <c r="O20" s="1213"/>
      <c r="P20" s="1341"/>
      <c r="Q20" s="1342"/>
      <c r="R20" s="1342"/>
      <c r="S20" s="1342"/>
      <c r="T20" s="1342"/>
      <c r="U20" s="1342"/>
      <c r="V20" s="1343">
        <v>1</v>
      </c>
      <c r="W20" s="1249" t="s">
        <v>72</v>
      </c>
      <c r="X20" s="21" t="s">
        <v>1108</v>
      </c>
      <c r="Y20" s="21"/>
      <c r="Z20" s="22" t="str">
        <f t="shared" si="21"/>
        <v xml:space="preserve"> </v>
      </c>
      <c r="AA20" s="58" t="s">
        <v>2266</v>
      </c>
      <c r="AB20" s="24" t="str">
        <f t="shared" si="22"/>
        <v xml:space="preserve"> </v>
      </c>
      <c r="AC20" s="58" t="s">
        <v>2266</v>
      </c>
      <c r="AD20" s="21"/>
      <c r="AE20" s="21"/>
      <c r="AF20" s="22" t="str">
        <f t="shared" si="23"/>
        <v xml:space="preserve"> </v>
      </c>
      <c r="AG20" s="58" t="s">
        <v>2266</v>
      </c>
      <c r="AH20" s="24" t="str">
        <f>IF(AE20=0," ",AF20/AG20)</f>
        <v xml:space="preserve"> </v>
      </c>
      <c r="AI20" s="58" t="s">
        <v>2266</v>
      </c>
      <c r="AJ20" s="21" t="s">
        <v>1108</v>
      </c>
      <c r="AK20" s="21"/>
      <c r="AL20" s="22" t="str">
        <f>IF(AK20=0," ",AJ20/AK20)</f>
        <v xml:space="preserve"> </v>
      </c>
      <c r="AM20" s="58" t="s">
        <v>2266</v>
      </c>
      <c r="AN20" s="24" t="str">
        <f>IF(AK20=0," ",AL20/AM20)</f>
        <v xml:space="preserve"> </v>
      </c>
      <c r="AO20" s="58" t="s">
        <v>2266</v>
      </c>
      <c r="AP20" s="21" t="s">
        <v>1108</v>
      </c>
      <c r="AQ20" s="21"/>
      <c r="AR20" s="22" t="str">
        <f t="shared" si="24"/>
        <v xml:space="preserve"> </v>
      </c>
      <c r="AS20" s="58" t="s">
        <v>2266</v>
      </c>
      <c r="AT20" s="24" t="str">
        <f t="shared" si="25"/>
        <v xml:space="preserve"> </v>
      </c>
      <c r="AU20" s="25" t="s">
        <v>2266</v>
      </c>
      <c r="AV20" s="21"/>
      <c r="AW20" s="21"/>
      <c r="AX20" s="22" t="str">
        <f t="shared" si="26"/>
        <v xml:space="preserve"> </v>
      </c>
      <c r="AY20" s="58"/>
      <c r="AZ20" s="24" t="str">
        <f t="shared" si="27"/>
        <v xml:space="preserve"> </v>
      </c>
      <c r="BA20" s="25"/>
      <c r="BB20" s="21" t="s">
        <v>2427</v>
      </c>
      <c r="BC20" s="21"/>
      <c r="BD20" s="22" t="str">
        <f t="shared" si="28"/>
        <v xml:space="preserve"> </v>
      </c>
      <c r="BE20" s="58"/>
      <c r="BF20" s="24" t="str">
        <f t="shared" si="29"/>
        <v xml:space="preserve"> </v>
      </c>
      <c r="BG20" s="25" t="s">
        <v>2428</v>
      </c>
      <c r="BH20" s="21" t="s">
        <v>1108</v>
      </c>
      <c r="BI20" s="21"/>
      <c r="BJ20" s="22" t="str">
        <f t="shared" si="30"/>
        <v xml:space="preserve"> </v>
      </c>
      <c r="BK20" s="58" t="s">
        <v>2266</v>
      </c>
      <c r="BL20" s="24" t="str">
        <f t="shared" si="31"/>
        <v xml:space="preserve"> </v>
      </c>
      <c r="BM20" s="241" t="s">
        <v>148</v>
      </c>
      <c r="BN20" s="21" t="s">
        <v>1108</v>
      </c>
      <c r="BO20" s="21"/>
      <c r="BP20" s="22" t="str">
        <f t="shared" si="32"/>
        <v xml:space="preserve"> </v>
      </c>
      <c r="BQ20" s="58" t="s">
        <v>2266</v>
      </c>
      <c r="BR20" s="24" t="str">
        <f t="shared" si="33"/>
        <v xml:space="preserve"> </v>
      </c>
      <c r="BS20" s="241" t="s">
        <v>148</v>
      </c>
      <c r="BT20" s="21" t="s">
        <v>385</v>
      </c>
      <c r="BU20" s="21"/>
      <c r="BV20" s="22" t="str">
        <f t="shared" si="34"/>
        <v xml:space="preserve"> </v>
      </c>
      <c r="BW20" s="58"/>
      <c r="BX20" s="24" t="str">
        <f t="shared" si="35"/>
        <v xml:space="preserve"> </v>
      </c>
      <c r="BY20" s="25" t="s">
        <v>2356</v>
      </c>
      <c r="BZ20" s="21" t="s">
        <v>385</v>
      </c>
      <c r="CA20" s="21"/>
      <c r="CB20" s="22" t="str">
        <f t="shared" si="36"/>
        <v xml:space="preserve"> </v>
      </c>
      <c r="CC20" s="58"/>
      <c r="CD20" s="24" t="str">
        <f t="shared" si="37"/>
        <v xml:space="preserve"> </v>
      </c>
      <c r="CE20" s="25" t="s">
        <v>2356</v>
      </c>
      <c r="CF20" s="21"/>
      <c r="CG20" s="21"/>
      <c r="CH20" s="22" t="str">
        <f t="shared" si="38"/>
        <v xml:space="preserve"> </v>
      </c>
      <c r="CI20" s="58"/>
      <c r="CJ20" s="24" t="str">
        <f t="shared" si="39"/>
        <v xml:space="preserve"> </v>
      </c>
      <c r="CK20" s="25"/>
      <c r="CL20" s="564">
        <v>49742278135</v>
      </c>
      <c r="CM20" s="564">
        <v>55137270863</v>
      </c>
      <c r="CN20" s="22">
        <f t="shared" si="40"/>
        <v>0.90215343190625119</v>
      </c>
      <c r="CO20" s="58">
        <v>1</v>
      </c>
      <c r="CP20" s="24">
        <f t="shared" si="41"/>
        <v>0.90215343190625119</v>
      </c>
      <c r="CQ20" s="1344" t="s">
        <v>2429</v>
      </c>
      <c r="CR20" s="21">
        <v>90</v>
      </c>
      <c r="CS20" s="21">
        <v>100</v>
      </c>
      <c r="CT20" s="22">
        <f t="shared" si="42"/>
        <v>0.9</v>
      </c>
      <c r="CU20" s="58">
        <v>1</v>
      </c>
      <c r="CV20" s="24">
        <f t="shared" si="43"/>
        <v>0.9</v>
      </c>
      <c r="CW20" s="25" t="s">
        <v>2429</v>
      </c>
    </row>
    <row r="21" spans="2:101" s="210" customFormat="1" ht="87.75" customHeight="1">
      <c r="B21" s="846" t="s">
        <v>73</v>
      </c>
      <c r="C21" s="790" t="s">
        <v>91</v>
      </c>
      <c r="D21" s="790" t="s">
        <v>74</v>
      </c>
      <c r="E21" s="790" t="s">
        <v>75</v>
      </c>
      <c r="F21" s="790" t="s">
        <v>296</v>
      </c>
      <c r="G21" s="790" t="s">
        <v>53</v>
      </c>
      <c r="H21" s="790" t="s">
        <v>776</v>
      </c>
      <c r="I21" s="790" t="s">
        <v>78</v>
      </c>
      <c r="J21" s="790" t="s">
        <v>54</v>
      </c>
      <c r="K21" s="1220">
        <v>0.8</v>
      </c>
      <c r="L21" s="1220">
        <v>0.8</v>
      </c>
      <c r="M21" s="1220">
        <v>0.8</v>
      </c>
      <c r="N21" s="1220">
        <v>0.8</v>
      </c>
      <c r="O21" s="1220">
        <v>0.8</v>
      </c>
      <c r="P21" s="1220">
        <v>0.8</v>
      </c>
      <c r="Q21" s="1220">
        <v>0.8</v>
      </c>
      <c r="R21" s="1220">
        <v>0.8</v>
      </c>
      <c r="S21" s="1220">
        <v>0.8</v>
      </c>
      <c r="T21" s="1220">
        <v>0.8</v>
      </c>
      <c r="U21" s="1220">
        <v>0.8</v>
      </c>
      <c r="V21" s="1204">
        <v>0.8</v>
      </c>
      <c r="W21" s="1249" t="s">
        <v>80</v>
      </c>
      <c r="X21" s="623"/>
      <c r="Y21" s="623"/>
      <c r="Z21" s="157" t="str">
        <f t="shared" si="21"/>
        <v xml:space="preserve"> </v>
      </c>
      <c r="AA21" s="728"/>
      <c r="AB21" s="728" t="str">
        <f t="shared" si="22"/>
        <v xml:space="preserve"> </v>
      </c>
      <c r="AC21" s="215"/>
      <c r="AD21" s="623"/>
      <c r="AE21" s="623"/>
      <c r="AF21" s="157" t="str">
        <f t="shared" si="23"/>
        <v xml:space="preserve"> </v>
      </c>
      <c r="AG21" s="728"/>
      <c r="AH21" s="728" t="str">
        <f>IF(AE21=0," ",AF21/AG21)</f>
        <v xml:space="preserve"> </v>
      </c>
      <c r="AI21" s="215"/>
      <c r="AJ21" s="623">
        <v>30</v>
      </c>
      <c r="AK21" s="623">
        <v>80</v>
      </c>
      <c r="AL21" s="157">
        <f>IF(AK21=0," ",AJ21/AK21)</f>
        <v>0.375</v>
      </c>
      <c r="AM21" s="728">
        <v>1</v>
      </c>
      <c r="AN21" s="728">
        <f>IF(AK21=0," ",AL21/AM21)</f>
        <v>0.375</v>
      </c>
      <c r="AO21" s="1345" t="s">
        <v>2430</v>
      </c>
      <c r="AP21" s="623">
        <v>40</v>
      </c>
      <c r="AQ21" s="623">
        <v>80</v>
      </c>
      <c r="AR21" s="157">
        <f t="shared" si="24"/>
        <v>0.5</v>
      </c>
      <c r="AS21" s="728">
        <v>1</v>
      </c>
      <c r="AT21" s="728">
        <f t="shared" si="25"/>
        <v>0.5</v>
      </c>
      <c r="AU21" s="215" t="s">
        <v>2431</v>
      </c>
      <c r="AV21" s="623"/>
      <c r="AW21" s="623"/>
      <c r="AX21" s="157" t="str">
        <f t="shared" si="26"/>
        <v xml:space="preserve"> </v>
      </c>
      <c r="AY21" s="728"/>
      <c r="AZ21" s="728" t="str">
        <f t="shared" si="27"/>
        <v xml:space="preserve"> </v>
      </c>
      <c r="BA21" s="215"/>
      <c r="BB21" s="623">
        <v>25</v>
      </c>
      <c r="BC21" s="623">
        <v>80</v>
      </c>
      <c r="BD21" s="157">
        <f t="shared" si="28"/>
        <v>0.3125</v>
      </c>
      <c r="BE21" s="728">
        <v>0.8</v>
      </c>
      <c r="BF21" s="728">
        <f t="shared" si="29"/>
        <v>0.390625</v>
      </c>
      <c r="BG21" s="215" t="s">
        <v>2432</v>
      </c>
      <c r="BH21" s="623">
        <v>25</v>
      </c>
      <c r="BI21" s="623">
        <v>80</v>
      </c>
      <c r="BJ21" s="157">
        <f t="shared" si="30"/>
        <v>0.3125</v>
      </c>
      <c r="BK21" s="728">
        <v>0.8</v>
      </c>
      <c r="BL21" s="728">
        <f t="shared" si="31"/>
        <v>0.390625</v>
      </c>
      <c r="BM21" s="215" t="s">
        <v>2433</v>
      </c>
      <c r="BN21" s="623">
        <v>0</v>
      </c>
      <c r="BO21" s="623">
        <v>0</v>
      </c>
      <c r="BP21" s="157" t="str">
        <f t="shared" si="32"/>
        <v xml:space="preserve"> </v>
      </c>
      <c r="BQ21" s="728">
        <v>0.8</v>
      </c>
      <c r="BR21" s="728" t="str">
        <f t="shared" si="33"/>
        <v xml:space="preserve"> </v>
      </c>
      <c r="BS21" s="215" t="s">
        <v>332</v>
      </c>
      <c r="BT21" s="623">
        <v>205</v>
      </c>
      <c r="BU21" s="623">
        <v>300</v>
      </c>
      <c r="BV21" s="157">
        <f t="shared" si="34"/>
        <v>0.68333333333333335</v>
      </c>
      <c r="BW21" s="728">
        <v>0.8</v>
      </c>
      <c r="BX21" s="728">
        <f t="shared" si="35"/>
        <v>0.85416666666666663</v>
      </c>
      <c r="BY21" s="215" t="s">
        <v>2434</v>
      </c>
      <c r="BZ21" s="623">
        <v>25</v>
      </c>
      <c r="CA21" s="623">
        <v>100</v>
      </c>
      <c r="CB21" s="157">
        <f t="shared" si="36"/>
        <v>0.25</v>
      </c>
      <c r="CC21" s="728">
        <v>0.8</v>
      </c>
      <c r="CD21" s="728">
        <f t="shared" si="37"/>
        <v>0.3125</v>
      </c>
      <c r="CE21" s="215" t="s">
        <v>2435</v>
      </c>
      <c r="CF21" s="623">
        <v>25</v>
      </c>
      <c r="CG21" s="623">
        <v>100</v>
      </c>
      <c r="CH21" s="157">
        <f t="shared" si="38"/>
        <v>0.25</v>
      </c>
      <c r="CI21" s="728">
        <v>0.8</v>
      </c>
      <c r="CJ21" s="1245">
        <f t="shared" si="39"/>
        <v>0.3125</v>
      </c>
      <c r="CK21" s="215" t="s">
        <v>2436</v>
      </c>
      <c r="CL21" s="623">
        <v>25</v>
      </c>
      <c r="CM21" s="623">
        <v>80</v>
      </c>
      <c r="CN21" s="157">
        <f t="shared" si="40"/>
        <v>0.3125</v>
      </c>
      <c r="CO21" s="728">
        <v>0.8</v>
      </c>
      <c r="CP21" s="728">
        <f t="shared" si="41"/>
        <v>0.390625</v>
      </c>
      <c r="CQ21" s="215" t="s">
        <v>2437</v>
      </c>
      <c r="CR21" s="623">
        <v>25</v>
      </c>
      <c r="CS21" s="623">
        <v>80</v>
      </c>
      <c r="CT21" s="22">
        <f>IF(CS21=0," ",CR21/CS21)</f>
        <v>0.3125</v>
      </c>
      <c r="CU21" s="58">
        <v>0.8</v>
      </c>
      <c r="CV21" s="24">
        <f>IF(CS21=0," ",CT21/CU21)</f>
        <v>0.390625</v>
      </c>
      <c r="CW21" s="215" t="s">
        <v>2438</v>
      </c>
    </row>
    <row r="22" spans="2:101" ht="123" customHeight="1">
      <c r="B22" s="846" t="s">
        <v>81</v>
      </c>
      <c r="C22" s="790" t="s">
        <v>92</v>
      </c>
      <c r="D22" s="789" t="s">
        <v>83</v>
      </c>
      <c r="E22" s="790" t="s">
        <v>84</v>
      </c>
      <c r="F22" s="847" t="s">
        <v>82</v>
      </c>
      <c r="G22" s="790" t="s">
        <v>98</v>
      </c>
      <c r="H22" s="790" t="s">
        <v>1323</v>
      </c>
      <c r="I22" s="790" t="s">
        <v>85</v>
      </c>
      <c r="J22" s="790" t="s">
        <v>54</v>
      </c>
      <c r="K22" s="1220"/>
      <c r="L22" s="1220"/>
      <c r="M22" s="1220">
        <v>1</v>
      </c>
      <c r="N22" s="1220"/>
      <c r="O22" s="1220"/>
      <c r="P22" s="1220">
        <v>1</v>
      </c>
      <c r="Q22" s="1220"/>
      <c r="R22" s="1220"/>
      <c r="S22" s="1220">
        <v>1</v>
      </c>
      <c r="T22" s="1220"/>
      <c r="U22" s="1220"/>
      <c r="V22" s="1204">
        <v>1</v>
      </c>
      <c r="W22" s="1137" t="s">
        <v>259</v>
      </c>
      <c r="X22" s="701" t="s">
        <v>1108</v>
      </c>
      <c r="Y22" s="701"/>
      <c r="Z22" s="1243" t="str">
        <f t="shared" si="21"/>
        <v xml:space="preserve"> </v>
      </c>
      <c r="AA22" s="1245" t="s">
        <v>2266</v>
      </c>
      <c r="AB22" s="1245" t="str">
        <f t="shared" si="22"/>
        <v xml:space="preserve"> </v>
      </c>
      <c r="AC22" s="1245" t="s">
        <v>2266</v>
      </c>
      <c r="AD22" s="701"/>
      <c r="AE22" s="701"/>
      <c r="AF22" s="1243" t="str">
        <f t="shared" si="23"/>
        <v xml:space="preserve"> </v>
      </c>
      <c r="AG22" s="1245" t="s">
        <v>2266</v>
      </c>
      <c r="AH22" s="1245" t="str">
        <f>IF(AE22=0," ",AF22/AG22)</f>
        <v xml:space="preserve"> </v>
      </c>
      <c r="AI22" s="1245" t="s">
        <v>2266</v>
      </c>
      <c r="AJ22" s="1346">
        <v>13</v>
      </c>
      <c r="AK22" s="1346">
        <v>14</v>
      </c>
      <c r="AL22" s="1243">
        <f>AJ22/AK22</f>
        <v>0.9285714285714286</v>
      </c>
      <c r="AM22" s="1347">
        <v>1</v>
      </c>
      <c r="AN22" s="1245">
        <f>AL22/AM22</f>
        <v>0.9285714285714286</v>
      </c>
      <c r="AO22" s="697" t="s">
        <v>2439</v>
      </c>
      <c r="AP22" s="701" t="s">
        <v>1108</v>
      </c>
      <c r="AQ22" s="701"/>
      <c r="AR22" s="1243" t="str">
        <f t="shared" si="24"/>
        <v xml:space="preserve"> </v>
      </c>
      <c r="AS22" s="1245" t="s">
        <v>2266</v>
      </c>
      <c r="AT22" s="1245" t="str">
        <f t="shared" si="25"/>
        <v xml:space="preserve"> </v>
      </c>
      <c r="AU22" s="1246" t="s">
        <v>2266</v>
      </c>
      <c r="AV22" s="701"/>
      <c r="AW22" s="701"/>
      <c r="AX22" s="1243" t="str">
        <f t="shared" si="26"/>
        <v xml:space="preserve"> </v>
      </c>
      <c r="AY22" s="1245"/>
      <c r="AZ22" s="1245" t="str">
        <f t="shared" si="27"/>
        <v xml:space="preserve"> </v>
      </c>
      <c r="BA22" s="1246"/>
      <c r="BB22" s="701">
        <v>4</v>
      </c>
      <c r="BC22" s="701">
        <v>4</v>
      </c>
      <c r="BD22" s="1243">
        <f t="shared" si="28"/>
        <v>1</v>
      </c>
      <c r="BE22" s="1245">
        <v>1</v>
      </c>
      <c r="BF22" s="1245">
        <f t="shared" si="29"/>
        <v>1</v>
      </c>
      <c r="BG22" s="1246" t="s">
        <v>2440</v>
      </c>
      <c r="BH22" s="701" t="s">
        <v>1108</v>
      </c>
      <c r="BI22" s="701"/>
      <c r="BJ22" s="1243" t="str">
        <f t="shared" si="30"/>
        <v xml:space="preserve"> </v>
      </c>
      <c r="BK22" s="1245" t="s">
        <v>2266</v>
      </c>
      <c r="BL22" s="1245" t="str">
        <f t="shared" si="31"/>
        <v xml:space="preserve"> </v>
      </c>
      <c r="BM22" s="1337" t="s">
        <v>148</v>
      </c>
      <c r="BN22" s="701">
        <v>78</v>
      </c>
      <c r="BO22" s="701">
        <v>87</v>
      </c>
      <c r="BP22" s="1243">
        <f t="shared" si="32"/>
        <v>0.89655172413793105</v>
      </c>
      <c r="BQ22" s="1245">
        <v>1</v>
      </c>
      <c r="BR22" s="1245">
        <f t="shared" si="33"/>
        <v>0.89655172413793105</v>
      </c>
      <c r="BS22" s="1337" t="s">
        <v>2441</v>
      </c>
      <c r="BT22" s="21">
        <v>78</v>
      </c>
      <c r="BU22" s="21">
        <v>87</v>
      </c>
      <c r="BV22" s="22">
        <f t="shared" si="34"/>
        <v>0.89655172413793105</v>
      </c>
      <c r="BW22" s="58">
        <v>1</v>
      </c>
      <c r="BX22" s="24">
        <f t="shared" si="35"/>
        <v>0.89655172413793105</v>
      </c>
      <c r="BY22" s="25" t="s">
        <v>2442</v>
      </c>
      <c r="BZ22" s="21">
        <v>0</v>
      </c>
      <c r="CA22" s="21">
        <v>0</v>
      </c>
      <c r="CB22" s="22" t="str">
        <f t="shared" si="36"/>
        <v xml:space="preserve"> </v>
      </c>
      <c r="CC22" s="58">
        <v>1</v>
      </c>
      <c r="CD22" s="24" t="str">
        <f t="shared" si="37"/>
        <v xml:space="preserve"> </v>
      </c>
      <c r="CE22" s="25" t="s">
        <v>2356</v>
      </c>
      <c r="CF22" s="21"/>
      <c r="CG22" s="21"/>
      <c r="CH22" s="22" t="str">
        <f t="shared" si="38"/>
        <v xml:space="preserve"> </v>
      </c>
      <c r="CI22" s="58"/>
      <c r="CJ22" s="24" t="str">
        <f t="shared" si="39"/>
        <v xml:space="preserve"> </v>
      </c>
      <c r="CK22" s="25"/>
      <c r="CL22" s="21">
        <v>96</v>
      </c>
      <c r="CM22" s="21">
        <v>100</v>
      </c>
      <c r="CN22" s="22">
        <f t="shared" si="40"/>
        <v>0.96</v>
      </c>
      <c r="CO22" s="58">
        <v>1</v>
      </c>
      <c r="CP22" s="24">
        <f t="shared" si="41"/>
        <v>0.96</v>
      </c>
      <c r="CQ22" s="25" t="s">
        <v>2443</v>
      </c>
      <c r="CR22" s="21">
        <v>96</v>
      </c>
      <c r="CS22" s="21">
        <v>100</v>
      </c>
      <c r="CT22" s="22">
        <f t="shared" si="42"/>
        <v>0.96</v>
      </c>
      <c r="CU22" s="58">
        <v>1</v>
      </c>
      <c r="CV22" s="24">
        <f t="shared" si="43"/>
        <v>0.96</v>
      </c>
      <c r="CW22" s="25" t="s">
        <v>2444</v>
      </c>
    </row>
    <row r="23" spans="2:101" ht="15.75" customHeight="1">
      <c r="B23" s="1972" t="s">
        <v>17</v>
      </c>
      <c r="C23" s="1972"/>
      <c r="D23" s="1972"/>
      <c r="E23" s="1972"/>
      <c r="F23" s="5"/>
      <c r="G23" s="5"/>
      <c r="H23" s="5"/>
      <c r="I23" s="5"/>
      <c r="J23" s="5"/>
      <c r="K23" s="6"/>
      <c r="L23" s="6"/>
      <c r="M23" s="6"/>
      <c r="N23" s="6"/>
      <c r="O23" s="6"/>
      <c r="P23" s="233"/>
      <c r="Q23" s="6"/>
      <c r="R23" s="6"/>
      <c r="S23" s="6"/>
      <c r="T23" s="6"/>
      <c r="U23" s="6"/>
      <c r="V23" s="6"/>
    </row>
    <row r="24" spans="2:101">
      <c r="N24" s="126"/>
      <c r="P24" s="210"/>
    </row>
    <row r="25" spans="2:101">
      <c r="E25" s="1971"/>
      <c r="F25" s="1971"/>
      <c r="G25" s="1971"/>
      <c r="H25" s="1971"/>
      <c r="K25" s="126" t="s">
        <v>28</v>
      </c>
      <c r="N25" s="126"/>
      <c r="P25" s="210"/>
    </row>
    <row r="26" spans="2:101">
      <c r="E26" s="1972" t="s">
        <v>2445</v>
      </c>
      <c r="F26" s="1972"/>
      <c r="G26" s="1972"/>
      <c r="H26" s="1972"/>
      <c r="N26" s="126"/>
      <c r="P26" s="210"/>
    </row>
    <row r="27" spans="2:101" ht="26.25" customHeight="1">
      <c r="E27" s="1974" t="s">
        <v>2446</v>
      </c>
      <c r="F27" s="1974"/>
      <c r="G27" s="1974"/>
      <c r="H27" s="1974"/>
      <c r="N27" s="126"/>
      <c r="P27" s="210"/>
    </row>
    <row r="28" spans="2:101">
      <c r="C28" s="15"/>
      <c r="E28" s="128"/>
      <c r="F28" s="128"/>
      <c r="G28" s="128"/>
      <c r="H28" s="128"/>
    </row>
    <row r="29" spans="2:101" ht="19.5" customHeight="1">
      <c r="C29" s="15"/>
    </row>
    <row r="30" spans="2:101" ht="12.75" customHeight="1">
      <c r="C30" s="15"/>
    </row>
    <row r="31" spans="2:101" ht="12.75" customHeight="1">
      <c r="C31" s="15"/>
    </row>
  </sheetData>
  <mergeCells count="49">
    <mergeCell ref="E25:H25"/>
    <mergeCell ref="E26:H26"/>
    <mergeCell ref="E27:H27"/>
    <mergeCell ref="BT6:BY6"/>
    <mergeCell ref="BZ6:CE6"/>
    <mergeCell ref="CF6:CK6"/>
    <mergeCell ref="I6:I7"/>
    <mergeCell ref="J6:J7"/>
    <mergeCell ref="K6:V6"/>
    <mergeCell ref="X6:AC6"/>
    <mergeCell ref="CR6:CW6"/>
    <mergeCell ref="B23:E23"/>
    <mergeCell ref="AJ6:AO6"/>
    <mergeCell ref="AP6:AU6"/>
    <mergeCell ref="AV6:BA6"/>
    <mergeCell ref="BB6:BG6"/>
    <mergeCell ref="BH6:BM6"/>
    <mergeCell ref="BN6:BS6"/>
    <mergeCell ref="H6:H7"/>
    <mergeCell ref="BZ4:CE4"/>
    <mergeCell ref="CF4:CK4"/>
    <mergeCell ref="CL4:CQ4"/>
    <mergeCell ref="CR4:CW4"/>
    <mergeCell ref="B6:B7"/>
    <mergeCell ref="C6:C7"/>
    <mergeCell ref="D6:D7"/>
    <mergeCell ref="E6:E7"/>
    <mergeCell ref="F6:F7"/>
    <mergeCell ref="CL6:CQ6"/>
    <mergeCell ref="G6:G7"/>
    <mergeCell ref="AP4:AU4"/>
    <mergeCell ref="AV4:BA4"/>
    <mergeCell ref="BB4:BG4"/>
    <mergeCell ref="BH4:BM4"/>
    <mergeCell ref="BN4:BS4"/>
    <mergeCell ref="AD6:AI6"/>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N13:AN14 AT13:AT14 AZ13:AZ14 CJ13:CJ14 CP14 AB13:AB14 AB17 AN17 AT17:AT22 AZ17:AZ22 BF17:BF22 CJ17:CJ22 AB19:AB22 AN19:AN21 CP17:CP22 CV17:CV22">
    <cfRule type="colorScale" priority="62">
      <colorScale>
        <cfvo type="num" val="0.69"/>
        <cfvo type="num" val="0.8"/>
        <cfvo type="num" val="0.9"/>
        <color rgb="FFF8696B"/>
        <color rgb="FFFFEB84"/>
        <color rgb="FF63BE7B"/>
      </colorScale>
    </cfRule>
  </conditionalFormatting>
  <conditionalFormatting sqref="AB15">
    <cfRule type="colorScale" priority="61">
      <colorScale>
        <cfvo type="num" val="0.69"/>
        <cfvo type="num" val="0.8"/>
        <cfvo type="num" val="0.9"/>
        <color rgb="FFF8696B"/>
        <color rgb="FFFFEB84"/>
        <color rgb="FF63BE7B"/>
      </colorScale>
    </cfRule>
  </conditionalFormatting>
  <conditionalFormatting sqref="AN15">
    <cfRule type="colorScale" priority="60">
      <colorScale>
        <cfvo type="num" val="0.69"/>
        <cfvo type="num" val="0.8"/>
        <cfvo type="num" val="0.9"/>
        <color rgb="FFF8696B"/>
        <color rgb="FFFFEB84"/>
        <color rgb="FF63BE7B"/>
      </colorScale>
    </cfRule>
  </conditionalFormatting>
  <conditionalFormatting sqref="AT15">
    <cfRule type="colorScale" priority="59">
      <colorScale>
        <cfvo type="num" val="0.69"/>
        <cfvo type="num" val="0.8"/>
        <cfvo type="num" val="0.9"/>
        <color rgb="FFF8696B"/>
        <color rgb="FFFFEB84"/>
        <color rgb="FF63BE7B"/>
      </colorScale>
    </cfRule>
  </conditionalFormatting>
  <conditionalFormatting sqref="AZ15">
    <cfRule type="colorScale" priority="58">
      <colorScale>
        <cfvo type="num" val="0.69"/>
        <cfvo type="num" val="0.8"/>
        <cfvo type="num" val="0.9"/>
        <color rgb="FFF8696B"/>
        <color rgb="FFFFEB84"/>
        <color rgb="FF63BE7B"/>
      </colorScale>
    </cfRule>
  </conditionalFormatting>
  <conditionalFormatting sqref="CJ15">
    <cfRule type="colorScale" priority="57">
      <colorScale>
        <cfvo type="num" val="0.69"/>
        <cfvo type="num" val="0.8"/>
        <cfvo type="num" val="0.9"/>
        <color rgb="FFF8696B"/>
        <color rgb="FFFFEB84"/>
        <color rgb="FF63BE7B"/>
      </colorScale>
    </cfRule>
  </conditionalFormatting>
  <conditionalFormatting sqref="CP15">
    <cfRule type="colorScale" priority="56">
      <colorScale>
        <cfvo type="num" val="0.69"/>
        <cfvo type="num" val="0.8"/>
        <cfvo type="num" val="0.9"/>
        <color rgb="FFF8696B"/>
        <color rgb="FFFFEB84"/>
        <color rgb="FF63BE7B"/>
      </colorScale>
    </cfRule>
  </conditionalFormatting>
  <conditionalFormatting sqref="CV12:CV15">
    <cfRule type="colorScale" priority="55">
      <colorScale>
        <cfvo type="num" val="0.69"/>
        <cfvo type="num" val="0.8"/>
        <cfvo type="num" val="0.9"/>
        <color rgb="FFF8696B"/>
        <color rgb="FFFFEB84"/>
        <color rgb="FF63BE7B"/>
      </colorScale>
    </cfRule>
  </conditionalFormatting>
  <conditionalFormatting sqref="CP16">
    <cfRule type="colorScale" priority="54">
      <colorScale>
        <cfvo type="num" val="0.69"/>
        <cfvo type="num" val="0.8"/>
        <cfvo type="num" val="0.9"/>
        <color rgb="FFF8696B"/>
        <color rgb="FFFFEB84"/>
        <color rgb="FF63BE7B"/>
      </colorScale>
    </cfRule>
  </conditionalFormatting>
  <conditionalFormatting sqref="CK16">
    <cfRule type="colorScale" priority="53">
      <colorScale>
        <cfvo type="num" val="0.69"/>
        <cfvo type="num" val="0.8"/>
        <cfvo type="num" val="0.9"/>
        <color rgb="FFF8696B"/>
        <color rgb="FFFFEB84"/>
        <color rgb="FF63BE7B"/>
      </colorScale>
    </cfRule>
  </conditionalFormatting>
  <conditionalFormatting sqref="CW16">
    <cfRule type="colorScale" priority="52">
      <colorScale>
        <cfvo type="num" val="0.69"/>
        <cfvo type="num" val="0.8"/>
        <cfvo type="num" val="0.9"/>
        <color rgb="FFF8696B"/>
        <color rgb="FFFFEB84"/>
        <color rgb="FF63BE7B"/>
      </colorScale>
    </cfRule>
  </conditionalFormatting>
  <conditionalFormatting sqref="AB8">
    <cfRule type="colorScale" priority="51">
      <colorScale>
        <cfvo type="num" val="0.69"/>
        <cfvo type="num" val="0.8"/>
        <cfvo type="num" val="0.9"/>
        <color rgb="FFF8696B"/>
        <color rgb="FFFFEB84"/>
        <color rgb="FF63BE7B"/>
      </colorScale>
    </cfRule>
  </conditionalFormatting>
  <conditionalFormatting sqref="AN8">
    <cfRule type="colorScale" priority="50">
      <colorScale>
        <cfvo type="num" val="0.69"/>
        <cfvo type="num" val="0.8"/>
        <cfvo type="num" val="0.9"/>
        <color rgb="FFF8696B"/>
        <color rgb="FFFFEB84"/>
        <color rgb="FF63BE7B"/>
      </colorScale>
    </cfRule>
  </conditionalFormatting>
  <conditionalFormatting sqref="AT8">
    <cfRule type="colorScale" priority="49">
      <colorScale>
        <cfvo type="num" val="0.69"/>
        <cfvo type="num" val="0.8"/>
        <cfvo type="num" val="0.9"/>
        <color rgb="FFF8696B"/>
        <color rgb="FFFFEB84"/>
        <color rgb="FF63BE7B"/>
      </colorScale>
    </cfRule>
  </conditionalFormatting>
  <conditionalFormatting sqref="AZ8">
    <cfRule type="colorScale" priority="48">
      <colorScale>
        <cfvo type="num" val="0.69"/>
        <cfvo type="num" val="0.8"/>
        <cfvo type="num" val="0.9"/>
        <color rgb="FFF8696B"/>
        <color rgb="FFFFEB84"/>
        <color rgb="FF63BE7B"/>
      </colorScale>
    </cfRule>
  </conditionalFormatting>
  <conditionalFormatting sqref="BF8">
    <cfRule type="colorScale" priority="47">
      <colorScale>
        <cfvo type="num" val="0.69"/>
        <cfvo type="num" val="0.8"/>
        <cfvo type="num" val="0.9"/>
        <color rgb="FFF8696B"/>
        <color rgb="FFFFEB84"/>
        <color rgb="FF63BE7B"/>
      </colorScale>
    </cfRule>
  </conditionalFormatting>
  <conditionalFormatting sqref="CJ8">
    <cfRule type="colorScale" priority="46">
      <colorScale>
        <cfvo type="num" val="0.69"/>
        <cfvo type="num" val="0.8"/>
        <cfvo type="num" val="0.9"/>
        <color rgb="FFF8696B"/>
        <color rgb="FFFFEB84"/>
        <color rgb="FF63BE7B"/>
      </colorScale>
    </cfRule>
  </conditionalFormatting>
  <conditionalFormatting sqref="CP8:CP13">
    <cfRule type="colorScale" priority="45">
      <colorScale>
        <cfvo type="num" val="0.69"/>
        <cfvo type="num" val="0.8"/>
        <cfvo type="num" val="0.9"/>
        <color rgb="FFF8696B"/>
        <color rgb="FFFFEB84"/>
        <color rgb="FF63BE7B"/>
      </colorScale>
    </cfRule>
  </conditionalFormatting>
  <conditionalFormatting sqref="CV8:CV11">
    <cfRule type="colorScale" priority="44">
      <colorScale>
        <cfvo type="num" val="0.69"/>
        <cfvo type="num" val="0.8"/>
        <cfvo type="num" val="0.9"/>
        <color rgb="FFF8696B"/>
        <color rgb="FFFFEB84"/>
        <color rgb="FF63BE7B"/>
      </colorScale>
    </cfRule>
  </conditionalFormatting>
  <conditionalFormatting sqref="AB9">
    <cfRule type="colorScale" priority="43">
      <colorScale>
        <cfvo type="num" val="0.69"/>
        <cfvo type="num" val="0.8"/>
        <cfvo type="num" val="0.9"/>
        <color rgb="FFF8696B"/>
        <color rgb="FFFFEB84"/>
        <color rgb="FF63BE7B"/>
      </colorScale>
    </cfRule>
  </conditionalFormatting>
  <conditionalFormatting sqref="AN9">
    <cfRule type="colorScale" priority="42">
      <colorScale>
        <cfvo type="num" val="0.69"/>
        <cfvo type="num" val="0.8"/>
        <cfvo type="num" val="0.9"/>
        <color rgb="FFF8696B"/>
        <color rgb="FFFFEB84"/>
        <color rgb="FF63BE7B"/>
      </colorScale>
    </cfRule>
  </conditionalFormatting>
  <conditionalFormatting sqref="AT9">
    <cfRule type="colorScale" priority="41">
      <colorScale>
        <cfvo type="num" val="0.69"/>
        <cfvo type="num" val="0.8"/>
        <cfvo type="num" val="0.9"/>
        <color rgb="FFF8696B"/>
        <color rgb="FFFFEB84"/>
        <color rgb="FF63BE7B"/>
      </colorScale>
    </cfRule>
  </conditionalFormatting>
  <conditionalFormatting sqref="AZ9">
    <cfRule type="colorScale" priority="40">
      <colorScale>
        <cfvo type="num" val="0.69"/>
        <cfvo type="num" val="0.8"/>
        <cfvo type="num" val="0.9"/>
        <color rgb="FFF8696B"/>
        <color rgb="FFFFEB84"/>
        <color rgb="FF63BE7B"/>
      </colorScale>
    </cfRule>
  </conditionalFormatting>
  <conditionalFormatting sqref="BF9">
    <cfRule type="colorScale" priority="39">
      <colorScale>
        <cfvo type="num" val="0.69"/>
        <cfvo type="num" val="0.8"/>
        <cfvo type="num" val="0.9"/>
        <color rgb="FFF8696B"/>
        <color rgb="FFFFEB84"/>
        <color rgb="FF63BE7B"/>
      </colorScale>
    </cfRule>
  </conditionalFormatting>
  <conditionalFormatting sqref="CJ9">
    <cfRule type="colorScale" priority="38">
      <colorScale>
        <cfvo type="num" val="0.69"/>
        <cfvo type="num" val="0.8"/>
        <cfvo type="num" val="0.9"/>
        <color rgb="FFF8696B"/>
        <color rgb="FFFFEB84"/>
        <color rgb="FF63BE7B"/>
      </colorScale>
    </cfRule>
  </conditionalFormatting>
  <conditionalFormatting sqref="AB10:AB12">
    <cfRule type="colorScale" priority="37">
      <colorScale>
        <cfvo type="num" val="0.69"/>
        <cfvo type="num" val="0.8"/>
        <cfvo type="num" val="0.9"/>
        <color rgb="FFF8696B"/>
        <color rgb="FFFFEB84"/>
        <color rgb="FF63BE7B"/>
      </colorScale>
    </cfRule>
  </conditionalFormatting>
  <conditionalFormatting sqref="AN10:AN12">
    <cfRule type="colorScale" priority="36">
      <colorScale>
        <cfvo type="num" val="0.69"/>
        <cfvo type="num" val="0.8"/>
        <cfvo type="num" val="0.9"/>
        <color rgb="FFF8696B"/>
        <color rgb="FFFFEB84"/>
        <color rgb="FF63BE7B"/>
      </colorScale>
    </cfRule>
  </conditionalFormatting>
  <conditionalFormatting sqref="AT10:AT12">
    <cfRule type="colorScale" priority="35">
      <colorScale>
        <cfvo type="num" val="0.69"/>
        <cfvo type="num" val="0.8"/>
        <cfvo type="num" val="0.9"/>
        <color rgb="FFF8696B"/>
        <color rgb="FFFFEB84"/>
        <color rgb="FF63BE7B"/>
      </colorScale>
    </cfRule>
  </conditionalFormatting>
  <conditionalFormatting sqref="AZ10:AZ12">
    <cfRule type="colorScale" priority="34">
      <colorScale>
        <cfvo type="num" val="0.69"/>
        <cfvo type="num" val="0.8"/>
        <cfvo type="num" val="0.9"/>
        <color rgb="FFF8696B"/>
        <color rgb="FFFFEB84"/>
        <color rgb="FF63BE7B"/>
      </colorScale>
    </cfRule>
  </conditionalFormatting>
  <conditionalFormatting sqref="BF10">
    <cfRule type="colorScale" priority="33">
      <colorScale>
        <cfvo type="num" val="0.69"/>
        <cfvo type="num" val="0.8"/>
        <cfvo type="num" val="0.9"/>
        <color rgb="FFF8696B"/>
        <color rgb="FFFFEB84"/>
        <color rgb="FF63BE7B"/>
      </colorScale>
    </cfRule>
  </conditionalFormatting>
  <conditionalFormatting sqref="CJ10:CJ12">
    <cfRule type="colorScale" priority="32">
      <colorScale>
        <cfvo type="num" val="0.69"/>
        <cfvo type="num" val="0.8"/>
        <cfvo type="num" val="0.9"/>
        <color rgb="FFF8696B"/>
        <color rgb="FFFFEB84"/>
        <color rgb="FF63BE7B"/>
      </colorScale>
    </cfRule>
  </conditionalFormatting>
  <conditionalFormatting sqref="AB18">
    <cfRule type="colorScale" priority="31">
      <colorScale>
        <cfvo type="num" val="0.69"/>
        <cfvo type="num" val="0.8"/>
        <cfvo type="num" val="0.9"/>
        <color rgb="FFF8696B"/>
        <color rgb="FFFFEB84"/>
        <color rgb="FF63BE7B"/>
      </colorScale>
    </cfRule>
  </conditionalFormatting>
  <conditionalFormatting sqref="AB18">
    <cfRule type="colorScale" priority="30">
      <colorScale>
        <cfvo type="num" val="0.69"/>
        <cfvo type="num" val="0.8"/>
        <cfvo type="num" val="0.9"/>
        <color rgb="FFF8696B"/>
        <color rgb="FFFFEB84"/>
        <color rgb="FF63BE7B"/>
      </colorScale>
    </cfRule>
  </conditionalFormatting>
  <conditionalFormatting sqref="AH13:AH14 AH17 AH19:AH22">
    <cfRule type="colorScale" priority="29">
      <colorScale>
        <cfvo type="num" val="0.69"/>
        <cfvo type="num" val="0.8"/>
        <cfvo type="num" val="0.9"/>
        <color rgb="FFF8696B"/>
        <color rgb="FFFFEB84"/>
        <color rgb="FF63BE7B"/>
      </colorScale>
    </cfRule>
  </conditionalFormatting>
  <conditionalFormatting sqref="AH15">
    <cfRule type="colorScale" priority="28">
      <colorScale>
        <cfvo type="num" val="0.69"/>
        <cfvo type="num" val="0.8"/>
        <cfvo type="num" val="0.9"/>
        <color rgb="FFF8696B"/>
        <color rgb="FFFFEB84"/>
        <color rgb="FF63BE7B"/>
      </colorScale>
    </cfRule>
  </conditionalFormatting>
  <conditionalFormatting sqref="AH8">
    <cfRule type="colorScale" priority="27">
      <colorScale>
        <cfvo type="num" val="0.69"/>
        <cfvo type="num" val="0.8"/>
        <cfvo type="num" val="0.9"/>
        <color rgb="FFF8696B"/>
        <color rgb="FFFFEB84"/>
        <color rgb="FF63BE7B"/>
      </colorScale>
    </cfRule>
  </conditionalFormatting>
  <conditionalFormatting sqref="AH9">
    <cfRule type="colorScale" priority="26">
      <colorScale>
        <cfvo type="num" val="0.69"/>
        <cfvo type="num" val="0.8"/>
        <cfvo type="num" val="0.9"/>
        <color rgb="FFF8696B"/>
        <color rgb="FFFFEB84"/>
        <color rgb="FF63BE7B"/>
      </colorScale>
    </cfRule>
  </conditionalFormatting>
  <conditionalFormatting sqref="AH10:AH12">
    <cfRule type="colorScale" priority="25">
      <colorScale>
        <cfvo type="num" val="0.69"/>
        <cfvo type="num" val="0.8"/>
        <cfvo type="num" val="0.9"/>
        <color rgb="FFF8696B"/>
        <color rgb="FFFFEB84"/>
        <color rgb="FF63BE7B"/>
      </colorScale>
    </cfRule>
  </conditionalFormatting>
  <conditionalFormatting sqref="AH18">
    <cfRule type="colorScale" priority="24">
      <colorScale>
        <cfvo type="num" val="0.69"/>
        <cfvo type="num" val="0.8"/>
        <cfvo type="num" val="0.9"/>
        <color rgb="FFF8696B"/>
        <color rgb="FFFFEB84"/>
        <color rgb="FF63BE7B"/>
      </colorScale>
    </cfRule>
  </conditionalFormatting>
  <conditionalFormatting sqref="AH18">
    <cfRule type="colorScale" priority="23">
      <colorScale>
        <cfvo type="num" val="0.69"/>
        <cfvo type="num" val="0.8"/>
        <cfvo type="num" val="0.9"/>
        <color rgb="FFF8696B"/>
        <color rgb="FFFFEB84"/>
        <color rgb="FF63BE7B"/>
      </colorScale>
    </cfRule>
  </conditionalFormatting>
  <conditionalFormatting sqref="AN18">
    <cfRule type="colorScale" priority="22">
      <colorScale>
        <cfvo type="num" val="0.69"/>
        <cfvo type="num" val="0.8"/>
        <cfvo type="num" val="0.9"/>
        <color rgb="FFF8696B"/>
        <color rgb="FFFFEB84"/>
        <color rgb="FF63BE7B"/>
      </colorScale>
    </cfRule>
  </conditionalFormatting>
  <conditionalFormatting sqref="AN18">
    <cfRule type="colorScale" priority="21">
      <colorScale>
        <cfvo type="num" val="0.69"/>
        <cfvo type="num" val="0.8"/>
        <cfvo type="num" val="0.9"/>
        <color rgb="FFF8696B"/>
        <color rgb="FFFFEB84"/>
        <color rgb="FF63BE7B"/>
      </colorScale>
    </cfRule>
  </conditionalFormatting>
  <conditionalFormatting sqref="AN22">
    <cfRule type="colorScale" priority="20">
      <colorScale>
        <cfvo type="num" val="0.69"/>
        <cfvo type="num" val="0.8"/>
        <cfvo type="num" val="0.9"/>
        <color rgb="FFF8696B"/>
        <color rgb="FFFFEB84"/>
        <color rgb="FF63BE7B"/>
      </colorScale>
    </cfRule>
  </conditionalFormatting>
  <conditionalFormatting sqref="BF11:BF15">
    <cfRule type="colorScale" priority="19">
      <colorScale>
        <cfvo type="num" val="0.69"/>
        <cfvo type="num" val="0.8"/>
        <cfvo type="num" val="0.9"/>
        <color rgb="FFF8696B"/>
        <color rgb="FFFFEB84"/>
        <color rgb="FF63BE7B"/>
      </colorScale>
    </cfRule>
  </conditionalFormatting>
  <conditionalFormatting sqref="BR13:BR14 BR17:BR22">
    <cfRule type="colorScale" priority="18">
      <colorScale>
        <cfvo type="num" val="0.69"/>
        <cfvo type="num" val="0.8"/>
        <cfvo type="num" val="0.9"/>
        <color rgb="FFF8696B"/>
        <color rgb="FFFFEB84"/>
        <color rgb="FF63BE7B"/>
      </colorScale>
    </cfRule>
  </conditionalFormatting>
  <conditionalFormatting sqref="BR15">
    <cfRule type="colorScale" priority="17">
      <colorScale>
        <cfvo type="num" val="0.69"/>
        <cfvo type="num" val="0.8"/>
        <cfvo type="num" val="0.9"/>
        <color rgb="FFF8696B"/>
        <color rgb="FFFFEB84"/>
        <color rgb="FF63BE7B"/>
      </colorScale>
    </cfRule>
  </conditionalFormatting>
  <conditionalFormatting sqref="BR8">
    <cfRule type="colorScale" priority="16">
      <colorScale>
        <cfvo type="num" val="0.69"/>
        <cfvo type="num" val="0.8"/>
        <cfvo type="num" val="0.9"/>
        <color rgb="FFF8696B"/>
        <color rgb="FFFFEB84"/>
        <color rgb="FF63BE7B"/>
      </colorScale>
    </cfRule>
  </conditionalFormatting>
  <conditionalFormatting sqref="BR9">
    <cfRule type="colorScale" priority="15">
      <colorScale>
        <cfvo type="num" val="0.69"/>
        <cfvo type="num" val="0.8"/>
        <cfvo type="num" val="0.9"/>
        <color rgb="FFF8696B"/>
        <color rgb="FFFFEB84"/>
        <color rgb="FF63BE7B"/>
      </colorScale>
    </cfRule>
  </conditionalFormatting>
  <conditionalFormatting sqref="BR10:BR12">
    <cfRule type="colorScale" priority="14">
      <colorScale>
        <cfvo type="num" val="0.69"/>
        <cfvo type="num" val="0.8"/>
        <cfvo type="num" val="0.9"/>
        <color rgb="FFF8696B"/>
        <color rgb="FFFFEB84"/>
        <color rgb="FF63BE7B"/>
      </colorScale>
    </cfRule>
  </conditionalFormatting>
  <conditionalFormatting sqref="BL13:BL14 BL17:BL22">
    <cfRule type="colorScale" priority="13">
      <colorScale>
        <cfvo type="num" val="0.69"/>
        <cfvo type="num" val="0.8"/>
        <cfvo type="num" val="0.9"/>
        <color rgb="FFF8696B"/>
        <color rgb="FFFFEB84"/>
        <color rgb="FF63BE7B"/>
      </colorScale>
    </cfRule>
  </conditionalFormatting>
  <conditionalFormatting sqref="BL15">
    <cfRule type="colorScale" priority="12">
      <colorScale>
        <cfvo type="num" val="0.69"/>
        <cfvo type="num" val="0.8"/>
        <cfvo type="num" val="0.9"/>
        <color rgb="FFF8696B"/>
        <color rgb="FFFFEB84"/>
        <color rgb="FF63BE7B"/>
      </colorScale>
    </cfRule>
  </conditionalFormatting>
  <conditionalFormatting sqref="BL8">
    <cfRule type="colorScale" priority="11">
      <colorScale>
        <cfvo type="num" val="0.69"/>
        <cfvo type="num" val="0.8"/>
        <cfvo type="num" val="0.9"/>
        <color rgb="FFF8696B"/>
        <color rgb="FFFFEB84"/>
        <color rgb="FF63BE7B"/>
      </colorScale>
    </cfRule>
  </conditionalFormatting>
  <conditionalFormatting sqref="BL9">
    <cfRule type="colorScale" priority="10">
      <colorScale>
        <cfvo type="num" val="0.69"/>
        <cfvo type="num" val="0.8"/>
        <cfvo type="num" val="0.9"/>
        <color rgb="FFF8696B"/>
        <color rgb="FFFFEB84"/>
        <color rgb="FF63BE7B"/>
      </colorScale>
    </cfRule>
  </conditionalFormatting>
  <conditionalFormatting sqref="BL10:BL12">
    <cfRule type="colorScale" priority="9">
      <colorScale>
        <cfvo type="num" val="0.69"/>
        <cfvo type="num" val="0.8"/>
        <cfvo type="num" val="0.9"/>
        <color rgb="FFF8696B"/>
        <color rgb="FFFFEB84"/>
        <color rgb="FF63BE7B"/>
      </colorScale>
    </cfRule>
  </conditionalFormatting>
  <conditionalFormatting sqref="CD13:CD14 CD17:CD22">
    <cfRule type="colorScale" priority="8">
      <colorScale>
        <cfvo type="num" val="0.69"/>
        <cfvo type="num" val="0.8"/>
        <cfvo type="num" val="0.9"/>
        <color rgb="FFF8696B"/>
        <color rgb="FFFFEB84"/>
        <color rgb="FF63BE7B"/>
      </colorScale>
    </cfRule>
  </conditionalFormatting>
  <conditionalFormatting sqref="CD15">
    <cfRule type="colorScale" priority="7">
      <colorScale>
        <cfvo type="num" val="0.69"/>
        <cfvo type="num" val="0.8"/>
        <cfvo type="num" val="0.9"/>
        <color rgb="FFF8696B"/>
        <color rgb="FFFFEB84"/>
        <color rgb="FF63BE7B"/>
      </colorScale>
    </cfRule>
  </conditionalFormatting>
  <conditionalFormatting sqref="CE16">
    <cfRule type="colorScale" priority="6">
      <colorScale>
        <cfvo type="num" val="0.69"/>
        <cfvo type="num" val="0.8"/>
        <cfvo type="num" val="0.9"/>
        <color rgb="FFF8696B"/>
        <color rgb="FFFFEB84"/>
        <color rgb="FF63BE7B"/>
      </colorScale>
    </cfRule>
  </conditionalFormatting>
  <conditionalFormatting sqref="CD8:CD12">
    <cfRule type="colorScale" priority="5">
      <colorScale>
        <cfvo type="num" val="0.69"/>
        <cfvo type="num" val="0.8"/>
        <cfvo type="num" val="0.9"/>
        <color rgb="FFF8696B"/>
        <color rgb="FFFFEB84"/>
        <color rgb="FF63BE7B"/>
      </colorScale>
    </cfRule>
  </conditionalFormatting>
  <conditionalFormatting sqref="BX13:BX14 BX17:BX22">
    <cfRule type="colorScale" priority="4">
      <colorScale>
        <cfvo type="num" val="0.69"/>
        <cfvo type="num" val="0.8"/>
        <cfvo type="num" val="0.9"/>
        <color rgb="FFF8696B"/>
        <color rgb="FFFFEB84"/>
        <color rgb="FF63BE7B"/>
      </colorScale>
    </cfRule>
  </conditionalFormatting>
  <conditionalFormatting sqref="BX15">
    <cfRule type="colorScale" priority="3">
      <colorScale>
        <cfvo type="num" val="0.69"/>
        <cfvo type="num" val="0.8"/>
        <cfvo type="num" val="0.9"/>
        <color rgb="FFF8696B"/>
        <color rgb="FFFFEB84"/>
        <color rgb="FF63BE7B"/>
      </colorScale>
    </cfRule>
  </conditionalFormatting>
  <conditionalFormatting sqref="BY16">
    <cfRule type="colorScale" priority="2">
      <colorScale>
        <cfvo type="num" val="0.69"/>
        <cfvo type="num" val="0.8"/>
        <cfvo type="num" val="0.9"/>
        <color rgb="FFF8696B"/>
        <color rgb="FFFFEB84"/>
        <color rgb="FF63BE7B"/>
      </colorScale>
    </cfRule>
  </conditionalFormatting>
  <conditionalFormatting sqref="BX8:BX12">
    <cfRule type="colorScale" priority="1">
      <colorScale>
        <cfvo type="num" val="0.69"/>
        <cfvo type="num" val="0.8"/>
        <cfvo type="num" val="0.9"/>
        <color rgb="FFF8696B"/>
        <color rgb="FFFFEB84"/>
        <color rgb="FF63BE7B"/>
      </colorScale>
    </cfRule>
  </conditionalFormatting>
  <dataValidations count="2">
    <dataValidation allowBlank="1" showInputMessage="1" showErrorMessage="1" prompt="Establezca el documento o entregable que evidencia la obtención del subproducto _x000a_" sqref="I8"/>
    <dataValidation type="list" allowBlank="1" showInputMessage="1" showErrorMessage="1" sqref="D9:D15">
      <formula1>INI</formula1>
    </dataValidation>
  </dataValidations>
  <printOptions horizontalCentered="1"/>
  <pageMargins left="0.23622047244094491" right="0.23622047244094491" top="0.74803149606299213" bottom="0.74803149606299213" header="0.31496062992125984" footer="0.31496062992125984"/>
  <pageSetup scale="60" fitToHeight="0" orientation="landscape" r:id="rId1"/>
  <headerFooter alignWithMargins="0"/>
  <rowBreaks count="1" manualBreakCount="1">
    <brk id="15" min="1" max="100" man="1"/>
  </rowBreaks>
  <colBreaks count="13" manualBreakCount="13">
    <brk id="23" max="21" man="1"/>
    <brk id="29" max="21" man="1"/>
    <brk id="35" max="21" man="1"/>
    <brk id="41" max="21" man="1"/>
    <brk id="47" max="21" man="1"/>
    <brk id="53" max="21" man="1"/>
    <brk id="59" max="21" man="1"/>
    <brk id="65" max="21" man="1"/>
    <brk id="71" max="21" man="1"/>
    <brk id="77" max="21" man="1"/>
    <brk id="83" max="21" man="1"/>
    <brk id="89" max="21" man="1"/>
    <brk id="95" max="21"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pageSetUpPr fitToPage="1"/>
  </sheetPr>
  <dimension ref="A1:CW33"/>
  <sheetViews>
    <sheetView showGridLines="0" view="pageBreakPreview" zoomScale="70" zoomScaleNormal="100" zoomScaleSheetLayoutView="70" workbookViewId="0">
      <selection activeCell="B8" sqref="B8"/>
    </sheetView>
  </sheetViews>
  <sheetFormatPr baseColWidth="10" defaultRowHeight="12.75"/>
  <cols>
    <col min="1" max="1" width="3.42578125" style="15" customWidth="1"/>
    <col min="2" max="2" width="25" style="15" customWidth="1"/>
    <col min="3" max="3" width="11" style="2" customWidth="1"/>
    <col min="4" max="4" width="34.5703125" style="15" customWidth="1"/>
    <col min="5" max="5" width="15.5703125" style="15" hidden="1" customWidth="1"/>
    <col min="6" max="6" width="25.140625" style="15" hidden="1" customWidth="1"/>
    <col min="7" max="7" width="9.28515625" style="15" hidden="1" customWidth="1"/>
    <col min="8" max="8" width="30.28515625" style="15" hidden="1" customWidth="1"/>
    <col min="9" max="9" width="16.7109375" style="15" hidden="1" customWidth="1"/>
    <col min="10" max="10" width="15.140625" style="15" hidden="1" customWidth="1"/>
    <col min="11" max="11" width="5.85546875" style="15" hidden="1" customWidth="1"/>
    <col min="12" max="12" width="9" style="15" customWidth="1"/>
    <col min="13" max="13" width="7.140625" style="15" customWidth="1"/>
    <col min="14" max="14" width="6" style="15" bestFit="1" customWidth="1"/>
    <col min="15" max="15" width="5" style="15" bestFit="1" customWidth="1"/>
    <col min="16" max="16" width="6.7109375" style="15" customWidth="1"/>
    <col min="17" max="17" width="5.85546875" style="15" customWidth="1"/>
    <col min="18" max="18" width="6.7109375" style="126" customWidth="1"/>
    <col min="19" max="19" width="5.85546875" style="15" customWidth="1"/>
    <col min="20" max="21" width="6.7109375" style="15" customWidth="1"/>
    <col min="22" max="22" width="5.85546875" style="15" customWidth="1"/>
    <col min="23" max="23" width="18" style="15" bestFit="1" customWidth="1"/>
    <col min="24" max="24" width="38" style="15" customWidth="1"/>
    <col min="25" max="25" width="11" style="15" customWidth="1"/>
    <col min="26" max="26" width="8.140625" style="15" customWidth="1"/>
    <col min="27" max="27" width="9.28515625" style="15" customWidth="1"/>
    <col min="28" max="28" width="11.5703125" style="15" customWidth="1"/>
    <col min="29" max="29" width="47.42578125" style="15" customWidth="1"/>
    <col min="30" max="30" width="9.28515625" style="15" customWidth="1"/>
    <col min="31" max="31" width="11" style="15" customWidth="1"/>
    <col min="32" max="33" width="8.140625" style="15" customWidth="1"/>
    <col min="34" max="34" width="11.5703125" style="15" customWidth="1"/>
    <col min="35" max="35" width="49.28515625" style="15" customWidth="1"/>
    <col min="36" max="36" width="13.140625" style="15" customWidth="1"/>
    <col min="37" max="37" width="15" style="15" customWidth="1"/>
    <col min="38" max="39" width="8.140625" style="15" customWidth="1"/>
    <col min="40" max="40" width="11.5703125" style="15" customWidth="1"/>
    <col min="41" max="41" width="47" style="15" customWidth="1"/>
    <col min="42" max="42" width="12.7109375" style="15" customWidth="1"/>
    <col min="43" max="43" width="14.28515625" style="15" customWidth="1"/>
    <col min="44" max="45" width="8.140625" style="15" customWidth="1"/>
    <col min="46" max="46" width="11.5703125" style="15" customWidth="1"/>
    <col min="47" max="47" width="49.28515625" style="15" customWidth="1"/>
    <col min="48" max="49" width="14" style="15" customWidth="1"/>
    <col min="50" max="51" width="8.140625" style="15" customWidth="1"/>
    <col min="52" max="52" width="11.5703125" style="15" customWidth="1"/>
    <col min="53" max="53" width="55.42578125" style="15" customWidth="1"/>
    <col min="54" max="54" width="13.7109375" style="15" customWidth="1"/>
    <col min="55" max="55" width="15.140625" style="15" customWidth="1"/>
    <col min="56" max="57" width="8.140625" style="15" customWidth="1"/>
    <col min="58" max="58" width="11.5703125" style="15" customWidth="1"/>
    <col min="59" max="59" width="55.42578125" style="15" customWidth="1"/>
    <col min="60" max="60" width="13.140625" style="15" customWidth="1"/>
    <col min="61" max="61" width="14.28515625" style="15" customWidth="1"/>
    <col min="62" max="63" width="8.140625" style="15" customWidth="1"/>
    <col min="64" max="64" width="11.5703125" style="15" customWidth="1"/>
    <col min="65" max="65" width="55.42578125" style="15" customWidth="1"/>
    <col min="66" max="66" width="14.42578125" style="15" customWidth="1"/>
    <col min="67" max="67" width="15" style="15" customWidth="1"/>
    <col min="68" max="69" width="8.140625" style="15" customWidth="1"/>
    <col min="70" max="70" width="12.28515625" style="15" customWidth="1"/>
    <col min="71" max="71" width="27" style="15" customWidth="1"/>
    <col min="72" max="72" width="12" style="15" customWidth="1"/>
    <col min="73" max="73" width="14.140625" style="15" customWidth="1"/>
    <col min="74" max="75" width="8.140625" style="15" customWidth="1"/>
    <col min="76" max="76" width="11.5703125" style="15" customWidth="1"/>
    <col min="77" max="77" width="55.42578125" style="15" customWidth="1"/>
    <col min="78" max="78" width="9.28515625" style="15" customWidth="1"/>
    <col min="79" max="79" width="15.28515625" style="15" customWidth="1"/>
    <col min="80" max="81" width="8.140625" style="15" customWidth="1"/>
    <col min="82" max="82" width="11.5703125" style="15" customWidth="1"/>
    <col min="83" max="83" width="55.42578125" style="15" customWidth="1"/>
    <col min="84" max="84" width="9.28515625" style="15" customWidth="1"/>
    <col min="85" max="85" width="14.140625" style="15" customWidth="1"/>
    <col min="86" max="87" width="8.140625" style="15" customWidth="1"/>
    <col min="88" max="88" width="11.5703125" style="15" customWidth="1"/>
    <col min="89" max="89" width="55.42578125" style="15" customWidth="1"/>
    <col min="90" max="90" width="20.140625" style="15" bestFit="1" customWidth="1"/>
    <col min="91" max="91" width="15.28515625" style="15" bestFit="1" customWidth="1"/>
    <col min="92" max="93" width="8.140625" style="15" customWidth="1"/>
    <col min="94" max="94" width="11.5703125" style="15" customWidth="1"/>
    <col min="95" max="95" width="59" style="15" customWidth="1"/>
    <col min="96" max="96" width="17.42578125" style="15" bestFit="1" customWidth="1"/>
    <col min="97" max="97" width="19.140625" style="15" bestFit="1" customWidth="1"/>
    <col min="98" max="98" width="8.140625" style="15" customWidth="1"/>
    <col min="99" max="99" width="9.140625" style="15" customWidth="1"/>
    <col min="100" max="100" width="12.85546875" style="15" customWidth="1"/>
    <col min="101" max="101" width="58.42578125" style="15" customWidth="1"/>
    <col min="102" max="16384" width="11.42578125" style="15"/>
  </cols>
  <sheetData>
    <row r="1" spans="1:101" s="4" customFormat="1" ht="12.6"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1" s="3" customFormat="1" ht="43.9"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row>
    <row r="3" spans="1:101" ht="12" customHeight="1"/>
    <row r="4" spans="1:101" ht="48.6" customHeight="1">
      <c r="B4" s="127" t="s">
        <v>18</v>
      </c>
      <c r="C4" s="2002" t="s">
        <v>171</v>
      </c>
      <c r="D4" s="2002"/>
      <c r="E4" s="2002"/>
      <c r="F4" s="2002"/>
      <c r="G4" s="2002"/>
      <c r="H4" s="2002"/>
      <c r="I4" s="2002"/>
      <c r="J4" s="2002"/>
      <c r="K4" s="2003" t="s">
        <v>21</v>
      </c>
      <c r="L4" s="2003"/>
      <c r="M4" s="2003"/>
      <c r="N4" s="2004" t="s">
        <v>172</v>
      </c>
      <c r="O4" s="2005"/>
      <c r="P4" s="2005"/>
      <c r="Q4" s="2005"/>
      <c r="R4" s="2005"/>
      <c r="S4" s="2005"/>
      <c r="T4" s="2005"/>
      <c r="U4" s="2005"/>
      <c r="V4" s="2006"/>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18" customHeight="1">
      <c r="A5" s="128"/>
      <c r="B5" s="128"/>
      <c r="C5" s="44"/>
      <c r="D5" s="128"/>
      <c r="E5" s="128"/>
      <c r="F5" s="128"/>
      <c r="G5" s="128"/>
      <c r="H5" s="128"/>
      <c r="I5" s="128"/>
      <c r="J5" s="128"/>
      <c r="K5" s="128"/>
      <c r="L5" s="128"/>
      <c r="M5" s="128"/>
      <c r="N5" s="128"/>
      <c r="O5" s="128"/>
      <c r="P5" s="128"/>
      <c r="Q5" s="128"/>
      <c r="R5" s="129"/>
      <c r="S5" s="128"/>
      <c r="T5" s="128"/>
      <c r="U5" s="128"/>
      <c r="V5" s="128"/>
      <c r="W5" s="128"/>
    </row>
    <row r="6" spans="1:101"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2007" t="s">
        <v>173</v>
      </c>
      <c r="X6" s="1986"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1" s="2" customFormat="1" ht="33.75">
      <c r="B7" s="1968"/>
      <c r="C7" s="1968"/>
      <c r="D7" s="1968"/>
      <c r="E7" s="1968"/>
      <c r="F7" s="1968"/>
      <c r="G7" s="1968"/>
      <c r="H7" s="1992"/>
      <c r="I7" s="1968"/>
      <c r="J7" s="1968"/>
      <c r="K7" s="47" t="s">
        <v>13</v>
      </c>
      <c r="L7" s="47" t="s">
        <v>0</v>
      </c>
      <c r="M7" s="47" t="s">
        <v>1</v>
      </c>
      <c r="N7" s="47" t="s">
        <v>14</v>
      </c>
      <c r="O7" s="47" t="s">
        <v>2</v>
      </c>
      <c r="P7" s="47" t="s">
        <v>3</v>
      </c>
      <c r="Q7" s="47" t="s">
        <v>4</v>
      </c>
      <c r="R7" s="130" t="s">
        <v>5</v>
      </c>
      <c r="S7" s="47" t="s">
        <v>6</v>
      </c>
      <c r="T7" s="47" t="s">
        <v>7</v>
      </c>
      <c r="U7" s="47" t="s">
        <v>8</v>
      </c>
      <c r="V7" s="47" t="s">
        <v>9</v>
      </c>
      <c r="W7" s="2007"/>
      <c r="X7" s="131" t="s">
        <v>31</v>
      </c>
      <c r="Y7" s="131" t="s">
        <v>32</v>
      </c>
      <c r="Z7" s="132" t="s">
        <v>33</v>
      </c>
      <c r="AA7" s="131" t="s">
        <v>34</v>
      </c>
      <c r="AB7" s="133" t="s">
        <v>35</v>
      </c>
      <c r="AC7" s="132" t="s">
        <v>36</v>
      </c>
      <c r="AD7" s="131" t="s">
        <v>31</v>
      </c>
      <c r="AE7" s="131" t="s">
        <v>32</v>
      </c>
      <c r="AF7" s="132" t="s">
        <v>33</v>
      </c>
      <c r="AG7" s="131" t="s">
        <v>34</v>
      </c>
      <c r="AH7" s="133" t="s">
        <v>35</v>
      </c>
      <c r="AI7" s="132" t="s">
        <v>36</v>
      </c>
      <c r="AJ7" s="131" t="s">
        <v>31</v>
      </c>
      <c r="AK7" s="131" t="s">
        <v>32</v>
      </c>
      <c r="AL7" s="132" t="s">
        <v>33</v>
      </c>
      <c r="AM7" s="131" t="s">
        <v>34</v>
      </c>
      <c r="AN7" s="133" t="s">
        <v>35</v>
      </c>
      <c r="AO7" s="132" t="s">
        <v>36</v>
      </c>
      <c r="AP7" s="131" t="s">
        <v>31</v>
      </c>
      <c r="AQ7" s="131" t="s">
        <v>32</v>
      </c>
      <c r="AR7" s="132" t="s">
        <v>33</v>
      </c>
      <c r="AS7" s="131" t="s">
        <v>34</v>
      </c>
      <c r="AT7" s="133" t="s">
        <v>35</v>
      </c>
      <c r="AU7" s="132" t="s">
        <v>36</v>
      </c>
      <c r="AV7" s="131" t="s">
        <v>31</v>
      </c>
      <c r="AW7" s="131" t="s">
        <v>32</v>
      </c>
      <c r="AX7" s="132" t="s">
        <v>33</v>
      </c>
      <c r="AY7" s="131" t="s">
        <v>34</v>
      </c>
      <c r="AZ7" s="133" t="s">
        <v>35</v>
      </c>
      <c r="BA7" s="132" t="s">
        <v>36</v>
      </c>
      <c r="BB7" s="131" t="s">
        <v>31</v>
      </c>
      <c r="BC7" s="131" t="s">
        <v>32</v>
      </c>
      <c r="BD7" s="132" t="s">
        <v>33</v>
      </c>
      <c r="BE7" s="131" t="s">
        <v>34</v>
      </c>
      <c r="BF7" s="133" t="s">
        <v>35</v>
      </c>
      <c r="BG7" s="132" t="s">
        <v>36</v>
      </c>
      <c r="BH7" s="131" t="s">
        <v>31</v>
      </c>
      <c r="BI7" s="131" t="s">
        <v>32</v>
      </c>
      <c r="BJ7" s="132" t="s">
        <v>33</v>
      </c>
      <c r="BK7" s="131" t="s">
        <v>34</v>
      </c>
      <c r="BL7" s="133" t="s">
        <v>35</v>
      </c>
      <c r="BM7" s="132" t="s">
        <v>36</v>
      </c>
      <c r="BN7" s="131" t="s">
        <v>31</v>
      </c>
      <c r="BO7" s="131" t="s">
        <v>32</v>
      </c>
      <c r="BP7" s="132" t="s">
        <v>33</v>
      </c>
      <c r="BQ7" s="131" t="s">
        <v>34</v>
      </c>
      <c r="BR7" s="133" t="s">
        <v>35</v>
      </c>
      <c r="BS7" s="132" t="s">
        <v>36</v>
      </c>
      <c r="BT7" s="131" t="s">
        <v>31</v>
      </c>
      <c r="BU7" s="131" t="s">
        <v>32</v>
      </c>
      <c r="BV7" s="132" t="s">
        <v>33</v>
      </c>
      <c r="BW7" s="131" t="s">
        <v>34</v>
      </c>
      <c r="BX7" s="133" t="s">
        <v>35</v>
      </c>
      <c r="BY7" s="132" t="s">
        <v>36</v>
      </c>
      <c r="BZ7" s="131" t="s">
        <v>31</v>
      </c>
      <c r="CA7" s="131" t="s">
        <v>32</v>
      </c>
      <c r="CB7" s="132" t="s">
        <v>33</v>
      </c>
      <c r="CC7" s="131" t="s">
        <v>34</v>
      </c>
      <c r="CD7" s="133" t="s">
        <v>35</v>
      </c>
      <c r="CE7" s="132" t="s">
        <v>36</v>
      </c>
      <c r="CF7" s="131" t="s">
        <v>31</v>
      </c>
      <c r="CG7" s="131" t="s">
        <v>32</v>
      </c>
      <c r="CH7" s="132" t="s">
        <v>33</v>
      </c>
      <c r="CI7" s="131" t="s">
        <v>34</v>
      </c>
      <c r="CJ7" s="133" t="s">
        <v>35</v>
      </c>
      <c r="CK7" s="132" t="s">
        <v>36</v>
      </c>
      <c r="CL7" s="131" t="s">
        <v>31</v>
      </c>
      <c r="CM7" s="131" t="s">
        <v>32</v>
      </c>
      <c r="CN7" s="132" t="s">
        <v>33</v>
      </c>
      <c r="CO7" s="131" t="s">
        <v>34</v>
      </c>
      <c r="CP7" s="133" t="s">
        <v>35</v>
      </c>
      <c r="CQ7" s="132" t="s">
        <v>36</v>
      </c>
      <c r="CR7" s="131" t="s">
        <v>31</v>
      </c>
      <c r="CS7" s="131" t="s">
        <v>32</v>
      </c>
      <c r="CT7" s="132" t="s">
        <v>33</v>
      </c>
      <c r="CU7" s="131" t="s">
        <v>34</v>
      </c>
      <c r="CV7" s="133" t="s">
        <v>35</v>
      </c>
      <c r="CW7" s="132" t="s">
        <v>36</v>
      </c>
    </row>
    <row r="8" spans="1:101" ht="78" customHeight="1" thickBot="1">
      <c r="B8" s="134" t="s">
        <v>174</v>
      </c>
      <c r="C8" s="135"/>
      <c r="D8" s="136" t="s">
        <v>175</v>
      </c>
      <c r="E8" s="136" t="s">
        <v>176</v>
      </c>
      <c r="F8" s="134" t="s">
        <v>177</v>
      </c>
      <c r="G8" s="135" t="s">
        <v>178</v>
      </c>
      <c r="H8" s="137" t="s">
        <v>179</v>
      </c>
      <c r="I8" s="134" t="s">
        <v>180</v>
      </c>
      <c r="J8" s="135" t="s">
        <v>54</v>
      </c>
      <c r="K8" s="138"/>
      <c r="L8" s="138"/>
      <c r="M8" s="139">
        <v>1</v>
      </c>
      <c r="N8" s="138"/>
      <c r="O8" s="140"/>
      <c r="P8" s="139">
        <v>1</v>
      </c>
      <c r="Q8" s="140"/>
      <c r="R8" s="140"/>
      <c r="S8" s="139">
        <v>1</v>
      </c>
      <c r="T8" s="140"/>
      <c r="U8" s="141"/>
      <c r="V8" s="142">
        <v>1</v>
      </c>
      <c r="W8" s="143" t="s">
        <v>181</v>
      </c>
      <c r="X8" s="144"/>
      <c r="Y8" s="144"/>
      <c r="Z8" s="22" t="str">
        <f>IF(Y8=0," ",X8/Y8)</f>
        <v xml:space="preserve"> </v>
      </c>
      <c r="AA8" s="112"/>
      <c r="AB8" s="145" t="str">
        <f>IF(Y8=0," ",Z8/AA8)</f>
        <v xml:space="preserve"> </v>
      </c>
      <c r="AC8" s="146" t="s">
        <v>182</v>
      </c>
      <c r="AD8" s="144"/>
      <c r="AE8" s="144"/>
      <c r="AF8" s="22" t="str">
        <f>IF(AE8=0," ",AD8/AE8)</f>
        <v xml:space="preserve"> </v>
      </c>
      <c r="AG8" s="112"/>
      <c r="AH8" s="145" t="str">
        <f>IF(AE8=0," ",AF8/AG8)</f>
        <v xml:space="preserve"> </v>
      </c>
      <c r="AI8" s="146" t="s">
        <v>182</v>
      </c>
      <c r="AJ8" s="147">
        <v>239</v>
      </c>
      <c r="AK8" s="147">
        <v>239</v>
      </c>
      <c r="AL8" s="22">
        <f t="shared" ref="AL8:AL13" si="0">IF(AK8=0," ",AJ8/AK8)</f>
        <v>1</v>
      </c>
      <c r="AM8" s="112">
        <v>1</v>
      </c>
      <c r="AN8" s="145">
        <f t="shared" ref="AN8:AN13" si="1">IF(AK8=0," ",AL8/AM8)</f>
        <v>1</v>
      </c>
      <c r="AO8" s="148" t="s">
        <v>183</v>
      </c>
      <c r="AP8" s="144"/>
      <c r="AQ8" s="144"/>
      <c r="AR8" s="22" t="str">
        <f>IF(AQ8=0," ",AP8/AQ8)</f>
        <v xml:space="preserve"> </v>
      </c>
      <c r="AS8" s="112"/>
      <c r="AT8" s="145" t="str">
        <f>IF(AQ8=0," ",AR8/AS8)</f>
        <v xml:space="preserve"> </v>
      </c>
      <c r="AU8" s="146" t="s">
        <v>182</v>
      </c>
      <c r="AV8" s="144"/>
      <c r="AW8" s="144"/>
      <c r="AX8" s="22" t="str">
        <f>IF(AW8=0," ",AV8/AW8)</f>
        <v xml:space="preserve"> </v>
      </c>
      <c r="AY8" s="112"/>
      <c r="AZ8" s="145" t="str">
        <f>IF(AW8=0," ",AX8/AY8)</f>
        <v xml:space="preserve"> </v>
      </c>
      <c r="BA8" s="146" t="s">
        <v>182</v>
      </c>
      <c r="BB8" s="147">
        <v>225</v>
      </c>
      <c r="BC8" s="147">
        <v>225</v>
      </c>
      <c r="BD8" s="22">
        <f t="shared" ref="BD8:BD14" si="2">IF(BC8=0," ",BB8/BC8)</f>
        <v>1</v>
      </c>
      <c r="BE8" s="112">
        <v>1</v>
      </c>
      <c r="BF8" s="145">
        <f t="shared" ref="BF8:BF14" si="3">IF(BC8=0," ",BD8/BE8)</f>
        <v>1</v>
      </c>
      <c r="BG8" s="148" t="s">
        <v>184</v>
      </c>
      <c r="BH8" s="144"/>
      <c r="BI8" s="144"/>
      <c r="BJ8" s="22" t="str">
        <f>IF(BI8=0," ",BH8/BI8)</f>
        <v xml:space="preserve"> </v>
      </c>
      <c r="BK8" s="112"/>
      <c r="BL8" s="145" t="str">
        <f>IF(BI8=0," ",BJ8/BK8)</f>
        <v xml:space="preserve"> </v>
      </c>
      <c r="BM8" s="146" t="s">
        <v>182</v>
      </c>
      <c r="BN8" s="144"/>
      <c r="BO8" s="144"/>
      <c r="BP8" s="22" t="str">
        <f>IF(BO8=0," ",BN8/BO8)</f>
        <v xml:space="preserve"> </v>
      </c>
      <c r="BQ8" s="112"/>
      <c r="BR8" s="145" t="str">
        <f>IF(BO8=0," ",BP8/BQ8)</f>
        <v xml:space="preserve"> </v>
      </c>
      <c r="BS8" s="146" t="s">
        <v>182</v>
      </c>
      <c r="BT8" s="144">
        <v>220</v>
      </c>
      <c r="BU8" s="144">
        <v>220</v>
      </c>
      <c r="BV8" s="22">
        <f t="shared" ref="BV8:BV13" si="4">IF(BU8=0," ",BT8/BU8)</f>
        <v>1</v>
      </c>
      <c r="BW8" s="112">
        <v>1</v>
      </c>
      <c r="BX8" s="145">
        <f t="shared" ref="BX8:BX13" si="5">IF(BU8=0," ",BV8/BW8)</f>
        <v>1</v>
      </c>
      <c r="BY8" s="148" t="s">
        <v>185</v>
      </c>
      <c r="BZ8" s="144"/>
      <c r="CA8" s="144"/>
      <c r="CB8" s="22" t="str">
        <f>IF(CA8=0," ",BZ8/CA8)</f>
        <v xml:space="preserve"> </v>
      </c>
      <c r="CC8" s="112"/>
      <c r="CD8" s="145" t="str">
        <f>IF(CA8=0," ",CB8/CC8)</f>
        <v xml:space="preserve"> </v>
      </c>
      <c r="CE8" s="146" t="s">
        <v>182</v>
      </c>
      <c r="CF8" s="144"/>
      <c r="CG8" s="144"/>
      <c r="CH8" s="22" t="str">
        <f>IF(CG8=0," ",CF8/CG8)</f>
        <v xml:space="preserve"> </v>
      </c>
      <c r="CI8" s="112"/>
      <c r="CJ8" s="145" t="str">
        <f>IF(CG8=0," ",CH8/CI8)</f>
        <v xml:space="preserve"> </v>
      </c>
      <c r="CK8" s="146" t="s">
        <v>182</v>
      </c>
      <c r="CL8" s="144">
        <v>220</v>
      </c>
      <c r="CM8" s="144">
        <v>220</v>
      </c>
      <c r="CN8" s="22">
        <f>IF(CM8=0," ",CL8/CM8)</f>
        <v>1</v>
      </c>
      <c r="CO8" s="112">
        <v>1</v>
      </c>
      <c r="CP8" s="145">
        <f>IF(CM8=0," ",CN8/CO8)</f>
        <v>1</v>
      </c>
      <c r="CQ8" s="149" t="s">
        <v>186</v>
      </c>
      <c r="CR8" s="144">
        <v>264</v>
      </c>
      <c r="CS8" s="144">
        <v>264</v>
      </c>
      <c r="CT8" s="22">
        <f>IF(CS8=0," ",CR8/CS8)</f>
        <v>1</v>
      </c>
      <c r="CU8" s="112">
        <v>1</v>
      </c>
      <c r="CV8" s="145">
        <f t="shared" ref="CV8:CV14" si="6">IF(CS8=0," ",CT8/CU8)</f>
        <v>1</v>
      </c>
      <c r="CW8" s="150" t="s">
        <v>187</v>
      </c>
    </row>
    <row r="9" spans="1:101" ht="79.150000000000006" customHeight="1">
      <c r="B9" s="134" t="s">
        <v>188</v>
      </c>
      <c r="C9" s="135"/>
      <c r="D9" s="136" t="s">
        <v>189</v>
      </c>
      <c r="E9" s="136" t="s">
        <v>190</v>
      </c>
      <c r="F9" s="134" t="s">
        <v>191</v>
      </c>
      <c r="G9" s="135" t="s">
        <v>178</v>
      </c>
      <c r="H9" s="137" t="s">
        <v>192</v>
      </c>
      <c r="I9" s="134" t="s">
        <v>193</v>
      </c>
      <c r="J9" s="135" t="s">
        <v>194</v>
      </c>
      <c r="K9" s="138"/>
      <c r="L9" s="138"/>
      <c r="M9" s="139">
        <v>0.25</v>
      </c>
      <c r="N9" s="138"/>
      <c r="O9" s="140"/>
      <c r="P9" s="139">
        <v>0.25</v>
      </c>
      <c r="Q9" s="140"/>
      <c r="R9" s="140"/>
      <c r="S9" s="139">
        <v>0.25</v>
      </c>
      <c r="T9" s="140"/>
      <c r="U9" s="141"/>
      <c r="V9" s="142">
        <v>0.25</v>
      </c>
      <c r="W9" s="143" t="s">
        <v>195</v>
      </c>
      <c r="X9" s="144"/>
      <c r="Y9" s="144"/>
      <c r="Z9" s="22" t="str">
        <f>IF(Y9=0," ",X9/Y9)</f>
        <v xml:space="preserve"> </v>
      </c>
      <c r="AA9" s="112"/>
      <c r="AB9" s="145" t="str">
        <f>IF(Y9=0," ",Z9/AA9)</f>
        <v xml:space="preserve"> </v>
      </c>
      <c r="AC9" s="146" t="s">
        <v>182</v>
      </c>
      <c r="AD9" s="144"/>
      <c r="AE9" s="144"/>
      <c r="AF9" s="22" t="str">
        <f>IF(AE9=0," ",AD9/AE9)</f>
        <v xml:space="preserve"> </v>
      </c>
      <c r="AG9" s="112"/>
      <c r="AH9" s="145" t="str">
        <f>IF(AE9=0," ",AF9/AG9)</f>
        <v xml:space="preserve"> </v>
      </c>
      <c r="AI9" s="146" t="s">
        <v>182</v>
      </c>
      <c r="AJ9" s="147">
        <v>73</v>
      </c>
      <c r="AK9" s="147">
        <v>300</v>
      </c>
      <c r="AL9" s="22">
        <f t="shared" si="0"/>
        <v>0.24333333333333335</v>
      </c>
      <c r="AM9" s="112">
        <v>0.25</v>
      </c>
      <c r="AN9" s="145">
        <f t="shared" si="1"/>
        <v>0.97333333333333338</v>
      </c>
      <c r="AO9" s="148" t="s">
        <v>196</v>
      </c>
      <c r="AP9" s="144"/>
      <c r="AQ9" s="144"/>
      <c r="AR9" s="22" t="str">
        <f>IF(AQ9=0," ",AP9/AQ9)</f>
        <v xml:space="preserve"> </v>
      </c>
      <c r="AS9" s="112"/>
      <c r="AT9" s="145" t="str">
        <f>IF(AQ9=0," ",AR9/AS9)</f>
        <v xml:space="preserve"> </v>
      </c>
      <c r="AU9" s="146" t="s">
        <v>182</v>
      </c>
      <c r="AV9" s="144"/>
      <c r="AW9" s="144"/>
      <c r="AX9" s="22" t="str">
        <f>IF(AW9=0," ",AV9/AW9)</f>
        <v xml:space="preserve"> </v>
      </c>
      <c r="AY9" s="112"/>
      <c r="AZ9" s="145" t="str">
        <f>IF(AW9=0," ",AX9/AY9)</f>
        <v xml:space="preserve"> </v>
      </c>
      <c r="BA9" s="146" t="s">
        <v>182</v>
      </c>
      <c r="BB9" s="147">
        <v>78</v>
      </c>
      <c r="BC9" s="147">
        <v>300</v>
      </c>
      <c r="BD9" s="22">
        <f t="shared" si="2"/>
        <v>0.26</v>
      </c>
      <c r="BE9" s="112">
        <v>0.25</v>
      </c>
      <c r="BF9" s="145">
        <f t="shared" si="3"/>
        <v>1.04</v>
      </c>
      <c r="BG9" s="148" t="s">
        <v>197</v>
      </c>
      <c r="BH9" s="144"/>
      <c r="BI9" s="144"/>
      <c r="BJ9" s="22" t="str">
        <f>IF(BI9=0," ",BH9/BI9)</f>
        <v xml:space="preserve"> </v>
      </c>
      <c r="BK9" s="112"/>
      <c r="BL9" s="145" t="str">
        <f>IF(BI9=0," ",BJ9/BK9)</f>
        <v xml:space="preserve"> </v>
      </c>
      <c r="BM9" s="146" t="s">
        <v>182</v>
      </c>
      <c r="BN9" s="144"/>
      <c r="BO9" s="144"/>
      <c r="BP9" s="22" t="str">
        <f>IF(BO9=0," ",BN9/BO9)</f>
        <v xml:space="preserve"> </v>
      </c>
      <c r="BQ9" s="112"/>
      <c r="BR9" s="145" t="str">
        <f>IF(BO9=0," ",BP9/BQ9)</f>
        <v xml:space="preserve"> </v>
      </c>
      <c r="BS9" s="146" t="s">
        <v>182</v>
      </c>
      <c r="BT9" s="144">
        <v>78</v>
      </c>
      <c r="BU9" s="144">
        <v>300</v>
      </c>
      <c r="BV9" s="22">
        <f t="shared" si="4"/>
        <v>0.26</v>
      </c>
      <c r="BW9" s="112">
        <v>0.25</v>
      </c>
      <c r="BX9" s="145">
        <f t="shared" si="5"/>
        <v>1.04</v>
      </c>
      <c r="BY9" s="65" t="s">
        <v>198</v>
      </c>
      <c r="BZ9" s="144"/>
      <c r="CA9" s="144"/>
      <c r="CB9" s="22" t="str">
        <f>IF(CA9=0," ",BZ9/CA9)</f>
        <v xml:space="preserve"> </v>
      </c>
      <c r="CC9" s="112"/>
      <c r="CD9" s="145" t="str">
        <f>IF(CA9=0," ",CB9/CC9)</f>
        <v xml:space="preserve"> </v>
      </c>
      <c r="CE9" s="146" t="s">
        <v>182</v>
      </c>
      <c r="CF9" s="144"/>
      <c r="CG9" s="144"/>
      <c r="CH9" s="22" t="str">
        <f>IF(CG9=0," ",CF9/CG9)</f>
        <v xml:space="preserve"> </v>
      </c>
      <c r="CI9" s="112"/>
      <c r="CJ9" s="145" t="str">
        <f>IF(CG9=0," ",CH9/CI9)</f>
        <v xml:space="preserve"> </v>
      </c>
      <c r="CK9" s="146" t="s">
        <v>182</v>
      </c>
      <c r="CL9" s="144">
        <v>73</v>
      </c>
      <c r="CM9" s="144">
        <v>300</v>
      </c>
      <c r="CN9" s="22">
        <f>IF(CM9=0," ",CL9/CM9)</f>
        <v>0.24333333333333335</v>
      </c>
      <c r="CO9" s="112">
        <v>0.25</v>
      </c>
      <c r="CP9" s="145">
        <f t="shared" ref="CP9:CP31" si="7">IF(CM9=0," ",CN9/CO9)</f>
        <v>0.97333333333333338</v>
      </c>
      <c r="CQ9" s="148" t="s">
        <v>199</v>
      </c>
      <c r="CR9" s="144">
        <v>302</v>
      </c>
      <c r="CS9" s="144">
        <v>300</v>
      </c>
      <c r="CT9" s="22">
        <f>IF(CS9=0," ",CR9/CS9)</f>
        <v>1.0066666666666666</v>
      </c>
      <c r="CU9" s="112">
        <v>1</v>
      </c>
      <c r="CV9" s="145">
        <f t="shared" si="6"/>
        <v>1.0066666666666666</v>
      </c>
      <c r="CW9" s="148" t="s">
        <v>200</v>
      </c>
    </row>
    <row r="10" spans="1:101" ht="125.25" customHeight="1">
      <c r="B10" s="134" t="s">
        <v>174</v>
      </c>
      <c r="C10" s="135"/>
      <c r="D10" s="136" t="s">
        <v>201</v>
      </c>
      <c r="E10" s="136" t="s">
        <v>202</v>
      </c>
      <c r="F10" s="134" t="s">
        <v>203</v>
      </c>
      <c r="G10" s="135" t="s">
        <v>178</v>
      </c>
      <c r="H10" s="137" t="s">
        <v>204</v>
      </c>
      <c r="I10" s="134" t="s">
        <v>205</v>
      </c>
      <c r="J10" s="135" t="s">
        <v>54</v>
      </c>
      <c r="K10" s="138"/>
      <c r="L10" s="138"/>
      <c r="M10" s="139">
        <v>1</v>
      </c>
      <c r="N10" s="138"/>
      <c r="O10" s="140"/>
      <c r="P10" s="139">
        <v>1</v>
      </c>
      <c r="Q10" s="140"/>
      <c r="R10" s="140"/>
      <c r="S10" s="139">
        <v>1</v>
      </c>
      <c r="T10" s="140"/>
      <c r="U10" s="141"/>
      <c r="V10" s="142">
        <v>1</v>
      </c>
      <c r="W10" s="143" t="s">
        <v>206</v>
      </c>
      <c r="X10" s="144"/>
      <c r="Y10" s="144"/>
      <c r="Z10" s="22" t="str">
        <f>IF(Y10=0," ",X10/Y10)</f>
        <v xml:space="preserve"> </v>
      </c>
      <c r="AA10" s="112"/>
      <c r="AB10" s="145" t="str">
        <f>IF(Y10=0," ",Z10/AA10)</f>
        <v xml:space="preserve"> </v>
      </c>
      <c r="AC10" s="146" t="s">
        <v>182</v>
      </c>
      <c r="AD10" s="144"/>
      <c r="AE10" s="144"/>
      <c r="AF10" s="22" t="str">
        <f>IF(AE10=0," ",AD10/AE10)</f>
        <v xml:space="preserve"> </v>
      </c>
      <c r="AG10" s="112"/>
      <c r="AH10" s="145" t="str">
        <f>IF(AE10=0," ",AF10/AG10)</f>
        <v xml:space="preserve"> </v>
      </c>
      <c r="AI10" s="146" t="s">
        <v>182</v>
      </c>
      <c r="AJ10" s="147">
        <v>26</v>
      </c>
      <c r="AK10" s="147">
        <v>26</v>
      </c>
      <c r="AL10" s="22">
        <f t="shared" si="0"/>
        <v>1</v>
      </c>
      <c r="AM10" s="112">
        <v>1</v>
      </c>
      <c r="AN10" s="145">
        <f t="shared" si="1"/>
        <v>1</v>
      </c>
      <c r="AO10" s="115" t="s">
        <v>207</v>
      </c>
      <c r="AP10" s="144"/>
      <c r="AQ10" s="144"/>
      <c r="AR10" s="22" t="str">
        <f>IF(AQ10=0," ",AP10/AQ10)</f>
        <v xml:space="preserve"> </v>
      </c>
      <c r="AS10" s="112"/>
      <c r="AT10" s="145" t="str">
        <f>IF(AQ10=0," ",AR10/AS10)</f>
        <v xml:space="preserve"> </v>
      </c>
      <c r="AU10" s="146" t="s">
        <v>182</v>
      </c>
      <c r="AV10" s="144"/>
      <c r="AW10" s="144"/>
      <c r="AX10" s="22" t="str">
        <f>IF(AW10=0," ",AV10/AW10)</f>
        <v xml:space="preserve"> </v>
      </c>
      <c r="AY10" s="112"/>
      <c r="AZ10" s="145" t="str">
        <f>IF(AW10=0," ",AX10/AY10)</f>
        <v xml:space="preserve"> </v>
      </c>
      <c r="BA10" s="146" t="s">
        <v>182</v>
      </c>
      <c r="BB10" s="147">
        <v>26</v>
      </c>
      <c r="BC10" s="147">
        <v>26</v>
      </c>
      <c r="BD10" s="22">
        <f t="shared" si="2"/>
        <v>1</v>
      </c>
      <c r="BE10" s="112">
        <v>1</v>
      </c>
      <c r="BF10" s="145">
        <f t="shared" si="3"/>
        <v>1</v>
      </c>
      <c r="BG10" s="151" t="s">
        <v>208</v>
      </c>
      <c r="BH10" s="144"/>
      <c r="BI10" s="144"/>
      <c r="BJ10" s="22" t="str">
        <f>IF(BI10=0," ",BH10/BI10)</f>
        <v xml:space="preserve"> </v>
      </c>
      <c r="BK10" s="112"/>
      <c r="BL10" s="145" t="str">
        <f>IF(BI10=0," ",BJ10/BK10)</f>
        <v xml:space="preserve"> </v>
      </c>
      <c r="BM10" s="146" t="s">
        <v>182</v>
      </c>
      <c r="BN10" s="144"/>
      <c r="BO10" s="144"/>
      <c r="BP10" s="22" t="str">
        <f>IF(BO10=0," ",BN10/BO10)</f>
        <v xml:space="preserve"> </v>
      </c>
      <c r="BQ10" s="112"/>
      <c r="BR10" s="145" t="str">
        <f>IF(BO10=0," ",BP10/BQ10)</f>
        <v xml:space="preserve"> </v>
      </c>
      <c r="BS10" s="146" t="s">
        <v>182</v>
      </c>
      <c r="BT10" s="144"/>
      <c r="BU10" s="144"/>
      <c r="BV10" s="22" t="str">
        <f t="shared" si="4"/>
        <v xml:space="preserve"> </v>
      </c>
      <c r="BW10" s="112"/>
      <c r="BX10" s="145" t="str">
        <f t="shared" si="5"/>
        <v xml:space="preserve"> </v>
      </c>
      <c r="BY10" s="116" t="s">
        <v>209</v>
      </c>
      <c r="BZ10" s="144"/>
      <c r="CA10" s="144"/>
      <c r="CB10" s="22" t="str">
        <f>IF(CA10=0," ",BZ10/CA10)</f>
        <v xml:space="preserve"> </v>
      </c>
      <c r="CC10" s="112"/>
      <c r="CD10" s="145" t="str">
        <f>IF(CA10=0," ",CB10/CC10)</f>
        <v xml:space="preserve"> </v>
      </c>
      <c r="CE10" s="146" t="s">
        <v>182</v>
      </c>
      <c r="CF10" s="144"/>
      <c r="CG10" s="144"/>
      <c r="CH10" s="22" t="str">
        <f>IF(CG10=0," ",CF10/CG10)</f>
        <v xml:space="preserve"> </v>
      </c>
      <c r="CI10" s="112"/>
      <c r="CJ10" s="145" t="str">
        <f>IF(CG10=0," ",CH10/CI10)</f>
        <v xml:space="preserve"> </v>
      </c>
      <c r="CK10" s="146" t="s">
        <v>182</v>
      </c>
      <c r="CL10" s="144"/>
      <c r="CM10" s="144"/>
      <c r="CN10" s="22" t="str">
        <f>IF(CM10=0," ",CL10/CM10)</f>
        <v xml:space="preserve"> </v>
      </c>
      <c r="CO10" s="112"/>
      <c r="CP10" s="145" t="str">
        <f t="shared" si="7"/>
        <v xml:space="preserve"> </v>
      </c>
      <c r="CQ10" s="151" t="s">
        <v>209</v>
      </c>
      <c r="CR10" s="144"/>
      <c r="CS10" s="144"/>
      <c r="CT10" s="22" t="str">
        <f>IF(CS10=0," ",CR10/CS10)</f>
        <v xml:space="preserve"> </v>
      </c>
      <c r="CU10" s="112"/>
      <c r="CV10" s="145" t="str">
        <f t="shared" si="6"/>
        <v xml:space="preserve"> </v>
      </c>
      <c r="CW10" s="151" t="s">
        <v>209</v>
      </c>
    </row>
    <row r="11" spans="1:101" ht="94.5" customHeight="1">
      <c r="B11" s="134" t="s">
        <v>174</v>
      </c>
      <c r="C11" s="135"/>
      <c r="D11" s="136" t="s">
        <v>210</v>
      </c>
      <c r="E11" s="136" t="s">
        <v>211</v>
      </c>
      <c r="F11" s="134" t="s">
        <v>212</v>
      </c>
      <c r="G11" s="135" t="s">
        <v>178</v>
      </c>
      <c r="H11" s="137" t="s">
        <v>213</v>
      </c>
      <c r="I11" s="134" t="s">
        <v>214</v>
      </c>
      <c r="J11" s="135" t="s">
        <v>54</v>
      </c>
      <c r="K11" s="138"/>
      <c r="L11" s="138"/>
      <c r="M11" s="139"/>
      <c r="N11" s="138"/>
      <c r="O11" s="140"/>
      <c r="P11" s="140"/>
      <c r="Q11" s="140">
        <v>1</v>
      </c>
      <c r="R11" s="140"/>
      <c r="S11" s="140"/>
      <c r="T11" s="140"/>
      <c r="U11" s="141"/>
      <c r="V11" s="152"/>
      <c r="W11" s="143" t="s">
        <v>215</v>
      </c>
      <c r="X11" s="144"/>
      <c r="Y11" s="144"/>
      <c r="Z11" s="22" t="str">
        <f>IF(Y11=0," ",X11/Y11)</f>
        <v xml:space="preserve"> </v>
      </c>
      <c r="AA11" s="112"/>
      <c r="AB11" s="145" t="str">
        <f>IF(Y11=0," ",Z11/AA11)</f>
        <v xml:space="preserve"> </v>
      </c>
      <c r="AC11" s="146" t="s">
        <v>182</v>
      </c>
      <c r="AD11" s="144"/>
      <c r="AE11" s="144"/>
      <c r="AF11" s="22" t="str">
        <f>IF(AE11=0," ",AD11/AE11)</f>
        <v xml:space="preserve"> </v>
      </c>
      <c r="AG11" s="112"/>
      <c r="AH11" s="145" t="str">
        <f>IF(AE11=0," ",AF11/AG11)</f>
        <v xml:space="preserve"> </v>
      </c>
      <c r="AI11" s="146" t="s">
        <v>182</v>
      </c>
      <c r="AJ11" s="144"/>
      <c r="AK11" s="144"/>
      <c r="AL11" s="22" t="str">
        <f t="shared" si="0"/>
        <v xml:space="preserve"> </v>
      </c>
      <c r="AM11" s="112"/>
      <c r="AN11" s="145" t="str">
        <f t="shared" si="1"/>
        <v xml:space="preserve"> </v>
      </c>
      <c r="AO11" s="146" t="s">
        <v>182</v>
      </c>
      <c r="AP11" s="144"/>
      <c r="AQ11" s="144"/>
      <c r="AR11" s="22" t="str">
        <f>IF(AQ11=0," ",AP11/AQ11)</f>
        <v xml:space="preserve"> </v>
      </c>
      <c r="AS11" s="112"/>
      <c r="AT11" s="145" t="str">
        <f>IF(AQ11=0," ",AR11/AS11)</f>
        <v xml:space="preserve"> </v>
      </c>
      <c r="AU11" s="146" t="s">
        <v>182</v>
      </c>
      <c r="AV11" s="144"/>
      <c r="AW11" s="144"/>
      <c r="AX11" s="22" t="str">
        <f>IF(AW11=0," ",AV11/AW11)</f>
        <v xml:space="preserve"> </v>
      </c>
      <c r="AY11" s="112"/>
      <c r="AZ11" s="145" t="str">
        <f>IF(AW11=0," ",AX11/AY11)</f>
        <v xml:space="preserve"> </v>
      </c>
      <c r="BA11" s="146" t="s">
        <v>182</v>
      </c>
      <c r="BB11" s="144"/>
      <c r="BC11" s="144"/>
      <c r="BD11" s="22" t="str">
        <f t="shared" si="2"/>
        <v xml:space="preserve"> </v>
      </c>
      <c r="BE11" s="112"/>
      <c r="BF11" s="145" t="str">
        <f t="shared" si="3"/>
        <v xml:space="preserve"> </v>
      </c>
      <c r="BG11" s="146" t="s">
        <v>182</v>
      </c>
      <c r="BH11" s="144">
        <v>4</v>
      </c>
      <c r="BI11" s="144">
        <v>4</v>
      </c>
      <c r="BJ11" s="22">
        <f>IF(BI11=0," ",BH11/BI11)</f>
        <v>1</v>
      </c>
      <c r="BK11" s="112">
        <v>1</v>
      </c>
      <c r="BL11" s="145">
        <f>IF(BI11=0," ",BJ11/BK11)</f>
        <v>1</v>
      </c>
      <c r="BM11" s="153" t="s">
        <v>216</v>
      </c>
      <c r="BN11" s="144"/>
      <c r="BO11" s="144"/>
      <c r="BP11" s="22" t="str">
        <f>IF(BO11=0," ",BN11/BO11)</f>
        <v xml:space="preserve"> </v>
      </c>
      <c r="BQ11" s="112"/>
      <c r="BR11" s="145" t="str">
        <f>IF(BO11=0," ",BP11/BQ11)</f>
        <v xml:space="preserve"> </v>
      </c>
      <c r="BS11" s="146" t="s">
        <v>182</v>
      </c>
      <c r="BT11" s="144"/>
      <c r="BU11" s="144"/>
      <c r="BV11" s="22" t="str">
        <f t="shared" si="4"/>
        <v xml:space="preserve"> </v>
      </c>
      <c r="BW11" s="112"/>
      <c r="BX11" s="145" t="str">
        <f t="shared" si="5"/>
        <v xml:space="preserve"> </v>
      </c>
      <c r="BY11" s="25" t="s">
        <v>217</v>
      </c>
      <c r="BZ11" s="144"/>
      <c r="CA11" s="144"/>
      <c r="CB11" s="22" t="str">
        <f>IF(CA11=0," ",BZ11/CA11)</f>
        <v xml:space="preserve"> </v>
      </c>
      <c r="CC11" s="112"/>
      <c r="CD11" s="145" t="str">
        <f>IF(CA11=0," ",CB11/CC11)</f>
        <v xml:space="preserve"> </v>
      </c>
      <c r="CE11" s="146" t="s">
        <v>182</v>
      </c>
      <c r="CF11" s="144"/>
      <c r="CG11" s="144"/>
      <c r="CH11" s="22" t="str">
        <f>IF(CG11=0," ",CF11/CG11)</f>
        <v xml:space="preserve"> </v>
      </c>
      <c r="CI11" s="112"/>
      <c r="CJ11" s="145" t="str">
        <f>IF(CG11=0," ",CH11/CI11)</f>
        <v xml:space="preserve"> </v>
      </c>
      <c r="CK11" s="146" t="s">
        <v>182</v>
      </c>
      <c r="CL11" s="144"/>
      <c r="CM11" s="144"/>
      <c r="CN11" s="22" t="str">
        <f>IF(CM11=0," ",CL11/CM11)</f>
        <v xml:space="preserve"> </v>
      </c>
      <c r="CO11" s="112"/>
      <c r="CP11" s="145" t="str">
        <f t="shared" si="7"/>
        <v xml:space="preserve"> </v>
      </c>
      <c r="CQ11" s="146" t="s">
        <v>182</v>
      </c>
      <c r="CR11" s="144"/>
      <c r="CS11" s="144"/>
      <c r="CT11" s="22" t="str">
        <f>IF(CS11=0," ",CR11/CS11)</f>
        <v xml:space="preserve"> </v>
      </c>
      <c r="CU11" s="112"/>
      <c r="CV11" s="145" t="str">
        <f t="shared" si="6"/>
        <v xml:space="preserve"> </v>
      </c>
      <c r="CW11" s="148" t="s">
        <v>217</v>
      </c>
    </row>
    <row r="12" spans="1:101" ht="178.5">
      <c r="B12" s="134" t="s">
        <v>218</v>
      </c>
      <c r="C12" s="135"/>
      <c r="D12" s="136" t="s">
        <v>219</v>
      </c>
      <c r="E12" s="136" t="s">
        <v>220</v>
      </c>
      <c r="F12" s="134" t="s">
        <v>221</v>
      </c>
      <c r="G12" s="135" t="s">
        <v>178</v>
      </c>
      <c r="H12" s="137" t="s">
        <v>222</v>
      </c>
      <c r="I12" s="134" t="s">
        <v>223</v>
      </c>
      <c r="J12" s="135" t="s">
        <v>54</v>
      </c>
      <c r="K12" s="138"/>
      <c r="L12" s="138"/>
      <c r="M12" s="139">
        <v>1</v>
      </c>
      <c r="N12" s="138"/>
      <c r="O12" s="140"/>
      <c r="P12" s="139">
        <v>1</v>
      </c>
      <c r="Q12" s="140"/>
      <c r="R12" s="140"/>
      <c r="S12" s="139">
        <v>1</v>
      </c>
      <c r="T12" s="140"/>
      <c r="U12" s="141"/>
      <c r="V12" s="142">
        <v>1</v>
      </c>
      <c r="W12" s="143" t="s">
        <v>224</v>
      </c>
      <c r="X12" s="144"/>
      <c r="Y12" s="144"/>
      <c r="Z12" s="22"/>
      <c r="AA12" s="112"/>
      <c r="AB12" s="145"/>
      <c r="AC12" s="146" t="s">
        <v>182</v>
      </c>
      <c r="AD12" s="144"/>
      <c r="AE12" s="144"/>
      <c r="AF12" s="22"/>
      <c r="AG12" s="112"/>
      <c r="AH12" s="145"/>
      <c r="AI12" s="146" t="s">
        <v>182</v>
      </c>
      <c r="AJ12" s="154">
        <v>256</v>
      </c>
      <c r="AK12" s="154">
        <v>242</v>
      </c>
      <c r="AL12" s="22">
        <f t="shared" si="0"/>
        <v>1.0578512396694215</v>
      </c>
      <c r="AM12" s="112">
        <v>1</v>
      </c>
      <c r="AN12" s="145">
        <f t="shared" si="1"/>
        <v>1.0578512396694215</v>
      </c>
      <c r="AO12" s="155" t="s">
        <v>225</v>
      </c>
      <c r="AP12" s="144"/>
      <c r="AQ12" s="144"/>
      <c r="AR12" s="22"/>
      <c r="AS12" s="112"/>
      <c r="AT12" s="145"/>
      <c r="AU12" s="146" t="s">
        <v>182</v>
      </c>
      <c r="AV12" s="144"/>
      <c r="AW12" s="144"/>
      <c r="AX12" s="22"/>
      <c r="AY12" s="112"/>
      <c r="AZ12" s="145"/>
      <c r="BA12" s="146" t="s">
        <v>182</v>
      </c>
      <c r="BB12" s="147">
        <v>200</v>
      </c>
      <c r="BC12" s="147">
        <v>195</v>
      </c>
      <c r="BD12" s="22">
        <f t="shared" si="2"/>
        <v>1.0256410256410255</v>
      </c>
      <c r="BE12" s="112">
        <v>1</v>
      </c>
      <c r="BF12" s="145">
        <f t="shared" si="3"/>
        <v>1.0256410256410255</v>
      </c>
      <c r="BG12" s="155" t="s">
        <v>226</v>
      </c>
      <c r="BH12" s="144"/>
      <c r="BI12" s="144"/>
      <c r="BJ12" s="22"/>
      <c r="BK12" s="112"/>
      <c r="BL12" s="145"/>
      <c r="BM12" s="146" t="s">
        <v>182</v>
      </c>
      <c r="BN12" s="144"/>
      <c r="BO12" s="144"/>
      <c r="BP12" s="22"/>
      <c r="BQ12" s="112"/>
      <c r="BR12" s="145"/>
      <c r="BS12" s="146" t="s">
        <v>182</v>
      </c>
      <c r="BT12" s="144">
        <v>213</v>
      </c>
      <c r="BU12" s="144">
        <v>203</v>
      </c>
      <c r="BV12" s="22">
        <f t="shared" si="4"/>
        <v>1.0492610837438423</v>
      </c>
      <c r="BW12" s="112">
        <v>1</v>
      </c>
      <c r="BX12" s="145">
        <f t="shared" si="5"/>
        <v>1.0492610837438423</v>
      </c>
      <c r="BY12" s="155" t="s">
        <v>227</v>
      </c>
      <c r="BZ12" s="144"/>
      <c r="CA12" s="144"/>
      <c r="CB12" s="22"/>
      <c r="CC12" s="112"/>
      <c r="CD12" s="145"/>
      <c r="CE12" s="146" t="s">
        <v>182</v>
      </c>
      <c r="CF12" s="144"/>
      <c r="CG12" s="144"/>
      <c r="CH12" s="22"/>
      <c r="CI12" s="112"/>
      <c r="CJ12" s="145"/>
      <c r="CK12" s="146" t="s">
        <v>182</v>
      </c>
      <c r="CL12" s="156">
        <v>169</v>
      </c>
      <c r="CM12" s="156">
        <v>148</v>
      </c>
      <c r="CN12" s="157">
        <v>1.1399999999999999</v>
      </c>
      <c r="CO12" s="158">
        <v>1</v>
      </c>
      <c r="CP12" s="159">
        <f t="shared" si="7"/>
        <v>1.1399999999999999</v>
      </c>
      <c r="CQ12" s="155" t="s">
        <v>228</v>
      </c>
      <c r="CR12" s="156">
        <v>838</v>
      </c>
      <c r="CS12" s="156">
        <v>788</v>
      </c>
      <c r="CT12" s="157">
        <v>1.06</v>
      </c>
      <c r="CU12" s="158">
        <v>1</v>
      </c>
      <c r="CV12" s="159">
        <f t="shared" si="6"/>
        <v>1.06</v>
      </c>
      <c r="CW12" s="155" t="s">
        <v>229</v>
      </c>
    </row>
    <row r="13" spans="1:101" ht="51">
      <c r="B13" s="134" t="s">
        <v>218</v>
      </c>
      <c r="C13" s="135"/>
      <c r="D13" s="136" t="s">
        <v>230</v>
      </c>
      <c r="E13" s="136" t="s">
        <v>231</v>
      </c>
      <c r="F13" s="134" t="s">
        <v>232</v>
      </c>
      <c r="G13" s="135" t="s">
        <v>178</v>
      </c>
      <c r="H13" s="137" t="s">
        <v>233</v>
      </c>
      <c r="I13" s="134" t="s">
        <v>234</v>
      </c>
      <c r="J13" s="135" t="s">
        <v>54</v>
      </c>
      <c r="K13" s="138"/>
      <c r="L13" s="138"/>
      <c r="M13" s="139">
        <v>1</v>
      </c>
      <c r="N13" s="138"/>
      <c r="O13" s="140"/>
      <c r="P13" s="139">
        <v>1</v>
      </c>
      <c r="Q13" s="140"/>
      <c r="R13" s="140"/>
      <c r="S13" s="139">
        <v>1</v>
      </c>
      <c r="T13" s="140"/>
      <c r="U13" s="141"/>
      <c r="V13" s="142">
        <v>1</v>
      </c>
      <c r="W13" s="143" t="s">
        <v>235</v>
      </c>
      <c r="X13" s="144"/>
      <c r="Y13" s="144"/>
      <c r="Z13" s="22"/>
      <c r="AA13" s="112"/>
      <c r="AB13" s="145"/>
      <c r="AC13" s="146" t="s">
        <v>182</v>
      </c>
      <c r="AD13" s="144"/>
      <c r="AE13" s="144"/>
      <c r="AF13" s="22"/>
      <c r="AG13" s="112"/>
      <c r="AH13" s="145"/>
      <c r="AI13" s="146" t="s">
        <v>182</v>
      </c>
      <c r="AJ13" s="154">
        <v>13307</v>
      </c>
      <c r="AK13" s="154">
        <v>13800</v>
      </c>
      <c r="AL13" s="22">
        <f t="shared" si="0"/>
        <v>0.96427536231884059</v>
      </c>
      <c r="AM13" s="112">
        <v>1</v>
      </c>
      <c r="AN13" s="145">
        <f t="shared" si="1"/>
        <v>0.96427536231884059</v>
      </c>
      <c r="AO13" s="148" t="s">
        <v>236</v>
      </c>
      <c r="AP13" s="144"/>
      <c r="AQ13" s="144"/>
      <c r="AR13" s="22"/>
      <c r="AS13" s="112"/>
      <c r="AT13" s="145"/>
      <c r="AU13" s="146" t="s">
        <v>182</v>
      </c>
      <c r="AV13" s="144"/>
      <c r="AW13" s="144"/>
      <c r="AX13" s="22"/>
      <c r="AY13" s="112"/>
      <c r="AZ13" s="145"/>
      <c r="BA13" s="146" t="s">
        <v>182</v>
      </c>
      <c r="BB13" s="160">
        <v>5244</v>
      </c>
      <c r="BC13" s="160">
        <v>5244</v>
      </c>
      <c r="BD13" s="22">
        <f t="shared" si="2"/>
        <v>1</v>
      </c>
      <c r="BE13" s="112">
        <v>1</v>
      </c>
      <c r="BF13" s="145">
        <f t="shared" si="3"/>
        <v>1</v>
      </c>
      <c r="BG13" s="148" t="s">
        <v>237</v>
      </c>
      <c r="BH13" s="144"/>
      <c r="BI13" s="144"/>
      <c r="BJ13" s="22"/>
      <c r="BK13" s="112"/>
      <c r="BL13" s="145"/>
      <c r="BM13" s="146" t="s">
        <v>182</v>
      </c>
      <c r="BN13" s="144"/>
      <c r="BO13" s="144"/>
      <c r="BP13" s="22"/>
      <c r="BQ13" s="112"/>
      <c r="BR13" s="145"/>
      <c r="BS13" s="146" t="s">
        <v>182</v>
      </c>
      <c r="BT13" s="161">
        <v>29183</v>
      </c>
      <c r="BU13" s="161">
        <v>29300</v>
      </c>
      <c r="BV13" s="22">
        <f t="shared" si="4"/>
        <v>0.9960068259385666</v>
      </c>
      <c r="BW13" s="112">
        <v>1</v>
      </c>
      <c r="BX13" s="145">
        <f t="shared" si="5"/>
        <v>0.9960068259385666</v>
      </c>
      <c r="BY13" s="162" t="s">
        <v>238</v>
      </c>
      <c r="BZ13" s="144"/>
      <c r="CA13" s="144"/>
      <c r="CB13" s="22"/>
      <c r="CC13" s="112"/>
      <c r="CD13" s="145"/>
      <c r="CE13" s="146" t="s">
        <v>182</v>
      </c>
      <c r="CF13" s="144"/>
      <c r="CG13" s="144"/>
      <c r="CH13" s="22"/>
      <c r="CI13" s="112"/>
      <c r="CJ13" s="145"/>
      <c r="CK13" s="146" t="s">
        <v>182</v>
      </c>
      <c r="CL13" s="144">
        <v>285</v>
      </c>
      <c r="CM13" s="144">
        <v>292</v>
      </c>
      <c r="CN13" s="22">
        <v>0.98</v>
      </c>
      <c r="CO13" s="112">
        <v>1</v>
      </c>
      <c r="CP13" s="145">
        <f t="shared" si="7"/>
        <v>0.98</v>
      </c>
      <c r="CQ13" s="163" t="s">
        <v>239</v>
      </c>
      <c r="CR13" s="144">
        <v>298</v>
      </c>
      <c r="CS13" s="144">
        <v>300</v>
      </c>
      <c r="CT13" s="22">
        <v>0.99</v>
      </c>
      <c r="CU13" s="112">
        <v>1</v>
      </c>
      <c r="CV13" s="145">
        <f t="shared" si="6"/>
        <v>0.99</v>
      </c>
      <c r="CW13" s="163" t="s">
        <v>240</v>
      </c>
    </row>
    <row r="14" spans="1:101" ht="89.25">
      <c r="B14" s="134" t="s">
        <v>218</v>
      </c>
      <c r="C14" s="135"/>
      <c r="D14" s="136" t="s">
        <v>241</v>
      </c>
      <c r="E14" s="136" t="s">
        <v>242</v>
      </c>
      <c r="F14" s="134" t="s">
        <v>243</v>
      </c>
      <c r="G14" s="135" t="s">
        <v>178</v>
      </c>
      <c r="H14" s="137" t="s">
        <v>244</v>
      </c>
      <c r="I14" s="134" t="s">
        <v>245</v>
      </c>
      <c r="J14" s="135" t="s">
        <v>54</v>
      </c>
      <c r="K14" s="138"/>
      <c r="L14" s="138"/>
      <c r="M14" s="139"/>
      <c r="N14" s="139"/>
      <c r="O14" s="140"/>
      <c r="P14" s="139">
        <v>1</v>
      </c>
      <c r="Q14" s="140"/>
      <c r="R14" s="140"/>
      <c r="S14" s="140"/>
      <c r="T14" s="140"/>
      <c r="U14" s="141"/>
      <c r="V14" s="152">
        <v>1</v>
      </c>
      <c r="W14" s="143" t="s">
        <v>246</v>
      </c>
      <c r="X14" s="144"/>
      <c r="Y14" s="144"/>
      <c r="Z14" s="22"/>
      <c r="AA14" s="112"/>
      <c r="AB14" s="145"/>
      <c r="AC14" s="146" t="s">
        <v>182</v>
      </c>
      <c r="AD14" s="144"/>
      <c r="AE14" s="144"/>
      <c r="AF14" s="22"/>
      <c r="AG14" s="112"/>
      <c r="AH14" s="145"/>
      <c r="AI14" s="146" t="s">
        <v>182</v>
      </c>
      <c r="AJ14" s="144"/>
      <c r="AK14" s="144"/>
      <c r="AL14" s="22"/>
      <c r="AM14" s="112"/>
      <c r="AN14" s="145"/>
      <c r="AO14" s="146" t="s">
        <v>182</v>
      </c>
      <c r="AP14" s="144"/>
      <c r="AQ14" s="144"/>
      <c r="AR14" s="22"/>
      <c r="AS14" s="112"/>
      <c r="AT14" s="145"/>
      <c r="AU14" s="146" t="s">
        <v>182</v>
      </c>
      <c r="AV14" s="144"/>
      <c r="AW14" s="144"/>
      <c r="AX14" s="22"/>
      <c r="AY14" s="112"/>
      <c r="AZ14" s="145"/>
      <c r="BA14" s="146" t="s">
        <v>182</v>
      </c>
      <c r="BB14" s="147">
        <v>5</v>
      </c>
      <c r="BC14" s="147">
        <v>8</v>
      </c>
      <c r="BD14" s="22">
        <f t="shared" si="2"/>
        <v>0.625</v>
      </c>
      <c r="BE14" s="112">
        <v>1</v>
      </c>
      <c r="BF14" s="145">
        <f t="shared" si="3"/>
        <v>0.625</v>
      </c>
      <c r="BG14" s="148" t="s">
        <v>247</v>
      </c>
      <c r="BH14" s="144"/>
      <c r="BI14" s="144"/>
      <c r="BJ14" s="22"/>
      <c r="BK14" s="112"/>
      <c r="BL14" s="145"/>
      <c r="BM14" s="146" t="s">
        <v>182</v>
      </c>
      <c r="BN14" s="144"/>
      <c r="BO14" s="144"/>
      <c r="BP14" s="22"/>
      <c r="BQ14" s="112"/>
      <c r="BR14" s="145"/>
      <c r="BS14" s="146" t="s">
        <v>182</v>
      </c>
      <c r="BT14" s="144"/>
      <c r="BU14" s="144"/>
      <c r="BV14" s="22"/>
      <c r="BW14" s="112"/>
      <c r="BX14" s="145"/>
      <c r="BY14" s="164" t="s">
        <v>182</v>
      </c>
      <c r="BZ14" s="144"/>
      <c r="CA14" s="144"/>
      <c r="CB14" s="22"/>
      <c r="CC14" s="112"/>
      <c r="CD14" s="145"/>
      <c r="CE14" s="146" t="s">
        <v>182</v>
      </c>
      <c r="CF14" s="144"/>
      <c r="CG14" s="144"/>
      <c r="CH14" s="22"/>
      <c r="CI14" s="112"/>
      <c r="CJ14" s="145"/>
      <c r="CK14" s="146" t="s">
        <v>182</v>
      </c>
      <c r="CL14" s="144">
        <v>5</v>
      </c>
      <c r="CM14" s="144">
        <v>8</v>
      </c>
      <c r="CN14" s="22">
        <v>0.63</v>
      </c>
      <c r="CO14" s="112">
        <v>1</v>
      </c>
      <c r="CP14" s="145">
        <f t="shared" si="7"/>
        <v>0.63</v>
      </c>
      <c r="CQ14" s="148" t="s">
        <v>248</v>
      </c>
      <c r="CR14" s="144">
        <v>10</v>
      </c>
      <c r="CS14" s="144">
        <v>15</v>
      </c>
      <c r="CT14" s="22">
        <v>0.67</v>
      </c>
      <c r="CU14" s="112">
        <v>1</v>
      </c>
      <c r="CV14" s="145">
        <f t="shared" si="6"/>
        <v>0.67</v>
      </c>
      <c r="CW14" s="148" t="s">
        <v>249</v>
      </c>
    </row>
    <row r="15" spans="1:101">
      <c r="B15" s="165"/>
      <c r="C15" s="166"/>
      <c r="D15" s="167"/>
      <c r="E15" s="167"/>
      <c r="F15" s="168"/>
      <c r="G15" s="166"/>
      <c r="H15" s="169" t="s">
        <v>49</v>
      </c>
      <c r="I15" s="168"/>
      <c r="J15" s="166"/>
      <c r="K15" s="170"/>
      <c r="L15" s="170"/>
      <c r="M15" s="171"/>
      <c r="N15" s="170"/>
      <c r="O15" s="172"/>
      <c r="P15" s="172"/>
      <c r="Q15" s="172"/>
      <c r="R15" s="172"/>
      <c r="S15" s="172"/>
      <c r="T15" s="172"/>
      <c r="U15" s="172"/>
      <c r="V15" s="172"/>
      <c r="W15" s="173"/>
      <c r="X15" s="174"/>
      <c r="Y15" s="174"/>
      <c r="Z15" s="22"/>
      <c r="AA15" s="145"/>
      <c r="AB15" s="145"/>
      <c r="AC15" s="175"/>
      <c r="AD15" s="175"/>
      <c r="AE15" s="174"/>
      <c r="AF15" s="174"/>
      <c r="AG15" s="22"/>
      <c r="AH15" s="145"/>
      <c r="AI15" s="145"/>
      <c r="AJ15" s="175"/>
      <c r="AK15" s="174"/>
      <c r="AL15" s="174"/>
      <c r="AM15" s="22"/>
      <c r="AN15" s="145"/>
      <c r="AO15" s="145"/>
      <c r="AP15" s="174"/>
      <c r="AQ15" s="174"/>
      <c r="AR15" s="22"/>
      <c r="AS15" s="145"/>
      <c r="AT15" s="145"/>
      <c r="AU15" s="176"/>
      <c r="AV15" s="175"/>
      <c r="AW15" s="174"/>
      <c r="AX15" s="174"/>
      <c r="AY15" s="22"/>
      <c r="AZ15" s="145"/>
      <c r="BA15" s="145"/>
      <c r="BB15" s="174"/>
      <c r="BC15" s="174"/>
      <c r="BD15" s="22"/>
      <c r="BE15" s="145"/>
      <c r="BF15" s="145"/>
      <c r="BG15" s="176"/>
      <c r="BH15" s="175"/>
      <c r="BI15" s="174"/>
      <c r="BJ15" s="174"/>
      <c r="BK15" s="22"/>
      <c r="BL15" s="145"/>
      <c r="BM15" s="145"/>
      <c r="BN15" s="174"/>
      <c r="BO15" s="174"/>
      <c r="BP15" s="22"/>
      <c r="BQ15" s="145"/>
      <c r="BR15" s="145"/>
      <c r="BS15" s="175"/>
      <c r="BT15" s="175"/>
      <c r="BU15" s="174"/>
      <c r="BV15" s="174"/>
      <c r="BW15" s="22"/>
      <c r="BX15" s="145"/>
      <c r="BY15" s="24"/>
      <c r="BZ15" s="174"/>
      <c r="CA15" s="174"/>
      <c r="CB15" s="22"/>
      <c r="CC15" s="145"/>
      <c r="CD15" s="145"/>
      <c r="CE15" s="176"/>
      <c r="CF15" s="175"/>
      <c r="CG15" s="174"/>
      <c r="CH15" s="174"/>
      <c r="CI15" s="22"/>
      <c r="CJ15" s="145"/>
      <c r="CK15" s="145"/>
      <c r="CL15" s="174"/>
      <c r="CM15" s="174"/>
      <c r="CN15" s="22"/>
      <c r="CO15" s="145"/>
      <c r="CP15" s="145" t="str">
        <f t="shared" si="7"/>
        <v xml:space="preserve"> </v>
      </c>
      <c r="CQ15" s="176"/>
      <c r="CR15" s="175"/>
      <c r="CS15" s="174"/>
      <c r="CT15" s="174"/>
      <c r="CU15" s="22"/>
      <c r="CV15" s="145"/>
      <c r="CW15" s="145"/>
    </row>
    <row r="16" spans="1:101" ht="89.25" customHeight="1">
      <c r="B16" s="134" t="s">
        <v>250</v>
      </c>
      <c r="C16" s="135" t="s">
        <v>156</v>
      </c>
      <c r="D16" s="177" t="s">
        <v>157</v>
      </c>
      <c r="E16" s="136" t="s">
        <v>158</v>
      </c>
      <c r="F16" s="134" t="s">
        <v>251</v>
      </c>
      <c r="G16" s="135" t="s">
        <v>53</v>
      </c>
      <c r="H16" s="137" t="s">
        <v>252</v>
      </c>
      <c r="I16" s="134" t="s">
        <v>161</v>
      </c>
      <c r="J16" s="135" t="s">
        <v>54</v>
      </c>
      <c r="K16" s="138"/>
      <c r="L16" s="138"/>
      <c r="M16" s="139"/>
      <c r="N16" s="139">
        <v>1</v>
      </c>
      <c r="O16" s="178"/>
      <c r="P16" s="139">
        <v>1</v>
      </c>
      <c r="Q16" s="178"/>
      <c r="R16" s="178"/>
      <c r="S16" s="139">
        <v>1</v>
      </c>
      <c r="T16" s="178"/>
      <c r="U16" s="179"/>
      <c r="V16" s="142">
        <v>1</v>
      </c>
      <c r="W16" s="143" t="s">
        <v>253</v>
      </c>
      <c r="X16" s="144"/>
      <c r="Y16" s="144"/>
      <c r="Z16" s="22" t="str">
        <f t="shared" ref="Z16:Z24" si="8">IF(Y16=0," ",X16/Y16)</f>
        <v xml:space="preserve"> </v>
      </c>
      <c r="AA16" s="112"/>
      <c r="AB16" s="145" t="str">
        <f t="shared" ref="AB16:AB24" si="9">IF(Y16=0," ",Z16/AA16)</f>
        <v xml:space="preserve"> </v>
      </c>
      <c r="AC16" s="146" t="s">
        <v>182</v>
      </c>
      <c r="AD16" s="144"/>
      <c r="AE16" s="144"/>
      <c r="AF16" s="22" t="str">
        <f t="shared" ref="AF16:AF24" si="10">IF(AE16=0," ",AD16/AE16)</f>
        <v xml:space="preserve"> </v>
      </c>
      <c r="AG16" s="112"/>
      <c r="AH16" s="145" t="str">
        <f t="shared" ref="AH16:AH24" si="11">IF(AE16=0," ",AF16/AG16)</f>
        <v xml:space="preserve"> </v>
      </c>
      <c r="AI16" s="146" t="s">
        <v>182</v>
      </c>
      <c r="AJ16" s="144"/>
      <c r="AK16" s="144"/>
      <c r="AL16" s="22" t="str">
        <f t="shared" ref="AL16:AL24" si="12">IF(AK16=0," ",AJ16/AK16)</f>
        <v xml:space="preserve"> </v>
      </c>
      <c r="AM16" s="112"/>
      <c r="AN16" s="145" t="str">
        <f t="shared" ref="AN16:AN24" si="13">IF(AK16=0," ",AL16/AM16)</f>
        <v xml:space="preserve"> </v>
      </c>
      <c r="AO16" s="146" t="s">
        <v>182</v>
      </c>
      <c r="AP16" s="144"/>
      <c r="AQ16" s="144"/>
      <c r="AR16" s="22" t="str">
        <f t="shared" ref="AR16:AR24" si="14">IF(AQ16=0," ",AP16/AQ16)</f>
        <v xml:space="preserve"> </v>
      </c>
      <c r="AS16" s="112"/>
      <c r="AT16" s="145" t="str">
        <f t="shared" ref="AT16:AT24" si="15">IF(AQ16=0," ",AR16/AS16)</f>
        <v xml:space="preserve"> </v>
      </c>
      <c r="AU16" s="146" t="s">
        <v>254</v>
      </c>
      <c r="AV16" s="144"/>
      <c r="AW16" s="144"/>
      <c r="AX16" s="22" t="str">
        <f t="shared" ref="AX16:AX24" si="16">IF(AW16=0," ",AV16/AW16)</f>
        <v xml:space="preserve"> </v>
      </c>
      <c r="AY16" s="112"/>
      <c r="AZ16" s="145" t="str">
        <f t="shared" ref="AZ16:AZ24" si="17">IF(AW16=0," ",AX16/AY16)</f>
        <v xml:space="preserve"> </v>
      </c>
      <c r="BA16" s="146" t="s">
        <v>182</v>
      </c>
      <c r="BB16" s="147">
        <v>1</v>
      </c>
      <c r="BC16" s="147">
        <v>1</v>
      </c>
      <c r="BD16" s="22">
        <f t="shared" ref="BD16:BD24" si="18">IF(BC16=0," ",BB16/BC16)</f>
        <v>1</v>
      </c>
      <c r="BE16" s="112">
        <v>1</v>
      </c>
      <c r="BF16" s="145">
        <f t="shared" ref="BF16:BF24" si="19">IF(BC16=0," ",BD16/BE16)</f>
        <v>1</v>
      </c>
      <c r="BG16" s="148" t="s">
        <v>255</v>
      </c>
      <c r="BH16" s="144"/>
      <c r="BI16" s="144"/>
      <c r="BJ16" s="22" t="str">
        <f t="shared" ref="BJ16:BJ24" si="20">IF(BI16=0," ",BH16/BI16)</f>
        <v xml:space="preserve"> </v>
      </c>
      <c r="BK16" s="112"/>
      <c r="BL16" s="145" t="str">
        <f t="shared" ref="BL16:BL24" si="21">IF(BI16=0," ",BJ16/BK16)</f>
        <v xml:space="preserve"> </v>
      </c>
      <c r="BM16" s="146" t="s">
        <v>182</v>
      </c>
      <c r="BN16" s="144"/>
      <c r="BO16" s="144"/>
      <c r="BP16" s="22" t="str">
        <f t="shared" ref="BP16:BP24" si="22">IF(BO16=0," ",BN16/BO16)</f>
        <v xml:space="preserve"> </v>
      </c>
      <c r="BQ16" s="112"/>
      <c r="BR16" s="145" t="str">
        <f t="shared" ref="BR16:BR24" si="23">IF(BO16=0," ",BP16/BQ16)</f>
        <v xml:space="preserve"> </v>
      </c>
      <c r="BS16" s="146" t="s">
        <v>182</v>
      </c>
      <c r="BT16" s="144">
        <v>1</v>
      </c>
      <c r="BU16" s="144">
        <v>4</v>
      </c>
      <c r="BV16" s="22">
        <f t="shared" ref="BV16:BV24" si="24">IF(BU16=0," ",BT16/BU16)</f>
        <v>0.25</v>
      </c>
      <c r="BW16" s="112">
        <v>1</v>
      </c>
      <c r="BX16" s="145">
        <f t="shared" ref="BX16:BX24" si="25">IF(BU16=0," ",BV16/BW16)</f>
        <v>0.25</v>
      </c>
      <c r="BY16" s="162" t="s">
        <v>256</v>
      </c>
      <c r="BZ16" s="144"/>
      <c r="CA16" s="144"/>
      <c r="CB16" s="22" t="str">
        <f t="shared" ref="CB16:CB24" si="26">IF(CA16=0," ",BZ16/CA16)</f>
        <v xml:space="preserve"> </v>
      </c>
      <c r="CC16" s="112"/>
      <c r="CD16" s="145" t="str">
        <f t="shared" ref="CD16:CD24" si="27">IF(CA16=0," ",CB16/CC16)</f>
        <v xml:space="preserve"> </v>
      </c>
      <c r="CE16" s="146" t="s">
        <v>182</v>
      </c>
      <c r="CF16" s="144"/>
      <c r="CG16" s="144"/>
      <c r="CH16" s="22" t="str">
        <f t="shared" ref="CH16:CH24" si="28">IF(CG16=0," ",CF16/CG16)</f>
        <v xml:space="preserve"> </v>
      </c>
      <c r="CI16" s="112"/>
      <c r="CJ16" s="145" t="str">
        <f t="shared" ref="CJ16:CJ24" si="29">IF(CG16=0," ",CH16/CI16)</f>
        <v xml:space="preserve"> </v>
      </c>
      <c r="CK16" s="146" t="s">
        <v>182</v>
      </c>
      <c r="CL16" s="144">
        <v>7</v>
      </c>
      <c r="CM16" s="144">
        <v>12</v>
      </c>
      <c r="CN16" s="22">
        <f t="shared" ref="CN16:CN30" si="30">IF(CM16=0," ",CL16/CM16)</f>
        <v>0.58333333333333337</v>
      </c>
      <c r="CO16" s="112">
        <v>1</v>
      </c>
      <c r="CP16" s="145">
        <f t="shared" si="7"/>
        <v>0.58333333333333337</v>
      </c>
      <c r="CQ16" s="151" t="s">
        <v>257</v>
      </c>
      <c r="CR16" s="144">
        <v>7</v>
      </c>
      <c r="CS16" s="144">
        <v>12</v>
      </c>
      <c r="CT16" s="22">
        <f t="shared" ref="CT16:CT21" si="31">IF(CS16=0," ",CR16/CS16)</f>
        <v>0.58333333333333337</v>
      </c>
      <c r="CU16" s="112">
        <v>1</v>
      </c>
      <c r="CV16" s="145">
        <f t="shared" ref="CV16:CV31" si="32">IF(CS16=0," ",CT16/CU16)</f>
        <v>0.58333333333333337</v>
      </c>
      <c r="CW16" s="151" t="s">
        <v>257</v>
      </c>
    </row>
    <row r="17" spans="2:101" ht="89.25" hidden="1">
      <c r="B17" s="134" t="s">
        <v>55</v>
      </c>
      <c r="C17" s="135" t="s">
        <v>89</v>
      </c>
      <c r="D17" s="135" t="s">
        <v>56</v>
      </c>
      <c r="E17" s="135" t="s">
        <v>57</v>
      </c>
      <c r="F17" s="180" t="s">
        <v>58</v>
      </c>
      <c r="G17" s="135" t="s">
        <v>53</v>
      </c>
      <c r="H17" s="181" t="s">
        <v>258</v>
      </c>
      <c r="I17" s="134" t="s">
        <v>60</v>
      </c>
      <c r="J17" s="135" t="s">
        <v>54</v>
      </c>
      <c r="K17" s="138"/>
      <c r="L17" s="138"/>
      <c r="M17" s="139">
        <v>1</v>
      </c>
      <c r="N17" s="138"/>
      <c r="O17" s="139"/>
      <c r="P17" s="139">
        <v>1</v>
      </c>
      <c r="Q17" s="139"/>
      <c r="R17" s="138"/>
      <c r="S17" s="139">
        <v>1</v>
      </c>
      <c r="T17" s="139"/>
      <c r="U17" s="182"/>
      <c r="V17" s="142">
        <v>1</v>
      </c>
      <c r="W17" s="183" t="s">
        <v>259</v>
      </c>
      <c r="X17" s="144"/>
      <c r="Y17" s="144"/>
      <c r="Z17" s="22" t="str">
        <f t="shared" si="8"/>
        <v xml:space="preserve"> </v>
      </c>
      <c r="AA17" s="112"/>
      <c r="AB17" s="145" t="str">
        <f t="shared" si="9"/>
        <v xml:space="preserve"> </v>
      </c>
      <c r="AC17" s="148"/>
      <c r="AD17" s="144"/>
      <c r="AE17" s="144"/>
      <c r="AF17" s="22" t="str">
        <f t="shared" si="10"/>
        <v xml:space="preserve"> </v>
      </c>
      <c r="AG17" s="112"/>
      <c r="AH17" s="145" t="str">
        <f t="shared" si="11"/>
        <v xml:space="preserve"> </v>
      </c>
      <c r="AI17" s="148"/>
      <c r="AJ17" s="144"/>
      <c r="AK17" s="144"/>
      <c r="AL17" s="22" t="str">
        <f t="shared" si="12"/>
        <v xml:space="preserve"> </v>
      </c>
      <c r="AM17" s="112"/>
      <c r="AN17" s="145" t="str">
        <f t="shared" si="13"/>
        <v xml:space="preserve"> </v>
      </c>
      <c r="AO17" s="148"/>
      <c r="AP17" s="144"/>
      <c r="AQ17" s="144"/>
      <c r="AR17" s="22" t="str">
        <f t="shared" si="14"/>
        <v xml:space="preserve"> </v>
      </c>
      <c r="AS17" s="112"/>
      <c r="AT17" s="145" t="str">
        <f t="shared" si="15"/>
        <v xml:space="preserve"> </v>
      </c>
      <c r="AU17" s="148"/>
      <c r="AV17" s="144"/>
      <c r="AW17" s="144"/>
      <c r="AX17" s="22" t="str">
        <f t="shared" si="16"/>
        <v xml:space="preserve"> </v>
      </c>
      <c r="AY17" s="112"/>
      <c r="AZ17" s="145" t="str">
        <f t="shared" si="17"/>
        <v xml:space="preserve"> </v>
      </c>
      <c r="BA17" s="148"/>
      <c r="BB17" s="144"/>
      <c r="BC17" s="144"/>
      <c r="BD17" s="22" t="str">
        <f t="shared" si="18"/>
        <v xml:space="preserve"> </v>
      </c>
      <c r="BE17" s="112"/>
      <c r="BF17" s="145" t="str">
        <f t="shared" si="19"/>
        <v xml:space="preserve"> </v>
      </c>
      <c r="BG17" s="148"/>
      <c r="BH17" s="144"/>
      <c r="BI17" s="144"/>
      <c r="BJ17" s="22" t="str">
        <f t="shared" si="20"/>
        <v xml:space="preserve"> </v>
      </c>
      <c r="BK17" s="112"/>
      <c r="BL17" s="145" t="str">
        <f t="shared" si="21"/>
        <v xml:space="preserve"> </v>
      </c>
      <c r="BM17" s="148"/>
      <c r="BN17" s="144"/>
      <c r="BO17" s="144"/>
      <c r="BP17" s="22" t="str">
        <f t="shared" si="22"/>
        <v xml:space="preserve"> </v>
      </c>
      <c r="BQ17" s="112"/>
      <c r="BR17" s="145" t="str">
        <f t="shared" si="23"/>
        <v xml:space="preserve"> </v>
      </c>
      <c r="BS17" s="148"/>
      <c r="BT17" s="144"/>
      <c r="BU17" s="144"/>
      <c r="BV17" s="22" t="str">
        <f t="shared" si="24"/>
        <v xml:space="preserve"> </v>
      </c>
      <c r="BW17" s="112"/>
      <c r="BX17" s="145" t="str">
        <f t="shared" si="25"/>
        <v xml:space="preserve"> </v>
      </c>
      <c r="BY17" s="25"/>
      <c r="BZ17" s="144"/>
      <c r="CA17" s="144"/>
      <c r="CB17" s="22" t="str">
        <f t="shared" si="26"/>
        <v xml:space="preserve"> </v>
      </c>
      <c r="CC17" s="112"/>
      <c r="CD17" s="145" t="str">
        <f t="shared" si="27"/>
        <v xml:space="preserve"> </v>
      </c>
      <c r="CE17" s="148"/>
      <c r="CF17" s="144"/>
      <c r="CG17" s="144"/>
      <c r="CH17" s="22" t="str">
        <f t="shared" si="28"/>
        <v xml:space="preserve"> </v>
      </c>
      <c r="CI17" s="112"/>
      <c r="CJ17" s="145" t="str">
        <f t="shared" si="29"/>
        <v xml:space="preserve"> </v>
      </c>
      <c r="CK17" s="148"/>
      <c r="CL17" s="144"/>
      <c r="CM17" s="144"/>
      <c r="CN17" s="22" t="str">
        <f t="shared" si="30"/>
        <v xml:space="preserve"> </v>
      </c>
      <c r="CO17" s="112"/>
      <c r="CP17" s="145" t="str">
        <f t="shared" si="7"/>
        <v xml:space="preserve"> </v>
      </c>
      <c r="CQ17" s="148"/>
      <c r="CR17" s="144"/>
      <c r="CS17" s="144"/>
      <c r="CT17" s="22" t="str">
        <f t="shared" si="31"/>
        <v xml:space="preserve"> </v>
      </c>
      <c r="CU17" s="112"/>
      <c r="CV17" s="145" t="str">
        <f t="shared" si="32"/>
        <v xml:space="preserve"> </v>
      </c>
      <c r="CW17" s="148"/>
    </row>
    <row r="18" spans="2:101" ht="140.25" hidden="1">
      <c r="B18" s="134" t="s">
        <v>55</v>
      </c>
      <c r="C18" s="135" t="s">
        <v>88</v>
      </c>
      <c r="D18" s="135" t="s">
        <v>61</v>
      </c>
      <c r="E18" s="135" t="s">
        <v>57</v>
      </c>
      <c r="F18" s="134" t="s">
        <v>62</v>
      </c>
      <c r="G18" s="135" t="s">
        <v>53</v>
      </c>
      <c r="H18" s="143" t="s">
        <v>63</v>
      </c>
      <c r="I18" s="134" t="s">
        <v>64</v>
      </c>
      <c r="J18" s="135" t="s">
        <v>54</v>
      </c>
      <c r="K18" s="184"/>
      <c r="L18" s="185">
        <v>1</v>
      </c>
      <c r="M18" s="185"/>
      <c r="N18" s="185">
        <v>1</v>
      </c>
      <c r="O18" s="186"/>
      <c r="P18" s="139">
        <v>1</v>
      </c>
      <c r="Q18" s="186"/>
      <c r="R18" s="139">
        <v>1</v>
      </c>
      <c r="S18" s="186"/>
      <c r="T18" s="139">
        <v>1</v>
      </c>
      <c r="U18" s="187"/>
      <c r="V18" s="142">
        <v>1</v>
      </c>
      <c r="W18" s="183" t="s">
        <v>259</v>
      </c>
      <c r="X18" s="144"/>
      <c r="Y18" s="144"/>
      <c r="Z18" s="22" t="str">
        <f t="shared" si="8"/>
        <v xml:space="preserve"> </v>
      </c>
      <c r="AA18" s="112"/>
      <c r="AB18" s="145" t="str">
        <f t="shared" si="9"/>
        <v xml:space="preserve"> </v>
      </c>
      <c r="AC18" s="148"/>
      <c r="AD18" s="144"/>
      <c r="AE18" s="144"/>
      <c r="AF18" s="22" t="str">
        <f t="shared" si="10"/>
        <v xml:space="preserve"> </v>
      </c>
      <c r="AG18" s="112"/>
      <c r="AH18" s="145" t="str">
        <f t="shared" si="11"/>
        <v xml:space="preserve"> </v>
      </c>
      <c r="AI18" s="148"/>
      <c r="AJ18" s="144"/>
      <c r="AK18" s="144"/>
      <c r="AL18" s="22" t="str">
        <f t="shared" si="12"/>
        <v xml:space="preserve"> </v>
      </c>
      <c r="AM18" s="112"/>
      <c r="AN18" s="145" t="str">
        <f t="shared" si="13"/>
        <v xml:space="preserve"> </v>
      </c>
      <c r="AO18" s="148"/>
      <c r="AP18" s="144"/>
      <c r="AQ18" s="144"/>
      <c r="AR18" s="22" t="str">
        <f t="shared" si="14"/>
        <v xml:space="preserve"> </v>
      </c>
      <c r="AS18" s="112"/>
      <c r="AT18" s="145" t="str">
        <f t="shared" si="15"/>
        <v xml:space="preserve"> </v>
      </c>
      <c r="AU18" s="148"/>
      <c r="AV18" s="144"/>
      <c r="AW18" s="144"/>
      <c r="AX18" s="22" t="str">
        <f t="shared" si="16"/>
        <v xml:space="preserve"> </v>
      </c>
      <c r="AY18" s="112"/>
      <c r="AZ18" s="145" t="str">
        <f t="shared" si="17"/>
        <v xml:space="preserve"> </v>
      </c>
      <c r="BA18" s="148"/>
      <c r="BB18" s="144"/>
      <c r="BC18" s="144"/>
      <c r="BD18" s="22" t="str">
        <f t="shared" si="18"/>
        <v xml:space="preserve"> </v>
      </c>
      <c r="BE18" s="112"/>
      <c r="BF18" s="145" t="str">
        <f t="shared" si="19"/>
        <v xml:space="preserve"> </v>
      </c>
      <c r="BG18" s="148"/>
      <c r="BH18" s="144"/>
      <c r="BI18" s="144"/>
      <c r="BJ18" s="22" t="str">
        <f t="shared" si="20"/>
        <v xml:space="preserve"> </v>
      </c>
      <c r="BK18" s="112"/>
      <c r="BL18" s="145" t="str">
        <f t="shared" si="21"/>
        <v xml:space="preserve"> </v>
      </c>
      <c r="BM18" s="148"/>
      <c r="BN18" s="144"/>
      <c r="BO18" s="144"/>
      <c r="BP18" s="22" t="str">
        <f t="shared" si="22"/>
        <v xml:space="preserve"> </v>
      </c>
      <c r="BQ18" s="112"/>
      <c r="BR18" s="145" t="str">
        <f t="shared" si="23"/>
        <v xml:space="preserve"> </v>
      </c>
      <c r="BS18" s="148"/>
      <c r="BT18" s="144"/>
      <c r="BU18" s="144"/>
      <c r="BV18" s="22" t="str">
        <f t="shared" si="24"/>
        <v xml:space="preserve"> </v>
      </c>
      <c r="BW18" s="112"/>
      <c r="BX18" s="145" t="str">
        <f t="shared" si="25"/>
        <v xml:space="preserve"> </v>
      </c>
      <c r="BY18" s="25"/>
      <c r="BZ18" s="144"/>
      <c r="CA18" s="144"/>
      <c r="CB18" s="22" t="str">
        <f t="shared" si="26"/>
        <v xml:space="preserve"> </v>
      </c>
      <c r="CC18" s="112"/>
      <c r="CD18" s="145" t="str">
        <f t="shared" si="27"/>
        <v xml:space="preserve"> </v>
      </c>
      <c r="CE18" s="148"/>
      <c r="CF18" s="144"/>
      <c r="CG18" s="144"/>
      <c r="CH18" s="22" t="str">
        <f t="shared" si="28"/>
        <v xml:space="preserve"> </v>
      </c>
      <c r="CI18" s="112"/>
      <c r="CJ18" s="145" t="str">
        <f t="shared" si="29"/>
        <v xml:space="preserve"> </v>
      </c>
      <c r="CK18" s="148"/>
      <c r="CL18" s="144"/>
      <c r="CM18" s="144"/>
      <c r="CN18" s="22" t="str">
        <f t="shared" si="30"/>
        <v xml:space="preserve"> </v>
      </c>
      <c r="CO18" s="112"/>
      <c r="CP18" s="145" t="str">
        <f t="shared" si="7"/>
        <v xml:space="preserve"> </v>
      </c>
      <c r="CQ18" s="148"/>
      <c r="CR18" s="144"/>
      <c r="CS18" s="144"/>
      <c r="CT18" s="22" t="str">
        <f t="shared" si="31"/>
        <v xml:space="preserve"> </v>
      </c>
      <c r="CU18" s="112"/>
      <c r="CV18" s="145" t="str">
        <f t="shared" si="32"/>
        <v xml:space="preserve"> </v>
      </c>
      <c r="CW18" s="148"/>
    </row>
    <row r="19" spans="2:101" ht="47.25" customHeight="1">
      <c r="B19" s="134" t="s">
        <v>260</v>
      </c>
      <c r="C19" s="135" t="s">
        <v>261</v>
      </c>
      <c r="D19" s="134" t="s">
        <v>262</v>
      </c>
      <c r="E19" s="135" t="s">
        <v>263</v>
      </c>
      <c r="F19" s="134" t="s">
        <v>264</v>
      </c>
      <c r="G19" s="135" t="s">
        <v>265</v>
      </c>
      <c r="H19" s="143" t="s">
        <v>266</v>
      </c>
      <c r="I19" s="134" t="s">
        <v>267</v>
      </c>
      <c r="J19" s="135" t="s">
        <v>194</v>
      </c>
      <c r="K19" s="138"/>
      <c r="L19" s="138"/>
      <c r="M19" s="188">
        <v>0.24006311090284346</v>
      </c>
      <c r="N19" s="188"/>
      <c r="O19" s="188"/>
      <c r="P19" s="189"/>
      <c r="Q19" s="189"/>
      <c r="R19" s="189"/>
      <c r="S19" s="138"/>
      <c r="T19" s="138"/>
      <c r="U19" s="182"/>
      <c r="V19" s="190"/>
      <c r="W19" s="143" t="s">
        <v>268</v>
      </c>
      <c r="X19" s="144"/>
      <c r="Y19" s="144"/>
      <c r="Z19" s="22" t="str">
        <f t="shared" si="8"/>
        <v xml:space="preserve"> </v>
      </c>
      <c r="AA19" s="112"/>
      <c r="AB19" s="145" t="str">
        <f t="shared" si="9"/>
        <v xml:space="preserve"> </v>
      </c>
      <c r="AC19" s="146" t="s">
        <v>269</v>
      </c>
      <c r="AD19" s="144"/>
      <c r="AE19" s="144"/>
      <c r="AF19" s="22" t="str">
        <f t="shared" si="10"/>
        <v xml:space="preserve"> </v>
      </c>
      <c r="AG19" s="112"/>
      <c r="AH19" s="145" t="str">
        <f t="shared" si="11"/>
        <v xml:space="preserve"> </v>
      </c>
      <c r="AI19" s="146" t="s">
        <v>269</v>
      </c>
      <c r="AJ19" s="191">
        <v>140055631</v>
      </c>
      <c r="AK19" s="191">
        <v>583411714</v>
      </c>
      <c r="AL19" s="22">
        <f t="shared" si="12"/>
        <v>0.24006311090284346</v>
      </c>
      <c r="AM19" s="112">
        <v>0.24</v>
      </c>
      <c r="AN19" s="145">
        <f t="shared" si="13"/>
        <v>1.0002629620951811</v>
      </c>
      <c r="AO19" s="115" t="s">
        <v>270</v>
      </c>
      <c r="AP19" s="144"/>
      <c r="AQ19" s="144"/>
      <c r="AR19" s="22" t="str">
        <f t="shared" si="14"/>
        <v xml:space="preserve"> </v>
      </c>
      <c r="AS19" s="112"/>
      <c r="AT19" s="145" t="str">
        <f t="shared" si="15"/>
        <v xml:space="preserve"> </v>
      </c>
      <c r="AU19" s="146" t="s">
        <v>182</v>
      </c>
      <c r="AV19" s="144"/>
      <c r="AW19" s="144"/>
      <c r="AX19" s="22" t="str">
        <f t="shared" si="16"/>
        <v xml:space="preserve"> </v>
      </c>
      <c r="AY19" s="112"/>
      <c r="AZ19" s="145" t="str">
        <f t="shared" si="17"/>
        <v xml:space="preserve"> </v>
      </c>
      <c r="BA19" s="146" t="s">
        <v>182</v>
      </c>
      <c r="BB19" s="144"/>
      <c r="BC19" s="144"/>
      <c r="BD19" s="22" t="str">
        <f t="shared" si="18"/>
        <v xml:space="preserve"> </v>
      </c>
      <c r="BE19" s="112"/>
      <c r="BF19" s="145" t="str">
        <f t="shared" si="19"/>
        <v xml:space="preserve"> </v>
      </c>
      <c r="BG19" s="146" t="s">
        <v>182</v>
      </c>
      <c r="BH19" s="191">
        <v>0</v>
      </c>
      <c r="BI19" s="191">
        <v>0</v>
      </c>
      <c r="BJ19" s="22" t="str">
        <f t="shared" si="20"/>
        <v xml:space="preserve"> </v>
      </c>
      <c r="BK19" s="112">
        <v>0</v>
      </c>
      <c r="BL19" s="145" t="str">
        <f t="shared" si="21"/>
        <v xml:space="preserve"> </v>
      </c>
      <c r="BM19" s="148" t="s">
        <v>271</v>
      </c>
      <c r="BN19" s="192"/>
      <c r="BO19" s="192"/>
      <c r="BP19" s="22" t="str">
        <f t="shared" si="22"/>
        <v xml:space="preserve"> </v>
      </c>
      <c r="BQ19" s="112"/>
      <c r="BR19" s="145" t="str">
        <f t="shared" si="23"/>
        <v xml:space="preserve"> </v>
      </c>
      <c r="BS19" s="193" t="s">
        <v>271</v>
      </c>
      <c r="BT19" s="144"/>
      <c r="BU19" s="144"/>
      <c r="BV19" s="22" t="str">
        <f t="shared" si="24"/>
        <v xml:space="preserve"> </v>
      </c>
      <c r="BW19" s="112"/>
      <c r="BX19" s="145" t="str">
        <f t="shared" si="25"/>
        <v xml:space="preserve"> </v>
      </c>
      <c r="BY19" s="164" t="s">
        <v>182</v>
      </c>
      <c r="BZ19" s="144"/>
      <c r="CA19" s="144"/>
      <c r="CB19" s="22" t="str">
        <f t="shared" si="26"/>
        <v xml:space="preserve"> </v>
      </c>
      <c r="CC19" s="112"/>
      <c r="CD19" s="145" t="str">
        <f t="shared" si="27"/>
        <v xml:space="preserve"> </v>
      </c>
      <c r="CE19" s="146" t="s">
        <v>182</v>
      </c>
      <c r="CF19" s="144"/>
      <c r="CG19" s="144"/>
      <c r="CH19" s="22" t="str">
        <f t="shared" si="28"/>
        <v xml:space="preserve"> </v>
      </c>
      <c r="CI19" s="112"/>
      <c r="CJ19" s="145" t="str">
        <f t="shared" si="29"/>
        <v xml:space="preserve"> </v>
      </c>
      <c r="CK19" s="146" t="s">
        <v>182</v>
      </c>
      <c r="CL19" s="194"/>
      <c r="CM19" s="194"/>
      <c r="CN19" s="22" t="str">
        <f t="shared" si="30"/>
        <v xml:space="preserve"> </v>
      </c>
      <c r="CO19" s="112"/>
      <c r="CP19" s="145" t="str">
        <f t="shared" si="7"/>
        <v xml:space="preserve"> </v>
      </c>
      <c r="CQ19" s="155" t="s">
        <v>272</v>
      </c>
      <c r="CR19" s="195">
        <v>583411714</v>
      </c>
      <c r="CS19" s="196">
        <v>583411714</v>
      </c>
      <c r="CT19" s="22">
        <f t="shared" si="31"/>
        <v>1</v>
      </c>
      <c r="CU19" s="112">
        <v>1</v>
      </c>
      <c r="CV19" s="145">
        <f t="shared" si="32"/>
        <v>1</v>
      </c>
      <c r="CW19" s="197" t="s">
        <v>272</v>
      </c>
    </row>
    <row r="20" spans="2:101" ht="70.5" customHeight="1">
      <c r="B20" s="134" t="s">
        <v>260</v>
      </c>
      <c r="C20" s="135" t="s">
        <v>273</v>
      </c>
      <c r="D20" s="198" t="s">
        <v>274</v>
      </c>
      <c r="E20" s="135" t="s">
        <v>275</v>
      </c>
      <c r="F20" s="134" t="s">
        <v>276</v>
      </c>
      <c r="G20" s="135" t="s">
        <v>265</v>
      </c>
      <c r="H20" s="143" t="s">
        <v>277</v>
      </c>
      <c r="I20" s="134" t="s">
        <v>267</v>
      </c>
      <c r="J20" s="135" t="s">
        <v>194</v>
      </c>
      <c r="K20" s="189"/>
      <c r="L20" s="188"/>
      <c r="M20" s="188">
        <v>0.10358877558067264</v>
      </c>
      <c r="N20" s="188">
        <v>0.11509863953408071</v>
      </c>
      <c r="O20" s="188">
        <v>8.0569047673856489E-2</v>
      </c>
      <c r="P20" s="189">
        <v>0.11509863953408071</v>
      </c>
      <c r="Q20" s="189">
        <v>9.8984829999309409E-2</v>
      </c>
      <c r="R20" s="189">
        <v>0.11509863953408071</v>
      </c>
      <c r="S20" s="189">
        <v>9.2078911627264559E-2</v>
      </c>
      <c r="T20" s="189">
        <v>0.10358877558067264</v>
      </c>
      <c r="U20" s="199">
        <v>0.10358877558067264</v>
      </c>
      <c r="V20" s="200">
        <v>7.2304965355309503E-2</v>
      </c>
      <c r="W20" s="143" t="s">
        <v>268</v>
      </c>
      <c r="X20" s="144"/>
      <c r="Y20" s="144"/>
      <c r="Z20" s="22" t="str">
        <f t="shared" si="8"/>
        <v xml:space="preserve"> </v>
      </c>
      <c r="AA20" s="112"/>
      <c r="AB20" s="145" t="str">
        <f t="shared" si="9"/>
        <v xml:space="preserve"> </v>
      </c>
      <c r="AC20" s="146" t="s">
        <v>182</v>
      </c>
      <c r="AD20" s="144"/>
      <c r="AE20" s="144"/>
      <c r="AF20" s="22" t="str">
        <f t="shared" si="10"/>
        <v xml:space="preserve"> </v>
      </c>
      <c r="AG20" s="112"/>
      <c r="AH20" s="145" t="str">
        <f t="shared" si="11"/>
        <v xml:space="preserve"> </v>
      </c>
      <c r="AI20" s="146" t="s">
        <v>182</v>
      </c>
      <c r="AJ20" s="191">
        <v>144145080</v>
      </c>
      <c r="AK20" s="191">
        <v>1391502112</v>
      </c>
      <c r="AL20" s="22">
        <f t="shared" si="12"/>
        <v>0.10358955172034981</v>
      </c>
      <c r="AM20" s="112">
        <v>0.104</v>
      </c>
      <c r="AN20" s="145">
        <f t="shared" si="13"/>
        <v>0.99605338192644055</v>
      </c>
      <c r="AO20" s="115" t="s">
        <v>278</v>
      </c>
      <c r="AP20" s="191">
        <v>160417458</v>
      </c>
      <c r="AQ20" s="191">
        <v>1391502112</v>
      </c>
      <c r="AR20" s="22">
        <f t="shared" si="14"/>
        <v>0.11528366117205002</v>
      </c>
      <c r="AS20" s="112">
        <v>0.115</v>
      </c>
      <c r="AT20" s="145">
        <f t="shared" si="15"/>
        <v>1.0024666188873914</v>
      </c>
      <c r="AU20" s="115" t="s">
        <v>279</v>
      </c>
      <c r="AV20" s="191">
        <v>112240969</v>
      </c>
      <c r="AW20" s="191">
        <v>1391502112</v>
      </c>
      <c r="AX20" s="22">
        <f t="shared" si="16"/>
        <v>8.0661730968324963E-2</v>
      </c>
      <c r="AY20" s="112">
        <v>8.1000000000000003E-2</v>
      </c>
      <c r="AZ20" s="145">
        <f t="shared" si="17"/>
        <v>0.99582383911512296</v>
      </c>
      <c r="BA20" s="148" t="s">
        <v>280</v>
      </c>
      <c r="BB20" s="191">
        <v>160161200</v>
      </c>
      <c r="BC20" s="191">
        <v>1391502112</v>
      </c>
      <c r="BD20" s="22">
        <f t="shared" si="18"/>
        <v>0.1150995019114998</v>
      </c>
      <c r="BE20" s="112">
        <v>0.115</v>
      </c>
      <c r="BF20" s="145">
        <f t="shared" si="19"/>
        <v>1.0008652340130417</v>
      </c>
      <c r="BG20" s="148" t="s">
        <v>281</v>
      </c>
      <c r="BH20" s="191">
        <v>108012713</v>
      </c>
      <c r="BI20" s="191">
        <v>1391502112</v>
      </c>
      <c r="BJ20" s="22">
        <f t="shared" si="20"/>
        <v>7.7623103887894063E-2</v>
      </c>
      <c r="BK20" s="112">
        <v>0.1</v>
      </c>
      <c r="BL20" s="145">
        <f t="shared" si="21"/>
        <v>0.77623103887894063</v>
      </c>
      <c r="BM20" s="148" t="s">
        <v>282</v>
      </c>
      <c r="BN20" s="192">
        <v>160289329</v>
      </c>
      <c r="BO20" s="192">
        <v>1391502112</v>
      </c>
      <c r="BP20" s="22">
        <f t="shared" si="22"/>
        <v>0.1151915815417749</v>
      </c>
      <c r="BQ20" s="112">
        <v>0.12</v>
      </c>
      <c r="BR20" s="145">
        <f t="shared" si="23"/>
        <v>0.9599298461814576</v>
      </c>
      <c r="BS20" s="193" t="s">
        <v>283</v>
      </c>
      <c r="BT20" s="192">
        <v>67684123</v>
      </c>
      <c r="BU20" s="192">
        <v>1391502112</v>
      </c>
      <c r="BV20" s="22">
        <f t="shared" si="24"/>
        <v>4.8641049421562069E-2</v>
      </c>
      <c r="BW20" s="112">
        <v>9.1999999999999998E-2</v>
      </c>
      <c r="BX20" s="145">
        <f t="shared" si="25"/>
        <v>0.52870705893002246</v>
      </c>
      <c r="BY20" s="201" t="s">
        <v>284</v>
      </c>
      <c r="BZ20" s="144">
        <v>0</v>
      </c>
      <c r="CA20" s="202">
        <v>1391502112</v>
      </c>
      <c r="CB20" s="22">
        <f t="shared" si="26"/>
        <v>0</v>
      </c>
      <c r="CC20" s="112">
        <v>0.104</v>
      </c>
      <c r="CD20" s="145">
        <f t="shared" si="27"/>
        <v>0</v>
      </c>
      <c r="CE20" s="203" t="s">
        <v>285</v>
      </c>
      <c r="CF20" s="144">
        <v>0</v>
      </c>
      <c r="CG20" s="202">
        <v>1391502112</v>
      </c>
      <c r="CH20" s="22">
        <f t="shared" si="28"/>
        <v>0</v>
      </c>
      <c r="CI20" s="112">
        <v>0.104</v>
      </c>
      <c r="CJ20" s="145">
        <f t="shared" si="29"/>
        <v>0</v>
      </c>
      <c r="CK20" s="203" t="s">
        <v>285</v>
      </c>
      <c r="CL20" s="194">
        <v>0</v>
      </c>
      <c r="CM20" s="204">
        <v>1391502112</v>
      </c>
      <c r="CN20" s="22">
        <v>7.0000000000000007E-2</v>
      </c>
      <c r="CO20" s="112">
        <v>7.1999999999999995E-2</v>
      </c>
      <c r="CP20" s="145">
        <f t="shared" si="7"/>
        <v>0.97222222222222243</v>
      </c>
      <c r="CQ20" s="155" t="s">
        <v>285</v>
      </c>
      <c r="CR20" s="196">
        <v>912950872</v>
      </c>
      <c r="CS20" s="196">
        <v>1391502112</v>
      </c>
      <c r="CT20" s="22">
        <f t="shared" si="31"/>
        <v>0.65609018062345559</v>
      </c>
      <c r="CU20" s="112">
        <v>1</v>
      </c>
      <c r="CV20" s="145">
        <f t="shared" si="32"/>
        <v>0.65609018062345559</v>
      </c>
      <c r="CW20" s="197" t="s">
        <v>286</v>
      </c>
    </row>
    <row r="21" spans="2:101" s="210" customFormat="1" ht="78.75" customHeight="1">
      <c r="B21" s="205" t="s">
        <v>67</v>
      </c>
      <c r="C21" s="206" t="s">
        <v>90</v>
      </c>
      <c r="D21" s="206" t="s">
        <v>287</v>
      </c>
      <c r="E21" s="206" t="s">
        <v>68</v>
      </c>
      <c r="F21" s="205" t="s">
        <v>69</v>
      </c>
      <c r="G21" s="206" t="s">
        <v>53</v>
      </c>
      <c r="H21" s="207" t="s">
        <v>288</v>
      </c>
      <c r="I21" s="205" t="s">
        <v>71</v>
      </c>
      <c r="J21" s="206" t="s">
        <v>54</v>
      </c>
      <c r="K21" s="208"/>
      <c r="L21" s="209"/>
      <c r="M21" s="209"/>
      <c r="N21" s="209"/>
      <c r="O21" s="199"/>
      <c r="P21" s="199">
        <v>5.8676199999999998E-2</v>
      </c>
      <c r="Q21" s="199"/>
      <c r="R21" s="199"/>
      <c r="S21" s="199"/>
      <c r="U21" s="199"/>
      <c r="V21" s="211">
        <v>0.94132380000000004</v>
      </c>
      <c r="W21" s="207" t="s">
        <v>289</v>
      </c>
      <c r="X21" s="156"/>
      <c r="Y21" s="156"/>
      <c r="Z21" s="157" t="str">
        <f t="shared" si="8"/>
        <v xml:space="preserve"> </v>
      </c>
      <c r="AA21" s="158"/>
      <c r="AB21" s="158" t="str">
        <f t="shared" si="9"/>
        <v xml:space="preserve"> </v>
      </c>
      <c r="AC21" s="212" t="s">
        <v>182</v>
      </c>
      <c r="AD21" s="156"/>
      <c r="AE21" s="156"/>
      <c r="AF21" s="157" t="str">
        <f t="shared" si="10"/>
        <v xml:space="preserve"> </v>
      </c>
      <c r="AG21" s="158"/>
      <c r="AH21" s="158" t="str">
        <f t="shared" si="11"/>
        <v xml:space="preserve"> </v>
      </c>
      <c r="AI21" s="212" t="s">
        <v>182</v>
      </c>
      <c r="AJ21" s="156"/>
      <c r="AK21" s="156"/>
      <c r="AL21" s="157" t="str">
        <f t="shared" si="12"/>
        <v xml:space="preserve"> </v>
      </c>
      <c r="AM21" s="158"/>
      <c r="AN21" s="158" t="str">
        <f t="shared" si="13"/>
        <v xml:space="preserve"> </v>
      </c>
      <c r="AO21" s="212" t="s">
        <v>182</v>
      </c>
      <c r="AP21" s="156"/>
      <c r="AQ21" s="156"/>
      <c r="AR21" s="157" t="str">
        <f t="shared" si="14"/>
        <v xml:space="preserve"> </v>
      </c>
      <c r="AS21" s="158"/>
      <c r="AT21" s="158" t="str">
        <f t="shared" si="15"/>
        <v xml:space="preserve"> </v>
      </c>
      <c r="AU21" s="212" t="s">
        <v>182</v>
      </c>
      <c r="AV21" s="156"/>
      <c r="AW21" s="156"/>
      <c r="AX21" s="157" t="str">
        <f t="shared" si="16"/>
        <v xml:space="preserve"> </v>
      </c>
      <c r="AY21" s="158"/>
      <c r="AZ21" s="158" t="str">
        <f t="shared" si="17"/>
        <v xml:space="preserve"> </v>
      </c>
      <c r="BA21" s="155" t="s">
        <v>290</v>
      </c>
      <c r="BB21" s="213">
        <v>586762</v>
      </c>
      <c r="BC21" s="213">
        <v>10000000</v>
      </c>
      <c r="BD21" s="157">
        <f t="shared" si="18"/>
        <v>5.8676199999999998E-2</v>
      </c>
      <c r="BE21" s="158">
        <v>5.8999999999999997E-2</v>
      </c>
      <c r="BF21" s="158">
        <f t="shared" si="19"/>
        <v>0.99451186440677963</v>
      </c>
      <c r="BG21" s="155" t="s">
        <v>291</v>
      </c>
      <c r="BH21" s="213"/>
      <c r="BI21" s="213"/>
      <c r="BJ21" s="157" t="str">
        <f t="shared" si="20"/>
        <v xml:space="preserve"> </v>
      </c>
      <c r="BK21" s="158"/>
      <c r="BL21" s="158" t="str">
        <f t="shared" si="21"/>
        <v xml:space="preserve"> </v>
      </c>
      <c r="BM21" s="214" t="s">
        <v>292</v>
      </c>
      <c r="BN21" s="156"/>
      <c r="BO21" s="156"/>
      <c r="BP21" s="157" t="str">
        <f t="shared" si="22"/>
        <v xml:space="preserve"> </v>
      </c>
      <c r="BQ21" s="158"/>
      <c r="BR21" s="158" t="str">
        <f t="shared" si="23"/>
        <v xml:space="preserve"> </v>
      </c>
      <c r="BS21" s="212" t="s">
        <v>182</v>
      </c>
      <c r="BT21" s="156"/>
      <c r="BU21" s="156"/>
      <c r="BV21" s="157" t="str">
        <f t="shared" si="24"/>
        <v xml:space="preserve"> </v>
      </c>
      <c r="BW21" s="158"/>
      <c r="BX21" s="158" t="str">
        <f t="shared" si="25"/>
        <v xml:space="preserve"> </v>
      </c>
      <c r="BY21" s="215" t="s">
        <v>293</v>
      </c>
      <c r="BZ21" s="156"/>
      <c r="CA21" s="156"/>
      <c r="CB21" s="157" t="str">
        <f t="shared" si="26"/>
        <v xml:space="preserve"> </v>
      </c>
      <c r="CC21" s="158"/>
      <c r="CD21" s="158" t="str">
        <f t="shared" si="27"/>
        <v xml:space="preserve"> </v>
      </c>
      <c r="CE21" s="212" t="s">
        <v>182</v>
      </c>
      <c r="CF21" s="156"/>
      <c r="CG21" s="156"/>
      <c r="CH21" s="157" t="str">
        <f t="shared" si="28"/>
        <v xml:space="preserve"> </v>
      </c>
      <c r="CI21" s="158"/>
      <c r="CJ21" s="158" t="str">
        <f t="shared" si="29"/>
        <v xml:space="preserve"> </v>
      </c>
      <c r="CK21" s="212" t="s">
        <v>182</v>
      </c>
      <c r="CL21" s="156">
        <v>7843262</v>
      </c>
      <c r="CM21" s="156">
        <v>9343262</v>
      </c>
      <c r="CN21" s="157">
        <f t="shared" si="30"/>
        <v>0.83945649816948298</v>
      </c>
      <c r="CO21" s="158">
        <v>0.94099999999999995</v>
      </c>
      <c r="CP21" s="158">
        <f t="shared" si="7"/>
        <v>0.89208979614185235</v>
      </c>
      <c r="CQ21" s="216" t="s">
        <v>294</v>
      </c>
      <c r="CR21" s="156">
        <v>7843262</v>
      </c>
      <c r="CS21" s="156">
        <v>9343262</v>
      </c>
      <c r="CT21" s="157">
        <f t="shared" si="31"/>
        <v>0.83945649816948298</v>
      </c>
      <c r="CU21" s="158">
        <v>0.94099999999999995</v>
      </c>
      <c r="CV21" s="158">
        <f t="shared" si="32"/>
        <v>0.89208979614185235</v>
      </c>
      <c r="CW21" s="217" t="s">
        <v>295</v>
      </c>
    </row>
    <row r="22" spans="2:101" ht="113.25" customHeight="1">
      <c r="B22" s="134" t="s">
        <v>73</v>
      </c>
      <c r="C22" s="135" t="s">
        <v>91</v>
      </c>
      <c r="D22" s="135" t="s">
        <v>74</v>
      </c>
      <c r="E22" s="135" t="s">
        <v>75</v>
      </c>
      <c r="F22" s="134" t="s">
        <v>296</v>
      </c>
      <c r="G22" s="135" t="s">
        <v>53</v>
      </c>
      <c r="H22" s="143" t="s">
        <v>297</v>
      </c>
      <c r="I22" s="134" t="s">
        <v>78</v>
      </c>
      <c r="J22" s="135" t="s">
        <v>54</v>
      </c>
      <c r="K22" s="139">
        <v>0.8</v>
      </c>
      <c r="L22" s="139">
        <v>0.8</v>
      </c>
      <c r="M22" s="139">
        <v>0.8</v>
      </c>
      <c r="N22" s="139">
        <v>0.8</v>
      </c>
      <c r="O22" s="139">
        <v>0.8</v>
      </c>
      <c r="P22" s="139">
        <v>0.8</v>
      </c>
      <c r="Q22" s="139">
        <v>0.8</v>
      </c>
      <c r="R22" s="139">
        <v>0.75</v>
      </c>
      <c r="S22" s="139">
        <v>0.8</v>
      </c>
      <c r="T22" s="139">
        <v>0.8</v>
      </c>
      <c r="U22" s="218">
        <v>0.8</v>
      </c>
      <c r="V22" s="142">
        <v>0.8</v>
      </c>
      <c r="W22" s="143" t="s">
        <v>298</v>
      </c>
      <c r="X22" s="147">
        <v>100</v>
      </c>
      <c r="Y22" s="147">
        <v>100</v>
      </c>
      <c r="Z22" s="22">
        <v>1</v>
      </c>
      <c r="AA22" s="112">
        <v>1</v>
      </c>
      <c r="AB22" s="145">
        <f t="shared" si="9"/>
        <v>1</v>
      </c>
      <c r="AC22" s="148" t="s">
        <v>299</v>
      </c>
      <c r="AD22" s="147">
        <v>65</v>
      </c>
      <c r="AE22" s="147">
        <v>100</v>
      </c>
      <c r="AF22" s="22">
        <f t="shared" si="10"/>
        <v>0.65</v>
      </c>
      <c r="AG22" s="112">
        <v>1</v>
      </c>
      <c r="AH22" s="145">
        <f t="shared" si="11"/>
        <v>0.65</v>
      </c>
      <c r="AI22" s="148" t="s">
        <v>300</v>
      </c>
      <c r="AJ22" s="147">
        <v>75</v>
      </c>
      <c r="AK22" s="147">
        <v>100</v>
      </c>
      <c r="AL22" s="22">
        <f t="shared" si="12"/>
        <v>0.75</v>
      </c>
      <c r="AM22" s="112">
        <v>1</v>
      </c>
      <c r="AN22" s="145">
        <f t="shared" si="13"/>
        <v>0.75</v>
      </c>
      <c r="AO22" s="148" t="s">
        <v>301</v>
      </c>
      <c r="AP22" s="147">
        <v>75</v>
      </c>
      <c r="AQ22" s="147">
        <v>100</v>
      </c>
      <c r="AR22" s="22">
        <f t="shared" si="14"/>
        <v>0.75</v>
      </c>
      <c r="AS22" s="112">
        <v>1</v>
      </c>
      <c r="AT22" s="145">
        <f t="shared" si="15"/>
        <v>0.75</v>
      </c>
      <c r="AU22" s="148" t="s">
        <v>302</v>
      </c>
      <c r="AV22" s="147">
        <v>100</v>
      </c>
      <c r="AW22" s="147">
        <v>100</v>
      </c>
      <c r="AX22" s="22">
        <f t="shared" si="16"/>
        <v>1</v>
      </c>
      <c r="AY22" s="112">
        <v>1</v>
      </c>
      <c r="AZ22" s="145">
        <f t="shared" si="17"/>
        <v>1</v>
      </c>
      <c r="BA22" s="148" t="s">
        <v>303</v>
      </c>
      <c r="BB22" s="147">
        <v>75</v>
      </c>
      <c r="BC22" s="147">
        <v>100</v>
      </c>
      <c r="BD22" s="22">
        <f t="shared" si="18"/>
        <v>0.75</v>
      </c>
      <c r="BE22" s="112">
        <v>1</v>
      </c>
      <c r="BF22" s="145">
        <f t="shared" si="19"/>
        <v>0.75</v>
      </c>
      <c r="BG22" s="148" t="s">
        <v>304</v>
      </c>
      <c r="BH22" s="219">
        <v>65</v>
      </c>
      <c r="BI22" s="219">
        <v>100</v>
      </c>
      <c r="BJ22" s="22">
        <f t="shared" si="20"/>
        <v>0.65</v>
      </c>
      <c r="BK22" s="112">
        <v>1</v>
      </c>
      <c r="BL22" s="145">
        <f t="shared" si="21"/>
        <v>0.65</v>
      </c>
      <c r="BM22" s="148" t="s">
        <v>305</v>
      </c>
      <c r="BN22" s="144">
        <v>75</v>
      </c>
      <c r="BO22" s="144">
        <v>100</v>
      </c>
      <c r="BP22" s="22">
        <f t="shared" si="22"/>
        <v>0.75</v>
      </c>
      <c r="BQ22" s="112">
        <v>0.75</v>
      </c>
      <c r="BR22" s="145">
        <f t="shared" si="23"/>
        <v>1</v>
      </c>
      <c r="BS22" s="193" t="s">
        <v>306</v>
      </c>
      <c r="BT22" s="144">
        <v>30</v>
      </c>
      <c r="BU22" s="144">
        <v>100</v>
      </c>
      <c r="BV22" s="22">
        <f t="shared" si="24"/>
        <v>0.3</v>
      </c>
      <c r="BW22" s="112">
        <v>1</v>
      </c>
      <c r="BX22" s="145">
        <f t="shared" si="25"/>
        <v>0.3</v>
      </c>
      <c r="BY22" s="220" t="s">
        <v>307</v>
      </c>
      <c r="BZ22" s="144">
        <v>65</v>
      </c>
      <c r="CA22" s="144">
        <v>100</v>
      </c>
      <c r="CB22" s="22">
        <f t="shared" si="26"/>
        <v>0.65</v>
      </c>
      <c r="CC22" s="112">
        <v>0.8</v>
      </c>
      <c r="CD22" s="145">
        <f t="shared" si="27"/>
        <v>0.8125</v>
      </c>
      <c r="CE22" s="221" t="s">
        <v>308</v>
      </c>
      <c r="CF22" s="144">
        <v>65</v>
      </c>
      <c r="CG22" s="144">
        <v>100</v>
      </c>
      <c r="CH22" s="22">
        <f t="shared" si="28"/>
        <v>0.65</v>
      </c>
      <c r="CI22" s="112">
        <v>0.8</v>
      </c>
      <c r="CJ22" s="145">
        <f t="shared" si="29"/>
        <v>0.8125</v>
      </c>
      <c r="CK22" s="135" t="s">
        <v>309</v>
      </c>
      <c r="CL22" s="144">
        <v>65</v>
      </c>
      <c r="CM22" s="144">
        <v>100</v>
      </c>
      <c r="CN22" s="22">
        <f t="shared" si="30"/>
        <v>0.65</v>
      </c>
      <c r="CO22" s="112">
        <v>0.8</v>
      </c>
      <c r="CP22" s="145">
        <f t="shared" si="7"/>
        <v>0.8125</v>
      </c>
      <c r="CQ22" s="222" t="s">
        <v>310</v>
      </c>
      <c r="CR22" s="144">
        <v>65</v>
      </c>
      <c r="CS22" s="144">
        <v>100</v>
      </c>
      <c r="CT22" s="22">
        <v>0.65</v>
      </c>
      <c r="CU22" s="112">
        <v>0.8</v>
      </c>
      <c r="CV22" s="145">
        <f t="shared" si="32"/>
        <v>0.8125</v>
      </c>
      <c r="CW22" s="222" t="s">
        <v>310</v>
      </c>
    </row>
    <row r="23" spans="2:101" ht="76.5" customHeight="1">
      <c r="B23" s="134"/>
      <c r="C23" s="135"/>
      <c r="D23" s="223" t="s">
        <v>83</v>
      </c>
      <c r="E23" s="135" t="s">
        <v>84</v>
      </c>
      <c r="F23" s="180" t="s">
        <v>82</v>
      </c>
      <c r="G23" s="135" t="s">
        <v>265</v>
      </c>
      <c r="H23" s="143" t="s">
        <v>311</v>
      </c>
      <c r="I23" s="134" t="s">
        <v>85</v>
      </c>
      <c r="J23" s="135" t="s">
        <v>54</v>
      </c>
      <c r="K23" s="139"/>
      <c r="L23" s="139"/>
      <c r="M23" s="139">
        <v>1</v>
      </c>
      <c r="N23" s="139"/>
      <c r="O23" s="139"/>
      <c r="P23" s="139">
        <v>1</v>
      </c>
      <c r="Q23" s="139"/>
      <c r="R23" s="139"/>
      <c r="S23" s="139">
        <v>1</v>
      </c>
      <c r="T23" s="139"/>
      <c r="U23" s="218"/>
      <c r="V23" s="142">
        <v>1</v>
      </c>
      <c r="W23" s="207" t="s">
        <v>312</v>
      </c>
      <c r="X23" s="147"/>
      <c r="Y23" s="147"/>
      <c r="Z23" s="22"/>
      <c r="AA23" s="112"/>
      <c r="AB23" s="145"/>
      <c r="AC23" s="148"/>
      <c r="AD23" s="147"/>
      <c r="AE23" s="147"/>
      <c r="AF23" s="22"/>
      <c r="AG23" s="112"/>
      <c r="AH23" s="145"/>
      <c r="AI23" s="148"/>
      <c r="AJ23" s="147"/>
      <c r="AK23" s="147"/>
      <c r="AL23" s="22"/>
      <c r="AM23" s="112"/>
      <c r="AN23" s="145"/>
      <c r="AO23" s="148"/>
      <c r="AP23" s="147"/>
      <c r="AQ23" s="147"/>
      <c r="AR23" s="22"/>
      <c r="AS23" s="112"/>
      <c r="AT23" s="145"/>
      <c r="AU23" s="148"/>
      <c r="AV23" s="147"/>
      <c r="AW23" s="147"/>
      <c r="AX23" s="22"/>
      <c r="AY23" s="112"/>
      <c r="AZ23" s="145"/>
      <c r="BA23" s="148"/>
      <c r="BB23" s="147"/>
      <c r="BC23" s="147"/>
      <c r="BD23" s="22"/>
      <c r="BE23" s="112"/>
      <c r="BF23" s="145"/>
      <c r="BG23" s="148"/>
      <c r="BH23" s="219"/>
      <c r="BI23" s="219"/>
      <c r="BJ23" s="22"/>
      <c r="BK23" s="112"/>
      <c r="BL23" s="145"/>
      <c r="BM23" s="148"/>
      <c r="BN23" s="144"/>
      <c r="BO23" s="144"/>
      <c r="BP23" s="22"/>
      <c r="BQ23" s="112"/>
      <c r="BR23" s="145"/>
      <c r="BS23" s="193"/>
      <c r="BT23" s="144">
        <v>104</v>
      </c>
      <c r="BU23" s="144">
        <v>105</v>
      </c>
      <c r="BV23" s="22">
        <f t="shared" si="24"/>
        <v>0.99047619047619051</v>
      </c>
      <c r="BW23" s="112">
        <v>1</v>
      </c>
      <c r="BX23" s="145">
        <f t="shared" si="25"/>
        <v>0.99047619047619051</v>
      </c>
      <c r="BY23" s="220" t="s">
        <v>313</v>
      </c>
      <c r="BZ23" s="144"/>
      <c r="CA23" s="144"/>
      <c r="CB23" s="22"/>
      <c r="CC23" s="112"/>
      <c r="CD23" s="145"/>
      <c r="CE23" s="146" t="s">
        <v>182</v>
      </c>
      <c r="CF23" s="144"/>
      <c r="CG23" s="144"/>
      <c r="CH23" s="22"/>
      <c r="CI23" s="112"/>
      <c r="CJ23" s="145"/>
      <c r="CK23" s="146" t="s">
        <v>182</v>
      </c>
      <c r="CL23" s="144">
        <v>115</v>
      </c>
      <c r="CM23" s="144">
        <v>117</v>
      </c>
      <c r="CN23" s="22">
        <f t="shared" si="30"/>
        <v>0.98290598290598286</v>
      </c>
      <c r="CO23" s="112">
        <v>1</v>
      </c>
      <c r="CP23" s="145">
        <f t="shared" si="7"/>
        <v>0.98290598290598286</v>
      </c>
      <c r="CQ23" s="224" t="s">
        <v>314</v>
      </c>
      <c r="CR23" s="144">
        <v>99</v>
      </c>
      <c r="CS23" s="144">
        <v>100</v>
      </c>
      <c r="CT23" s="22">
        <v>0.99</v>
      </c>
      <c r="CU23" s="112">
        <v>1</v>
      </c>
      <c r="CV23" s="145">
        <f t="shared" si="32"/>
        <v>0.99</v>
      </c>
      <c r="CW23" s="225" t="s">
        <v>315</v>
      </c>
    </row>
    <row r="24" spans="2:101" ht="58.5" customHeight="1">
      <c r="B24" s="134" t="s">
        <v>81</v>
      </c>
      <c r="C24" s="135" t="s">
        <v>92</v>
      </c>
      <c r="D24" s="135" t="s">
        <v>316</v>
      </c>
      <c r="E24" s="135" t="s">
        <v>84</v>
      </c>
      <c r="F24" s="180" t="s">
        <v>82</v>
      </c>
      <c r="G24" s="135" t="s">
        <v>265</v>
      </c>
      <c r="H24" s="143" t="s">
        <v>311</v>
      </c>
      <c r="I24" s="134" t="s">
        <v>85</v>
      </c>
      <c r="J24" s="135" t="s">
        <v>54</v>
      </c>
      <c r="K24" s="139"/>
      <c r="L24" s="139"/>
      <c r="M24" s="226" t="s">
        <v>317</v>
      </c>
      <c r="N24" s="227"/>
      <c r="O24" s="227"/>
      <c r="P24" s="226" t="s">
        <v>318</v>
      </c>
      <c r="Q24" s="227"/>
      <c r="R24" s="227"/>
      <c r="S24" s="228" t="s">
        <v>319</v>
      </c>
      <c r="T24" s="229"/>
      <c r="U24" s="227"/>
      <c r="V24" s="230" t="s">
        <v>320</v>
      </c>
      <c r="W24" s="207" t="s">
        <v>321</v>
      </c>
      <c r="X24" s="144"/>
      <c r="Y24" s="144"/>
      <c r="Z24" s="22" t="str">
        <f t="shared" si="8"/>
        <v xml:space="preserve"> </v>
      </c>
      <c r="AA24" s="112"/>
      <c r="AB24" s="145" t="str">
        <f t="shared" si="9"/>
        <v xml:space="preserve"> </v>
      </c>
      <c r="AC24" s="146" t="s">
        <v>182</v>
      </c>
      <c r="AD24" s="144"/>
      <c r="AE24" s="144"/>
      <c r="AF24" s="22" t="str">
        <f t="shared" si="10"/>
        <v xml:space="preserve"> </v>
      </c>
      <c r="AG24" s="112"/>
      <c r="AH24" s="145" t="str">
        <f t="shared" si="11"/>
        <v xml:space="preserve"> </v>
      </c>
      <c r="AI24" s="146" t="s">
        <v>182</v>
      </c>
      <c r="AJ24" s="147">
        <v>76</v>
      </c>
      <c r="AK24" s="147">
        <v>76</v>
      </c>
      <c r="AL24" s="22">
        <f t="shared" si="12"/>
        <v>1</v>
      </c>
      <c r="AM24" s="112">
        <v>1</v>
      </c>
      <c r="AN24" s="145">
        <f t="shared" si="13"/>
        <v>1</v>
      </c>
      <c r="AO24" s="148" t="s">
        <v>322</v>
      </c>
      <c r="AP24" s="144"/>
      <c r="AQ24" s="144"/>
      <c r="AR24" s="22" t="str">
        <f t="shared" si="14"/>
        <v xml:space="preserve"> </v>
      </c>
      <c r="AS24" s="112"/>
      <c r="AT24" s="145" t="str">
        <f t="shared" si="15"/>
        <v xml:space="preserve"> </v>
      </c>
      <c r="AU24" s="146" t="s">
        <v>182</v>
      </c>
      <c r="AV24" s="144"/>
      <c r="AW24" s="144"/>
      <c r="AX24" s="22" t="str">
        <f t="shared" si="16"/>
        <v xml:space="preserve"> </v>
      </c>
      <c r="AY24" s="112"/>
      <c r="AZ24" s="145" t="str">
        <f t="shared" si="17"/>
        <v xml:space="preserve"> </v>
      </c>
      <c r="BA24" s="146" t="s">
        <v>182</v>
      </c>
      <c r="BB24" s="147">
        <v>92</v>
      </c>
      <c r="BC24" s="147">
        <v>93</v>
      </c>
      <c r="BD24" s="22">
        <f t="shared" si="18"/>
        <v>0.989247311827957</v>
      </c>
      <c r="BE24" s="112">
        <v>1</v>
      </c>
      <c r="BF24" s="145">
        <f t="shared" si="19"/>
        <v>0.989247311827957</v>
      </c>
      <c r="BG24" s="148" t="s">
        <v>323</v>
      </c>
      <c r="BH24" s="144"/>
      <c r="BI24" s="144"/>
      <c r="BJ24" s="22" t="str">
        <f t="shared" si="20"/>
        <v xml:space="preserve"> </v>
      </c>
      <c r="BK24" s="112"/>
      <c r="BL24" s="145" t="str">
        <f t="shared" si="21"/>
        <v xml:space="preserve"> </v>
      </c>
      <c r="BM24" s="146" t="s">
        <v>182</v>
      </c>
      <c r="BN24" s="144"/>
      <c r="BO24" s="144"/>
      <c r="BP24" s="22" t="str">
        <f t="shared" si="22"/>
        <v xml:space="preserve"> </v>
      </c>
      <c r="BQ24" s="112"/>
      <c r="BR24" s="145" t="str">
        <f t="shared" si="23"/>
        <v xml:space="preserve"> </v>
      </c>
      <c r="BS24" s="146" t="s">
        <v>182</v>
      </c>
      <c r="BT24" s="231" t="e">
        <f>#REF!</f>
        <v>#REF!</v>
      </c>
      <c r="BU24" s="144"/>
      <c r="BV24" s="22" t="str">
        <f t="shared" si="24"/>
        <v xml:space="preserve"> </v>
      </c>
      <c r="BW24" s="112">
        <v>1</v>
      </c>
      <c r="BX24" s="145" t="str">
        <f t="shared" si="25"/>
        <v xml:space="preserve"> </v>
      </c>
      <c r="BY24" s="101" t="s">
        <v>324</v>
      </c>
      <c r="BZ24" s="144"/>
      <c r="CA24" s="144"/>
      <c r="CB24" s="22" t="str">
        <f t="shared" si="26"/>
        <v xml:space="preserve"> </v>
      </c>
      <c r="CC24" s="112"/>
      <c r="CD24" s="145" t="str">
        <f t="shared" si="27"/>
        <v xml:space="preserve"> </v>
      </c>
      <c r="CE24" s="146" t="s">
        <v>182</v>
      </c>
      <c r="CF24" s="144"/>
      <c r="CG24" s="144"/>
      <c r="CH24" s="22" t="str">
        <f t="shared" si="28"/>
        <v xml:space="preserve"> </v>
      </c>
      <c r="CI24" s="112"/>
      <c r="CJ24" s="145" t="str">
        <f t="shared" si="29"/>
        <v xml:space="preserve"> </v>
      </c>
      <c r="CK24" s="146" t="s">
        <v>182</v>
      </c>
      <c r="CL24" s="144">
        <v>0</v>
      </c>
      <c r="CM24" s="144" t="s">
        <v>325</v>
      </c>
      <c r="CN24" s="22">
        <v>1</v>
      </c>
      <c r="CO24" s="112" t="s">
        <v>325</v>
      </c>
      <c r="CP24" s="145">
        <v>1</v>
      </c>
      <c r="CQ24" s="155" t="s">
        <v>326</v>
      </c>
      <c r="CR24" s="144">
        <v>0</v>
      </c>
      <c r="CS24" s="144" t="s">
        <v>325</v>
      </c>
      <c r="CT24" s="22">
        <v>1</v>
      </c>
      <c r="CU24" s="112" t="s">
        <v>325</v>
      </c>
      <c r="CV24" s="145">
        <v>1</v>
      </c>
      <c r="CW24" s="232" t="s">
        <v>327</v>
      </c>
    </row>
    <row r="25" spans="2:101" ht="15.75" hidden="1" customHeight="1">
      <c r="B25" s="1972" t="s">
        <v>17</v>
      </c>
      <c r="C25" s="1972"/>
      <c r="D25" s="1972"/>
      <c r="E25" s="1972"/>
      <c r="F25" s="5"/>
      <c r="G25" s="5"/>
      <c r="H25" s="5"/>
      <c r="I25" s="5"/>
      <c r="J25" s="5"/>
      <c r="K25" s="6"/>
      <c r="L25" s="6"/>
      <c r="M25" s="6"/>
      <c r="N25" s="6"/>
      <c r="O25" s="6"/>
      <c r="P25" s="6"/>
      <c r="Q25" s="6"/>
      <c r="R25" s="6"/>
      <c r="S25" s="6"/>
      <c r="T25" s="6"/>
      <c r="U25" s="233"/>
      <c r="V25" s="234"/>
      <c r="CN25" s="22" t="str">
        <f t="shared" si="30"/>
        <v xml:space="preserve"> </v>
      </c>
      <c r="CP25" s="145" t="str">
        <f t="shared" si="7"/>
        <v xml:space="preserve"> </v>
      </c>
      <c r="CV25" s="145" t="str">
        <f t="shared" si="32"/>
        <v xml:space="preserve"> </v>
      </c>
    </row>
    <row r="26" spans="2:101" ht="12.75" hidden="1" customHeight="1">
      <c r="T26" s="126"/>
      <c r="U26" s="210"/>
      <c r="V26" s="235"/>
      <c r="CN26" s="22" t="str">
        <f t="shared" si="30"/>
        <v xml:space="preserve"> </v>
      </c>
      <c r="CP26" s="145" t="str">
        <f t="shared" si="7"/>
        <v xml:space="preserve"> </v>
      </c>
      <c r="CV26" s="145" t="str">
        <f t="shared" si="32"/>
        <v xml:space="preserve"> </v>
      </c>
    </row>
    <row r="27" spans="2:101" ht="28.5" hidden="1" customHeight="1">
      <c r="E27" s="1971"/>
      <c r="F27" s="1971"/>
      <c r="G27" s="1971"/>
      <c r="H27" s="1971"/>
      <c r="T27" s="126"/>
      <c r="U27" s="210"/>
      <c r="V27" s="235"/>
      <c r="CN27" s="22" t="str">
        <f t="shared" si="30"/>
        <v xml:space="preserve"> </v>
      </c>
      <c r="CP27" s="145" t="str">
        <f t="shared" si="7"/>
        <v xml:space="preserve"> </v>
      </c>
      <c r="CV27" s="145" t="str">
        <f t="shared" si="32"/>
        <v xml:space="preserve"> </v>
      </c>
    </row>
    <row r="28" spans="2:101" ht="16.5" hidden="1" customHeight="1">
      <c r="E28" s="2008" t="s">
        <v>328</v>
      </c>
      <c r="F28" s="2008"/>
      <c r="G28" s="2008"/>
      <c r="H28" s="2008"/>
      <c r="T28" s="126"/>
      <c r="U28" s="210"/>
      <c r="V28" s="235"/>
      <c r="CN28" s="22" t="str">
        <f t="shared" si="30"/>
        <v xml:space="preserve"> </v>
      </c>
      <c r="CP28" s="145" t="str">
        <f t="shared" si="7"/>
        <v xml:space="preserve"> </v>
      </c>
      <c r="CV28" s="145" t="str">
        <f t="shared" si="32"/>
        <v xml:space="preserve"> </v>
      </c>
    </row>
    <row r="29" spans="2:101" ht="16.5" hidden="1" customHeight="1">
      <c r="E29" s="2009" t="s">
        <v>329</v>
      </c>
      <c r="F29" s="2009"/>
      <c r="G29" s="2009"/>
      <c r="H29" s="2009"/>
      <c r="T29" s="126"/>
      <c r="U29" s="210"/>
      <c r="V29" s="235"/>
      <c r="CN29" s="22" t="str">
        <f t="shared" si="30"/>
        <v xml:space="preserve"> </v>
      </c>
      <c r="CP29" s="145" t="str">
        <f t="shared" si="7"/>
        <v xml:space="preserve"> </v>
      </c>
      <c r="CV29" s="145" t="str">
        <f t="shared" si="32"/>
        <v xml:space="preserve"> </v>
      </c>
    </row>
    <row r="30" spans="2:101" hidden="1">
      <c r="C30" s="15"/>
      <c r="E30" s="128"/>
      <c r="F30" s="128"/>
      <c r="G30" s="128"/>
      <c r="H30" s="128"/>
      <c r="T30" s="126"/>
      <c r="U30" s="210"/>
      <c r="V30" s="235"/>
      <c r="CN30" s="22" t="str">
        <f t="shared" si="30"/>
        <v xml:space="preserve"> </v>
      </c>
      <c r="CP30" s="145" t="str">
        <f t="shared" si="7"/>
        <v xml:space="preserve"> </v>
      </c>
      <c r="CV30" s="145" t="str">
        <f t="shared" si="32"/>
        <v xml:space="preserve"> </v>
      </c>
    </row>
    <row r="31" spans="2:101" ht="91.5" customHeight="1">
      <c r="C31" s="15"/>
      <c r="D31" s="135" t="s">
        <v>62</v>
      </c>
      <c r="E31" s="237" t="s">
        <v>54</v>
      </c>
      <c r="F31" s="238"/>
      <c r="G31" s="226">
        <v>1</v>
      </c>
      <c r="H31" s="239"/>
      <c r="I31" s="226">
        <v>1</v>
      </c>
      <c r="J31" s="238"/>
      <c r="K31" s="226">
        <v>1</v>
      </c>
      <c r="L31" s="227"/>
      <c r="M31" s="226"/>
      <c r="N31" s="226">
        <v>1</v>
      </c>
      <c r="O31" s="226"/>
      <c r="P31" s="226">
        <v>1</v>
      </c>
      <c r="Q31" s="226"/>
      <c r="R31" s="226">
        <v>1</v>
      </c>
      <c r="S31" s="227"/>
      <c r="T31" s="228">
        <v>1</v>
      </c>
      <c r="U31" s="240"/>
      <c r="V31" s="230">
        <v>1</v>
      </c>
      <c r="W31" s="207" t="s">
        <v>330</v>
      </c>
      <c r="BZ31" s="144">
        <v>0</v>
      </c>
      <c r="CA31" s="144">
        <v>100</v>
      </c>
      <c r="CB31" s="22">
        <v>0</v>
      </c>
      <c r="CC31" s="112">
        <v>1</v>
      </c>
      <c r="CD31" s="145">
        <v>0</v>
      </c>
      <c r="CE31" s="241" t="s">
        <v>331</v>
      </c>
      <c r="CF31" s="21"/>
      <c r="CG31" s="21"/>
      <c r="CH31" s="22" t="s">
        <v>332</v>
      </c>
      <c r="CI31" s="23"/>
      <c r="CJ31" s="24" t="s">
        <v>332</v>
      </c>
      <c r="CK31" s="146" t="s">
        <v>182</v>
      </c>
      <c r="CL31" s="21">
        <v>0</v>
      </c>
      <c r="CM31" s="21">
        <v>100</v>
      </c>
      <c r="CN31" s="22">
        <v>0</v>
      </c>
      <c r="CO31" s="23">
        <v>1</v>
      </c>
      <c r="CP31" s="145">
        <f t="shared" si="7"/>
        <v>0</v>
      </c>
      <c r="CQ31" s="153" t="s">
        <v>333</v>
      </c>
      <c r="CR31" s="21"/>
      <c r="CS31" s="21">
        <v>100</v>
      </c>
      <c r="CT31" s="22">
        <v>0</v>
      </c>
      <c r="CU31" s="23">
        <v>1</v>
      </c>
      <c r="CV31" s="145">
        <f t="shared" si="32"/>
        <v>0</v>
      </c>
      <c r="CW31" s="153" t="s">
        <v>333</v>
      </c>
    </row>
    <row r="32" spans="2:101" ht="12.75" customHeight="1">
      <c r="C32" s="15"/>
    </row>
    <row r="33" spans="3:3" ht="12.75" customHeight="1">
      <c r="C33" s="15"/>
    </row>
  </sheetData>
  <mergeCells count="50">
    <mergeCell ref="B25:E25"/>
    <mergeCell ref="E27:H27"/>
    <mergeCell ref="E28:H28"/>
    <mergeCell ref="E29:H29"/>
    <mergeCell ref="BN6:BS6"/>
    <mergeCell ref="BT6:BY6"/>
    <mergeCell ref="H6:H7"/>
    <mergeCell ref="I6:I7"/>
    <mergeCell ref="J6:J7"/>
    <mergeCell ref="K6:V6"/>
    <mergeCell ref="BZ6:CE6"/>
    <mergeCell ref="CF6:CK6"/>
    <mergeCell ref="CL6:CQ6"/>
    <mergeCell ref="CR6:CW6"/>
    <mergeCell ref="AD6:AI6"/>
    <mergeCell ref="AJ6:AO6"/>
    <mergeCell ref="AP6:AU6"/>
    <mergeCell ref="AV6:BA6"/>
    <mergeCell ref="BB6:BG6"/>
    <mergeCell ref="BH6:BM6"/>
    <mergeCell ref="W6:W7"/>
    <mergeCell ref="X6:AC6"/>
    <mergeCell ref="BZ4:CE4"/>
    <mergeCell ref="CF4:CK4"/>
    <mergeCell ref="CL4:CQ4"/>
    <mergeCell ref="CR4:CW4"/>
    <mergeCell ref="AP4:AU4"/>
    <mergeCell ref="AV4:BA4"/>
    <mergeCell ref="BB4:BG4"/>
    <mergeCell ref="BH4:BM4"/>
    <mergeCell ref="B6:B7"/>
    <mergeCell ref="C6:C7"/>
    <mergeCell ref="D6:D7"/>
    <mergeCell ref="E6:E7"/>
    <mergeCell ref="F6:F7"/>
    <mergeCell ref="G6:G7"/>
    <mergeCell ref="BN4:BS4"/>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11:AB14">
    <cfRule type="colorScale" priority="78">
      <colorScale>
        <cfvo type="num" val="0.69"/>
        <cfvo type="num" val="0.8"/>
        <cfvo type="num" val="0.9"/>
        <color rgb="FFF8696B"/>
        <color rgb="FFFFEB84"/>
        <color rgb="FF63BE7B"/>
      </colorScale>
    </cfRule>
  </conditionalFormatting>
  <conditionalFormatting sqref="AH11:AH14">
    <cfRule type="colorScale" priority="77">
      <colorScale>
        <cfvo type="num" val="0.69"/>
        <cfvo type="num" val="0.8"/>
        <cfvo type="num" val="0.9"/>
        <color rgb="FFF8696B"/>
        <color rgb="FFFFEB84"/>
        <color rgb="FF63BE7B"/>
      </colorScale>
    </cfRule>
  </conditionalFormatting>
  <conditionalFormatting sqref="AN11:AN12 AN14">
    <cfRule type="colorScale" priority="76">
      <colorScale>
        <cfvo type="num" val="0.69"/>
        <cfvo type="num" val="0.8"/>
        <cfvo type="num" val="0.9"/>
        <color rgb="FFF8696B"/>
        <color rgb="FFFFEB84"/>
        <color rgb="FF63BE7B"/>
      </colorScale>
    </cfRule>
  </conditionalFormatting>
  <conditionalFormatting sqref="AT11:AT14">
    <cfRule type="colorScale" priority="75">
      <colorScale>
        <cfvo type="num" val="0.69"/>
        <cfvo type="num" val="0.8"/>
        <cfvo type="num" val="0.9"/>
        <color rgb="FFF8696B"/>
        <color rgb="FFFFEB84"/>
        <color rgb="FF63BE7B"/>
      </colorScale>
    </cfRule>
  </conditionalFormatting>
  <conditionalFormatting sqref="AZ11:AZ14">
    <cfRule type="colorScale" priority="74">
      <colorScale>
        <cfvo type="num" val="0.69"/>
        <cfvo type="num" val="0.8"/>
        <cfvo type="num" val="0.9"/>
        <color rgb="FFF8696B"/>
        <color rgb="FFFFEB84"/>
        <color rgb="FF63BE7B"/>
      </colorScale>
    </cfRule>
  </conditionalFormatting>
  <conditionalFormatting sqref="BF11">
    <cfRule type="colorScale" priority="73">
      <colorScale>
        <cfvo type="num" val="0.69"/>
        <cfvo type="num" val="0.8"/>
        <cfvo type="num" val="0.9"/>
        <color rgb="FFF8696B"/>
        <color rgb="FFFFEB84"/>
        <color rgb="FF63BE7B"/>
      </colorScale>
    </cfRule>
  </conditionalFormatting>
  <conditionalFormatting sqref="BL11:BL14">
    <cfRule type="colorScale" priority="72">
      <colorScale>
        <cfvo type="num" val="0.69"/>
        <cfvo type="num" val="0.8"/>
        <cfvo type="num" val="0.9"/>
        <color rgb="FFF8696B"/>
        <color rgb="FFFFEB84"/>
        <color rgb="FF63BE7B"/>
      </colorScale>
    </cfRule>
  </conditionalFormatting>
  <conditionalFormatting sqref="BR11:BR14">
    <cfRule type="colorScale" priority="71">
      <colorScale>
        <cfvo type="num" val="0.69"/>
        <cfvo type="num" val="0.8"/>
        <cfvo type="num" val="0.9"/>
        <color rgb="FFF8696B"/>
        <color rgb="FFFFEB84"/>
        <color rgb="FF63BE7B"/>
      </colorScale>
    </cfRule>
  </conditionalFormatting>
  <conditionalFormatting sqref="BX11:BX14">
    <cfRule type="colorScale" priority="70">
      <colorScale>
        <cfvo type="num" val="0.69"/>
        <cfvo type="num" val="0.8"/>
        <cfvo type="num" val="0.9"/>
        <color rgb="FFF8696B"/>
        <color rgb="FFFFEB84"/>
        <color rgb="FF63BE7B"/>
      </colorScale>
    </cfRule>
  </conditionalFormatting>
  <conditionalFormatting sqref="CD11:CD14">
    <cfRule type="colorScale" priority="69">
      <colorScale>
        <cfvo type="num" val="0.69"/>
        <cfvo type="num" val="0.8"/>
        <cfvo type="num" val="0.9"/>
        <color rgb="FFF8696B"/>
        <color rgb="FFFFEB84"/>
        <color rgb="FF63BE7B"/>
      </colorScale>
    </cfRule>
  </conditionalFormatting>
  <conditionalFormatting sqref="CJ11:CJ14">
    <cfRule type="colorScale" priority="68">
      <colorScale>
        <cfvo type="num" val="0.69"/>
        <cfvo type="num" val="0.8"/>
        <cfvo type="num" val="0.9"/>
        <color rgb="FFF8696B"/>
        <color rgb="FFFFEB84"/>
        <color rgb="FF63BE7B"/>
      </colorScale>
    </cfRule>
  </conditionalFormatting>
  <conditionalFormatting sqref="CV11:CV14">
    <cfRule type="colorScale" priority="67">
      <colorScale>
        <cfvo type="num" val="0.69"/>
        <cfvo type="num" val="0.8"/>
        <cfvo type="num" val="0.9"/>
        <color rgb="FFF8696B"/>
        <color rgb="FFFFEB84"/>
        <color rgb="FF63BE7B"/>
      </colorScale>
    </cfRule>
  </conditionalFormatting>
  <conditionalFormatting sqref="AB15">
    <cfRule type="colorScale" priority="66">
      <colorScale>
        <cfvo type="num" val="0.69"/>
        <cfvo type="num" val="0.8"/>
        <cfvo type="num" val="0.9"/>
        <color rgb="FFF8696B"/>
        <color rgb="FFFFEB84"/>
        <color rgb="FF63BE7B"/>
      </colorScale>
    </cfRule>
  </conditionalFormatting>
  <conditionalFormatting sqref="AT15">
    <cfRule type="colorScale" priority="65">
      <colorScale>
        <cfvo type="num" val="0.69"/>
        <cfvo type="num" val="0.8"/>
        <cfvo type="num" val="0.9"/>
        <color rgb="FFF8696B"/>
        <color rgb="FFFFEB84"/>
        <color rgb="FF63BE7B"/>
      </colorScale>
    </cfRule>
  </conditionalFormatting>
  <conditionalFormatting sqref="BF15">
    <cfRule type="colorScale" priority="64">
      <colorScale>
        <cfvo type="num" val="0.69"/>
        <cfvo type="num" val="0.8"/>
        <cfvo type="num" val="0.9"/>
        <color rgb="FFF8696B"/>
        <color rgb="FFFFEB84"/>
        <color rgb="FF63BE7B"/>
      </colorScale>
    </cfRule>
  </conditionalFormatting>
  <conditionalFormatting sqref="BR15">
    <cfRule type="colorScale" priority="63">
      <colorScale>
        <cfvo type="num" val="0.69"/>
        <cfvo type="num" val="0.8"/>
        <cfvo type="num" val="0.9"/>
        <color rgb="FFF8696B"/>
        <color rgb="FFFFEB84"/>
        <color rgb="FF63BE7B"/>
      </colorScale>
    </cfRule>
  </conditionalFormatting>
  <conditionalFormatting sqref="CD15">
    <cfRule type="colorScale" priority="62">
      <colorScale>
        <cfvo type="num" val="0.69"/>
        <cfvo type="num" val="0.8"/>
        <cfvo type="num" val="0.9"/>
        <color rgb="FFF8696B"/>
        <color rgb="FFFFEB84"/>
        <color rgb="FF63BE7B"/>
      </colorScale>
    </cfRule>
  </conditionalFormatting>
  <conditionalFormatting sqref="AI15">
    <cfRule type="colorScale" priority="61">
      <colorScale>
        <cfvo type="num" val="0.69"/>
        <cfvo type="num" val="0.8"/>
        <cfvo type="num" val="0.9"/>
        <color rgb="FFF8696B"/>
        <color rgb="FFFFEB84"/>
        <color rgb="FF63BE7B"/>
      </colorScale>
    </cfRule>
  </conditionalFormatting>
  <conditionalFormatting sqref="AO15">
    <cfRule type="colorScale" priority="60">
      <colorScale>
        <cfvo type="num" val="0.69"/>
        <cfvo type="num" val="0.8"/>
        <cfvo type="num" val="0.9"/>
        <color rgb="FFF8696B"/>
        <color rgb="FFFFEB84"/>
        <color rgb="FF63BE7B"/>
      </colorScale>
    </cfRule>
  </conditionalFormatting>
  <conditionalFormatting sqref="BA15">
    <cfRule type="colorScale" priority="59">
      <colorScale>
        <cfvo type="num" val="0.69"/>
        <cfvo type="num" val="0.8"/>
        <cfvo type="num" val="0.9"/>
        <color rgb="FFF8696B"/>
        <color rgb="FFFFEB84"/>
        <color rgb="FF63BE7B"/>
      </colorScale>
    </cfRule>
  </conditionalFormatting>
  <conditionalFormatting sqref="BM15">
    <cfRule type="colorScale" priority="58">
      <colorScale>
        <cfvo type="num" val="0.69"/>
        <cfvo type="num" val="0.8"/>
        <cfvo type="num" val="0.9"/>
        <color rgb="FFF8696B"/>
        <color rgb="FFFFEB84"/>
        <color rgb="FF63BE7B"/>
      </colorScale>
    </cfRule>
  </conditionalFormatting>
  <conditionalFormatting sqref="BY15">
    <cfRule type="colorScale" priority="57">
      <colorScale>
        <cfvo type="num" val="0.69"/>
        <cfvo type="num" val="0.8"/>
        <cfvo type="num" val="0.9"/>
        <color rgb="FFF8696B"/>
        <color rgb="FFFFEB84"/>
        <color rgb="FF63BE7B"/>
      </colorScale>
    </cfRule>
  </conditionalFormatting>
  <conditionalFormatting sqref="CK15">
    <cfRule type="colorScale" priority="56">
      <colorScale>
        <cfvo type="num" val="0.69"/>
        <cfvo type="num" val="0.8"/>
        <cfvo type="num" val="0.9"/>
        <color rgb="FFF8696B"/>
        <color rgb="FFFFEB84"/>
        <color rgb="FF63BE7B"/>
      </colorScale>
    </cfRule>
  </conditionalFormatting>
  <conditionalFormatting sqref="CW15">
    <cfRule type="colorScale" priority="55">
      <colorScale>
        <cfvo type="num" val="0.69"/>
        <cfvo type="num" val="0.8"/>
        <cfvo type="num" val="0.9"/>
        <color rgb="FFF8696B"/>
        <color rgb="FFFFEB84"/>
        <color rgb="FF63BE7B"/>
      </colorScale>
    </cfRule>
  </conditionalFormatting>
  <conditionalFormatting sqref="AB16:AB24">
    <cfRule type="colorScale" priority="54">
      <colorScale>
        <cfvo type="num" val="0.69"/>
        <cfvo type="num" val="0.8"/>
        <cfvo type="num" val="0.9"/>
        <color rgb="FFF8696B"/>
        <color rgb="FFFFEB84"/>
        <color rgb="FF63BE7B"/>
      </colorScale>
    </cfRule>
  </conditionalFormatting>
  <conditionalFormatting sqref="AH16:AH24">
    <cfRule type="colorScale" priority="53">
      <colorScale>
        <cfvo type="num" val="0.69"/>
        <cfvo type="num" val="0.8"/>
        <cfvo type="num" val="0.9"/>
        <color rgb="FFF8696B"/>
        <color rgb="FFFFEB84"/>
        <color rgb="FF63BE7B"/>
      </colorScale>
    </cfRule>
  </conditionalFormatting>
  <conditionalFormatting sqref="AN16:AN24">
    <cfRule type="colorScale" priority="52">
      <colorScale>
        <cfvo type="num" val="0.69"/>
        <cfvo type="num" val="0.8"/>
        <cfvo type="num" val="0.9"/>
        <color rgb="FFF8696B"/>
        <color rgb="FFFFEB84"/>
        <color rgb="FF63BE7B"/>
      </colorScale>
    </cfRule>
  </conditionalFormatting>
  <conditionalFormatting sqref="AT16:AT24">
    <cfRule type="colorScale" priority="51">
      <colorScale>
        <cfvo type="num" val="0.69"/>
        <cfvo type="num" val="0.8"/>
        <cfvo type="num" val="0.9"/>
        <color rgb="FFF8696B"/>
        <color rgb="FFFFEB84"/>
        <color rgb="FF63BE7B"/>
      </colorScale>
    </cfRule>
  </conditionalFormatting>
  <conditionalFormatting sqref="AZ16:AZ24">
    <cfRule type="colorScale" priority="50">
      <colorScale>
        <cfvo type="num" val="0.69"/>
        <cfvo type="num" val="0.8"/>
        <cfvo type="num" val="0.9"/>
        <color rgb="FFF8696B"/>
        <color rgb="FFFFEB84"/>
        <color rgb="FF63BE7B"/>
      </colorScale>
    </cfRule>
  </conditionalFormatting>
  <conditionalFormatting sqref="BF16:BF24">
    <cfRule type="colorScale" priority="49">
      <colorScale>
        <cfvo type="num" val="0.69"/>
        <cfvo type="num" val="0.8"/>
        <cfvo type="num" val="0.9"/>
        <color rgb="FFF8696B"/>
        <color rgb="FFFFEB84"/>
        <color rgb="FF63BE7B"/>
      </colorScale>
    </cfRule>
  </conditionalFormatting>
  <conditionalFormatting sqref="BL16:BL24">
    <cfRule type="colorScale" priority="48">
      <colorScale>
        <cfvo type="num" val="0.69"/>
        <cfvo type="num" val="0.8"/>
        <cfvo type="num" val="0.9"/>
        <color rgb="FFF8696B"/>
        <color rgb="FFFFEB84"/>
        <color rgb="FF63BE7B"/>
      </colorScale>
    </cfRule>
  </conditionalFormatting>
  <conditionalFormatting sqref="BR16:BR24">
    <cfRule type="colorScale" priority="47">
      <colorScale>
        <cfvo type="num" val="0.69"/>
        <cfvo type="num" val="0.8"/>
        <cfvo type="num" val="0.9"/>
        <color rgb="FFF8696B"/>
        <color rgb="FFFFEB84"/>
        <color rgb="FF63BE7B"/>
      </colorScale>
    </cfRule>
  </conditionalFormatting>
  <conditionalFormatting sqref="BX16:BX24">
    <cfRule type="colorScale" priority="46">
      <colorScale>
        <cfvo type="num" val="0.69"/>
        <cfvo type="num" val="0.8"/>
        <cfvo type="num" val="0.9"/>
        <color rgb="FFF8696B"/>
        <color rgb="FFFFEB84"/>
        <color rgb="FF63BE7B"/>
      </colorScale>
    </cfRule>
  </conditionalFormatting>
  <conditionalFormatting sqref="CD16:CD24">
    <cfRule type="colorScale" priority="45">
      <colorScale>
        <cfvo type="num" val="0.69"/>
        <cfvo type="num" val="0.8"/>
        <cfvo type="num" val="0.9"/>
        <color rgb="FFF8696B"/>
        <color rgb="FFFFEB84"/>
        <color rgb="FF63BE7B"/>
      </colorScale>
    </cfRule>
  </conditionalFormatting>
  <conditionalFormatting sqref="CJ16:CJ24">
    <cfRule type="colorScale" priority="44">
      <colorScale>
        <cfvo type="num" val="0.69"/>
        <cfvo type="num" val="0.8"/>
        <cfvo type="num" val="0.9"/>
        <color rgb="FFF8696B"/>
        <color rgb="FFFFEB84"/>
        <color rgb="FF63BE7B"/>
      </colorScale>
    </cfRule>
  </conditionalFormatting>
  <conditionalFormatting sqref="CV16:CV31">
    <cfRule type="colorScale" priority="43">
      <colorScale>
        <cfvo type="num" val="0.69"/>
        <cfvo type="num" val="0.8"/>
        <cfvo type="num" val="0.9"/>
        <color rgb="FFF8696B"/>
        <color rgb="FFFFEB84"/>
        <color rgb="FF63BE7B"/>
      </colorScale>
    </cfRule>
  </conditionalFormatting>
  <conditionalFormatting sqref="AB8">
    <cfRule type="colorScale" priority="42">
      <colorScale>
        <cfvo type="num" val="0.69"/>
        <cfvo type="num" val="0.8"/>
        <cfvo type="num" val="0.9"/>
        <color rgb="FFF8696B"/>
        <color rgb="FFFFEB84"/>
        <color rgb="FF63BE7B"/>
      </colorScale>
    </cfRule>
  </conditionalFormatting>
  <conditionalFormatting sqref="AH8">
    <cfRule type="colorScale" priority="41">
      <colorScale>
        <cfvo type="num" val="0.69"/>
        <cfvo type="num" val="0.8"/>
        <cfvo type="num" val="0.9"/>
        <color rgb="FFF8696B"/>
        <color rgb="FFFFEB84"/>
        <color rgb="FF63BE7B"/>
      </colorScale>
    </cfRule>
  </conditionalFormatting>
  <conditionalFormatting sqref="AN8">
    <cfRule type="colorScale" priority="40">
      <colorScale>
        <cfvo type="num" val="0.69"/>
        <cfvo type="num" val="0.8"/>
        <cfvo type="num" val="0.9"/>
        <color rgb="FFF8696B"/>
        <color rgb="FFFFEB84"/>
        <color rgb="FF63BE7B"/>
      </colorScale>
    </cfRule>
  </conditionalFormatting>
  <conditionalFormatting sqref="AT8">
    <cfRule type="colorScale" priority="39">
      <colorScale>
        <cfvo type="num" val="0.69"/>
        <cfvo type="num" val="0.8"/>
        <cfvo type="num" val="0.9"/>
        <color rgb="FFF8696B"/>
        <color rgb="FFFFEB84"/>
        <color rgb="FF63BE7B"/>
      </colorScale>
    </cfRule>
  </conditionalFormatting>
  <conditionalFormatting sqref="AZ8">
    <cfRule type="colorScale" priority="38">
      <colorScale>
        <cfvo type="num" val="0.69"/>
        <cfvo type="num" val="0.8"/>
        <cfvo type="num" val="0.9"/>
        <color rgb="FFF8696B"/>
        <color rgb="FFFFEB84"/>
        <color rgb="FF63BE7B"/>
      </colorScale>
    </cfRule>
  </conditionalFormatting>
  <conditionalFormatting sqref="BL8">
    <cfRule type="colorScale" priority="37">
      <colorScale>
        <cfvo type="num" val="0.69"/>
        <cfvo type="num" val="0.8"/>
        <cfvo type="num" val="0.9"/>
        <color rgb="FFF8696B"/>
        <color rgb="FFFFEB84"/>
        <color rgb="FF63BE7B"/>
      </colorScale>
    </cfRule>
  </conditionalFormatting>
  <conditionalFormatting sqref="BR8">
    <cfRule type="colorScale" priority="36">
      <colorScale>
        <cfvo type="num" val="0.69"/>
        <cfvo type="num" val="0.8"/>
        <cfvo type="num" val="0.9"/>
        <color rgb="FFF8696B"/>
        <color rgb="FFFFEB84"/>
        <color rgb="FF63BE7B"/>
      </colorScale>
    </cfRule>
  </conditionalFormatting>
  <conditionalFormatting sqref="BX8">
    <cfRule type="colorScale" priority="35">
      <colorScale>
        <cfvo type="num" val="0.69"/>
        <cfvo type="num" val="0.8"/>
        <cfvo type="num" val="0.9"/>
        <color rgb="FFF8696B"/>
        <color rgb="FFFFEB84"/>
        <color rgb="FF63BE7B"/>
      </colorScale>
    </cfRule>
  </conditionalFormatting>
  <conditionalFormatting sqref="CD8">
    <cfRule type="colorScale" priority="34">
      <colorScale>
        <cfvo type="num" val="0.69"/>
        <cfvo type="num" val="0.8"/>
        <cfvo type="num" val="0.9"/>
        <color rgb="FFF8696B"/>
        <color rgb="FFFFEB84"/>
        <color rgb="FF63BE7B"/>
      </colorScale>
    </cfRule>
  </conditionalFormatting>
  <conditionalFormatting sqref="CJ8">
    <cfRule type="colorScale" priority="33">
      <colorScale>
        <cfvo type="num" val="0.69"/>
        <cfvo type="num" val="0.8"/>
        <cfvo type="num" val="0.9"/>
        <color rgb="FFF8696B"/>
        <color rgb="FFFFEB84"/>
        <color rgb="FF63BE7B"/>
      </colorScale>
    </cfRule>
  </conditionalFormatting>
  <conditionalFormatting sqref="CP8:CP31">
    <cfRule type="colorScale" priority="32">
      <colorScale>
        <cfvo type="num" val="0.69"/>
        <cfvo type="num" val="0.8"/>
        <cfvo type="num" val="0.9"/>
        <color rgb="FFF8696B"/>
        <color rgb="FFFFEB84"/>
        <color rgb="FF63BE7B"/>
      </colorScale>
    </cfRule>
  </conditionalFormatting>
  <conditionalFormatting sqref="CV8">
    <cfRule type="colorScale" priority="31">
      <colorScale>
        <cfvo type="num" val="0.69"/>
        <cfvo type="num" val="0.8"/>
        <cfvo type="num" val="0.9"/>
        <color rgb="FFF8696B"/>
        <color rgb="FFFFEB84"/>
        <color rgb="FF63BE7B"/>
      </colorScale>
    </cfRule>
  </conditionalFormatting>
  <conditionalFormatting sqref="AB9">
    <cfRule type="colorScale" priority="30">
      <colorScale>
        <cfvo type="num" val="0.69"/>
        <cfvo type="num" val="0.8"/>
        <cfvo type="num" val="0.9"/>
        <color rgb="FFF8696B"/>
        <color rgb="FFFFEB84"/>
        <color rgb="FF63BE7B"/>
      </colorScale>
    </cfRule>
  </conditionalFormatting>
  <conditionalFormatting sqref="AH9">
    <cfRule type="colorScale" priority="29">
      <colorScale>
        <cfvo type="num" val="0.69"/>
        <cfvo type="num" val="0.8"/>
        <cfvo type="num" val="0.9"/>
        <color rgb="FFF8696B"/>
        <color rgb="FFFFEB84"/>
        <color rgb="FF63BE7B"/>
      </colorScale>
    </cfRule>
  </conditionalFormatting>
  <conditionalFormatting sqref="AN9">
    <cfRule type="colorScale" priority="28">
      <colorScale>
        <cfvo type="num" val="0.69"/>
        <cfvo type="num" val="0.8"/>
        <cfvo type="num" val="0.9"/>
        <color rgb="FFF8696B"/>
        <color rgb="FFFFEB84"/>
        <color rgb="FF63BE7B"/>
      </colorScale>
    </cfRule>
  </conditionalFormatting>
  <conditionalFormatting sqref="AT9">
    <cfRule type="colorScale" priority="27">
      <colorScale>
        <cfvo type="num" val="0.69"/>
        <cfvo type="num" val="0.8"/>
        <cfvo type="num" val="0.9"/>
        <color rgb="FFF8696B"/>
        <color rgb="FFFFEB84"/>
        <color rgb="FF63BE7B"/>
      </colorScale>
    </cfRule>
  </conditionalFormatting>
  <conditionalFormatting sqref="AZ9">
    <cfRule type="colorScale" priority="26">
      <colorScale>
        <cfvo type="num" val="0.69"/>
        <cfvo type="num" val="0.8"/>
        <cfvo type="num" val="0.9"/>
        <color rgb="FFF8696B"/>
        <color rgb="FFFFEB84"/>
        <color rgb="FF63BE7B"/>
      </colorScale>
    </cfRule>
  </conditionalFormatting>
  <conditionalFormatting sqref="BF9">
    <cfRule type="colorScale" priority="25">
      <colorScale>
        <cfvo type="num" val="0.69"/>
        <cfvo type="num" val="0.8"/>
        <cfvo type="num" val="0.9"/>
        <color rgb="FFF8696B"/>
        <color rgb="FFFFEB84"/>
        <color rgb="FF63BE7B"/>
      </colorScale>
    </cfRule>
  </conditionalFormatting>
  <conditionalFormatting sqref="BL9">
    <cfRule type="colorScale" priority="24">
      <colorScale>
        <cfvo type="num" val="0.69"/>
        <cfvo type="num" val="0.8"/>
        <cfvo type="num" val="0.9"/>
        <color rgb="FFF8696B"/>
        <color rgb="FFFFEB84"/>
        <color rgb="FF63BE7B"/>
      </colorScale>
    </cfRule>
  </conditionalFormatting>
  <conditionalFormatting sqref="BR9">
    <cfRule type="colorScale" priority="23">
      <colorScale>
        <cfvo type="num" val="0.69"/>
        <cfvo type="num" val="0.8"/>
        <cfvo type="num" val="0.9"/>
        <color rgb="FFF8696B"/>
        <color rgb="FFFFEB84"/>
        <color rgb="FF63BE7B"/>
      </colorScale>
    </cfRule>
  </conditionalFormatting>
  <conditionalFormatting sqref="BX9">
    <cfRule type="colorScale" priority="22">
      <colorScale>
        <cfvo type="num" val="0.69"/>
        <cfvo type="num" val="0.8"/>
        <cfvo type="num" val="0.9"/>
        <color rgb="FFF8696B"/>
        <color rgb="FFFFEB84"/>
        <color rgb="FF63BE7B"/>
      </colorScale>
    </cfRule>
  </conditionalFormatting>
  <conditionalFormatting sqref="CD9">
    <cfRule type="colorScale" priority="21">
      <colorScale>
        <cfvo type="num" val="0.69"/>
        <cfvo type="num" val="0.8"/>
        <cfvo type="num" val="0.9"/>
        <color rgb="FFF8696B"/>
        <color rgb="FFFFEB84"/>
        <color rgb="FF63BE7B"/>
      </colorScale>
    </cfRule>
  </conditionalFormatting>
  <conditionalFormatting sqref="CJ9">
    <cfRule type="colorScale" priority="20">
      <colorScale>
        <cfvo type="num" val="0.69"/>
        <cfvo type="num" val="0.8"/>
        <cfvo type="num" val="0.9"/>
        <color rgb="FFF8696B"/>
        <color rgb="FFFFEB84"/>
        <color rgb="FF63BE7B"/>
      </colorScale>
    </cfRule>
  </conditionalFormatting>
  <conditionalFormatting sqref="CV9">
    <cfRule type="colorScale" priority="19">
      <colorScale>
        <cfvo type="num" val="0.69"/>
        <cfvo type="num" val="0.8"/>
        <cfvo type="num" val="0.9"/>
        <color rgb="FFF8696B"/>
        <color rgb="FFFFEB84"/>
        <color rgb="FF63BE7B"/>
      </colorScale>
    </cfRule>
  </conditionalFormatting>
  <conditionalFormatting sqref="AB10">
    <cfRule type="colorScale" priority="18">
      <colorScale>
        <cfvo type="num" val="0.69"/>
        <cfvo type="num" val="0.8"/>
        <cfvo type="num" val="0.9"/>
        <color rgb="FFF8696B"/>
        <color rgb="FFFFEB84"/>
        <color rgb="FF63BE7B"/>
      </colorScale>
    </cfRule>
  </conditionalFormatting>
  <conditionalFormatting sqref="AH10">
    <cfRule type="colorScale" priority="17">
      <colorScale>
        <cfvo type="num" val="0.69"/>
        <cfvo type="num" val="0.8"/>
        <cfvo type="num" val="0.9"/>
        <color rgb="FFF8696B"/>
        <color rgb="FFFFEB84"/>
        <color rgb="FF63BE7B"/>
      </colorScale>
    </cfRule>
  </conditionalFormatting>
  <conditionalFormatting sqref="AN10">
    <cfRule type="colorScale" priority="16">
      <colorScale>
        <cfvo type="num" val="0.69"/>
        <cfvo type="num" val="0.8"/>
        <cfvo type="num" val="0.9"/>
        <color rgb="FFF8696B"/>
        <color rgb="FFFFEB84"/>
        <color rgb="FF63BE7B"/>
      </colorScale>
    </cfRule>
  </conditionalFormatting>
  <conditionalFormatting sqref="AT10">
    <cfRule type="colorScale" priority="15">
      <colorScale>
        <cfvo type="num" val="0.69"/>
        <cfvo type="num" val="0.8"/>
        <cfvo type="num" val="0.9"/>
        <color rgb="FFF8696B"/>
        <color rgb="FFFFEB84"/>
        <color rgb="FF63BE7B"/>
      </colorScale>
    </cfRule>
  </conditionalFormatting>
  <conditionalFormatting sqref="AZ10">
    <cfRule type="colorScale" priority="14">
      <colorScale>
        <cfvo type="num" val="0.69"/>
        <cfvo type="num" val="0.8"/>
        <cfvo type="num" val="0.9"/>
        <color rgb="FFF8696B"/>
        <color rgb="FFFFEB84"/>
        <color rgb="FF63BE7B"/>
      </colorScale>
    </cfRule>
  </conditionalFormatting>
  <conditionalFormatting sqref="BL10">
    <cfRule type="colorScale" priority="13">
      <colorScale>
        <cfvo type="num" val="0.69"/>
        <cfvo type="num" val="0.8"/>
        <cfvo type="num" val="0.9"/>
        <color rgb="FFF8696B"/>
        <color rgb="FFFFEB84"/>
        <color rgb="FF63BE7B"/>
      </colorScale>
    </cfRule>
  </conditionalFormatting>
  <conditionalFormatting sqref="BR10">
    <cfRule type="colorScale" priority="12">
      <colorScale>
        <cfvo type="num" val="0.69"/>
        <cfvo type="num" val="0.8"/>
        <cfvo type="num" val="0.9"/>
        <color rgb="FFF8696B"/>
        <color rgb="FFFFEB84"/>
        <color rgb="FF63BE7B"/>
      </colorScale>
    </cfRule>
  </conditionalFormatting>
  <conditionalFormatting sqref="BX10">
    <cfRule type="colorScale" priority="11">
      <colorScale>
        <cfvo type="num" val="0.69"/>
        <cfvo type="num" val="0.8"/>
        <cfvo type="num" val="0.9"/>
        <color rgb="FFF8696B"/>
        <color rgb="FFFFEB84"/>
        <color rgb="FF63BE7B"/>
      </colorScale>
    </cfRule>
  </conditionalFormatting>
  <conditionalFormatting sqref="CD10">
    <cfRule type="colorScale" priority="10">
      <colorScale>
        <cfvo type="num" val="0.69"/>
        <cfvo type="num" val="0.8"/>
        <cfvo type="num" val="0.9"/>
        <color rgb="FFF8696B"/>
        <color rgb="FFFFEB84"/>
        <color rgb="FF63BE7B"/>
      </colorScale>
    </cfRule>
  </conditionalFormatting>
  <conditionalFormatting sqref="CJ10">
    <cfRule type="colorScale" priority="9">
      <colorScale>
        <cfvo type="num" val="0.69"/>
        <cfvo type="num" val="0.8"/>
        <cfvo type="num" val="0.9"/>
        <color rgb="FFF8696B"/>
        <color rgb="FFFFEB84"/>
        <color rgb="FF63BE7B"/>
      </colorScale>
    </cfRule>
  </conditionalFormatting>
  <conditionalFormatting sqref="CV10">
    <cfRule type="colorScale" priority="8">
      <colorScale>
        <cfvo type="num" val="0.69"/>
        <cfvo type="num" val="0.8"/>
        <cfvo type="num" val="0.9"/>
        <color rgb="FFF8696B"/>
        <color rgb="FFFFEB84"/>
        <color rgb="FF63BE7B"/>
      </colorScale>
    </cfRule>
  </conditionalFormatting>
  <conditionalFormatting sqref="AN13">
    <cfRule type="colorScale" priority="7">
      <colorScale>
        <cfvo type="num" val="0.69"/>
        <cfvo type="num" val="0.8"/>
        <cfvo type="num" val="0.9"/>
        <color rgb="FFF8696B"/>
        <color rgb="FFFFEB84"/>
        <color rgb="FF63BE7B"/>
      </colorScale>
    </cfRule>
  </conditionalFormatting>
  <conditionalFormatting sqref="BF12">
    <cfRule type="colorScale" priority="6">
      <colorScale>
        <cfvo type="num" val="0.69"/>
        <cfvo type="num" val="0.8"/>
        <cfvo type="num" val="0.9"/>
        <color rgb="FFF8696B"/>
        <color rgb="FFFFEB84"/>
        <color rgb="FF63BE7B"/>
      </colorScale>
    </cfRule>
  </conditionalFormatting>
  <conditionalFormatting sqref="BF13">
    <cfRule type="colorScale" priority="5">
      <colorScale>
        <cfvo type="num" val="0.69"/>
        <cfvo type="num" val="0.8"/>
        <cfvo type="num" val="0.9"/>
        <color rgb="FFF8696B"/>
        <color rgb="FFFFEB84"/>
        <color rgb="FF63BE7B"/>
      </colorScale>
    </cfRule>
  </conditionalFormatting>
  <conditionalFormatting sqref="BF8">
    <cfRule type="colorScale" priority="4">
      <colorScale>
        <cfvo type="num" val="0.69"/>
        <cfvo type="num" val="0.8"/>
        <cfvo type="num" val="0.9"/>
        <color rgb="FFF8696B"/>
        <color rgb="FFFFEB84"/>
        <color rgb="FF63BE7B"/>
      </colorScale>
    </cfRule>
  </conditionalFormatting>
  <conditionalFormatting sqref="BF10">
    <cfRule type="colorScale" priority="3">
      <colorScale>
        <cfvo type="num" val="0.69"/>
        <cfvo type="num" val="0.8"/>
        <cfvo type="num" val="0.9"/>
        <color rgb="FFF8696B"/>
        <color rgb="FFFFEB84"/>
        <color rgb="FF63BE7B"/>
      </colorScale>
    </cfRule>
  </conditionalFormatting>
  <conditionalFormatting sqref="BF14">
    <cfRule type="colorScale" priority="2">
      <colorScale>
        <cfvo type="num" val="0.69"/>
        <cfvo type="num" val="0.8"/>
        <cfvo type="num" val="0.9"/>
        <color rgb="FFF8696B"/>
        <color rgb="FFFFEB84"/>
        <color rgb="FF63BE7B"/>
      </colorScale>
    </cfRule>
  </conditionalFormatting>
  <conditionalFormatting sqref="CD31">
    <cfRule type="colorScale" priority="1">
      <colorScale>
        <cfvo type="num" val="0.69"/>
        <cfvo type="num" val="0.8"/>
        <cfvo type="num" val="0.9"/>
        <color rgb="FFF8696B"/>
        <color rgb="FFFFEB84"/>
        <color rgb="FF63BE7B"/>
      </colorScale>
    </cfRule>
  </conditionalFormatting>
  <printOptions horizontalCentered="1"/>
  <pageMargins left="0.23622047244094491" right="0.23622047244094491" top="0.74803149606299213" bottom="0.74803149606299213" header="0.31496062992125984" footer="0.31496062992125984"/>
  <pageSetup scale="10" orientation="landscape" r:id="rId1"/>
  <headerFooter alignWithMargins="0">
    <oddHeader>&amp;C&amp;"Arial,Negrita"&amp;12Dirección Técnica de Administración de Infraestructura &amp;"Arial,Normal"&amp;10
&amp;"Arial,Negrita"&amp;14REPORTE DE INDICADORES DE GESTIÓN DE ENERO A SEPTIEMBRE DE 2014</oddHeader>
    <oddFooter>&amp;CPag. &amp;P de &amp;N</oddFooter>
  </headerFooter>
  <rowBreaks count="1" manualBreakCount="1">
    <brk id="16" max="101" man="1"/>
  </rowBreaks>
  <colBreaks count="11" manualBreakCount="11">
    <brk id="29" max="30" man="1"/>
    <brk id="35" max="27" man="1"/>
    <brk id="41" max="27" man="1"/>
    <brk id="47" max="27" man="1"/>
    <brk id="53" max="27" man="1"/>
    <brk id="59" max="27" man="1"/>
    <brk id="71" max="30" man="1"/>
    <brk id="77" max="27" man="1"/>
    <brk id="83" max="27" man="1"/>
    <brk id="89" max="27" man="1"/>
    <brk id="95" max="27" man="1"/>
  </col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W27"/>
  <sheetViews>
    <sheetView showGridLines="0" zoomScale="85" zoomScaleNormal="85" zoomScaleSheetLayoutView="100" workbookViewId="0">
      <selection activeCell="H7" sqref="H7"/>
    </sheetView>
  </sheetViews>
  <sheetFormatPr baseColWidth="10" defaultRowHeight="12.75"/>
  <cols>
    <col min="1" max="1" width="1.140625" style="15" customWidth="1"/>
    <col min="2" max="2" width="14" style="15" customWidth="1"/>
    <col min="3" max="3" width="5.42578125" style="2" customWidth="1"/>
    <col min="4" max="4" width="22.28515625" style="15" customWidth="1"/>
    <col min="5" max="5" width="12.5703125" style="15" hidden="1" customWidth="1"/>
    <col min="6" max="6" width="27.85546875" style="15" bestFit="1" customWidth="1"/>
    <col min="7" max="7" width="19.140625" style="15" bestFit="1" customWidth="1"/>
    <col min="8" max="8" width="26.28515625" style="15" bestFit="1" customWidth="1"/>
    <col min="9" max="9" width="20.28515625" style="15" bestFit="1" customWidth="1"/>
    <col min="10" max="10" width="18.5703125" style="15" bestFit="1" customWidth="1"/>
    <col min="11" max="11" width="5.28515625" style="15" bestFit="1" customWidth="1"/>
    <col min="12" max="13" width="4.42578125" style="15" bestFit="1" customWidth="1"/>
    <col min="14" max="14" width="4.5703125" style="15" bestFit="1" customWidth="1"/>
    <col min="15" max="15" width="4.28515625" style="15" bestFit="1" customWidth="1"/>
    <col min="16" max="16" width="4.5703125" style="15" bestFit="1" customWidth="1"/>
    <col min="17" max="17" width="4.42578125" style="15" bestFit="1" customWidth="1"/>
    <col min="18" max="18" width="5.28515625" style="15" bestFit="1" customWidth="1"/>
    <col min="19" max="19" width="4.42578125" style="15" bestFit="1" customWidth="1"/>
    <col min="20" max="20" width="4.7109375" style="15" bestFit="1" customWidth="1"/>
    <col min="21" max="21" width="4.5703125" style="15" bestFit="1" customWidth="1"/>
    <col min="22" max="22" width="5.28515625" style="15" customWidth="1"/>
    <col min="23" max="23" width="11.42578125" style="126" hidden="1" customWidth="1"/>
    <col min="24" max="24" width="9.28515625" style="15" hidden="1" customWidth="1"/>
    <col min="25" max="25" width="11" style="15" hidden="1" customWidth="1"/>
    <col min="26" max="26" width="10.28515625" style="15" hidden="1" customWidth="1"/>
    <col min="27" max="27" width="8.7109375" style="15" hidden="1" customWidth="1"/>
    <col min="28" max="28" width="11.5703125" style="15" hidden="1" customWidth="1"/>
    <col min="29" max="29" width="16.42578125" style="15" hidden="1" customWidth="1"/>
    <col min="30" max="30" width="9.28515625" style="15" hidden="1" customWidth="1"/>
    <col min="31" max="31" width="11" style="15" hidden="1" customWidth="1"/>
    <col min="32" max="32" width="10.28515625" style="15" hidden="1" customWidth="1"/>
    <col min="33" max="33" width="8.7109375" style="15" hidden="1" customWidth="1"/>
    <col min="34" max="34" width="11.5703125" style="15" hidden="1" customWidth="1"/>
    <col min="35" max="35" width="16.42578125" style="15" hidden="1" customWidth="1"/>
    <col min="36" max="36" width="9.28515625" style="15" hidden="1" customWidth="1"/>
    <col min="37" max="37" width="11" style="15" hidden="1" customWidth="1"/>
    <col min="38" max="38" width="10.28515625" style="15" hidden="1" customWidth="1"/>
    <col min="39" max="39" width="8.7109375" style="15" hidden="1" customWidth="1"/>
    <col min="40" max="40" width="11.5703125" style="15" hidden="1" customWidth="1"/>
    <col min="41" max="41" width="56.140625" style="15" hidden="1" customWidth="1"/>
    <col min="42" max="42" width="9.28515625" style="15" hidden="1" customWidth="1"/>
    <col min="43" max="43" width="11" style="15" hidden="1" customWidth="1"/>
    <col min="44" max="44" width="10.28515625" style="15" hidden="1" customWidth="1"/>
    <col min="45" max="45" width="8.7109375" style="15" hidden="1" customWidth="1"/>
    <col min="46" max="46" width="11.5703125" style="15" hidden="1" customWidth="1"/>
    <col min="47" max="47" width="58.5703125" style="15" hidden="1" customWidth="1"/>
    <col min="48" max="48" width="9.28515625" style="15" hidden="1" customWidth="1"/>
    <col min="49" max="49" width="11" style="15" hidden="1" customWidth="1"/>
    <col min="50" max="50" width="10.28515625" style="15" hidden="1" customWidth="1"/>
    <col min="51" max="51" width="8.7109375" style="15" hidden="1" customWidth="1"/>
    <col min="52" max="52" width="11.5703125" style="15" hidden="1" customWidth="1"/>
    <col min="53" max="53" width="69" style="15" hidden="1" customWidth="1"/>
    <col min="54" max="54" width="9.28515625" style="15" hidden="1" customWidth="1"/>
    <col min="55" max="55" width="11" style="15" hidden="1" customWidth="1"/>
    <col min="56" max="56" width="10.28515625" style="15" hidden="1" customWidth="1"/>
    <col min="57" max="57" width="8.7109375" style="15" hidden="1" customWidth="1"/>
    <col min="58" max="58" width="11.5703125" style="15" hidden="1" customWidth="1"/>
    <col min="59" max="59" width="52.140625" style="1399" hidden="1" customWidth="1"/>
    <col min="60" max="60" width="10.28515625" style="15" hidden="1" customWidth="1"/>
    <col min="61" max="61" width="12.140625" style="15" hidden="1" customWidth="1"/>
    <col min="62" max="62" width="10.28515625" style="15" hidden="1" customWidth="1"/>
    <col min="63" max="63" width="8.7109375" style="15" hidden="1" customWidth="1"/>
    <col min="64" max="64" width="11.5703125" style="15" hidden="1" customWidth="1"/>
    <col min="65" max="65" width="49.5703125" style="15" hidden="1" customWidth="1"/>
    <col min="66" max="66" width="9.28515625" style="15" hidden="1" customWidth="1"/>
    <col min="67" max="67" width="11" style="15" hidden="1" customWidth="1"/>
    <col min="68" max="68" width="9.42578125" style="15" hidden="1" customWidth="1"/>
    <col min="69" max="69" width="7.85546875" style="15" hidden="1" customWidth="1"/>
    <col min="70" max="70" width="10.85546875" style="15" hidden="1" customWidth="1"/>
    <col min="71" max="71" width="44" style="15" hidden="1" customWidth="1"/>
    <col min="72" max="72" width="9.28515625" style="15" hidden="1" customWidth="1"/>
    <col min="73" max="73" width="11" style="15" hidden="1" customWidth="1"/>
    <col min="74" max="74" width="10.28515625" style="15" hidden="1" customWidth="1"/>
    <col min="75" max="75" width="8.7109375" style="15" hidden="1" customWidth="1"/>
    <col min="76" max="76" width="11.5703125" style="15" hidden="1" customWidth="1"/>
    <col min="77" max="77" width="55.7109375" style="15" hidden="1" customWidth="1"/>
    <col min="78" max="78" width="9.28515625" style="15" hidden="1" customWidth="1"/>
    <col min="79" max="79" width="11" style="15" hidden="1" customWidth="1"/>
    <col min="80" max="80" width="10.28515625" style="15" hidden="1" customWidth="1"/>
    <col min="81" max="81" width="8.7109375" style="15" hidden="1" customWidth="1"/>
    <col min="82" max="82" width="11.5703125" style="15" hidden="1" customWidth="1"/>
    <col min="83" max="83" width="8.140625" style="15" hidden="1" customWidth="1"/>
    <col min="84" max="84" width="10.140625" style="15" hidden="1" customWidth="1"/>
    <col min="85" max="85" width="11" style="15" hidden="1" customWidth="1"/>
    <col min="86" max="86" width="10.5703125" style="15" hidden="1" customWidth="1"/>
    <col min="87" max="87" width="10.28515625" style="15" hidden="1" customWidth="1"/>
    <col min="88" max="88" width="10.85546875" style="15" hidden="1" customWidth="1"/>
    <col min="89" max="89" width="60.5703125" style="15" hidden="1" customWidth="1"/>
    <col min="90" max="90" width="9.28515625" style="15" bestFit="1" customWidth="1"/>
    <col min="91" max="91" width="11" style="15" bestFit="1" customWidth="1"/>
    <col min="92" max="92" width="12" style="15" bestFit="1" customWidth="1"/>
    <col min="93" max="93" width="9.5703125" style="15" bestFit="1" customWidth="1"/>
    <col min="94" max="94" width="11.5703125" style="15" bestFit="1" customWidth="1"/>
    <col min="95" max="95" width="59.5703125" style="15" customWidth="1"/>
    <col min="96" max="96" width="9.28515625" style="15" bestFit="1" customWidth="1"/>
    <col min="97" max="97" width="11" style="15" bestFit="1" customWidth="1"/>
    <col min="98" max="98" width="10.28515625" style="15" bestFit="1" customWidth="1"/>
    <col min="99" max="99" width="9.5703125" style="15" bestFit="1" customWidth="1"/>
    <col min="100" max="100" width="11.85546875" style="15" bestFit="1" customWidth="1"/>
    <col min="101" max="101" width="55" style="15" customWidth="1"/>
    <col min="102" max="102" width="3" style="15" customWidth="1"/>
    <col min="103" max="16384" width="11.42578125" style="15"/>
  </cols>
  <sheetData>
    <row r="1" spans="1:101" s="4" customFormat="1" ht="13.1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c r="W1" s="286"/>
      <c r="BG1" s="1348"/>
    </row>
    <row r="2" spans="1:101" s="3" customFormat="1" ht="40.1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c r="W2" s="289"/>
      <c r="BG2" s="1349"/>
    </row>
    <row r="3" spans="1:101" ht="15.6" customHeight="1">
      <c r="B3" s="49" t="s">
        <v>18</v>
      </c>
      <c r="C3" s="1979" t="s">
        <v>2447</v>
      </c>
      <c r="D3" s="1979"/>
      <c r="E3" s="2445"/>
      <c r="F3" s="2445"/>
      <c r="G3" s="2445"/>
      <c r="H3" s="2445"/>
      <c r="I3" s="2445"/>
      <c r="J3" s="2445"/>
      <c r="K3" s="2446" t="s">
        <v>21</v>
      </c>
      <c r="L3" s="2446"/>
      <c r="M3" s="2446"/>
      <c r="N3" s="2443">
        <v>2014</v>
      </c>
      <c r="O3" s="2441"/>
      <c r="P3" s="2441"/>
      <c r="Q3" s="2441"/>
      <c r="R3" s="2441"/>
      <c r="S3" s="2441"/>
      <c r="T3" s="2441"/>
      <c r="U3" s="2441"/>
      <c r="V3" s="2444"/>
      <c r="W3" s="129"/>
      <c r="X3" s="2441" t="s">
        <v>29</v>
      </c>
      <c r="Y3" s="2441"/>
      <c r="Z3" s="2441"/>
      <c r="AA3" s="2441"/>
      <c r="AB3" s="2441"/>
      <c r="AC3" s="2444"/>
      <c r="AD3" s="2443" t="s">
        <v>29</v>
      </c>
      <c r="AE3" s="2441"/>
      <c r="AF3" s="2441"/>
      <c r="AG3" s="2441"/>
      <c r="AH3" s="2441"/>
      <c r="AI3" s="2444"/>
      <c r="AJ3" s="2443" t="s">
        <v>29</v>
      </c>
      <c r="AK3" s="2441"/>
      <c r="AL3" s="2441"/>
      <c r="AM3" s="2441"/>
      <c r="AN3" s="2441"/>
      <c r="AO3" s="2444"/>
      <c r="AP3" s="2443" t="s">
        <v>29</v>
      </c>
      <c r="AQ3" s="2441"/>
      <c r="AR3" s="2441"/>
      <c r="AS3" s="2441"/>
      <c r="AT3" s="2441"/>
      <c r="AU3" s="2444"/>
      <c r="AV3" s="2443" t="s">
        <v>29</v>
      </c>
      <c r="AW3" s="2441"/>
      <c r="AX3" s="2441"/>
      <c r="AY3" s="2441"/>
      <c r="AZ3" s="2441"/>
      <c r="BA3" s="2444"/>
      <c r="BB3" s="2443" t="s">
        <v>29</v>
      </c>
      <c r="BC3" s="2441"/>
      <c r="BD3" s="2441"/>
      <c r="BE3" s="2441"/>
      <c r="BF3" s="2441"/>
      <c r="BG3" s="2444"/>
      <c r="BH3" s="2443" t="s">
        <v>29</v>
      </c>
      <c r="BI3" s="2441"/>
      <c r="BJ3" s="2441"/>
      <c r="BK3" s="2441"/>
      <c r="BL3" s="2441"/>
      <c r="BM3" s="2444"/>
      <c r="BN3" s="2443" t="s">
        <v>29</v>
      </c>
      <c r="BO3" s="2441"/>
      <c r="BP3" s="2441"/>
      <c r="BQ3" s="2441"/>
      <c r="BR3" s="2441"/>
      <c r="BS3" s="2444"/>
      <c r="BT3" s="2443" t="s">
        <v>29</v>
      </c>
      <c r="BU3" s="2441"/>
      <c r="BV3" s="2441"/>
      <c r="BW3" s="2441"/>
      <c r="BX3" s="2441"/>
      <c r="BY3" s="2444"/>
      <c r="BZ3" s="2443" t="s">
        <v>29</v>
      </c>
      <c r="CA3" s="2441"/>
      <c r="CB3" s="2441"/>
      <c r="CC3" s="2441"/>
      <c r="CD3" s="2441"/>
      <c r="CE3" s="2444"/>
      <c r="CF3" s="2443" t="s">
        <v>29</v>
      </c>
      <c r="CG3" s="2441"/>
      <c r="CH3" s="2441"/>
      <c r="CI3" s="2441"/>
      <c r="CJ3" s="2441"/>
      <c r="CK3" s="2444"/>
      <c r="CL3" s="2443" t="s">
        <v>29</v>
      </c>
      <c r="CM3" s="2441"/>
      <c r="CN3" s="2441"/>
      <c r="CO3" s="2441"/>
      <c r="CP3" s="2441"/>
      <c r="CQ3" s="2444"/>
      <c r="CR3" s="2443" t="s">
        <v>30</v>
      </c>
      <c r="CS3" s="2441"/>
      <c r="CT3" s="2441"/>
      <c r="CU3" s="2441"/>
      <c r="CV3" s="2441"/>
      <c r="CW3" s="2441"/>
    </row>
    <row r="4" spans="1:101" ht="15" customHeight="1">
      <c r="A4" s="128"/>
      <c r="B4" s="128"/>
      <c r="C4" s="44"/>
      <c r="D4" s="128"/>
      <c r="E4" s="1097"/>
      <c r="F4" s="1097"/>
      <c r="G4" s="1097"/>
      <c r="H4" s="1097"/>
      <c r="I4" s="1097"/>
      <c r="J4" s="1097"/>
      <c r="K4" s="1097"/>
      <c r="L4" s="1097"/>
      <c r="M4" s="1097"/>
      <c r="N4" s="1097"/>
      <c r="O4" s="1097"/>
      <c r="P4" s="1097"/>
      <c r="Q4" s="1097"/>
      <c r="R4" s="1097"/>
      <c r="S4" s="1097"/>
      <c r="T4" s="1097"/>
      <c r="U4" s="1097"/>
      <c r="V4" s="1097"/>
      <c r="W4" s="386"/>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c r="AT4" s="1097"/>
      <c r="AU4" s="1097"/>
      <c r="AV4" s="1097"/>
      <c r="AW4" s="1097"/>
      <c r="AX4" s="1097"/>
      <c r="AY4" s="1097"/>
      <c r="AZ4" s="1097"/>
      <c r="BA4" s="1097"/>
      <c r="BB4" s="1097"/>
      <c r="BC4" s="1097"/>
      <c r="BD4" s="1097"/>
      <c r="BE4" s="1097"/>
      <c r="BF4" s="1097"/>
      <c r="BG4" s="1350"/>
      <c r="BH4" s="1097"/>
      <c r="BI4" s="1097"/>
      <c r="BJ4" s="1097"/>
      <c r="BK4" s="1097"/>
      <c r="BL4" s="1097"/>
      <c r="BM4" s="1097"/>
      <c r="BN4" s="1097"/>
      <c r="BO4" s="1097"/>
      <c r="BP4" s="1097"/>
      <c r="BQ4" s="1097"/>
      <c r="BR4" s="1097"/>
      <c r="BS4" s="1097"/>
      <c r="BT4" s="1097"/>
      <c r="BU4" s="1097"/>
      <c r="BV4" s="1097"/>
      <c r="BW4" s="1097"/>
      <c r="BX4" s="1097"/>
      <c r="BY4" s="1097"/>
      <c r="BZ4" s="1097"/>
      <c r="CA4" s="1097"/>
      <c r="CB4" s="1097"/>
      <c r="CC4" s="1097"/>
      <c r="CD4" s="1097"/>
      <c r="CE4" s="1097"/>
      <c r="CF4" s="1097"/>
      <c r="CG4" s="1097"/>
      <c r="CH4" s="1097"/>
      <c r="CI4" s="1097"/>
      <c r="CJ4" s="1097"/>
      <c r="CK4" s="1097"/>
      <c r="CL4" s="1097"/>
      <c r="CM4" s="1097"/>
      <c r="CN4" s="1097"/>
      <c r="CO4" s="1097"/>
      <c r="CP4" s="1097"/>
      <c r="CQ4" s="1097"/>
      <c r="CR4" s="1097"/>
      <c r="CS4" s="1097"/>
      <c r="CT4" s="1097"/>
      <c r="CU4" s="1097"/>
      <c r="CV4" s="1097"/>
      <c r="CW4" s="1097"/>
    </row>
    <row r="5" spans="1:101" s="2" customFormat="1" ht="22.15" customHeight="1">
      <c r="B5" s="2092" t="s">
        <v>26</v>
      </c>
      <c r="C5" s="2092" t="s">
        <v>10</v>
      </c>
      <c r="D5" s="2447" t="s">
        <v>23</v>
      </c>
      <c r="E5" s="2092" t="s">
        <v>19</v>
      </c>
      <c r="F5" s="2092" t="s">
        <v>11</v>
      </c>
      <c r="G5" s="2092" t="s">
        <v>15</v>
      </c>
      <c r="H5" s="2092" t="s">
        <v>12</v>
      </c>
      <c r="I5" s="2092" t="s">
        <v>20</v>
      </c>
      <c r="J5" s="2092" t="s">
        <v>16</v>
      </c>
      <c r="K5" s="2092" t="s">
        <v>24</v>
      </c>
      <c r="L5" s="2092"/>
      <c r="M5" s="2092"/>
      <c r="N5" s="2092"/>
      <c r="O5" s="2092"/>
      <c r="P5" s="2092"/>
      <c r="Q5" s="2092"/>
      <c r="R5" s="2092"/>
      <c r="S5" s="2092"/>
      <c r="T5" s="2092"/>
      <c r="U5" s="2092"/>
      <c r="V5" s="2092"/>
      <c r="W5" s="298"/>
      <c r="X5" s="2094" t="s">
        <v>37</v>
      </c>
      <c r="Y5" s="2095"/>
      <c r="Z5" s="2095"/>
      <c r="AA5" s="2095"/>
      <c r="AB5" s="2095"/>
      <c r="AC5" s="2095"/>
      <c r="AD5" s="2094" t="s">
        <v>38</v>
      </c>
      <c r="AE5" s="2095"/>
      <c r="AF5" s="2095"/>
      <c r="AG5" s="2095"/>
      <c r="AH5" s="2095"/>
      <c r="AI5" s="2095"/>
      <c r="AJ5" s="2094" t="s">
        <v>39</v>
      </c>
      <c r="AK5" s="2095"/>
      <c r="AL5" s="2095"/>
      <c r="AM5" s="2095"/>
      <c r="AN5" s="2095"/>
      <c r="AO5" s="2095"/>
      <c r="AP5" s="2094" t="s">
        <v>40</v>
      </c>
      <c r="AQ5" s="2095"/>
      <c r="AR5" s="2095"/>
      <c r="AS5" s="2095"/>
      <c r="AT5" s="2095"/>
      <c r="AU5" s="2095"/>
      <c r="AV5" s="2094" t="s">
        <v>41</v>
      </c>
      <c r="AW5" s="2095"/>
      <c r="AX5" s="2095"/>
      <c r="AY5" s="2095"/>
      <c r="AZ5" s="2095"/>
      <c r="BA5" s="2095"/>
      <c r="BB5" s="2094" t="s">
        <v>42</v>
      </c>
      <c r="BC5" s="2095"/>
      <c r="BD5" s="2095"/>
      <c r="BE5" s="2095"/>
      <c r="BF5" s="2095"/>
      <c r="BG5" s="2095"/>
      <c r="BH5" s="2094" t="s">
        <v>43</v>
      </c>
      <c r="BI5" s="2095"/>
      <c r="BJ5" s="2095"/>
      <c r="BK5" s="2095"/>
      <c r="BL5" s="2095"/>
      <c r="BM5" s="2095"/>
      <c r="BN5" s="2094" t="s">
        <v>44</v>
      </c>
      <c r="BO5" s="2095"/>
      <c r="BP5" s="2095"/>
      <c r="BQ5" s="2095"/>
      <c r="BR5" s="2095"/>
      <c r="BS5" s="2095"/>
      <c r="BT5" s="2094" t="s">
        <v>45</v>
      </c>
      <c r="BU5" s="2095"/>
      <c r="BV5" s="2095"/>
      <c r="BW5" s="2095"/>
      <c r="BX5" s="2095"/>
      <c r="BY5" s="2095"/>
      <c r="BZ5" s="2094" t="s">
        <v>46</v>
      </c>
      <c r="CA5" s="2095"/>
      <c r="CB5" s="2095"/>
      <c r="CC5" s="2095"/>
      <c r="CD5" s="2095"/>
      <c r="CE5" s="2095"/>
      <c r="CF5" s="2094" t="s">
        <v>47</v>
      </c>
      <c r="CG5" s="2095"/>
      <c r="CH5" s="2095"/>
      <c r="CI5" s="2095"/>
      <c r="CJ5" s="2095"/>
      <c r="CK5" s="2095"/>
      <c r="CL5" s="2094" t="s">
        <v>87</v>
      </c>
      <c r="CM5" s="2095"/>
      <c r="CN5" s="2095"/>
      <c r="CO5" s="2095"/>
      <c r="CP5" s="2095"/>
      <c r="CQ5" s="2095"/>
      <c r="CR5" s="2094" t="s">
        <v>51</v>
      </c>
      <c r="CS5" s="2095"/>
      <c r="CT5" s="2095"/>
      <c r="CU5" s="2095"/>
      <c r="CV5" s="2095"/>
      <c r="CW5" s="2095"/>
    </row>
    <row r="6" spans="1:101" s="2" customFormat="1" ht="30.75" customHeight="1">
      <c r="B6" s="2092"/>
      <c r="C6" s="2092"/>
      <c r="D6" s="2447"/>
      <c r="E6" s="2092"/>
      <c r="F6" s="2092"/>
      <c r="G6" s="2092"/>
      <c r="H6" s="2449"/>
      <c r="I6" s="2092"/>
      <c r="J6" s="2092"/>
      <c r="K6" s="1950" t="s">
        <v>13</v>
      </c>
      <c r="L6" s="1950" t="s">
        <v>0</v>
      </c>
      <c r="M6" s="1950" t="s">
        <v>1</v>
      </c>
      <c r="N6" s="1950" t="s">
        <v>14</v>
      </c>
      <c r="O6" s="1950" t="s">
        <v>2</v>
      </c>
      <c r="P6" s="1950" t="s">
        <v>3</v>
      </c>
      <c r="Q6" s="1950" t="s">
        <v>4</v>
      </c>
      <c r="R6" s="1950" t="s">
        <v>5</v>
      </c>
      <c r="S6" s="1950" t="s">
        <v>6</v>
      </c>
      <c r="T6" s="1950" t="s">
        <v>7</v>
      </c>
      <c r="U6" s="1950" t="s">
        <v>8</v>
      </c>
      <c r="V6" s="1950" t="s">
        <v>9</v>
      </c>
      <c r="W6" s="96" t="s">
        <v>27</v>
      </c>
      <c r="X6" s="98" t="s">
        <v>31</v>
      </c>
      <c r="Y6" s="98" t="s">
        <v>32</v>
      </c>
      <c r="Z6" s="299" t="s">
        <v>33</v>
      </c>
      <c r="AA6" s="98" t="s">
        <v>34</v>
      </c>
      <c r="AB6" s="302" t="s">
        <v>35</v>
      </c>
      <c r="AC6" s="299" t="s">
        <v>36</v>
      </c>
      <c r="AD6" s="98" t="s">
        <v>31</v>
      </c>
      <c r="AE6" s="98" t="s">
        <v>32</v>
      </c>
      <c r="AF6" s="299" t="s">
        <v>33</v>
      </c>
      <c r="AG6" s="98" t="s">
        <v>34</v>
      </c>
      <c r="AH6" s="302" t="s">
        <v>35</v>
      </c>
      <c r="AI6" s="299" t="s">
        <v>36</v>
      </c>
      <c r="AJ6" s="98" t="s">
        <v>31</v>
      </c>
      <c r="AK6" s="98" t="s">
        <v>32</v>
      </c>
      <c r="AL6" s="299" t="s">
        <v>33</v>
      </c>
      <c r="AM6" s="98" t="s">
        <v>34</v>
      </c>
      <c r="AN6" s="302" t="s">
        <v>35</v>
      </c>
      <c r="AO6" s="299" t="s">
        <v>36</v>
      </c>
      <c r="AP6" s="98" t="s">
        <v>31</v>
      </c>
      <c r="AQ6" s="98" t="s">
        <v>32</v>
      </c>
      <c r="AR6" s="299" t="s">
        <v>33</v>
      </c>
      <c r="AS6" s="98" t="s">
        <v>34</v>
      </c>
      <c r="AT6" s="302" t="s">
        <v>35</v>
      </c>
      <c r="AU6" s="299" t="s">
        <v>36</v>
      </c>
      <c r="AV6" s="98" t="s">
        <v>31</v>
      </c>
      <c r="AW6" s="98" t="s">
        <v>32</v>
      </c>
      <c r="AX6" s="299" t="s">
        <v>33</v>
      </c>
      <c r="AY6" s="98" t="s">
        <v>34</v>
      </c>
      <c r="AZ6" s="302" t="s">
        <v>35</v>
      </c>
      <c r="BA6" s="299" t="s">
        <v>36</v>
      </c>
      <c r="BB6" s="98" t="s">
        <v>31</v>
      </c>
      <c r="BC6" s="98" t="s">
        <v>32</v>
      </c>
      <c r="BD6" s="299" t="s">
        <v>33</v>
      </c>
      <c r="BE6" s="98" t="s">
        <v>34</v>
      </c>
      <c r="BF6" s="302" t="s">
        <v>35</v>
      </c>
      <c r="BG6" s="299" t="s">
        <v>36</v>
      </c>
      <c r="BH6" s="98" t="s">
        <v>31</v>
      </c>
      <c r="BI6" s="98" t="s">
        <v>32</v>
      </c>
      <c r="BJ6" s="299" t="s">
        <v>33</v>
      </c>
      <c r="BK6" s="98" t="s">
        <v>34</v>
      </c>
      <c r="BL6" s="302" t="s">
        <v>35</v>
      </c>
      <c r="BM6" s="299" t="s">
        <v>36</v>
      </c>
      <c r="BN6" s="98" t="s">
        <v>31</v>
      </c>
      <c r="BO6" s="98" t="s">
        <v>32</v>
      </c>
      <c r="BP6" s="299" t="s">
        <v>33</v>
      </c>
      <c r="BQ6" s="98" t="s">
        <v>34</v>
      </c>
      <c r="BR6" s="302" t="s">
        <v>35</v>
      </c>
      <c r="BS6" s="299" t="s">
        <v>36</v>
      </c>
      <c r="BT6" s="98" t="s">
        <v>31</v>
      </c>
      <c r="BU6" s="98" t="s">
        <v>32</v>
      </c>
      <c r="BV6" s="299" t="s">
        <v>33</v>
      </c>
      <c r="BW6" s="98" t="s">
        <v>34</v>
      </c>
      <c r="BX6" s="302" t="s">
        <v>35</v>
      </c>
      <c r="BY6" s="299" t="s">
        <v>36</v>
      </c>
      <c r="BZ6" s="98" t="s">
        <v>31</v>
      </c>
      <c r="CA6" s="98" t="s">
        <v>32</v>
      </c>
      <c r="CB6" s="299" t="s">
        <v>33</v>
      </c>
      <c r="CC6" s="98" t="s">
        <v>34</v>
      </c>
      <c r="CD6" s="302" t="s">
        <v>35</v>
      </c>
      <c r="CE6" s="299" t="s">
        <v>36</v>
      </c>
      <c r="CF6" s="98" t="s">
        <v>31</v>
      </c>
      <c r="CG6" s="98" t="s">
        <v>32</v>
      </c>
      <c r="CH6" s="299" t="s">
        <v>33</v>
      </c>
      <c r="CI6" s="98" t="s">
        <v>34</v>
      </c>
      <c r="CJ6" s="302" t="s">
        <v>35</v>
      </c>
      <c r="CK6" s="299" t="s">
        <v>36</v>
      </c>
      <c r="CL6" s="98" t="s">
        <v>31</v>
      </c>
      <c r="CM6" s="98" t="s">
        <v>32</v>
      </c>
      <c r="CN6" s="299" t="s">
        <v>33</v>
      </c>
      <c r="CO6" s="98" t="s">
        <v>34</v>
      </c>
      <c r="CP6" s="302" t="s">
        <v>35</v>
      </c>
      <c r="CQ6" s="299" t="s">
        <v>36</v>
      </c>
      <c r="CR6" s="98" t="s">
        <v>31</v>
      </c>
      <c r="CS6" s="98" t="s">
        <v>32</v>
      </c>
      <c r="CT6" s="299" t="s">
        <v>33</v>
      </c>
      <c r="CU6" s="98" t="s">
        <v>34</v>
      </c>
      <c r="CV6" s="302" t="s">
        <v>35</v>
      </c>
      <c r="CW6" s="299" t="s">
        <v>36</v>
      </c>
    </row>
    <row r="7" spans="1:101" ht="180.75" customHeight="1">
      <c r="B7" s="8" t="s">
        <v>1355</v>
      </c>
      <c r="C7" s="9"/>
      <c r="D7" s="1351" t="s">
        <v>2448</v>
      </c>
      <c r="E7" s="13" t="s">
        <v>2449</v>
      </c>
      <c r="F7" s="8" t="s">
        <v>2450</v>
      </c>
      <c r="G7" s="8" t="s">
        <v>53</v>
      </c>
      <c r="H7" s="8" t="s">
        <v>2451</v>
      </c>
      <c r="I7" s="8" t="s">
        <v>2452</v>
      </c>
      <c r="J7" s="8" t="s">
        <v>2453</v>
      </c>
      <c r="K7" s="316">
        <v>0</v>
      </c>
      <c r="L7" s="316">
        <v>0</v>
      </c>
      <c r="M7" s="316">
        <v>0.11</v>
      </c>
      <c r="N7" s="316">
        <v>0.22</v>
      </c>
      <c r="O7" s="316">
        <v>0.3</v>
      </c>
      <c r="P7" s="316">
        <v>0.5</v>
      </c>
      <c r="Q7" s="316">
        <v>0.56000000000000005</v>
      </c>
      <c r="R7" s="316">
        <v>0.66</v>
      </c>
      <c r="S7" s="316">
        <v>0.69</v>
      </c>
      <c r="T7" s="316">
        <v>0.75</v>
      </c>
      <c r="U7" s="316">
        <v>0.81</v>
      </c>
      <c r="V7" s="316">
        <v>0.81</v>
      </c>
      <c r="W7" s="8" t="s">
        <v>2454</v>
      </c>
      <c r="X7" s="68"/>
      <c r="Y7" s="68"/>
      <c r="Z7" s="69"/>
      <c r="AA7" s="58"/>
      <c r="AB7" s="58"/>
      <c r="AC7" s="65"/>
      <c r="AD7" s="68">
        <v>6</v>
      </c>
      <c r="AE7" s="68">
        <v>21</v>
      </c>
      <c r="AF7" s="69">
        <v>0.28999999999999998</v>
      </c>
      <c r="AG7" s="58">
        <v>1</v>
      </c>
      <c r="AH7" s="58">
        <v>0.28999999999999998</v>
      </c>
      <c r="AI7" s="65"/>
      <c r="AJ7" s="68">
        <v>17</v>
      </c>
      <c r="AK7" s="68">
        <v>37</v>
      </c>
      <c r="AL7" s="69">
        <v>0.46</v>
      </c>
      <c r="AM7" s="58">
        <v>1</v>
      </c>
      <c r="AN7" s="58">
        <v>0.46</v>
      </c>
      <c r="AO7" s="65" t="s">
        <v>2455</v>
      </c>
      <c r="AP7" s="68">
        <v>22</v>
      </c>
      <c r="AQ7" s="68">
        <v>40</v>
      </c>
      <c r="AR7" s="69">
        <v>0.55000000000000004</v>
      </c>
      <c r="AS7" s="58">
        <v>1</v>
      </c>
      <c r="AT7" s="58">
        <v>0.55000000000000004</v>
      </c>
      <c r="AU7" s="65"/>
      <c r="AV7" s="68">
        <v>33</v>
      </c>
      <c r="AW7" s="68">
        <v>63</v>
      </c>
      <c r="AX7" s="69">
        <v>0.52</v>
      </c>
      <c r="AY7" s="58">
        <v>1</v>
      </c>
      <c r="AZ7" s="58">
        <v>0.52</v>
      </c>
      <c r="BA7" s="68"/>
      <c r="BB7" s="68">
        <v>50</v>
      </c>
      <c r="BC7" s="68">
        <v>80</v>
      </c>
      <c r="BD7" s="69">
        <v>0.61</v>
      </c>
      <c r="BE7" s="58">
        <v>1</v>
      </c>
      <c r="BF7" s="58">
        <v>0.61</v>
      </c>
      <c r="BG7" s="1352" t="s">
        <v>2456</v>
      </c>
      <c r="BH7" s="68">
        <v>61</v>
      </c>
      <c r="BI7" s="68">
        <v>97</v>
      </c>
      <c r="BJ7" s="1353">
        <v>0.63</v>
      </c>
      <c r="BK7" s="58">
        <v>0.97</v>
      </c>
      <c r="BL7" s="58">
        <f>63*1.03092783505155%</f>
        <v>0.64948453608247414</v>
      </c>
      <c r="BM7" s="65" t="s">
        <v>2457</v>
      </c>
      <c r="BN7" s="68">
        <v>66</v>
      </c>
      <c r="BO7" s="68">
        <v>75</v>
      </c>
      <c r="BP7" s="69">
        <v>0.88</v>
      </c>
      <c r="BQ7" s="58">
        <v>1</v>
      </c>
      <c r="BR7" s="58">
        <v>0.88</v>
      </c>
      <c r="BS7" s="65" t="s">
        <v>2458</v>
      </c>
      <c r="BT7" s="68">
        <v>69</v>
      </c>
      <c r="BU7" s="68">
        <v>80</v>
      </c>
      <c r="BV7" s="69">
        <v>0.86</v>
      </c>
      <c r="BW7" s="58">
        <v>1</v>
      </c>
      <c r="BX7" s="58">
        <v>0.86</v>
      </c>
      <c r="BY7" s="65" t="s">
        <v>2458</v>
      </c>
      <c r="BZ7" s="68">
        <v>75</v>
      </c>
      <c r="CA7" s="68">
        <v>75</v>
      </c>
      <c r="CB7" s="69">
        <v>1</v>
      </c>
      <c r="CC7" s="58">
        <v>1</v>
      </c>
      <c r="CD7" s="58">
        <v>1</v>
      </c>
      <c r="CE7" s="68">
        <v>75</v>
      </c>
      <c r="CF7" s="68">
        <v>75</v>
      </c>
      <c r="CG7" s="69">
        <v>1</v>
      </c>
      <c r="CH7" s="58">
        <v>1</v>
      </c>
      <c r="CI7" s="58">
        <v>1</v>
      </c>
      <c r="CJ7" s="58">
        <v>0.75</v>
      </c>
      <c r="CK7" s="1352" t="s">
        <v>2459</v>
      </c>
      <c r="CL7" s="68">
        <v>81</v>
      </c>
      <c r="CM7" s="68">
        <v>81</v>
      </c>
      <c r="CN7" s="69">
        <v>1</v>
      </c>
      <c r="CO7" s="535">
        <v>100</v>
      </c>
      <c r="CP7" s="58">
        <v>1</v>
      </c>
      <c r="CQ7" s="65" t="s">
        <v>2460</v>
      </c>
      <c r="CR7" s="68">
        <f>+CL7+CF7+BZ7+BT7+BN7+BB7+AP7+AJ7+AD7+X7+BH7+AV7</f>
        <v>555</v>
      </c>
      <c r="CS7" s="68">
        <f>+CM7+CG7+CA7+BU7+BO7+BC7+AQ7+AK7+AE7+Y7+BI7+AW7</f>
        <v>650</v>
      </c>
      <c r="CT7" s="69">
        <f>+CR7/CS7*100%</f>
        <v>0.85384615384615381</v>
      </c>
      <c r="CU7" s="58">
        <v>1</v>
      </c>
      <c r="CV7" s="58">
        <f>+CT7/CU7</f>
        <v>0.85384615384615381</v>
      </c>
      <c r="CW7" s="65" t="s">
        <v>2460</v>
      </c>
    </row>
    <row r="8" spans="1:101" ht="180">
      <c r="B8" s="8" t="s">
        <v>1220</v>
      </c>
      <c r="C8" s="9"/>
      <c r="D8" s="1351" t="s">
        <v>2461</v>
      </c>
      <c r="E8" s="13" t="s">
        <v>2462</v>
      </c>
      <c r="F8" s="8" t="s">
        <v>2463</v>
      </c>
      <c r="G8" s="8" t="s">
        <v>53</v>
      </c>
      <c r="H8" s="8" t="s">
        <v>2464</v>
      </c>
      <c r="I8" s="8" t="s">
        <v>2465</v>
      </c>
      <c r="J8" s="8" t="s">
        <v>2453</v>
      </c>
      <c r="K8" s="12">
        <v>0.46</v>
      </c>
      <c r="L8" s="12"/>
      <c r="M8" s="12">
        <v>0.63</v>
      </c>
      <c r="N8" s="12"/>
      <c r="O8" s="12"/>
      <c r="P8" s="12">
        <v>0.6</v>
      </c>
      <c r="Q8" s="12"/>
      <c r="R8" s="12"/>
      <c r="S8" s="12">
        <v>0.8</v>
      </c>
      <c r="T8" s="14"/>
      <c r="U8" s="14"/>
      <c r="V8" s="14">
        <v>0.9</v>
      </c>
      <c r="W8" s="8" t="s">
        <v>2466</v>
      </c>
      <c r="X8" s="68"/>
      <c r="Y8" s="68"/>
      <c r="Z8" s="69"/>
      <c r="AA8" s="58"/>
      <c r="AB8" s="58"/>
      <c r="AC8" s="65"/>
      <c r="AD8" s="68"/>
      <c r="AE8" s="68"/>
      <c r="AF8" s="69"/>
      <c r="AG8" s="58"/>
      <c r="AH8" s="58"/>
      <c r="AI8" s="65"/>
      <c r="AJ8" s="68">
        <v>63</v>
      </c>
      <c r="AK8" s="68">
        <v>63</v>
      </c>
      <c r="AL8" s="69">
        <v>1</v>
      </c>
      <c r="AM8" s="58">
        <v>1</v>
      </c>
      <c r="AN8" s="58">
        <v>1</v>
      </c>
      <c r="AO8" s="65" t="s">
        <v>2467</v>
      </c>
      <c r="AP8" s="68"/>
      <c r="AQ8" s="68"/>
      <c r="AR8" s="69"/>
      <c r="AS8" s="58"/>
      <c r="AT8" s="58"/>
      <c r="AU8" s="65"/>
      <c r="AV8" s="68"/>
      <c r="AW8" s="68"/>
      <c r="AX8" s="69"/>
      <c r="AY8" s="58"/>
      <c r="AZ8" s="58"/>
      <c r="BA8" s="68"/>
      <c r="BB8" s="68">
        <v>74</v>
      </c>
      <c r="BC8" s="68">
        <v>90</v>
      </c>
      <c r="BD8" s="69">
        <v>0.82</v>
      </c>
      <c r="BE8" s="58">
        <v>1</v>
      </c>
      <c r="BF8" s="58">
        <v>0.82</v>
      </c>
      <c r="BG8" s="1352" t="s">
        <v>2468</v>
      </c>
      <c r="BH8" s="68"/>
      <c r="BI8" s="68"/>
      <c r="BJ8" s="69"/>
      <c r="BK8" s="58"/>
      <c r="BL8" s="316"/>
      <c r="BM8" s="65"/>
      <c r="BN8" s="68">
        <v>0</v>
      </c>
      <c r="BO8" s="68">
        <f t="shared" ref="BO8:BO23" si="0">R8</f>
        <v>0</v>
      </c>
      <c r="BP8" s="69"/>
      <c r="BQ8" s="58"/>
      <c r="BR8" s="58"/>
      <c r="BS8" s="65" t="s">
        <v>2469</v>
      </c>
      <c r="BT8" s="68">
        <v>85</v>
      </c>
      <c r="BU8" s="68">
        <v>100</v>
      </c>
      <c r="BV8" s="69">
        <v>0.85</v>
      </c>
      <c r="BW8" s="58">
        <v>1</v>
      </c>
      <c r="BX8" s="58">
        <v>0.85</v>
      </c>
      <c r="BY8" s="65" t="s">
        <v>2470</v>
      </c>
      <c r="BZ8" s="68"/>
      <c r="CA8" s="68"/>
      <c r="CB8" s="69"/>
      <c r="CC8" s="58"/>
      <c r="CD8" s="58"/>
      <c r="CE8" s="68"/>
      <c r="CF8" s="68"/>
      <c r="CG8" s="69"/>
      <c r="CH8" s="58"/>
      <c r="CI8" s="58"/>
      <c r="CJ8" s="68"/>
      <c r="CK8" s="68" t="s">
        <v>2471</v>
      </c>
      <c r="CL8" s="68">
        <v>90</v>
      </c>
      <c r="CM8" s="68">
        <v>80</v>
      </c>
      <c r="CN8" s="69">
        <v>0.8</v>
      </c>
      <c r="CO8" s="535">
        <v>90</v>
      </c>
      <c r="CP8" s="58">
        <v>0.89</v>
      </c>
      <c r="CQ8" s="65" t="s">
        <v>2472</v>
      </c>
      <c r="CR8" s="68">
        <f>(CL8+CF8+BZ8+BT8+BN8+BB8+AP8+AJ8+AD8+X8+BH8+AV8)/4</f>
        <v>78</v>
      </c>
      <c r="CS8" s="68">
        <f>(CM8+CG8+CA8+BU8+BO8+BC8+AQ8+AK8+AE8+Y8+BI8+AW8)/4</f>
        <v>83.25</v>
      </c>
      <c r="CT8" s="69">
        <f>CR8/CS8</f>
        <v>0.93693693693693691</v>
      </c>
      <c r="CU8" s="58">
        <v>1</v>
      </c>
      <c r="CV8" s="58">
        <f>+CT8/CU8</f>
        <v>0.93693693693693691</v>
      </c>
      <c r="CW8" s="65" t="s">
        <v>2473</v>
      </c>
    </row>
    <row r="9" spans="1:101" ht="57" customHeight="1">
      <c r="B9" s="8" t="s">
        <v>1220</v>
      </c>
      <c r="C9" s="9"/>
      <c r="D9" s="1351" t="s">
        <v>2474</v>
      </c>
      <c r="E9" s="13" t="s">
        <v>2475</v>
      </c>
      <c r="F9" s="8" t="s">
        <v>2476</v>
      </c>
      <c r="G9" s="8" t="s">
        <v>53</v>
      </c>
      <c r="H9" s="8" t="s">
        <v>2477</v>
      </c>
      <c r="I9" s="8" t="s">
        <v>2478</v>
      </c>
      <c r="J9" s="8" t="s">
        <v>2453</v>
      </c>
      <c r="K9" s="310">
        <v>1.34</v>
      </c>
      <c r="L9" s="310">
        <v>0.78</v>
      </c>
      <c r="M9" s="310">
        <v>1.31</v>
      </c>
      <c r="N9" s="310">
        <v>0.93</v>
      </c>
      <c r="O9" s="310">
        <v>1.587</v>
      </c>
      <c r="P9" s="310">
        <v>0.23699999999999999</v>
      </c>
      <c r="Q9" s="310">
        <v>0.192</v>
      </c>
      <c r="R9" s="310">
        <v>9.6000000000000002E-2</v>
      </c>
      <c r="S9" s="310">
        <v>0.14299999999999999</v>
      </c>
      <c r="T9" s="341">
        <v>17453</v>
      </c>
      <c r="U9" s="341">
        <v>18215</v>
      </c>
      <c r="V9" s="341">
        <v>26304</v>
      </c>
      <c r="W9" s="8" t="s">
        <v>2479</v>
      </c>
      <c r="X9" s="7">
        <v>1.34</v>
      </c>
      <c r="Y9" s="7">
        <v>1.34</v>
      </c>
      <c r="Z9" s="69">
        <v>1</v>
      </c>
      <c r="AA9" s="58">
        <v>1</v>
      </c>
      <c r="AB9" s="58">
        <v>1</v>
      </c>
      <c r="AC9" s="65"/>
      <c r="AD9" s="7">
        <v>0.78</v>
      </c>
      <c r="AE9" s="7">
        <v>0.78</v>
      </c>
      <c r="AF9" s="69">
        <v>1</v>
      </c>
      <c r="AG9" s="58">
        <v>1</v>
      </c>
      <c r="AH9" s="58">
        <v>1</v>
      </c>
      <c r="AI9" s="65"/>
      <c r="AJ9" s="7">
        <v>0.82</v>
      </c>
      <c r="AK9" s="7">
        <v>1.33</v>
      </c>
      <c r="AL9" s="69">
        <v>0.62</v>
      </c>
      <c r="AM9" s="58">
        <v>1</v>
      </c>
      <c r="AN9" s="58">
        <v>0.62</v>
      </c>
      <c r="AO9" s="65"/>
      <c r="AP9" s="7">
        <v>1.43</v>
      </c>
      <c r="AQ9" s="7">
        <v>0.93</v>
      </c>
      <c r="AR9" s="69">
        <v>1</v>
      </c>
      <c r="AS9" s="58">
        <v>1</v>
      </c>
      <c r="AT9" s="58">
        <v>1</v>
      </c>
      <c r="AU9" s="65"/>
      <c r="AV9" s="7">
        <v>0.9</v>
      </c>
      <c r="AW9" s="7">
        <v>1.6</v>
      </c>
      <c r="AX9" s="69">
        <v>0.43</v>
      </c>
      <c r="AY9" s="58">
        <v>1</v>
      </c>
      <c r="AZ9" s="58">
        <v>0.43</v>
      </c>
      <c r="BA9" s="7"/>
      <c r="BB9" s="68">
        <v>1.1299999999999999</v>
      </c>
      <c r="BC9" s="68">
        <v>0.2</v>
      </c>
      <c r="BD9" s="69">
        <v>1</v>
      </c>
      <c r="BE9" s="58">
        <v>1</v>
      </c>
      <c r="BF9" s="58">
        <v>1</v>
      </c>
      <c r="BG9" s="1352" t="s">
        <v>2480</v>
      </c>
      <c r="BH9" s="310">
        <v>0.57999999999999996</v>
      </c>
      <c r="BI9" s="310">
        <v>0.192</v>
      </c>
      <c r="BJ9" s="1354">
        <v>3.04</v>
      </c>
      <c r="BK9" s="1354">
        <v>1</v>
      </c>
      <c r="BL9" s="316">
        <v>3.04</v>
      </c>
      <c r="BM9" s="1355" t="s">
        <v>2481</v>
      </c>
      <c r="BN9" s="68">
        <v>0.55000000000000004</v>
      </c>
      <c r="BO9" s="68">
        <f t="shared" si="0"/>
        <v>9.6000000000000002E-2</v>
      </c>
      <c r="BP9" s="69">
        <v>1</v>
      </c>
      <c r="BQ9" s="58">
        <v>1</v>
      </c>
      <c r="BR9" s="58">
        <v>1</v>
      </c>
      <c r="BS9" s="65"/>
      <c r="BT9" s="68">
        <v>0.41199999999999998</v>
      </c>
      <c r="BU9" s="68">
        <f t="shared" ref="BU9:BU23" si="1">S9</f>
        <v>0.14299999999999999</v>
      </c>
      <c r="BV9" s="69">
        <v>1</v>
      </c>
      <c r="BW9" s="58">
        <v>1</v>
      </c>
      <c r="BX9" s="58">
        <v>2.88</v>
      </c>
      <c r="BY9" s="65"/>
      <c r="BZ9" s="341">
        <v>23169</v>
      </c>
      <c r="CA9" s="341">
        <v>17453</v>
      </c>
      <c r="CB9" s="69">
        <v>1</v>
      </c>
      <c r="CC9" s="58">
        <v>1</v>
      </c>
      <c r="CD9" s="58">
        <v>1</v>
      </c>
      <c r="CE9" s="68"/>
      <c r="CF9" s="341">
        <v>27.77</v>
      </c>
      <c r="CG9" s="341">
        <v>18215</v>
      </c>
      <c r="CH9" s="58">
        <v>1</v>
      </c>
      <c r="CI9" s="58">
        <v>1</v>
      </c>
      <c r="CJ9" s="58">
        <v>1</v>
      </c>
      <c r="CK9" s="1352" t="s">
        <v>2482</v>
      </c>
      <c r="CL9" s="375">
        <v>0.89379999999999993</v>
      </c>
      <c r="CM9" s="375">
        <v>12.91</v>
      </c>
      <c r="CN9" s="375">
        <v>0.89379999999999993</v>
      </c>
      <c r="CO9" s="1213">
        <v>2.6303999999999998</v>
      </c>
      <c r="CP9" s="58">
        <v>0.33979622871046228</v>
      </c>
      <c r="CQ9" s="1356" t="s">
        <v>2483</v>
      </c>
      <c r="CR9" s="1357">
        <v>14.557200000000002</v>
      </c>
      <c r="CS9" s="1357">
        <v>12.9122</v>
      </c>
      <c r="CT9" s="1357">
        <v>14.557200000000002</v>
      </c>
      <c r="CU9" s="1357">
        <v>12.9122</v>
      </c>
      <c r="CV9" s="1358">
        <f>+CT9/CU9</f>
        <v>1.127398894069175</v>
      </c>
      <c r="CW9" s="1359" t="s">
        <v>2484</v>
      </c>
    </row>
    <row r="10" spans="1:101" ht="45">
      <c r="B10" s="8" t="s">
        <v>1220</v>
      </c>
      <c r="C10" s="9"/>
      <c r="D10" s="1351" t="s">
        <v>2485</v>
      </c>
      <c r="E10" s="13" t="s">
        <v>2486</v>
      </c>
      <c r="F10" s="8" t="s">
        <v>2487</v>
      </c>
      <c r="G10" s="8" t="s">
        <v>53</v>
      </c>
      <c r="H10" s="8" t="s">
        <v>2488</v>
      </c>
      <c r="I10" s="8" t="s">
        <v>2478</v>
      </c>
      <c r="J10" s="8" t="s">
        <v>2453</v>
      </c>
      <c r="K10" s="310">
        <v>0.12</v>
      </c>
      <c r="L10" s="310"/>
      <c r="M10" s="310"/>
      <c r="N10" s="310"/>
      <c r="O10" s="310"/>
      <c r="P10" s="310"/>
      <c r="Q10" s="310"/>
      <c r="R10" s="310">
        <v>1</v>
      </c>
      <c r="S10" s="310"/>
      <c r="T10" s="310"/>
      <c r="U10" s="310"/>
      <c r="V10" s="310"/>
      <c r="W10" s="8" t="s">
        <v>2479</v>
      </c>
      <c r="X10" s="7">
        <v>6.7000000000000004E-2</v>
      </c>
      <c r="Y10" s="7">
        <v>6.7000000000000004E-2</v>
      </c>
      <c r="Z10" s="69">
        <v>1</v>
      </c>
      <c r="AA10" s="58">
        <v>1</v>
      </c>
      <c r="AB10" s="58">
        <v>1</v>
      </c>
      <c r="AC10" s="65"/>
      <c r="AD10" s="7">
        <v>6.7000000000000004E-2</v>
      </c>
      <c r="AE10" s="7">
        <v>6.7000000000000004E-2</v>
      </c>
      <c r="AF10" s="69">
        <v>1</v>
      </c>
      <c r="AG10" s="58">
        <v>1</v>
      </c>
      <c r="AH10" s="58">
        <v>1</v>
      </c>
      <c r="AI10" s="65"/>
      <c r="AJ10" s="7">
        <v>6.7000000000000004E-2</v>
      </c>
      <c r="AK10" s="7">
        <v>6.7000000000000004E-2</v>
      </c>
      <c r="AL10" s="69">
        <v>1</v>
      </c>
      <c r="AM10" s="58">
        <v>1</v>
      </c>
      <c r="AN10" s="58">
        <v>1</v>
      </c>
      <c r="AO10" s="65"/>
      <c r="AP10" s="7">
        <v>6.7000000000000004E-2</v>
      </c>
      <c r="AQ10" s="7">
        <v>6.7000000000000004E-2</v>
      </c>
      <c r="AR10" s="69">
        <v>1</v>
      </c>
      <c r="AS10" s="58">
        <v>1</v>
      </c>
      <c r="AT10" s="58">
        <v>1</v>
      </c>
      <c r="AU10" s="65"/>
      <c r="AV10" s="7">
        <v>6.7000000000000004E-2</v>
      </c>
      <c r="AW10" s="7">
        <v>6.7000000000000004E-2</v>
      </c>
      <c r="AX10" s="69">
        <v>1</v>
      </c>
      <c r="AY10" s="58">
        <v>1</v>
      </c>
      <c r="AZ10" s="58">
        <v>1</v>
      </c>
      <c r="BA10" s="65"/>
      <c r="BB10" s="7">
        <v>6.7000000000000004E-2</v>
      </c>
      <c r="BC10" s="7">
        <v>6.7000000000000004E-2</v>
      </c>
      <c r="BD10" s="69">
        <v>1</v>
      </c>
      <c r="BE10" s="58">
        <v>1</v>
      </c>
      <c r="BF10" s="58">
        <v>1</v>
      </c>
      <c r="BG10" s="1352" t="s">
        <v>651</v>
      </c>
      <c r="BH10" s="1360" t="s">
        <v>2489</v>
      </c>
      <c r="BI10" s="1360" t="s">
        <v>2489</v>
      </c>
      <c r="BJ10" s="1361">
        <v>1</v>
      </c>
      <c r="BK10" s="1354">
        <v>1</v>
      </c>
      <c r="BL10" s="316">
        <v>1</v>
      </c>
      <c r="BM10" s="1362" t="s">
        <v>652</v>
      </c>
      <c r="BN10" s="68">
        <v>6.7000000000000004E-2</v>
      </c>
      <c r="BO10" s="68">
        <f t="shared" si="0"/>
        <v>1</v>
      </c>
      <c r="BP10" s="69">
        <v>1</v>
      </c>
      <c r="BQ10" s="58">
        <v>1</v>
      </c>
      <c r="BR10" s="58">
        <v>1</v>
      </c>
      <c r="BS10" s="65"/>
      <c r="BT10" s="7">
        <v>6.7000000000000004E-2</v>
      </c>
      <c r="BU10" s="68">
        <f t="shared" si="1"/>
        <v>0</v>
      </c>
      <c r="BV10" s="69">
        <v>1</v>
      </c>
      <c r="BW10" s="58">
        <v>0</v>
      </c>
      <c r="BX10" s="58">
        <v>1</v>
      </c>
      <c r="BY10" s="65"/>
      <c r="BZ10" s="68">
        <v>1.67</v>
      </c>
      <c r="CA10" s="68">
        <v>1</v>
      </c>
      <c r="CB10" s="69">
        <v>1</v>
      </c>
      <c r="CC10" s="58">
        <v>1</v>
      </c>
      <c r="CD10" s="58">
        <v>1</v>
      </c>
      <c r="CE10" s="68"/>
      <c r="CF10" s="68" t="s">
        <v>2490</v>
      </c>
      <c r="CG10" s="69">
        <v>0</v>
      </c>
      <c r="CH10" s="58">
        <v>1</v>
      </c>
      <c r="CI10" s="58">
        <v>1</v>
      </c>
      <c r="CJ10" s="58">
        <v>1</v>
      </c>
      <c r="CK10" s="1352" t="s">
        <v>2491</v>
      </c>
      <c r="CL10" s="375">
        <v>1.2</v>
      </c>
      <c r="CM10" s="375">
        <v>1.2</v>
      </c>
      <c r="CN10" s="375">
        <v>6.7000000000000004E-2</v>
      </c>
      <c r="CO10" s="375">
        <v>6.7000000000000004E-2</v>
      </c>
      <c r="CP10" s="58">
        <v>1</v>
      </c>
      <c r="CQ10" s="65" t="s">
        <v>2492</v>
      </c>
      <c r="CR10" s="1363">
        <v>1.1200000000000001</v>
      </c>
      <c r="CS10" s="1363">
        <v>1.2</v>
      </c>
      <c r="CT10" s="1357">
        <v>1.7984</v>
      </c>
      <c r="CU10" s="1357">
        <v>1.1200000000000001</v>
      </c>
      <c r="CV10" s="1358">
        <f>+CT10/CU10</f>
        <v>1.6057142857142856</v>
      </c>
      <c r="CW10" s="1359" t="s">
        <v>2492</v>
      </c>
    </row>
    <row r="11" spans="1:101" ht="146.25">
      <c r="B11" s="8" t="s">
        <v>1220</v>
      </c>
      <c r="C11" s="9"/>
      <c r="D11" s="1351" t="s">
        <v>2493</v>
      </c>
      <c r="E11" s="13" t="s">
        <v>2494</v>
      </c>
      <c r="F11" s="8" t="s">
        <v>2495</v>
      </c>
      <c r="G11" s="8" t="s">
        <v>53</v>
      </c>
      <c r="H11" s="8" t="s">
        <v>2496</v>
      </c>
      <c r="I11" s="8" t="s">
        <v>2478</v>
      </c>
      <c r="J11" s="8" t="s">
        <v>2453</v>
      </c>
      <c r="K11" s="341">
        <v>1523.69</v>
      </c>
      <c r="L11" s="341">
        <v>2554</v>
      </c>
      <c r="M11" s="341">
        <v>5170.6000000000004</v>
      </c>
      <c r="N11" s="341">
        <v>4442.3500000000004</v>
      </c>
      <c r="O11" s="341">
        <v>4136.3999999999996</v>
      </c>
      <c r="P11" s="341">
        <v>2600</v>
      </c>
      <c r="Q11" s="341">
        <v>339.37</v>
      </c>
      <c r="R11" s="341">
        <v>250</v>
      </c>
      <c r="S11" s="341">
        <v>0</v>
      </c>
      <c r="T11" s="341">
        <v>3188</v>
      </c>
      <c r="U11" s="341">
        <v>9303</v>
      </c>
      <c r="V11" s="341">
        <v>9121</v>
      </c>
      <c r="W11" s="8" t="s">
        <v>2479</v>
      </c>
      <c r="X11" s="68">
        <v>1523.69</v>
      </c>
      <c r="Y11" s="68">
        <f>K11</f>
        <v>1523.69</v>
      </c>
      <c r="Z11" s="69">
        <v>1</v>
      </c>
      <c r="AA11" s="58">
        <v>1</v>
      </c>
      <c r="AB11" s="58">
        <v>1</v>
      </c>
      <c r="AC11" s="65"/>
      <c r="AD11" s="68">
        <v>2485.21</v>
      </c>
      <c r="AE11" s="68">
        <f>+L11</f>
        <v>2554</v>
      </c>
      <c r="AF11" s="69">
        <v>0.97</v>
      </c>
      <c r="AG11" s="58">
        <v>1</v>
      </c>
      <c r="AH11" s="58">
        <v>0.97</v>
      </c>
      <c r="AI11" s="65"/>
      <c r="AJ11" s="68">
        <v>2894.05</v>
      </c>
      <c r="AK11" s="68">
        <f>+M11</f>
        <v>5170.6000000000004</v>
      </c>
      <c r="AL11" s="69">
        <v>0.56000000000000005</v>
      </c>
      <c r="AM11" s="58">
        <v>1</v>
      </c>
      <c r="AN11" s="58">
        <v>0.56000000000000005</v>
      </c>
      <c r="AO11" s="65" t="s">
        <v>2497</v>
      </c>
      <c r="AP11" s="68">
        <v>2153</v>
      </c>
      <c r="AQ11" s="68">
        <f>+N11</f>
        <v>4442.3500000000004</v>
      </c>
      <c r="AR11" s="1353">
        <v>0.48</v>
      </c>
      <c r="AS11" s="58">
        <v>1</v>
      </c>
      <c r="AT11" s="58">
        <v>0.48</v>
      </c>
      <c r="AU11" s="65"/>
      <c r="AV11" s="1364">
        <v>4082.19</v>
      </c>
      <c r="AW11" s="1365">
        <f>+O11</f>
        <v>4136.3999999999996</v>
      </c>
      <c r="AX11" s="69">
        <v>0.52</v>
      </c>
      <c r="AY11" s="58">
        <v>1</v>
      </c>
      <c r="AZ11" s="58">
        <v>0.52</v>
      </c>
      <c r="BA11" s="68"/>
      <c r="BB11" s="68">
        <v>3855.16</v>
      </c>
      <c r="BC11" s="68">
        <f>+P11</f>
        <v>2600</v>
      </c>
      <c r="BD11" s="69">
        <v>1</v>
      </c>
      <c r="BE11" s="58">
        <v>1</v>
      </c>
      <c r="BF11" s="58">
        <v>1</v>
      </c>
      <c r="BG11" s="1352" t="s">
        <v>2498</v>
      </c>
      <c r="BH11" s="1360" t="s">
        <v>2499</v>
      </c>
      <c r="BI11" s="1360" t="s">
        <v>2500</v>
      </c>
      <c r="BJ11" s="1361">
        <v>7.42</v>
      </c>
      <c r="BK11" s="1354">
        <v>1</v>
      </c>
      <c r="BL11" s="316">
        <v>7.42</v>
      </c>
      <c r="BM11" s="1362" t="s">
        <v>2501</v>
      </c>
      <c r="BN11" s="68">
        <v>3759.8</v>
      </c>
      <c r="BO11" s="68">
        <f t="shared" si="0"/>
        <v>250</v>
      </c>
      <c r="BP11" s="1353">
        <v>1</v>
      </c>
      <c r="BQ11" s="58">
        <v>1</v>
      </c>
      <c r="BR11" s="58">
        <v>1</v>
      </c>
      <c r="BS11" s="65"/>
      <c r="BT11" s="68">
        <v>4436.6000000000004</v>
      </c>
      <c r="BU11" s="68">
        <f t="shared" si="1"/>
        <v>0</v>
      </c>
      <c r="BV11" s="69">
        <v>1</v>
      </c>
      <c r="BW11" s="58">
        <v>0</v>
      </c>
      <c r="BX11" s="58">
        <v>1</v>
      </c>
      <c r="BY11" s="65"/>
      <c r="BZ11" s="341">
        <v>5211</v>
      </c>
      <c r="CA11" s="341">
        <v>3188</v>
      </c>
      <c r="CB11" s="69">
        <v>1</v>
      </c>
      <c r="CC11" s="58">
        <v>1</v>
      </c>
      <c r="CD11" s="58">
        <v>1</v>
      </c>
      <c r="CE11" s="68"/>
      <c r="CF11" s="341">
        <v>7.64</v>
      </c>
      <c r="CG11" s="341">
        <v>9.3000000000000007</v>
      </c>
      <c r="CH11" s="58">
        <v>0.88</v>
      </c>
      <c r="CI11" s="58">
        <v>1</v>
      </c>
      <c r="CJ11" s="58">
        <v>0.88</v>
      </c>
      <c r="CK11" s="1352" t="s">
        <v>2502</v>
      </c>
      <c r="CL11" s="375">
        <v>8590.8363199999985</v>
      </c>
      <c r="CM11" s="375">
        <v>34115</v>
      </c>
      <c r="CN11" s="375">
        <v>3039.2763199999999</v>
      </c>
      <c r="CO11" s="375">
        <v>9121.43</v>
      </c>
      <c r="CP11" s="58">
        <v>0.33320173700834188</v>
      </c>
      <c r="CQ11" s="1366" t="s">
        <v>2503</v>
      </c>
      <c r="CR11" s="1363">
        <v>43603.387459999998</v>
      </c>
      <c r="CS11" s="1363">
        <v>44082.921600000001</v>
      </c>
      <c r="CT11" s="1357">
        <v>43603.387459999998</v>
      </c>
      <c r="CU11" s="1357">
        <v>44082.921600000001</v>
      </c>
      <c r="CV11" s="1358">
        <v>0.98912199730428019</v>
      </c>
      <c r="CW11" s="1359" t="s">
        <v>2504</v>
      </c>
    </row>
    <row r="12" spans="1:101" ht="51.75" customHeight="1">
      <c r="B12" s="8" t="s">
        <v>1220</v>
      </c>
      <c r="C12" s="9"/>
      <c r="D12" s="1351" t="s">
        <v>2505</v>
      </c>
      <c r="E12" s="13" t="s">
        <v>2506</v>
      </c>
      <c r="F12" s="8" t="s">
        <v>2507</v>
      </c>
      <c r="G12" s="8" t="s">
        <v>53</v>
      </c>
      <c r="H12" s="8" t="s">
        <v>2508</v>
      </c>
      <c r="I12" s="8" t="s">
        <v>2478</v>
      </c>
      <c r="J12" s="8" t="s">
        <v>2453</v>
      </c>
      <c r="K12" s="310">
        <v>2.9499999999999998E-2</v>
      </c>
      <c r="L12" s="310">
        <v>0.14000000000000001</v>
      </c>
      <c r="M12" s="310">
        <v>0.42</v>
      </c>
      <c r="N12" s="310">
        <v>0.32</v>
      </c>
      <c r="O12" s="310">
        <v>0.37</v>
      </c>
      <c r="P12" s="310">
        <v>0.48</v>
      </c>
      <c r="Q12" s="310">
        <v>8.1000000000000003E-2</v>
      </c>
      <c r="R12" s="310">
        <v>4.2500000000000003E-2</v>
      </c>
      <c r="S12" s="310">
        <v>0</v>
      </c>
      <c r="T12" s="1367"/>
      <c r="U12" s="1367"/>
      <c r="V12" s="1367"/>
      <c r="W12" s="8" t="s">
        <v>2479</v>
      </c>
      <c r="X12" s="7">
        <v>2.9499999999999998E-2</v>
      </c>
      <c r="Y12" s="7">
        <f>+K12</f>
        <v>2.9499999999999998E-2</v>
      </c>
      <c r="Z12" s="69">
        <v>1</v>
      </c>
      <c r="AA12" s="58">
        <v>1</v>
      </c>
      <c r="AB12" s="58">
        <v>1</v>
      </c>
      <c r="AC12" s="65"/>
      <c r="AD12" s="7">
        <v>0.14000000000000001</v>
      </c>
      <c r="AE12" s="7">
        <f>+L12</f>
        <v>0.14000000000000001</v>
      </c>
      <c r="AF12" s="69">
        <v>1</v>
      </c>
      <c r="AG12" s="58">
        <v>1</v>
      </c>
      <c r="AH12" s="58">
        <v>1</v>
      </c>
      <c r="AI12" s="65"/>
      <c r="AJ12" s="68">
        <v>0.1</v>
      </c>
      <c r="AK12" s="7">
        <f>+M12</f>
        <v>0.42</v>
      </c>
      <c r="AL12" s="69">
        <v>0.24</v>
      </c>
      <c r="AM12" s="58">
        <v>1</v>
      </c>
      <c r="AN12" s="58">
        <v>0.24</v>
      </c>
      <c r="AO12" s="65" t="s">
        <v>2509</v>
      </c>
      <c r="AP12" s="7">
        <v>0.17</v>
      </c>
      <c r="AQ12" s="68">
        <f>+N12</f>
        <v>0.32</v>
      </c>
      <c r="AR12" s="1353">
        <v>0.53</v>
      </c>
      <c r="AS12" s="58">
        <v>1</v>
      </c>
      <c r="AT12" s="58">
        <v>0.53</v>
      </c>
      <c r="AU12" s="65"/>
      <c r="AV12" s="7">
        <v>1</v>
      </c>
      <c r="AW12" s="68">
        <f t="shared" ref="AW12:AW23" si="2">+O12</f>
        <v>0.37</v>
      </c>
      <c r="AX12" s="69">
        <v>1</v>
      </c>
      <c r="AY12" s="58">
        <v>1</v>
      </c>
      <c r="AZ12" s="58">
        <v>1</v>
      </c>
      <c r="BA12" s="7"/>
      <c r="BB12" s="1368">
        <v>0.05</v>
      </c>
      <c r="BC12" s="1368">
        <f t="shared" ref="BC12:BC23" si="3">+P12</f>
        <v>0.48</v>
      </c>
      <c r="BD12" s="69">
        <v>0.1</v>
      </c>
      <c r="BE12" s="58">
        <v>1</v>
      </c>
      <c r="BF12" s="58">
        <v>0.1</v>
      </c>
      <c r="BG12" s="1352" t="s">
        <v>2510</v>
      </c>
      <c r="BH12" s="1360" t="s">
        <v>2511</v>
      </c>
      <c r="BI12" s="1360" t="s">
        <v>2512</v>
      </c>
      <c r="BJ12" s="1361">
        <v>3.21</v>
      </c>
      <c r="BK12" s="1354">
        <v>1</v>
      </c>
      <c r="BL12" s="316">
        <v>3.21</v>
      </c>
      <c r="BM12" s="1369" t="s">
        <v>2481</v>
      </c>
      <c r="BN12" s="1368">
        <v>1.4E-2</v>
      </c>
      <c r="BO12" s="68">
        <v>4.2999999999999997E-2</v>
      </c>
      <c r="BP12" s="69">
        <v>1</v>
      </c>
      <c r="BQ12" s="58">
        <v>1</v>
      </c>
      <c r="BR12" s="58">
        <v>1</v>
      </c>
      <c r="BS12" s="65"/>
      <c r="BT12" s="1368">
        <v>0.48</v>
      </c>
      <c r="BU12" s="68">
        <f t="shared" si="1"/>
        <v>0</v>
      </c>
      <c r="BV12" s="69">
        <v>1</v>
      </c>
      <c r="BW12" s="58">
        <v>0</v>
      </c>
      <c r="BX12" s="58">
        <v>1</v>
      </c>
      <c r="BY12" s="65"/>
      <c r="BZ12" s="68"/>
      <c r="CA12" s="68"/>
      <c r="CB12" s="69"/>
      <c r="CC12" s="58"/>
      <c r="CD12" s="58"/>
      <c r="CE12" s="68"/>
      <c r="CF12" s="68"/>
      <c r="CG12" s="69"/>
      <c r="CH12" s="58"/>
      <c r="CI12" s="58"/>
      <c r="CJ12" s="68"/>
      <c r="CK12" s="1352" t="s">
        <v>2471</v>
      </c>
      <c r="CL12" s="375">
        <v>1.88</v>
      </c>
      <c r="CM12" s="375">
        <v>1.88</v>
      </c>
      <c r="CN12" s="375">
        <v>0.1</v>
      </c>
      <c r="CO12" s="1213">
        <v>0.17</v>
      </c>
      <c r="CP12" s="58">
        <v>1</v>
      </c>
      <c r="CQ12" s="1366" t="s">
        <v>668</v>
      </c>
      <c r="CR12" s="1363">
        <v>2.4951000000000003</v>
      </c>
      <c r="CS12" s="1363">
        <v>1.883</v>
      </c>
      <c r="CT12" s="1370">
        <v>2.4951000000000003</v>
      </c>
      <c r="CU12" s="1357">
        <v>1.883</v>
      </c>
      <c r="CV12" s="1358">
        <v>1.3250663834306959</v>
      </c>
      <c r="CW12" s="1359" t="s">
        <v>2513</v>
      </c>
    </row>
    <row r="13" spans="1:101" ht="63">
      <c r="B13" s="8" t="s">
        <v>416</v>
      </c>
      <c r="C13" s="9"/>
      <c r="D13" s="1351" t="s">
        <v>2514</v>
      </c>
      <c r="E13" s="13" t="s">
        <v>1589</v>
      </c>
      <c r="F13" s="8" t="s">
        <v>1590</v>
      </c>
      <c r="G13" s="8" t="s">
        <v>53</v>
      </c>
      <c r="H13" s="8" t="s">
        <v>1589</v>
      </c>
      <c r="I13" s="8" t="s">
        <v>1591</v>
      </c>
      <c r="J13" s="8" t="s">
        <v>1592</v>
      </c>
      <c r="K13" s="806">
        <v>28.35999142857143</v>
      </c>
      <c r="L13" s="806">
        <v>15.188189687074832</v>
      </c>
      <c r="M13" s="806">
        <v>3.6981625442176869</v>
      </c>
      <c r="N13" s="806">
        <v>12.110785944789118</v>
      </c>
      <c r="O13" s="806">
        <v>11.047784191265309</v>
      </c>
      <c r="P13" s="806">
        <v>11.642128961551022</v>
      </c>
      <c r="Q13" s="806">
        <v>14.30112774086531</v>
      </c>
      <c r="R13" s="806">
        <v>14.81080779686531</v>
      </c>
      <c r="S13" s="806">
        <v>13.901443957485718</v>
      </c>
      <c r="T13" s="806">
        <v>12.07479864834286</v>
      </c>
      <c r="U13" s="806">
        <v>7.1826999009142867</v>
      </c>
      <c r="V13" s="806">
        <v>5.0060749009142862</v>
      </c>
      <c r="W13" s="629" t="s">
        <v>2515</v>
      </c>
      <c r="X13" s="1364">
        <v>28.67999142857143</v>
      </c>
      <c r="Y13" s="1364">
        <f>+K13</f>
        <v>28.35999142857143</v>
      </c>
      <c r="Z13" s="99">
        <v>1</v>
      </c>
      <c r="AA13" s="563">
        <v>0.18990000000000001</v>
      </c>
      <c r="AB13" s="58">
        <v>1</v>
      </c>
      <c r="AC13" s="65" t="s">
        <v>2516</v>
      </c>
      <c r="AD13" s="68">
        <v>14.914565714285715</v>
      </c>
      <c r="AE13" s="1364">
        <f>+L13</f>
        <v>15.188189687074832</v>
      </c>
      <c r="AF13" s="99">
        <f>IF(AE13=0," ",AD13/AE13)</f>
        <v>0.98198442484412929</v>
      </c>
      <c r="AG13" s="563">
        <v>0.1017</v>
      </c>
      <c r="AH13" s="58">
        <v>0.98</v>
      </c>
      <c r="AI13" s="65" t="s">
        <v>2517</v>
      </c>
      <c r="AJ13" s="68">
        <v>6.8883942857142859</v>
      </c>
      <c r="AK13" s="1364">
        <f>+M13</f>
        <v>3.6981625442176869</v>
      </c>
      <c r="AL13" s="99">
        <v>1</v>
      </c>
      <c r="AM13" s="563">
        <v>2.4799999999999999E-2</v>
      </c>
      <c r="AN13" s="58">
        <v>1</v>
      </c>
      <c r="AO13" s="65" t="s">
        <v>2518</v>
      </c>
      <c r="AP13" s="7">
        <v>10.786088571428571</v>
      </c>
      <c r="AQ13" s="68">
        <f>+N13</f>
        <v>12.110785944789118</v>
      </c>
      <c r="AR13" s="1353">
        <f>IF(AQ13=0," ",AP13/AQ13)</f>
        <v>0.89061838105308755</v>
      </c>
      <c r="AS13" s="58">
        <v>8.1100000000000005E-2</v>
      </c>
      <c r="AT13" s="58">
        <v>0.89</v>
      </c>
      <c r="AU13" s="65" t="s">
        <v>1596</v>
      </c>
      <c r="AV13" s="7">
        <v>19.36</v>
      </c>
      <c r="AW13" s="68">
        <f>+O13</f>
        <v>11.047784191265309</v>
      </c>
      <c r="AX13" s="69">
        <v>1</v>
      </c>
      <c r="AY13" s="58">
        <v>7.3999999999999996E-2</v>
      </c>
      <c r="AZ13" s="58">
        <v>1</v>
      </c>
      <c r="BA13" s="7" t="s">
        <v>1597</v>
      </c>
      <c r="BB13" s="68">
        <v>60.629999999999995</v>
      </c>
      <c r="BC13" s="68">
        <f>+P13</f>
        <v>11.642128961551022</v>
      </c>
      <c r="BD13" s="69">
        <v>1</v>
      </c>
      <c r="BE13" s="58">
        <v>7.8E-2</v>
      </c>
      <c r="BF13" s="58">
        <v>1</v>
      </c>
      <c r="BG13" s="1352" t="s">
        <v>1593</v>
      </c>
      <c r="BH13" s="68">
        <v>38.896002857142854</v>
      </c>
      <c r="BI13" s="68">
        <f>+Q13</f>
        <v>14.30112774086531</v>
      </c>
      <c r="BJ13" s="99">
        <v>1</v>
      </c>
      <c r="BK13" s="58">
        <v>9.5799999999999996E-2</v>
      </c>
      <c r="BL13" s="58">
        <v>1</v>
      </c>
      <c r="BM13" s="65" t="s">
        <v>1598</v>
      </c>
      <c r="BN13" s="68">
        <v>26.5</v>
      </c>
      <c r="BO13" s="68">
        <f t="shared" si="0"/>
        <v>14.81080779686531</v>
      </c>
      <c r="BP13" s="69">
        <v>1</v>
      </c>
      <c r="BQ13" s="58">
        <v>1</v>
      </c>
      <c r="BR13" s="58">
        <v>1</v>
      </c>
      <c r="BS13" s="65"/>
      <c r="BT13" s="68">
        <v>39.020000000000003</v>
      </c>
      <c r="BU13" s="68">
        <f t="shared" si="1"/>
        <v>13.901443957485718</v>
      </c>
      <c r="BV13" s="69">
        <v>1</v>
      </c>
      <c r="BW13" s="58">
        <v>1</v>
      </c>
      <c r="BX13" s="58">
        <v>1</v>
      </c>
      <c r="BY13" s="65"/>
      <c r="BZ13" s="1371">
        <v>37.32</v>
      </c>
      <c r="CA13" s="68">
        <v>12.1</v>
      </c>
      <c r="CB13" s="69">
        <v>1</v>
      </c>
      <c r="CC13" s="58">
        <v>1</v>
      </c>
      <c r="CD13" s="58">
        <v>1</v>
      </c>
      <c r="CE13" s="68"/>
      <c r="CF13" s="1371">
        <v>9.0299999999999994</v>
      </c>
      <c r="CG13" s="68">
        <v>7.2</v>
      </c>
      <c r="CH13" s="58">
        <v>1</v>
      </c>
      <c r="CI13" s="58">
        <v>0.72</v>
      </c>
      <c r="CJ13" s="58">
        <v>1</v>
      </c>
      <c r="CK13" s="68"/>
      <c r="CL13" s="68">
        <v>5</v>
      </c>
      <c r="CM13" s="68">
        <v>21.01</v>
      </c>
      <c r="CN13" s="69">
        <v>4.2</v>
      </c>
      <c r="CO13" s="535">
        <v>100</v>
      </c>
      <c r="CP13" s="58">
        <v>1</v>
      </c>
      <c r="CQ13" s="65" t="s">
        <v>2519</v>
      </c>
      <c r="CR13" s="68">
        <f t="shared" ref="CR13:CS24" si="4">+CL13+CF13+BZ13+BT13+BN13+BB13+AP13+AJ13+AD13+X13+BH13+AV13</f>
        <v>297.02504285714286</v>
      </c>
      <c r="CS13" s="68">
        <f t="shared" si="4"/>
        <v>165.37042225268573</v>
      </c>
      <c r="CT13" s="69">
        <v>1</v>
      </c>
      <c r="CU13" s="58">
        <v>1</v>
      </c>
      <c r="CV13" s="58">
        <v>1</v>
      </c>
      <c r="CW13" s="65" t="s">
        <v>2520</v>
      </c>
    </row>
    <row r="14" spans="1:101" ht="101.25">
      <c r="B14" s="8" t="s">
        <v>416</v>
      </c>
      <c r="C14" s="9"/>
      <c r="D14" s="1351" t="s">
        <v>2521</v>
      </c>
      <c r="E14" s="13" t="s">
        <v>1606</v>
      </c>
      <c r="F14" s="8" t="s">
        <v>1607</v>
      </c>
      <c r="G14" s="8" t="s">
        <v>53</v>
      </c>
      <c r="H14" s="8" t="s">
        <v>1606</v>
      </c>
      <c r="I14" s="8" t="s">
        <v>1591</v>
      </c>
      <c r="J14" s="8" t="s">
        <v>1608</v>
      </c>
      <c r="K14" s="1372">
        <v>7113.19</v>
      </c>
      <c r="L14" s="1372">
        <v>7203.19</v>
      </c>
      <c r="M14" s="1372">
        <v>6897.12</v>
      </c>
      <c r="N14" s="1372">
        <v>3138.14</v>
      </c>
      <c r="O14" s="1372">
        <v>9313.14</v>
      </c>
      <c r="P14" s="1372">
        <v>8053.9699999999993</v>
      </c>
      <c r="Q14" s="1372">
        <v>9731.9699999999993</v>
      </c>
      <c r="R14" s="1372">
        <v>8892.9699999999993</v>
      </c>
      <c r="S14" s="1372">
        <v>2500</v>
      </c>
      <c r="T14" s="1372">
        <v>2500</v>
      </c>
      <c r="U14" s="1372">
        <v>2500</v>
      </c>
      <c r="V14" s="1372">
        <v>2500</v>
      </c>
      <c r="W14" s="629" t="s">
        <v>2515</v>
      </c>
      <c r="X14" s="1364">
        <v>3858.97</v>
      </c>
      <c r="Y14" s="68">
        <f>+K14</f>
        <v>7113.19</v>
      </c>
      <c r="Z14" s="99">
        <f>IF(Y14=0," ",X14/Y14)</f>
        <v>0.54250905711783326</v>
      </c>
      <c r="AA14" s="563">
        <v>0.1011</v>
      </c>
      <c r="AB14" s="58">
        <v>0.54</v>
      </c>
      <c r="AC14" s="65" t="s">
        <v>1609</v>
      </c>
      <c r="AD14" s="68">
        <v>3858.97</v>
      </c>
      <c r="AE14" s="68">
        <f>+L14</f>
        <v>7203.19</v>
      </c>
      <c r="AF14" s="99">
        <f>IF(AE14=0," ",AD14/AE14)</f>
        <v>0.5357306970939264</v>
      </c>
      <c r="AG14" s="563">
        <v>0.1024</v>
      </c>
      <c r="AH14" s="58">
        <v>0.54</v>
      </c>
      <c r="AI14" s="65" t="s">
        <v>1610</v>
      </c>
      <c r="AJ14" s="68">
        <v>4279.12</v>
      </c>
      <c r="AK14" s="68">
        <f>+M14</f>
        <v>6897.12</v>
      </c>
      <c r="AL14" s="99">
        <f>IF(AK14=0," ",AJ14/AK14)</f>
        <v>0.62042127728675156</v>
      </c>
      <c r="AM14" s="563">
        <v>9.8000000000000004E-2</v>
      </c>
      <c r="AN14" s="58">
        <v>0.62</v>
      </c>
      <c r="AO14" s="65" t="s">
        <v>2522</v>
      </c>
      <c r="AP14" s="68">
        <v>14096.882</v>
      </c>
      <c r="AQ14" s="68">
        <f>+N14</f>
        <v>3138.14</v>
      </c>
      <c r="AR14" s="99">
        <v>1</v>
      </c>
      <c r="AS14" s="563">
        <v>4.4600000000000001E-2</v>
      </c>
      <c r="AT14" s="58">
        <v>1</v>
      </c>
      <c r="AU14" s="65" t="s">
        <v>1612</v>
      </c>
      <c r="AV14" s="1364">
        <v>4739.16</v>
      </c>
      <c r="AW14" s="68">
        <f>+O14</f>
        <v>9313.14</v>
      </c>
      <c r="AX14" s="99">
        <f>IF(AW14=0," ",AV14/AW14)</f>
        <v>0.50886811537247378</v>
      </c>
      <c r="AY14" s="563">
        <v>0.13239999999999999</v>
      </c>
      <c r="AZ14" s="58">
        <v>0.51</v>
      </c>
      <c r="BA14" s="65" t="s">
        <v>1613</v>
      </c>
      <c r="BB14" s="68">
        <v>3990.84</v>
      </c>
      <c r="BC14" s="68">
        <f>+P14</f>
        <v>8053.9699999999993</v>
      </c>
      <c r="BD14" s="99">
        <f>IF(BC14=0," ",BB14/BC14)</f>
        <v>0.49551215115030234</v>
      </c>
      <c r="BE14" s="563">
        <v>0.1145</v>
      </c>
      <c r="BF14" s="58">
        <v>0.5</v>
      </c>
      <c r="BG14" s="65" t="s">
        <v>1613</v>
      </c>
      <c r="BH14" s="68">
        <v>3697.39</v>
      </c>
      <c r="BI14" s="68">
        <f>+Q14</f>
        <v>9731.9699999999993</v>
      </c>
      <c r="BJ14" s="99">
        <f>IF(BI14=0," ",BH14/BI14)</f>
        <v>0.3799220507255982</v>
      </c>
      <c r="BK14" s="58">
        <v>0.13830000000000001</v>
      </c>
      <c r="BL14" s="58">
        <v>0.38</v>
      </c>
      <c r="BM14" s="1373" t="s">
        <v>1614</v>
      </c>
      <c r="BN14" s="68">
        <v>3267.39</v>
      </c>
      <c r="BO14" s="68">
        <f t="shared" si="0"/>
        <v>8892.9699999999993</v>
      </c>
      <c r="BP14" s="69">
        <v>0.37</v>
      </c>
      <c r="BQ14" s="58">
        <v>1</v>
      </c>
      <c r="BR14" s="58">
        <v>0.37</v>
      </c>
      <c r="BS14" s="65"/>
      <c r="BT14" s="68">
        <v>4698.7299999999996</v>
      </c>
      <c r="BU14" s="68">
        <f t="shared" si="1"/>
        <v>2500</v>
      </c>
      <c r="BV14" s="99">
        <v>1</v>
      </c>
      <c r="BW14" s="563">
        <v>1</v>
      </c>
      <c r="BX14" s="58">
        <v>1</v>
      </c>
      <c r="BY14" s="65"/>
      <c r="BZ14" s="1371">
        <v>1525.51</v>
      </c>
      <c r="CA14" s="1371">
        <v>2500</v>
      </c>
      <c r="CB14" s="69">
        <v>0.61</v>
      </c>
      <c r="CC14" s="58">
        <v>1</v>
      </c>
      <c r="CD14" s="58">
        <v>0.61</v>
      </c>
      <c r="CE14" s="68"/>
      <c r="CF14" s="1371">
        <v>419.03</v>
      </c>
      <c r="CG14" s="1371">
        <v>2500</v>
      </c>
      <c r="CH14" s="58">
        <v>0.17</v>
      </c>
      <c r="CI14" s="58">
        <v>1</v>
      </c>
      <c r="CJ14" s="58">
        <v>0.17</v>
      </c>
      <c r="CK14" s="68"/>
      <c r="CL14" s="68">
        <v>2500</v>
      </c>
      <c r="CM14" s="68">
        <v>1362.67</v>
      </c>
      <c r="CN14" s="69">
        <v>0.55000000000000004</v>
      </c>
      <c r="CO14" s="535">
        <v>100</v>
      </c>
      <c r="CP14" s="58">
        <v>0.55000000000000004</v>
      </c>
      <c r="CQ14" s="65" t="s">
        <v>2523</v>
      </c>
      <c r="CR14" s="68">
        <f t="shared" si="4"/>
        <v>50931.991999999998</v>
      </c>
      <c r="CS14" s="68">
        <f t="shared" si="4"/>
        <v>69206.360000000015</v>
      </c>
      <c r="CT14" s="69">
        <f>+CR14/CS14</f>
        <v>0.73594380632069056</v>
      </c>
      <c r="CU14" s="58">
        <v>1</v>
      </c>
      <c r="CV14" s="58">
        <f t="shared" ref="CV14:CV21" si="5">+CT14</f>
        <v>0.73594380632069056</v>
      </c>
      <c r="CW14" s="65" t="s">
        <v>2524</v>
      </c>
    </row>
    <row r="15" spans="1:101" ht="120.75" customHeight="1">
      <c r="B15" s="8" t="s">
        <v>416</v>
      </c>
      <c r="C15" s="9"/>
      <c r="D15" s="1351" t="s">
        <v>2525</v>
      </c>
      <c r="E15" s="13" t="s">
        <v>1622</v>
      </c>
      <c r="F15" s="8" t="s">
        <v>1623</v>
      </c>
      <c r="G15" s="8" t="s">
        <v>53</v>
      </c>
      <c r="H15" s="8" t="s">
        <v>1622</v>
      </c>
      <c r="I15" s="8" t="s">
        <v>1591</v>
      </c>
      <c r="J15" s="8" t="s">
        <v>658</v>
      </c>
      <c r="K15" s="806">
        <v>1.29</v>
      </c>
      <c r="L15" s="806">
        <v>0.72</v>
      </c>
      <c r="M15" s="806">
        <v>0.72</v>
      </c>
      <c r="N15" s="806">
        <v>0</v>
      </c>
      <c r="O15" s="806">
        <v>5.5759999999999996</v>
      </c>
      <c r="P15" s="806">
        <v>4.6759999999999993</v>
      </c>
      <c r="Q15" s="806">
        <v>6.476</v>
      </c>
      <c r="R15" s="806">
        <v>5.5759999999999996</v>
      </c>
      <c r="S15" s="806">
        <v>5.5759999999999996</v>
      </c>
      <c r="T15" s="806">
        <v>0</v>
      </c>
      <c r="U15" s="806">
        <v>0</v>
      </c>
      <c r="V15" s="806">
        <v>0</v>
      </c>
      <c r="W15" s="629" t="s">
        <v>2515</v>
      </c>
      <c r="X15" s="1364">
        <v>1.29</v>
      </c>
      <c r="Y15" s="1364">
        <f>+K15</f>
        <v>1.29</v>
      </c>
      <c r="Z15" s="99">
        <f>IF(Y15=0," ",X15/Y15)</f>
        <v>1</v>
      </c>
      <c r="AA15" s="563">
        <v>4.2099999999999999E-2</v>
      </c>
      <c r="AB15" s="58">
        <v>1</v>
      </c>
      <c r="AC15" s="65" t="s">
        <v>2516</v>
      </c>
      <c r="AD15" s="1364">
        <v>0.72</v>
      </c>
      <c r="AE15" s="1364">
        <f>+L15</f>
        <v>0.72</v>
      </c>
      <c r="AF15" s="99">
        <f>IF(AE15=0," ",AD15/AE15)</f>
        <v>1</v>
      </c>
      <c r="AG15" s="563">
        <v>2.35E-2</v>
      </c>
      <c r="AH15" s="58">
        <v>1</v>
      </c>
      <c r="AI15" s="65" t="s">
        <v>2517</v>
      </c>
      <c r="AJ15" s="1364">
        <v>0.38</v>
      </c>
      <c r="AK15" s="1364">
        <f>+M15</f>
        <v>0.72</v>
      </c>
      <c r="AL15" s="99">
        <f>IF(AK15=0," ",AJ15/AK15)</f>
        <v>0.52777777777777779</v>
      </c>
      <c r="AM15" s="563">
        <v>2.35E-2</v>
      </c>
      <c r="AN15" s="58">
        <v>0.52</v>
      </c>
      <c r="AO15" s="65" t="s">
        <v>2526</v>
      </c>
      <c r="AP15" s="1364">
        <v>0</v>
      </c>
      <c r="AQ15" s="1364">
        <f>+N15</f>
        <v>0</v>
      </c>
      <c r="AR15" s="99" t="str">
        <f>IF(AQ15=0," ",AP15/AQ15)</f>
        <v xml:space="preserve"> </v>
      </c>
      <c r="AS15" s="563">
        <v>0</v>
      </c>
      <c r="AT15" s="58" t="str">
        <f>IF(AQ15=0," ",AR15/AS15)</f>
        <v xml:space="preserve"> </v>
      </c>
      <c r="AU15" s="65" t="s">
        <v>1625</v>
      </c>
      <c r="AV15" s="1364">
        <v>0.34</v>
      </c>
      <c r="AW15" s="68">
        <f>+O15</f>
        <v>5.5759999999999996</v>
      </c>
      <c r="AX15" s="99">
        <f>IF(AW15=0," ",AV15/AW15)</f>
        <v>6.0975609756097567E-2</v>
      </c>
      <c r="AY15" s="563">
        <v>0.1822</v>
      </c>
      <c r="AZ15" s="58">
        <v>0.06</v>
      </c>
      <c r="BA15" s="65" t="s">
        <v>1613</v>
      </c>
      <c r="BB15" s="68">
        <v>0.14000000000000001</v>
      </c>
      <c r="BC15" s="68">
        <f>+P15</f>
        <v>4.6759999999999993</v>
      </c>
      <c r="BD15" s="99">
        <f>IF(BC15=0," ",BB15/BC15)</f>
        <v>2.9940119760479049E-2</v>
      </c>
      <c r="BE15" s="563">
        <v>0.15279999999999999</v>
      </c>
      <c r="BF15" s="58">
        <v>0.03</v>
      </c>
      <c r="BG15" s="65" t="s">
        <v>1613</v>
      </c>
      <c r="BH15" s="1364">
        <v>2.8570000000000002</v>
      </c>
      <c r="BI15" s="68">
        <f>+Q15</f>
        <v>6.476</v>
      </c>
      <c r="BJ15" s="99">
        <f>IF(BI15=0," ",BH15/BI15)</f>
        <v>0.44116738727609639</v>
      </c>
      <c r="BK15" s="58">
        <v>0.21160000000000001</v>
      </c>
      <c r="BL15" s="58">
        <v>0.44</v>
      </c>
      <c r="BM15" s="1373" t="s">
        <v>1614</v>
      </c>
      <c r="BN15" s="68">
        <v>2.37</v>
      </c>
      <c r="BO15" s="68">
        <f t="shared" si="0"/>
        <v>5.5759999999999996</v>
      </c>
      <c r="BP15" s="69">
        <v>0.43</v>
      </c>
      <c r="BQ15" s="58">
        <v>1</v>
      </c>
      <c r="BR15" s="58">
        <v>0.43</v>
      </c>
      <c r="BS15" s="65"/>
      <c r="BT15" s="68">
        <v>2.25</v>
      </c>
      <c r="BU15" s="68">
        <f t="shared" si="1"/>
        <v>5.5759999999999996</v>
      </c>
      <c r="BV15" s="99">
        <v>0.4</v>
      </c>
      <c r="BW15" s="563">
        <v>1</v>
      </c>
      <c r="BX15" s="58">
        <v>0.4</v>
      </c>
      <c r="BY15" s="65"/>
      <c r="BZ15" s="1371">
        <v>2.31</v>
      </c>
      <c r="CA15" s="68">
        <v>0</v>
      </c>
      <c r="CB15" s="69">
        <v>1</v>
      </c>
      <c r="CC15" s="58">
        <v>0</v>
      </c>
      <c r="CD15" s="58">
        <v>1</v>
      </c>
      <c r="CE15" s="68"/>
      <c r="CF15" s="1371">
        <v>2.08</v>
      </c>
      <c r="CG15" s="68">
        <v>0</v>
      </c>
      <c r="CH15" s="69">
        <v>1</v>
      </c>
      <c r="CI15" s="58">
        <v>0</v>
      </c>
      <c r="CJ15" s="58">
        <v>1</v>
      </c>
      <c r="CK15" s="68"/>
      <c r="CL15" s="68">
        <v>0</v>
      </c>
      <c r="CM15" s="68">
        <v>0</v>
      </c>
      <c r="CN15" s="69"/>
      <c r="CO15" s="535">
        <v>0</v>
      </c>
      <c r="CP15" s="58"/>
      <c r="CQ15" s="65" t="s">
        <v>2527</v>
      </c>
      <c r="CR15" s="68">
        <f t="shared" si="4"/>
        <v>14.737000000000002</v>
      </c>
      <c r="CS15" s="68">
        <f t="shared" si="4"/>
        <v>30.609999999999996</v>
      </c>
      <c r="CT15" s="69">
        <f>+CR15/CS15</f>
        <v>0.48144397255798771</v>
      </c>
      <c r="CU15" s="58">
        <v>1</v>
      </c>
      <c r="CV15" s="58">
        <f t="shared" si="5"/>
        <v>0.48144397255798771</v>
      </c>
      <c r="CW15" s="65" t="s">
        <v>2528</v>
      </c>
    </row>
    <row r="16" spans="1:101" ht="159.75" customHeight="1">
      <c r="B16" s="8" t="s">
        <v>1355</v>
      </c>
      <c r="C16" s="9"/>
      <c r="D16" s="1351" t="s">
        <v>2529</v>
      </c>
      <c r="E16" s="13" t="s">
        <v>2530</v>
      </c>
      <c r="F16" s="8" t="s">
        <v>2531</v>
      </c>
      <c r="G16" s="8" t="s">
        <v>53</v>
      </c>
      <c r="H16" s="8" t="s">
        <v>2532</v>
      </c>
      <c r="I16" s="8" t="s">
        <v>2533</v>
      </c>
      <c r="J16" s="8" t="s">
        <v>2453</v>
      </c>
      <c r="K16" s="7"/>
      <c r="L16" s="7"/>
      <c r="M16" s="12"/>
      <c r="N16" s="7"/>
      <c r="O16" s="7"/>
      <c r="P16" s="14"/>
      <c r="Q16" s="14"/>
      <c r="R16" s="14"/>
      <c r="S16" s="14"/>
      <c r="T16" s="14"/>
      <c r="U16" s="14"/>
      <c r="V16" s="7">
        <v>1</v>
      </c>
      <c r="W16" s="8"/>
      <c r="X16" s="68"/>
      <c r="Y16" s="68"/>
      <c r="Z16" s="69" t="str">
        <f>IF(Y16=0," ",X16/Y16)</f>
        <v xml:space="preserve"> </v>
      </c>
      <c r="AA16" s="58"/>
      <c r="AB16" s="58" t="str">
        <f>IF(Y16=0," ",Z16/AA16)</f>
        <v xml:space="preserve"> </v>
      </c>
      <c r="AC16" s="65"/>
      <c r="AD16" s="68"/>
      <c r="AE16" s="68"/>
      <c r="AF16" s="69" t="str">
        <f>IF(AE16=0," ",AD16/AE16)</f>
        <v xml:space="preserve"> </v>
      </c>
      <c r="AG16" s="58"/>
      <c r="AH16" s="58" t="str">
        <f>IF(AE16=0," ",AF16/AG16)</f>
        <v xml:space="preserve"> </v>
      </c>
      <c r="AI16" s="65"/>
      <c r="AJ16" s="68"/>
      <c r="AK16" s="68"/>
      <c r="AL16" s="69" t="str">
        <f>IF(AK16=0," ",AJ16/AK16)</f>
        <v xml:space="preserve"> </v>
      </c>
      <c r="AM16" s="58"/>
      <c r="AN16" s="58" t="str">
        <f>IF(AK16=0," ",AL16/AM16)</f>
        <v xml:space="preserve"> </v>
      </c>
      <c r="AO16" s="386" t="s">
        <v>2534</v>
      </c>
      <c r="AP16" s="68"/>
      <c r="AQ16" s="68">
        <f t="shared" ref="AQ16:AQ23" si="6">+N16</f>
        <v>0</v>
      </c>
      <c r="AR16" s="69" t="str">
        <f>IF(AQ16=0," ",AP16/AQ16)</f>
        <v xml:space="preserve"> </v>
      </c>
      <c r="AS16" s="58"/>
      <c r="AT16" s="58" t="str">
        <f>IF(AQ16=0," ",AR16/AS16)</f>
        <v xml:space="preserve"> </v>
      </c>
      <c r="AU16" s="65"/>
      <c r="AV16" s="68"/>
      <c r="AW16" s="68">
        <f t="shared" si="2"/>
        <v>0</v>
      </c>
      <c r="AX16" s="69" t="str">
        <f>IF(AW16=0," ",AV16/AW16)</f>
        <v xml:space="preserve"> </v>
      </c>
      <c r="AY16" s="58"/>
      <c r="AZ16" s="58" t="str">
        <f>IF(AW16=0," ",AX16/AY16)</f>
        <v xml:space="preserve"> </v>
      </c>
      <c r="BA16" s="68"/>
      <c r="BB16" s="68"/>
      <c r="BC16" s="68">
        <f t="shared" si="3"/>
        <v>0</v>
      </c>
      <c r="BD16" s="69"/>
      <c r="BE16" s="58"/>
      <c r="BF16" s="58"/>
      <c r="BG16" s="386" t="s">
        <v>2535</v>
      </c>
      <c r="BH16" s="68">
        <v>0</v>
      </c>
      <c r="BI16" s="68">
        <v>0</v>
      </c>
      <c r="BJ16" s="69">
        <v>0</v>
      </c>
      <c r="BK16" s="58">
        <v>0</v>
      </c>
      <c r="BL16" s="316" t="str">
        <f>IF(BI16=0," ",BJ16/BK16)</f>
        <v xml:space="preserve"> </v>
      </c>
      <c r="BM16" s="65" t="s">
        <v>2536</v>
      </c>
      <c r="BN16" s="68"/>
      <c r="BO16" s="68">
        <f t="shared" si="0"/>
        <v>0</v>
      </c>
      <c r="BP16" s="69" t="str">
        <f>IF(BO16=0," ",BN16/BO16)</f>
        <v xml:space="preserve"> </v>
      </c>
      <c r="BQ16" s="58"/>
      <c r="BR16" s="58" t="str">
        <f>IF(BO16=0," ",BP16/BQ16)</f>
        <v xml:space="preserve"> </v>
      </c>
      <c r="BS16" s="65"/>
      <c r="BT16" s="68"/>
      <c r="BU16" s="68">
        <f t="shared" si="1"/>
        <v>0</v>
      </c>
      <c r="BV16" s="69" t="str">
        <f>IF(BU16=0," ",BT16/BU16)</f>
        <v xml:space="preserve"> </v>
      </c>
      <c r="BW16" s="58"/>
      <c r="BX16" s="58" t="str">
        <f>IF(BU16=0," ",BV16/BW16)</f>
        <v xml:space="preserve"> </v>
      </c>
      <c r="BY16" s="65"/>
      <c r="BZ16" s="68"/>
      <c r="CA16" s="68"/>
      <c r="CB16" s="69" t="str">
        <f>IF(CA16=0," ",BZ16/CA16)</f>
        <v xml:space="preserve"> </v>
      </c>
      <c r="CC16" s="58"/>
      <c r="CD16" s="58" t="str">
        <f>IF(CA16=0," ",CB16/CC16)</f>
        <v xml:space="preserve"> </v>
      </c>
      <c r="CE16" s="68"/>
      <c r="CF16" s="68"/>
      <c r="CG16" s="69" t="str">
        <f>IF(CF16=0," ",CE16/CF16)</f>
        <v xml:space="preserve"> </v>
      </c>
      <c r="CH16" s="58"/>
      <c r="CI16" s="58" t="str">
        <f>IF(CF16=0," ",CG16/CH16)</f>
        <v xml:space="preserve"> </v>
      </c>
      <c r="CJ16" s="68"/>
      <c r="CK16" s="68" t="s">
        <v>2471</v>
      </c>
      <c r="CL16" s="68">
        <v>1</v>
      </c>
      <c r="CM16" s="68">
        <v>1</v>
      </c>
      <c r="CN16" s="69">
        <f>IF(CM16=0," ",CL16/CM16)</f>
        <v>1</v>
      </c>
      <c r="CO16" s="535">
        <f>V16</f>
        <v>1</v>
      </c>
      <c r="CP16" s="58">
        <f>IF(CM16=0," ",CN16/CO16)</f>
        <v>1</v>
      </c>
      <c r="CQ16" s="65" t="s">
        <v>2537</v>
      </c>
      <c r="CR16" s="68">
        <f t="shared" si="4"/>
        <v>1</v>
      </c>
      <c r="CS16" s="68">
        <v>1</v>
      </c>
      <c r="CT16" s="69">
        <f t="shared" ref="CT16:CT21" si="7">IF(CS16=0," ",CR16/CS16)</f>
        <v>1</v>
      </c>
      <c r="CU16" s="58">
        <v>1</v>
      </c>
      <c r="CV16" s="58">
        <f t="shared" si="5"/>
        <v>1</v>
      </c>
      <c r="CW16" s="65" t="s">
        <v>2538</v>
      </c>
    </row>
    <row r="17" spans="2:101" ht="143.25" customHeight="1">
      <c r="B17" s="8" t="s">
        <v>1355</v>
      </c>
      <c r="C17" s="9"/>
      <c r="D17" s="1351" t="s">
        <v>2539</v>
      </c>
      <c r="E17" s="13" t="s">
        <v>2540</v>
      </c>
      <c r="F17" s="8" t="s">
        <v>2541</v>
      </c>
      <c r="G17" s="8" t="s">
        <v>53</v>
      </c>
      <c r="H17" s="8" t="s">
        <v>2542</v>
      </c>
      <c r="I17" s="8" t="s">
        <v>2543</v>
      </c>
      <c r="J17" s="8" t="s">
        <v>2453</v>
      </c>
      <c r="K17" s="7"/>
      <c r="L17" s="7">
        <v>8</v>
      </c>
      <c r="M17" s="7">
        <v>16</v>
      </c>
      <c r="N17" s="7">
        <v>4</v>
      </c>
      <c r="O17" s="7">
        <v>7</v>
      </c>
      <c r="P17" s="7">
        <v>2</v>
      </c>
      <c r="Q17" s="7">
        <v>9</v>
      </c>
      <c r="R17" s="7">
        <v>6</v>
      </c>
      <c r="S17" s="7">
        <v>5</v>
      </c>
      <c r="T17" s="7">
        <v>4</v>
      </c>
      <c r="U17" s="7">
        <v>2</v>
      </c>
      <c r="V17" s="7">
        <v>1</v>
      </c>
      <c r="W17" s="8" t="s">
        <v>2544</v>
      </c>
      <c r="X17" s="68"/>
      <c r="Y17" s="68"/>
      <c r="Z17" s="69" t="str">
        <f>IF(Y17=0," ",X17/Y17)</f>
        <v xml:space="preserve"> </v>
      </c>
      <c r="AA17" s="58"/>
      <c r="AB17" s="58" t="str">
        <f>IF(Y17=0," ",Z17/AA17)</f>
        <v xml:space="preserve"> </v>
      </c>
      <c r="AC17" s="65"/>
      <c r="AD17" s="68">
        <v>8</v>
      </c>
      <c r="AE17" s="68">
        <v>8</v>
      </c>
      <c r="AF17" s="69">
        <f>IF(AE17=0," ",AD17/AE17)</f>
        <v>1</v>
      </c>
      <c r="AG17" s="58">
        <v>1</v>
      </c>
      <c r="AH17" s="58">
        <f>IF(AE17=0," ",AF17/AG17)</f>
        <v>1</v>
      </c>
      <c r="AI17" s="65"/>
      <c r="AJ17" s="68">
        <v>16</v>
      </c>
      <c r="AK17" s="68">
        <v>16</v>
      </c>
      <c r="AL17" s="69">
        <f>IF(AK17=0," ",AJ17/AK17)</f>
        <v>1</v>
      </c>
      <c r="AM17" s="58">
        <v>1</v>
      </c>
      <c r="AN17" s="58">
        <f>IF(AK17=0," ",AL17/AM17)</f>
        <v>1</v>
      </c>
      <c r="AO17" s="65" t="s">
        <v>2545</v>
      </c>
      <c r="AP17" s="1374">
        <v>2</v>
      </c>
      <c r="AQ17" s="111">
        <v>18</v>
      </c>
      <c r="AR17" s="69">
        <v>1.8518518518518517E-2</v>
      </c>
      <c r="AS17" s="112">
        <v>0.16666666666666666</v>
      </c>
      <c r="AT17" s="112">
        <v>0.1111111111111111</v>
      </c>
      <c r="AU17" s="115" t="s">
        <v>2546</v>
      </c>
      <c r="AV17" s="1374">
        <v>8</v>
      </c>
      <c r="AW17" s="111">
        <v>22</v>
      </c>
      <c r="AX17" s="69">
        <v>7.407407407407407E-2</v>
      </c>
      <c r="AY17" s="112">
        <v>0.20370370370370369</v>
      </c>
      <c r="AZ17" s="112">
        <v>0.36363636363636365</v>
      </c>
      <c r="BA17" s="115" t="s">
        <v>2547</v>
      </c>
      <c r="BB17" s="1374">
        <v>14</v>
      </c>
      <c r="BC17" s="111">
        <v>22</v>
      </c>
      <c r="BD17" s="69">
        <v>0.12962962962962962</v>
      </c>
      <c r="BE17" s="112">
        <v>3.7037037037037035E-2</v>
      </c>
      <c r="BF17" s="112">
        <v>0.35</v>
      </c>
      <c r="BG17" s="298" t="s">
        <v>2548</v>
      </c>
      <c r="BH17" s="68">
        <v>8</v>
      </c>
      <c r="BI17" s="68">
        <v>9</v>
      </c>
      <c r="BJ17" s="69">
        <f>IF(BI17=0," ",BH17/BI17)</f>
        <v>0.88888888888888884</v>
      </c>
      <c r="BK17" s="58">
        <v>1</v>
      </c>
      <c r="BL17" s="316">
        <f>IF(BI17=0," ",BJ17/BK17)</f>
        <v>0.88888888888888884</v>
      </c>
      <c r="BM17" s="65" t="s">
        <v>2549</v>
      </c>
      <c r="BN17" s="68">
        <v>12</v>
      </c>
      <c r="BO17" s="68">
        <f t="shared" si="0"/>
        <v>6</v>
      </c>
      <c r="BP17" s="69">
        <v>1</v>
      </c>
      <c r="BQ17" s="58">
        <v>1</v>
      </c>
      <c r="BR17" s="58">
        <f>IF(BO17=0," ",BP17/BQ17)</f>
        <v>1</v>
      </c>
      <c r="BS17" s="65"/>
      <c r="BT17" s="1374">
        <v>11</v>
      </c>
      <c r="BU17" s="68">
        <f t="shared" si="1"/>
        <v>5</v>
      </c>
      <c r="BV17" s="69">
        <v>1</v>
      </c>
      <c r="BW17" s="112">
        <v>1</v>
      </c>
      <c r="BX17" s="112">
        <f>IF(BU17=0," ",BV17/BW17)</f>
        <v>1</v>
      </c>
      <c r="BY17" s="65"/>
      <c r="BZ17" s="68">
        <v>14</v>
      </c>
      <c r="CA17" s="68">
        <v>4</v>
      </c>
      <c r="CB17" s="69">
        <f>IF(CA17=0," ",BZ17/CA17)</f>
        <v>3.5</v>
      </c>
      <c r="CC17" s="58">
        <v>1</v>
      </c>
      <c r="CD17" s="58">
        <f>IF(CA17=0," ",CB17/CC17)</f>
        <v>3.5</v>
      </c>
      <c r="CE17" s="68"/>
      <c r="CF17" s="68">
        <v>2</v>
      </c>
      <c r="CG17" s="68">
        <v>4</v>
      </c>
      <c r="CH17" s="69">
        <v>0.5</v>
      </c>
      <c r="CI17" s="58">
        <v>1</v>
      </c>
      <c r="CJ17" s="58">
        <v>0.5</v>
      </c>
      <c r="CK17" s="1352" t="s">
        <v>2550</v>
      </c>
      <c r="CL17" s="68">
        <v>1</v>
      </c>
      <c r="CM17" s="68">
        <v>1</v>
      </c>
      <c r="CN17" s="69">
        <f>IF(CM17=0," ",CL17/CM17)</f>
        <v>1</v>
      </c>
      <c r="CO17" s="535">
        <v>1</v>
      </c>
      <c r="CP17" s="58">
        <f>IF(CM17=0," ",CN17/CO17)</f>
        <v>1</v>
      </c>
      <c r="CQ17" s="65"/>
      <c r="CR17" s="68">
        <f t="shared" si="4"/>
        <v>96</v>
      </c>
      <c r="CS17" s="68">
        <v>108</v>
      </c>
      <c r="CT17" s="69">
        <f t="shared" si="7"/>
        <v>0.88888888888888884</v>
      </c>
      <c r="CU17" s="58">
        <v>1</v>
      </c>
      <c r="CV17" s="58">
        <f t="shared" si="5"/>
        <v>0.88888888888888884</v>
      </c>
      <c r="CW17" s="65" t="s">
        <v>2551</v>
      </c>
    </row>
    <row r="18" spans="2:101" ht="120" customHeight="1">
      <c r="B18" s="8" t="s">
        <v>1355</v>
      </c>
      <c r="C18" s="9"/>
      <c r="D18" s="1351" t="s">
        <v>2552</v>
      </c>
      <c r="E18" s="13" t="s">
        <v>2553</v>
      </c>
      <c r="F18" s="8" t="s">
        <v>2554</v>
      </c>
      <c r="G18" s="8" t="s">
        <v>53</v>
      </c>
      <c r="H18" s="8" t="s">
        <v>2555</v>
      </c>
      <c r="I18" s="8" t="s">
        <v>2556</v>
      </c>
      <c r="J18" s="8" t="s">
        <v>2453</v>
      </c>
      <c r="K18" s="310"/>
      <c r="L18" s="310"/>
      <c r="M18" s="310"/>
      <c r="N18" s="310"/>
      <c r="O18" s="310"/>
      <c r="P18" s="310"/>
      <c r="Q18" s="310"/>
      <c r="R18" s="310"/>
      <c r="S18" s="310"/>
      <c r="T18" s="310">
        <v>1</v>
      </c>
      <c r="U18" s="310">
        <v>6</v>
      </c>
      <c r="V18" s="310">
        <v>3</v>
      </c>
      <c r="W18" s="8" t="s">
        <v>2515</v>
      </c>
      <c r="X18" s="68"/>
      <c r="Y18" s="68"/>
      <c r="Z18" s="69"/>
      <c r="AA18" s="58"/>
      <c r="AB18" s="58"/>
      <c r="AC18" s="65"/>
      <c r="AD18" s="68"/>
      <c r="AE18" s="68"/>
      <c r="AF18" s="69"/>
      <c r="AG18" s="58"/>
      <c r="AH18" s="58"/>
      <c r="AI18" s="65"/>
      <c r="AJ18" s="68"/>
      <c r="AK18" s="68"/>
      <c r="AL18" s="69"/>
      <c r="AM18" s="58"/>
      <c r="AN18" s="58"/>
      <c r="AO18" s="386" t="s">
        <v>2534</v>
      </c>
      <c r="AP18" s="68"/>
      <c r="AQ18" s="68">
        <f>+N18</f>
        <v>0</v>
      </c>
      <c r="AR18" s="69"/>
      <c r="AS18" s="58"/>
      <c r="AT18" s="58"/>
      <c r="AU18" s="65"/>
      <c r="AV18" s="68"/>
      <c r="AW18" s="68">
        <f>+O18</f>
        <v>0</v>
      </c>
      <c r="AX18" s="69"/>
      <c r="AY18" s="58"/>
      <c r="AZ18" s="58"/>
      <c r="BA18" s="68"/>
      <c r="BB18" s="68"/>
      <c r="BC18" s="68">
        <f>+P18</f>
        <v>0</v>
      </c>
      <c r="BD18" s="69"/>
      <c r="BE18" s="58"/>
      <c r="BF18" s="58"/>
      <c r="BG18" s="386" t="s">
        <v>2557</v>
      </c>
      <c r="BH18" s="68"/>
      <c r="BI18" s="68"/>
      <c r="BJ18" s="69"/>
      <c r="BK18" s="58"/>
      <c r="BL18" s="58"/>
      <c r="BM18" s="65" t="s">
        <v>2557</v>
      </c>
      <c r="BN18" s="68"/>
      <c r="BO18" s="68">
        <f>R18</f>
        <v>0</v>
      </c>
      <c r="BP18" s="69"/>
      <c r="BQ18" s="58"/>
      <c r="BR18" s="58"/>
      <c r="BS18" s="65"/>
      <c r="BT18" s="68"/>
      <c r="BU18" s="68">
        <f>S18</f>
        <v>0</v>
      </c>
      <c r="BV18" s="69"/>
      <c r="BW18" s="58"/>
      <c r="BX18" s="58"/>
      <c r="BY18" s="65"/>
      <c r="BZ18" s="68">
        <v>1</v>
      </c>
      <c r="CA18" s="68">
        <v>1</v>
      </c>
      <c r="CB18" s="69">
        <v>1</v>
      </c>
      <c r="CC18" s="58">
        <v>1</v>
      </c>
      <c r="CD18" s="58">
        <v>1</v>
      </c>
      <c r="CE18" s="68"/>
      <c r="CF18" s="68">
        <v>6</v>
      </c>
      <c r="CG18" s="68">
        <v>6</v>
      </c>
      <c r="CH18" s="69">
        <v>1</v>
      </c>
      <c r="CI18" s="58">
        <v>1</v>
      </c>
      <c r="CJ18" s="58">
        <v>1</v>
      </c>
      <c r="CK18" s="1352" t="s">
        <v>2558</v>
      </c>
      <c r="CL18" s="68">
        <v>3</v>
      </c>
      <c r="CM18" s="68">
        <v>3</v>
      </c>
      <c r="CN18" s="69">
        <v>1</v>
      </c>
      <c r="CO18" s="535">
        <v>100</v>
      </c>
      <c r="CP18" s="58">
        <v>1</v>
      </c>
      <c r="CQ18" s="65" t="s">
        <v>2559</v>
      </c>
      <c r="CR18" s="68">
        <f t="shared" si="4"/>
        <v>10</v>
      </c>
      <c r="CS18" s="68">
        <f t="shared" si="4"/>
        <v>10</v>
      </c>
      <c r="CT18" s="69">
        <f t="shared" si="7"/>
        <v>1</v>
      </c>
      <c r="CU18" s="58">
        <v>1</v>
      </c>
      <c r="CV18" s="58">
        <f t="shared" si="5"/>
        <v>1</v>
      </c>
      <c r="CW18" s="1356" t="s">
        <v>2560</v>
      </c>
    </row>
    <row r="19" spans="2:101" ht="187.5" customHeight="1">
      <c r="B19" s="8" t="s">
        <v>1355</v>
      </c>
      <c r="C19" s="9"/>
      <c r="D19" s="1351" t="s">
        <v>2561</v>
      </c>
      <c r="E19" s="13" t="s">
        <v>2562</v>
      </c>
      <c r="F19" s="8" t="s">
        <v>2563</v>
      </c>
      <c r="G19" s="8" t="s">
        <v>53</v>
      </c>
      <c r="H19" s="8" t="s">
        <v>2564</v>
      </c>
      <c r="I19" s="8" t="s">
        <v>2565</v>
      </c>
      <c r="J19" s="8" t="s">
        <v>2453</v>
      </c>
      <c r="K19" s="7">
        <v>4</v>
      </c>
      <c r="L19" s="7">
        <v>7</v>
      </c>
      <c r="M19" s="7">
        <v>13</v>
      </c>
      <c r="N19" s="7">
        <v>17</v>
      </c>
      <c r="O19" s="7">
        <v>10</v>
      </c>
      <c r="P19" s="7">
        <v>16</v>
      </c>
      <c r="Q19" s="7">
        <v>11</v>
      </c>
      <c r="R19" s="7">
        <v>7</v>
      </c>
      <c r="S19" s="7">
        <v>22</v>
      </c>
      <c r="T19" s="7">
        <v>16</v>
      </c>
      <c r="U19" s="7">
        <v>10</v>
      </c>
      <c r="V19" s="7">
        <v>27</v>
      </c>
      <c r="W19" s="8" t="s">
        <v>2566</v>
      </c>
      <c r="X19" s="68">
        <v>4</v>
      </c>
      <c r="Y19" s="68">
        <v>4</v>
      </c>
      <c r="Z19" s="69">
        <f>IF(Y19=0," ",X19/Y19)</f>
        <v>1</v>
      </c>
      <c r="AA19" s="58">
        <v>1</v>
      </c>
      <c r="AB19" s="58">
        <f>IF(Y19=0," ",Z19/AA19)</f>
        <v>1</v>
      </c>
      <c r="AC19" s="65"/>
      <c r="AD19" s="68">
        <v>7</v>
      </c>
      <c r="AE19" s="68">
        <v>7</v>
      </c>
      <c r="AF19" s="69">
        <f>IF(AE19=0," ",AD19/AE19)</f>
        <v>1</v>
      </c>
      <c r="AG19" s="58">
        <v>1</v>
      </c>
      <c r="AH19" s="58">
        <f>IF(AE19=0," ",AF19/AG19)</f>
        <v>1</v>
      </c>
      <c r="AI19" s="65"/>
      <c r="AJ19" s="68">
        <v>0</v>
      </c>
      <c r="AK19" s="68">
        <v>13</v>
      </c>
      <c r="AL19" s="69">
        <f>IF(AK19=0," ",AJ19/AK19)</f>
        <v>0</v>
      </c>
      <c r="AM19" s="58">
        <v>1</v>
      </c>
      <c r="AN19" s="58">
        <f>IF(AK19=0," ",AL19/AM19)</f>
        <v>0</v>
      </c>
      <c r="AO19" s="65" t="s">
        <v>2567</v>
      </c>
      <c r="AP19" s="68">
        <v>1</v>
      </c>
      <c r="AQ19" s="68">
        <f t="shared" si="6"/>
        <v>17</v>
      </c>
      <c r="AR19" s="69">
        <f>IF(AQ19=0," ",AP19/AQ19)</f>
        <v>5.8823529411764705E-2</v>
      </c>
      <c r="AS19" s="58">
        <v>1</v>
      </c>
      <c r="AT19" s="58">
        <f>IF(AQ19=0," ",AR19/AS19)</f>
        <v>5.8823529411764705E-2</v>
      </c>
      <c r="AU19" s="65"/>
      <c r="AV19" s="68">
        <v>8</v>
      </c>
      <c r="AW19" s="68">
        <f t="shared" si="2"/>
        <v>10</v>
      </c>
      <c r="AX19" s="69">
        <f>IF(AW19=0," ",AV19/AW19)</f>
        <v>0.8</v>
      </c>
      <c r="AY19" s="58">
        <v>1</v>
      </c>
      <c r="AZ19" s="58">
        <f>IF(AW19=0," ",AX19/AY19)</f>
        <v>0.8</v>
      </c>
      <c r="BA19" s="68"/>
      <c r="BB19" s="68">
        <v>6</v>
      </c>
      <c r="BC19" s="68">
        <f t="shared" si="3"/>
        <v>16</v>
      </c>
      <c r="BD19" s="69">
        <v>0.38</v>
      </c>
      <c r="BE19" s="58">
        <v>1</v>
      </c>
      <c r="BF19" s="58">
        <v>0.38</v>
      </c>
      <c r="BG19" s="1352" t="s">
        <v>2568</v>
      </c>
      <c r="BH19" s="68">
        <v>4</v>
      </c>
      <c r="BI19" s="68">
        <v>11</v>
      </c>
      <c r="BJ19" s="69">
        <f>IF(BI19=0," ",BH19/BI19)</f>
        <v>0.36363636363636365</v>
      </c>
      <c r="BK19" s="58">
        <v>1</v>
      </c>
      <c r="BL19" s="58">
        <f>IF(BI19=0," ",BJ19/BK19)</f>
        <v>0.36363636363636365</v>
      </c>
      <c r="BM19" s="65"/>
      <c r="BN19" s="68">
        <v>0</v>
      </c>
      <c r="BO19" s="68">
        <f t="shared" si="0"/>
        <v>7</v>
      </c>
      <c r="BP19" s="69">
        <f>IF(BO19=0," ",BN19/BO19)</f>
        <v>0</v>
      </c>
      <c r="BQ19" s="58">
        <v>1</v>
      </c>
      <c r="BR19" s="58">
        <f>IF(BO19=0," ",BP19/BQ19)</f>
        <v>0</v>
      </c>
      <c r="BS19" s="65"/>
      <c r="BT19" s="68">
        <v>3</v>
      </c>
      <c r="BU19" s="68">
        <f t="shared" si="1"/>
        <v>22</v>
      </c>
      <c r="BV19" s="69">
        <f>IF(BU19=0," ",BT19/BU19)</f>
        <v>0.13636363636363635</v>
      </c>
      <c r="BW19" s="58">
        <v>1</v>
      </c>
      <c r="BX19" s="58">
        <f>IF(BU19=0," ",BV19/BW19)</f>
        <v>0.13636363636363635</v>
      </c>
      <c r="BY19" s="65"/>
      <c r="BZ19" s="68">
        <v>16</v>
      </c>
      <c r="CA19" s="68">
        <v>16</v>
      </c>
      <c r="CB19" s="69">
        <f>IF(CA19=0," ",BZ19/CA19)</f>
        <v>1</v>
      </c>
      <c r="CC19" s="58">
        <v>1</v>
      </c>
      <c r="CD19" s="58">
        <f>IF(CA19=0," ",CB19/CC19)</f>
        <v>1</v>
      </c>
      <c r="CE19" s="68"/>
      <c r="CF19" s="68">
        <v>10</v>
      </c>
      <c r="CG19" s="69">
        <v>1</v>
      </c>
      <c r="CH19" s="69">
        <v>1</v>
      </c>
      <c r="CI19" s="58">
        <v>1</v>
      </c>
      <c r="CJ19" s="58">
        <v>1</v>
      </c>
      <c r="CK19" s="1352" t="s">
        <v>2569</v>
      </c>
      <c r="CL19" s="68">
        <v>27</v>
      </c>
      <c r="CM19" s="68">
        <v>13</v>
      </c>
      <c r="CN19" s="69">
        <v>0.41</v>
      </c>
      <c r="CO19" s="535">
        <v>100</v>
      </c>
      <c r="CP19" s="58">
        <v>0.41</v>
      </c>
      <c r="CQ19" s="65" t="s">
        <v>2570</v>
      </c>
      <c r="CR19" s="68">
        <v>59</v>
      </c>
      <c r="CS19" s="68">
        <v>125</v>
      </c>
      <c r="CT19" s="69">
        <f t="shared" si="7"/>
        <v>0.47199999999999998</v>
      </c>
      <c r="CU19" s="58">
        <v>1</v>
      </c>
      <c r="CV19" s="58">
        <f t="shared" si="5"/>
        <v>0.47199999999999998</v>
      </c>
      <c r="CW19" s="65" t="s">
        <v>2571</v>
      </c>
    </row>
    <row r="20" spans="2:101" ht="57">
      <c r="B20" s="8" t="s">
        <v>1355</v>
      </c>
      <c r="C20" s="9"/>
      <c r="D20" s="1351" t="s">
        <v>2572</v>
      </c>
      <c r="E20" s="13" t="s">
        <v>2573</v>
      </c>
      <c r="F20" s="8" t="s">
        <v>175</v>
      </c>
      <c r="G20" s="8" t="s">
        <v>53</v>
      </c>
      <c r="H20" s="8" t="s">
        <v>179</v>
      </c>
      <c r="I20" s="8" t="s">
        <v>180</v>
      </c>
      <c r="J20" s="8" t="s">
        <v>2453</v>
      </c>
      <c r="K20" s="138"/>
      <c r="L20" s="138"/>
      <c r="M20" s="12">
        <v>1</v>
      </c>
      <c r="N20" s="12"/>
      <c r="O20" s="12"/>
      <c r="P20" s="12">
        <v>1</v>
      </c>
      <c r="Q20" s="12"/>
      <c r="R20" s="12"/>
      <c r="S20" s="12">
        <v>1</v>
      </c>
      <c r="T20" s="12"/>
      <c r="U20" s="12"/>
      <c r="V20" s="12">
        <v>1</v>
      </c>
      <c r="W20" s="143" t="s">
        <v>181</v>
      </c>
      <c r="X20" s="111"/>
      <c r="Y20" s="111"/>
      <c r="Z20" s="69" t="str">
        <f>IF(Y20=0," ",X20/Y20)</f>
        <v xml:space="preserve"> </v>
      </c>
      <c r="AA20" s="112"/>
      <c r="AB20" s="112" t="str">
        <f>IF(Y20=0," ",Z20/AA20)</f>
        <v xml:space="preserve"> </v>
      </c>
      <c r="AC20" s="1375" t="s">
        <v>182</v>
      </c>
      <c r="AD20" s="111"/>
      <c r="AE20" s="111"/>
      <c r="AF20" s="69" t="str">
        <f>IF(AE20=0," ",AD20/AE20)</f>
        <v xml:space="preserve"> </v>
      </c>
      <c r="AG20" s="112"/>
      <c r="AH20" s="112" t="str">
        <f>IF(AE20=0," ",AF20/AG20)</f>
        <v xml:space="preserve"> </v>
      </c>
      <c r="AI20" s="1375" t="s">
        <v>182</v>
      </c>
      <c r="AJ20" s="1376">
        <v>239</v>
      </c>
      <c r="AK20" s="1376">
        <v>239</v>
      </c>
      <c r="AL20" s="69">
        <f>IF(AK20=0," ",AJ20/AK20)</f>
        <v>1</v>
      </c>
      <c r="AM20" s="112">
        <v>1</v>
      </c>
      <c r="AN20" s="112">
        <f>IF(AK20=0," ",AL20/AM20)</f>
        <v>1</v>
      </c>
      <c r="AO20" s="115" t="s">
        <v>183</v>
      </c>
      <c r="AP20" s="111"/>
      <c r="AQ20" s="68">
        <f t="shared" si="6"/>
        <v>0</v>
      </c>
      <c r="AR20" s="69"/>
      <c r="AS20" s="112"/>
      <c r="AT20" s="112"/>
      <c r="AU20" s="65"/>
      <c r="AV20" s="111"/>
      <c r="AW20" s="68">
        <f t="shared" si="2"/>
        <v>0</v>
      </c>
      <c r="AX20" s="69"/>
      <c r="AY20" s="112"/>
      <c r="AZ20" s="112"/>
      <c r="BA20" s="111"/>
      <c r="BB20" s="1376">
        <v>225</v>
      </c>
      <c r="BC20" s="1376">
        <v>225</v>
      </c>
      <c r="BD20" s="69">
        <f>IF(BC20=0," ",BB20/BC20)</f>
        <v>1</v>
      </c>
      <c r="BE20" s="112">
        <v>1</v>
      </c>
      <c r="BF20" s="112">
        <f>IF(BC20=0," ",BD20/BE20)</f>
        <v>1</v>
      </c>
      <c r="BG20" s="115" t="s">
        <v>184</v>
      </c>
      <c r="BH20" s="68"/>
      <c r="BI20" s="68"/>
      <c r="BJ20" s="69"/>
      <c r="BK20" s="58"/>
      <c r="BL20" s="58"/>
      <c r="BM20" s="65"/>
      <c r="BN20" s="68"/>
      <c r="BO20" s="68">
        <f t="shared" si="0"/>
        <v>0</v>
      </c>
      <c r="BP20" s="69"/>
      <c r="BQ20" s="58"/>
      <c r="BR20" s="58"/>
      <c r="BS20" s="65"/>
      <c r="BT20" s="1376">
        <v>100</v>
      </c>
      <c r="BU20" s="68">
        <v>100</v>
      </c>
      <c r="BV20" s="69">
        <v>1</v>
      </c>
      <c r="BW20" s="112">
        <v>1</v>
      </c>
      <c r="BX20" s="112">
        <v>1</v>
      </c>
      <c r="BY20" s="65"/>
      <c r="BZ20" s="68"/>
      <c r="CA20" s="68"/>
      <c r="CB20" s="69"/>
      <c r="CC20" s="58"/>
      <c r="CD20" s="58"/>
      <c r="CE20" s="68"/>
      <c r="CF20" s="68"/>
      <c r="CG20" s="69"/>
      <c r="CH20" s="58"/>
      <c r="CI20" s="58"/>
      <c r="CJ20" s="68"/>
      <c r="CK20" s="68" t="s">
        <v>2471</v>
      </c>
      <c r="CL20" s="68">
        <v>220</v>
      </c>
      <c r="CM20" s="68">
        <v>220</v>
      </c>
      <c r="CN20" s="69">
        <v>1</v>
      </c>
      <c r="CO20" s="535">
        <v>1</v>
      </c>
      <c r="CP20" s="58">
        <v>1</v>
      </c>
      <c r="CQ20" s="65" t="s">
        <v>186</v>
      </c>
      <c r="CR20" s="68">
        <f t="shared" si="4"/>
        <v>784</v>
      </c>
      <c r="CS20" s="68">
        <f t="shared" si="4"/>
        <v>784</v>
      </c>
      <c r="CT20" s="69">
        <f t="shared" si="7"/>
        <v>1</v>
      </c>
      <c r="CU20" s="58">
        <v>1</v>
      </c>
      <c r="CV20" s="58">
        <f t="shared" si="5"/>
        <v>1</v>
      </c>
      <c r="CW20" s="65" t="s">
        <v>2574</v>
      </c>
    </row>
    <row r="21" spans="2:101" ht="114.75">
      <c r="B21" s="8" t="s">
        <v>1355</v>
      </c>
      <c r="C21" s="9"/>
      <c r="D21" s="1351" t="s">
        <v>2575</v>
      </c>
      <c r="E21" s="13" t="s">
        <v>2576</v>
      </c>
      <c r="F21" s="8" t="s">
        <v>2577</v>
      </c>
      <c r="G21" s="8" t="s">
        <v>53</v>
      </c>
      <c r="H21" s="8" t="s">
        <v>2578</v>
      </c>
      <c r="I21" s="8" t="s">
        <v>2556</v>
      </c>
      <c r="J21" s="8" t="s">
        <v>2453</v>
      </c>
      <c r="K21" s="7"/>
      <c r="L21" s="7"/>
      <c r="M21" s="12"/>
      <c r="N21" s="7"/>
      <c r="O21" s="7"/>
      <c r="P21" s="7"/>
      <c r="Q21" s="7"/>
      <c r="R21" s="14"/>
      <c r="S21" s="7"/>
      <c r="T21" s="310">
        <v>1</v>
      </c>
      <c r="U21" s="310">
        <v>6</v>
      </c>
      <c r="V21" s="310">
        <v>4</v>
      </c>
      <c r="W21" s="8" t="s">
        <v>2515</v>
      </c>
      <c r="X21" s="68"/>
      <c r="Y21" s="68"/>
      <c r="Z21" s="69"/>
      <c r="AA21" s="58"/>
      <c r="AB21" s="58"/>
      <c r="AC21" s="65"/>
      <c r="AD21" s="68"/>
      <c r="AE21" s="68"/>
      <c r="AF21" s="69"/>
      <c r="AG21" s="58"/>
      <c r="AH21" s="58"/>
      <c r="AI21" s="65"/>
      <c r="AJ21" s="68"/>
      <c r="AK21" s="68"/>
      <c r="AL21" s="69"/>
      <c r="AM21" s="58"/>
      <c r="AN21" s="58"/>
      <c r="AO21" s="386" t="s">
        <v>2534</v>
      </c>
      <c r="AP21" s="68"/>
      <c r="AQ21" s="68">
        <f t="shared" si="6"/>
        <v>0</v>
      </c>
      <c r="AR21" s="69"/>
      <c r="AS21" s="58"/>
      <c r="AT21" s="58"/>
      <c r="AU21" s="65"/>
      <c r="AV21" s="68"/>
      <c r="AW21" s="68">
        <f t="shared" si="2"/>
        <v>0</v>
      </c>
      <c r="AX21" s="69"/>
      <c r="AY21" s="58"/>
      <c r="AZ21" s="58"/>
      <c r="BA21" s="68"/>
      <c r="BB21" s="68"/>
      <c r="BC21" s="68">
        <f t="shared" si="3"/>
        <v>0</v>
      </c>
      <c r="BD21" s="69"/>
      <c r="BE21" s="58"/>
      <c r="BF21" s="58"/>
      <c r="BG21" s="386" t="s">
        <v>2557</v>
      </c>
      <c r="BH21" s="68"/>
      <c r="BI21" s="68"/>
      <c r="BJ21" s="69"/>
      <c r="BK21" s="58"/>
      <c r="BL21" s="58"/>
      <c r="BM21" s="65" t="s">
        <v>2557</v>
      </c>
      <c r="BN21" s="68"/>
      <c r="BO21" s="68">
        <f t="shared" si="0"/>
        <v>0</v>
      </c>
      <c r="BP21" s="69"/>
      <c r="BQ21" s="58"/>
      <c r="BR21" s="58"/>
      <c r="BS21" s="65"/>
      <c r="BT21" s="68"/>
      <c r="BU21" s="68">
        <f t="shared" si="1"/>
        <v>0</v>
      </c>
      <c r="BV21" s="69"/>
      <c r="BW21" s="58"/>
      <c r="BX21" s="58"/>
      <c r="BY21" s="65"/>
      <c r="BZ21" s="68">
        <v>6</v>
      </c>
      <c r="CA21" s="68">
        <v>1</v>
      </c>
      <c r="CB21" s="69">
        <v>1</v>
      </c>
      <c r="CC21" s="58">
        <v>1</v>
      </c>
      <c r="CD21" s="58">
        <v>1</v>
      </c>
      <c r="CE21" s="68"/>
      <c r="CF21" s="68">
        <v>5</v>
      </c>
      <c r="CG21" s="68">
        <v>6</v>
      </c>
      <c r="CH21" s="69">
        <v>1</v>
      </c>
      <c r="CI21" s="58">
        <v>1</v>
      </c>
      <c r="CJ21" s="58">
        <v>0.83</v>
      </c>
      <c r="CK21" s="68"/>
      <c r="CL21" s="68">
        <v>4</v>
      </c>
      <c r="CM21" s="68">
        <v>5</v>
      </c>
      <c r="CN21" s="69">
        <v>1.25</v>
      </c>
      <c r="CO21" s="535">
        <v>100</v>
      </c>
      <c r="CP21" s="58">
        <v>1</v>
      </c>
      <c r="CQ21" s="65" t="s">
        <v>2579</v>
      </c>
      <c r="CR21" s="68">
        <f t="shared" si="4"/>
        <v>15</v>
      </c>
      <c r="CS21" s="68">
        <f t="shared" si="4"/>
        <v>12</v>
      </c>
      <c r="CT21" s="69">
        <f t="shared" si="7"/>
        <v>1.25</v>
      </c>
      <c r="CU21" s="58">
        <v>1</v>
      </c>
      <c r="CV21" s="58">
        <f t="shared" si="5"/>
        <v>1.25</v>
      </c>
      <c r="CW21" s="65"/>
    </row>
    <row r="22" spans="2:101" ht="72" customHeight="1">
      <c r="B22" s="8" t="s">
        <v>55</v>
      </c>
      <c r="C22" s="9"/>
      <c r="D22" s="75" t="s">
        <v>1503</v>
      </c>
      <c r="E22" s="8" t="s">
        <v>57</v>
      </c>
      <c r="F22" s="8" t="s">
        <v>58</v>
      </c>
      <c r="G22" s="8" t="s">
        <v>53</v>
      </c>
      <c r="H22" s="8" t="s">
        <v>1504</v>
      </c>
      <c r="I22" s="8" t="s">
        <v>1505</v>
      </c>
      <c r="J22" s="8" t="s">
        <v>54</v>
      </c>
      <c r="K22" s="7"/>
      <c r="L22" s="7"/>
      <c r="M22" s="12">
        <v>1</v>
      </c>
      <c r="N22" s="7"/>
      <c r="O22" s="7"/>
      <c r="P22" s="12">
        <v>1</v>
      </c>
      <c r="Q22" s="12"/>
      <c r="R22" s="7"/>
      <c r="S22" s="12">
        <v>1</v>
      </c>
      <c r="T22" s="12"/>
      <c r="U22" s="7"/>
      <c r="V22" s="12">
        <v>1</v>
      </c>
      <c r="W22" s="68" t="s">
        <v>2580</v>
      </c>
      <c r="X22" s="386"/>
      <c r="Y22" s="386"/>
      <c r="Z22" s="386"/>
      <c r="AA22" s="386"/>
      <c r="AB22" s="386"/>
      <c r="AC22" s="386"/>
      <c r="AD22" s="386"/>
      <c r="AE22" s="386"/>
      <c r="AF22" s="386"/>
      <c r="AG22" s="386"/>
      <c r="AH22" s="386"/>
      <c r="AI22" s="386"/>
      <c r="AJ22" s="386"/>
      <c r="AK22" s="386"/>
      <c r="AL22" s="386"/>
      <c r="AM22" s="386"/>
      <c r="AN22" s="386"/>
      <c r="AO22" s="386" t="s">
        <v>2534</v>
      </c>
      <c r="AP22" s="386"/>
      <c r="AQ22" s="68">
        <f t="shared" si="6"/>
        <v>0</v>
      </c>
      <c r="AR22" s="386"/>
      <c r="AS22" s="386"/>
      <c r="AT22" s="386"/>
      <c r="AU22" s="386"/>
      <c r="AV22" s="386"/>
      <c r="AW22" s="68">
        <f t="shared" si="2"/>
        <v>0</v>
      </c>
      <c r="AX22" s="386"/>
      <c r="AY22" s="386"/>
      <c r="AZ22" s="386"/>
      <c r="BA22" s="386"/>
      <c r="BB22" s="68"/>
      <c r="BC22" s="68">
        <f t="shared" si="3"/>
        <v>1</v>
      </c>
      <c r="BD22" s="69"/>
      <c r="BE22" s="58"/>
      <c r="BF22" s="58"/>
      <c r="BG22" s="1377"/>
      <c r="BH22" s="386"/>
      <c r="BI22" s="386"/>
      <c r="BJ22" s="386"/>
      <c r="BK22" s="386"/>
      <c r="BL22" s="386"/>
      <c r="BM22" s="386" t="s">
        <v>2581</v>
      </c>
      <c r="BN22" s="386"/>
      <c r="BO22" s="68">
        <f t="shared" si="0"/>
        <v>0</v>
      </c>
      <c r="BP22" s="386"/>
      <c r="BQ22" s="386"/>
      <c r="BR22" s="386"/>
      <c r="BS22" s="386"/>
      <c r="BT22" s="68">
        <v>100</v>
      </c>
      <c r="BU22" s="68">
        <v>100</v>
      </c>
      <c r="BV22" s="69">
        <v>1</v>
      </c>
      <c r="BW22" s="58">
        <v>1</v>
      </c>
      <c r="BX22" s="58">
        <v>1</v>
      </c>
      <c r="BY22" s="386"/>
      <c r="BZ22" s="68">
        <v>0</v>
      </c>
      <c r="CA22" s="68">
        <v>100</v>
      </c>
      <c r="CB22" s="69">
        <v>0</v>
      </c>
      <c r="CC22" s="58">
        <v>1</v>
      </c>
      <c r="CD22" s="58">
        <v>0</v>
      </c>
      <c r="CE22" s="386"/>
      <c r="CF22" s="386"/>
      <c r="CG22" s="386"/>
      <c r="CH22" s="386"/>
      <c r="CI22" s="386"/>
      <c r="CJ22" s="386"/>
      <c r="CK22" s="2448" t="s">
        <v>2582</v>
      </c>
      <c r="CL22" s="68" t="s">
        <v>1108</v>
      </c>
      <c r="CM22" s="68">
        <v>100</v>
      </c>
      <c r="CN22" s="69" t="s">
        <v>1110</v>
      </c>
      <c r="CO22" s="535">
        <v>1</v>
      </c>
      <c r="CP22" s="58" t="s">
        <v>1110</v>
      </c>
      <c r="CQ22" s="386" t="s">
        <v>326</v>
      </c>
      <c r="CR22" s="68">
        <v>100</v>
      </c>
      <c r="CS22" s="68">
        <v>100</v>
      </c>
      <c r="CT22" s="386">
        <v>1</v>
      </c>
      <c r="CU22" s="386">
        <v>1</v>
      </c>
      <c r="CV22" s="58">
        <v>1</v>
      </c>
      <c r="CW22" s="386" t="s">
        <v>2583</v>
      </c>
    </row>
    <row r="23" spans="2:101" ht="231.75" customHeight="1">
      <c r="B23" s="8" t="s">
        <v>55</v>
      </c>
      <c r="C23" s="9"/>
      <c r="D23" s="75" t="s">
        <v>1511</v>
      </c>
      <c r="E23" s="8" t="s">
        <v>57</v>
      </c>
      <c r="F23" s="8" t="s">
        <v>62</v>
      </c>
      <c r="G23" s="8" t="s">
        <v>53</v>
      </c>
      <c r="H23" s="8" t="s">
        <v>1512</v>
      </c>
      <c r="I23" s="8" t="s">
        <v>1513</v>
      </c>
      <c r="J23" s="8" t="s">
        <v>54</v>
      </c>
      <c r="K23" s="266"/>
      <c r="L23" s="266"/>
      <c r="M23" s="264"/>
      <c r="N23" s="266"/>
      <c r="O23" s="266"/>
      <c r="P23" s="12" t="s">
        <v>317</v>
      </c>
      <c r="Q23" s="229"/>
      <c r="R23" s="12" t="s">
        <v>318</v>
      </c>
      <c r="S23" s="229"/>
      <c r="T23" s="12" t="s">
        <v>319</v>
      </c>
      <c r="U23" s="267"/>
      <c r="V23" s="12" t="s">
        <v>320</v>
      </c>
      <c r="W23" s="68" t="s">
        <v>2580</v>
      </c>
      <c r="X23" s="386"/>
      <c r="Y23" s="386"/>
      <c r="Z23" s="386"/>
      <c r="AA23" s="386"/>
      <c r="AB23" s="386"/>
      <c r="AC23" s="386"/>
      <c r="AD23" s="386"/>
      <c r="AE23" s="386"/>
      <c r="AF23" s="386"/>
      <c r="AG23" s="386"/>
      <c r="AH23" s="386"/>
      <c r="AI23" s="386"/>
      <c r="AJ23" s="386"/>
      <c r="AK23" s="386"/>
      <c r="AL23" s="69"/>
      <c r="AM23" s="112"/>
      <c r="AN23" s="112"/>
      <c r="AO23" s="386" t="s">
        <v>2584</v>
      </c>
      <c r="AP23" s="386"/>
      <c r="AQ23" s="68">
        <f t="shared" si="6"/>
        <v>0</v>
      </c>
      <c r="AR23" s="386"/>
      <c r="AS23" s="386"/>
      <c r="AT23" s="386"/>
      <c r="AU23" s="386"/>
      <c r="AV23" s="386"/>
      <c r="AW23" s="68">
        <f t="shared" si="2"/>
        <v>0</v>
      </c>
      <c r="AX23" s="386"/>
      <c r="AY23" s="386"/>
      <c r="AZ23" s="386"/>
      <c r="BA23" s="386"/>
      <c r="BB23" s="68"/>
      <c r="BC23" s="68" t="str">
        <f t="shared" si="3"/>
        <v>100%
A</v>
      </c>
      <c r="BD23" s="69"/>
      <c r="BE23" s="58"/>
      <c r="BF23" s="58"/>
      <c r="BG23" s="1377"/>
      <c r="BH23" s="386"/>
      <c r="BI23" s="386"/>
      <c r="BJ23" s="386"/>
      <c r="BK23" s="386"/>
      <c r="BL23" s="386"/>
      <c r="BM23" s="386" t="s">
        <v>2581</v>
      </c>
      <c r="BN23" s="386">
        <v>0</v>
      </c>
      <c r="BO23" s="68" t="str">
        <f t="shared" si="0"/>
        <v>100%
B</v>
      </c>
      <c r="BP23" s="386">
        <v>0</v>
      </c>
      <c r="BQ23" s="58">
        <v>1</v>
      </c>
      <c r="BR23" s="58">
        <v>0</v>
      </c>
      <c r="BS23" s="386"/>
      <c r="BT23" s="68"/>
      <c r="BU23" s="68">
        <f t="shared" si="1"/>
        <v>0</v>
      </c>
      <c r="BV23" s="69"/>
      <c r="BW23" s="58"/>
      <c r="BX23" s="58"/>
      <c r="BY23" s="386"/>
      <c r="BZ23" s="68">
        <v>0</v>
      </c>
      <c r="CA23" s="68">
        <v>100</v>
      </c>
      <c r="CB23" s="69">
        <v>0</v>
      </c>
      <c r="CC23" s="58">
        <v>1</v>
      </c>
      <c r="CD23" s="58">
        <v>0</v>
      </c>
      <c r="CE23" s="386"/>
      <c r="CF23" s="386"/>
      <c r="CG23" s="386"/>
      <c r="CH23" s="386"/>
      <c r="CI23" s="386"/>
      <c r="CJ23" s="386"/>
      <c r="CK23" s="2448"/>
      <c r="CL23" s="1378">
        <v>100</v>
      </c>
      <c r="CM23" s="1379">
        <v>100</v>
      </c>
      <c r="CN23" s="1380">
        <f>IF(CM23=0," ",CL23/CM23)</f>
        <v>1</v>
      </c>
      <c r="CO23" s="1381">
        <v>1</v>
      </c>
      <c r="CP23" s="1382">
        <f>IF(CM23=0," ",CN23/CO23)</f>
        <v>1</v>
      </c>
      <c r="CQ23" s="1383" t="s">
        <v>2585</v>
      </c>
      <c r="CR23" s="68">
        <v>100</v>
      </c>
      <c r="CS23" s="68">
        <v>100</v>
      </c>
      <c r="CT23" s="386">
        <v>60</v>
      </c>
      <c r="CU23" s="386">
        <v>100</v>
      </c>
      <c r="CV23" s="1380">
        <v>0.6</v>
      </c>
      <c r="CW23" s="1383" t="s">
        <v>2585</v>
      </c>
    </row>
    <row r="24" spans="2:101" ht="69.75" customHeight="1">
      <c r="B24" s="1384" t="s">
        <v>17</v>
      </c>
      <c r="C24" s="91"/>
      <c r="D24" s="1384"/>
      <c r="E24" s="1385"/>
      <c r="F24" s="1386"/>
      <c r="G24" s="1386"/>
      <c r="H24" s="1387"/>
      <c r="I24" s="1247"/>
      <c r="J24" s="1247"/>
      <c r="K24" s="1388"/>
      <c r="L24" s="1388"/>
      <c r="M24" s="1389"/>
      <c r="N24" s="1388"/>
      <c r="O24" s="1388"/>
      <c r="P24" s="6"/>
      <c r="Q24" s="6"/>
      <c r="R24" s="6"/>
      <c r="S24" s="6"/>
      <c r="T24" s="6"/>
      <c r="U24" s="6"/>
      <c r="V24" s="6"/>
      <c r="W24" s="1247"/>
      <c r="X24" s="1390"/>
      <c r="Y24" s="1390"/>
      <c r="Z24" s="1391"/>
      <c r="AA24" s="1392"/>
      <c r="AB24" s="1392"/>
      <c r="AC24" s="1393"/>
      <c r="AD24" s="1390"/>
      <c r="AE24" s="1390"/>
      <c r="AF24" s="1391"/>
      <c r="AG24" s="1392"/>
      <c r="AH24" s="1392"/>
      <c r="AI24" s="1393"/>
      <c r="AJ24" s="1390"/>
      <c r="AK24" s="1390"/>
      <c r="AL24" s="1391"/>
      <c r="AM24" s="1392"/>
      <c r="AN24" s="1392"/>
      <c r="AO24" s="1393"/>
      <c r="AP24" s="1390"/>
      <c r="AQ24" s="1390"/>
      <c r="AR24" s="1391"/>
      <c r="AS24" s="1392"/>
      <c r="AT24" s="1392"/>
      <c r="AU24" s="1393"/>
      <c r="AV24" s="1390"/>
      <c r="AW24" s="1390"/>
      <c r="AX24" s="1391"/>
      <c r="AY24" s="1392"/>
      <c r="AZ24" s="1392"/>
      <c r="BA24" s="1393"/>
      <c r="BB24" s="1390"/>
      <c r="BC24" s="1390"/>
      <c r="BD24" s="1391"/>
      <c r="BE24" s="1392"/>
      <c r="BF24" s="1392"/>
      <c r="BG24" s="1394"/>
      <c r="BH24" s="1390"/>
      <c r="BI24" s="1390"/>
      <c r="BJ24" s="1391"/>
      <c r="BK24" s="1392"/>
      <c r="BL24" s="1392"/>
      <c r="BM24" s="1393"/>
      <c r="BN24" s="1390"/>
      <c r="BO24" s="1390"/>
      <c r="BP24" s="1391"/>
      <c r="BQ24" s="1392"/>
      <c r="BR24" s="1392"/>
      <c r="BS24" s="1393"/>
      <c r="BT24" s="1395"/>
      <c r="BU24" s="1395"/>
      <c r="BV24" s="1396"/>
      <c r="BW24" s="530"/>
      <c r="BX24" s="530"/>
      <c r="BY24" s="1393"/>
      <c r="BZ24" s="1395"/>
      <c r="CA24" s="1395"/>
      <c r="CB24" s="1396"/>
      <c r="CC24" s="530"/>
      <c r="CD24" s="530"/>
      <c r="CE24" s="1395"/>
      <c r="CF24" s="1395"/>
      <c r="CG24" s="1396"/>
      <c r="CH24" s="530"/>
      <c r="CI24" s="530"/>
      <c r="CJ24" s="1395"/>
      <c r="CK24" s="1395"/>
      <c r="CL24" s="1395"/>
      <c r="CM24" s="1395"/>
      <c r="CN24" s="1396"/>
      <c r="CO24" s="1397"/>
      <c r="CP24" s="530"/>
      <c r="CQ24" s="1398"/>
      <c r="CR24" s="1390">
        <f t="shared" si="4"/>
        <v>0</v>
      </c>
      <c r="CS24" s="1390">
        <f t="shared" si="4"/>
        <v>0</v>
      </c>
      <c r="CT24" s="1391"/>
      <c r="CU24" s="1392"/>
      <c r="CV24" s="1392"/>
      <c r="CW24" s="1393"/>
    </row>
    <row r="25" spans="2:101">
      <c r="B25" s="126"/>
      <c r="C25" s="121"/>
      <c r="D25" s="126"/>
      <c r="E25" s="2125" t="s">
        <v>25</v>
      </c>
      <c r="F25" s="2125"/>
      <c r="G25" s="2125"/>
      <c r="H25" s="2125"/>
      <c r="I25" s="126"/>
      <c r="J25" s="126"/>
      <c r="K25" s="126" t="s">
        <v>28</v>
      </c>
      <c r="L25" s="126"/>
      <c r="M25" s="126"/>
      <c r="N25" s="126"/>
      <c r="O25" s="126"/>
      <c r="P25" s="126"/>
      <c r="Q25" s="126"/>
      <c r="R25" s="126"/>
      <c r="S25" s="126"/>
      <c r="T25" s="126"/>
      <c r="U25" s="126"/>
      <c r="V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408"/>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row>
    <row r="26" spans="2:101">
      <c r="B26" s="126"/>
      <c r="C26" s="121"/>
      <c r="D26" s="126"/>
      <c r="E26" s="2124" t="s">
        <v>2586</v>
      </c>
      <c r="F26" s="2124"/>
      <c r="G26" s="2124"/>
      <c r="H26" s="2124"/>
      <c r="I26" s="126"/>
      <c r="J26" s="126"/>
      <c r="K26" s="126"/>
      <c r="L26" s="126"/>
      <c r="M26" s="126"/>
      <c r="N26" s="126"/>
      <c r="O26" s="126"/>
      <c r="P26" s="126"/>
      <c r="Q26" s="126"/>
      <c r="R26" s="126"/>
      <c r="S26" s="126"/>
      <c r="T26" s="126"/>
      <c r="U26" s="126"/>
      <c r="V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408"/>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row>
    <row r="27" spans="2:101">
      <c r="B27" s="126"/>
      <c r="C27" s="121"/>
      <c r="D27" s="126"/>
      <c r="E27" s="2124" t="s">
        <v>2587</v>
      </c>
      <c r="F27" s="2124"/>
      <c r="G27" s="2124"/>
      <c r="H27" s="2124"/>
      <c r="I27" s="126"/>
      <c r="J27" s="126"/>
      <c r="K27" s="126"/>
      <c r="L27" s="126"/>
      <c r="M27" s="126"/>
      <c r="N27" s="126"/>
      <c r="O27" s="126"/>
      <c r="P27" s="126"/>
      <c r="Q27" s="126"/>
      <c r="R27" s="126"/>
      <c r="S27" s="126"/>
      <c r="T27" s="126"/>
      <c r="U27" s="126"/>
      <c r="V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408"/>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row>
  </sheetData>
  <mergeCells count="49">
    <mergeCell ref="E25:H25"/>
    <mergeCell ref="E26:H26"/>
    <mergeCell ref="E27:H27"/>
    <mergeCell ref="BT5:BY5"/>
    <mergeCell ref="BZ5:CE5"/>
    <mergeCell ref="CF5:CK5"/>
    <mergeCell ref="H5:H6"/>
    <mergeCell ref="I5:I6"/>
    <mergeCell ref="J5:J6"/>
    <mergeCell ref="K5:V5"/>
    <mergeCell ref="CL5:CQ5"/>
    <mergeCell ref="CR5:CW5"/>
    <mergeCell ref="CK22:CK23"/>
    <mergeCell ref="AJ5:AO5"/>
    <mergeCell ref="AP5:AU5"/>
    <mergeCell ref="AV5:BA5"/>
    <mergeCell ref="BB5:BG5"/>
    <mergeCell ref="BH5:BM5"/>
    <mergeCell ref="BN5:BS5"/>
    <mergeCell ref="X5:AC5"/>
    <mergeCell ref="AD5:AI5"/>
    <mergeCell ref="BZ3:CE3"/>
    <mergeCell ref="CF3:CK3"/>
    <mergeCell ref="CL3:CQ3"/>
    <mergeCell ref="CR3:CW3"/>
    <mergeCell ref="AP3:AU3"/>
    <mergeCell ref="AV3:BA3"/>
    <mergeCell ref="BB3:BG3"/>
    <mergeCell ref="BH3:BM3"/>
    <mergeCell ref="B5:B6"/>
    <mergeCell ref="C5:C6"/>
    <mergeCell ref="D5:D6"/>
    <mergeCell ref="E5:E6"/>
    <mergeCell ref="F5:F6"/>
    <mergeCell ref="G5:G6"/>
    <mergeCell ref="BN3:BS3"/>
    <mergeCell ref="BT3:BY3"/>
    <mergeCell ref="C3:J3"/>
    <mergeCell ref="K3:M3"/>
    <mergeCell ref="N3:V3"/>
    <mergeCell ref="X3:AC3"/>
    <mergeCell ref="AD3:AI3"/>
    <mergeCell ref="AJ3:AO3"/>
    <mergeCell ref="B1:N1"/>
    <mergeCell ref="O1:R1"/>
    <mergeCell ref="S1:V2"/>
    <mergeCell ref="A2:B2"/>
    <mergeCell ref="D2:N2"/>
    <mergeCell ref="O2:R2"/>
  </mergeCells>
  <conditionalFormatting sqref="AB16 AH19 BL19:BL20 BR19:BR20 CD19:CD20 CP19 AB19 AN19 CI20">
    <cfRule type="colorScale" priority="144">
      <colorScale>
        <cfvo type="num" val="0.69"/>
        <cfvo type="num" val="0.8"/>
        <cfvo type="num" val="0.9"/>
        <color rgb="FFF8696B"/>
        <color rgb="FFFFEB84"/>
        <color rgb="FF63BE7B"/>
      </colorScale>
    </cfRule>
  </conditionalFormatting>
  <conditionalFormatting sqref="AH16">
    <cfRule type="colorScale" priority="143">
      <colorScale>
        <cfvo type="num" val="0.69"/>
        <cfvo type="num" val="0.8"/>
        <cfvo type="num" val="0.9"/>
        <color rgb="FFF8696B"/>
        <color rgb="FFFFEB84"/>
        <color rgb="FF63BE7B"/>
      </colorScale>
    </cfRule>
  </conditionalFormatting>
  <conditionalFormatting sqref="AN16">
    <cfRule type="colorScale" priority="142">
      <colorScale>
        <cfvo type="num" val="0.69"/>
        <cfvo type="num" val="0.8"/>
        <cfvo type="num" val="0.9"/>
        <color rgb="FFF8696B"/>
        <color rgb="FFFFEB84"/>
        <color rgb="FF63BE7B"/>
      </colorScale>
    </cfRule>
  </conditionalFormatting>
  <conditionalFormatting sqref="BL16">
    <cfRule type="colorScale" priority="141">
      <colorScale>
        <cfvo type="num" val="0.69"/>
        <cfvo type="num" val="0.8"/>
        <cfvo type="num" val="0.9"/>
        <color rgb="FFF8696B"/>
        <color rgb="FFFFEB84"/>
        <color rgb="FF63BE7B"/>
      </colorScale>
    </cfRule>
  </conditionalFormatting>
  <conditionalFormatting sqref="BR16">
    <cfRule type="colorScale" priority="140">
      <colorScale>
        <cfvo type="num" val="0.69"/>
        <cfvo type="num" val="0.8"/>
        <cfvo type="num" val="0.9"/>
        <color rgb="FFF8696B"/>
        <color rgb="FFFFEB84"/>
        <color rgb="FF63BE7B"/>
      </colorScale>
    </cfRule>
  </conditionalFormatting>
  <conditionalFormatting sqref="CI16 CD16">
    <cfRule type="colorScale" priority="139">
      <colorScale>
        <cfvo type="num" val="0.69"/>
        <cfvo type="num" val="0.8"/>
        <cfvo type="num" val="0.9"/>
        <color rgb="FFF8696B"/>
        <color rgb="FFFFEB84"/>
        <color rgb="FF63BE7B"/>
      </colorScale>
    </cfRule>
  </conditionalFormatting>
  <conditionalFormatting sqref="BR17">
    <cfRule type="colorScale" priority="134">
      <colorScale>
        <cfvo type="num" val="0.69"/>
        <cfvo type="num" val="0.8"/>
        <cfvo type="num" val="0.9"/>
        <color rgb="FFF8696B"/>
        <color rgb="FFFFEB84"/>
        <color rgb="FF63BE7B"/>
      </colorScale>
    </cfRule>
  </conditionalFormatting>
  <conditionalFormatting sqref="AB17">
    <cfRule type="colorScale" priority="138">
      <colorScale>
        <cfvo type="num" val="0.69"/>
        <cfvo type="num" val="0.8"/>
        <cfvo type="num" val="0.9"/>
        <color rgb="FFF8696B"/>
        <color rgb="FFFFEB84"/>
        <color rgb="FF63BE7B"/>
      </colorScale>
    </cfRule>
  </conditionalFormatting>
  <conditionalFormatting sqref="AH17">
    <cfRule type="colorScale" priority="137">
      <colorScale>
        <cfvo type="num" val="0.69"/>
        <cfvo type="num" val="0.8"/>
        <cfvo type="num" val="0.9"/>
        <color rgb="FFF8696B"/>
        <color rgb="FFFFEB84"/>
        <color rgb="FF63BE7B"/>
      </colorScale>
    </cfRule>
  </conditionalFormatting>
  <conditionalFormatting sqref="AN17">
    <cfRule type="colorScale" priority="136">
      <colorScale>
        <cfvo type="num" val="0.69"/>
        <cfvo type="num" val="0.8"/>
        <cfvo type="num" val="0.9"/>
        <color rgb="FFF8696B"/>
        <color rgb="FFFFEB84"/>
        <color rgb="FF63BE7B"/>
      </colorScale>
    </cfRule>
  </conditionalFormatting>
  <conditionalFormatting sqref="BL17">
    <cfRule type="colorScale" priority="135">
      <colorScale>
        <cfvo type="num" val="0.69"/>
        <cfvo type="num" val="0.8"/>
        <cfvo type="num" val="0.9"/>
        <color rgb="FFF8696B"/>
        <color rgb="FFFFEB84"/>
        <color rgb="FF63BE7B"/>
      </colorScale>
    </cfRule>
  </conditionalFormatting>
  <conditionalFormatting sqref="CD17">
    <cfRule type="colorScale" priority="133">
      <colorScale>
        <cfvo type="num" val="0.69"/>
        <cfvo type="num" val="0.8"/>
        <cfvo type="num" val="0.9"/>
        <color rgb="FFF8696B"/>
        <color rgb="FFFFEB84"/>
        <color rgb="FF63BE7B"/>
      </colorScale>
    </cfRule>
  </conditionalFormatting>
  <conditionalFormatting sqref="CP17">
    <cfRule type="colorScale" priority="132">
      <colorScale>
        <cfvo type="num" val="0.69"/>
        <cfvo type="num" val="0.8"/>
        <cfvo type="num" val="0.9"/>
        <color rgb="FFF8696B"/>
        <color rgb="FFFFEB84"/>
        <color rgb="FF63BE7B"/>
      </colorScale>
    </cfRule>
  </conditionalFormatting>
  <conditionalFormatting sqref="CP18">
    <cfRule type="colorScale" priority="131">
      <colorScale>
        <cfvo type="num" val="0.69"/>
        <cfvo type="num" val="0.8"/>
        <cfvo type="num" val="0.9"/>
        <color rgb="FFF8696B"/>
        <color rgb="FFFFEB84"/>
        <color rgb="FF63BE7B"/>
      </colorScale>
    </cfRule>
  </conditionalFormatting>
  <conditionalFormatting sqref="BF24">
    <cfRule type="colorScale" priority="125">
      <colorScale>
        <cfvo type="num" val="0.69"/>
        <cfvo type="num" val="0.8"/>
        <cfvo type="num" val="0.9"/>
        <color rgb="FFF8696B"/>
        <color rgb="FFFFEB84"/>
        <color rgb="FF63BE7B"/>
      </colorScale>
    </cfRule>
  </conditionalFormatting>
  <conditionalFormatting sqref="CV24">
    <cfRule type="colorScale" priority="120">
      <colorScale>
        <cfvo type="num" val="0.69"/>
        <cfvo type="num" val="0.8"/>
        <cfvo type="num" val="0.9"/>
        <color rgb="FFF8696B"/>
        <color rgb="FFFFEB84"/>
        <color rgb="FF63BE7B"/>
      </colorScale>
    </cfRule>
  </conditionalFormatting>
  <conditionalFormatting sqref="AH24">
    <cfRule type="colorScale" priority="129">
      <colorScale>
        <cfvo type="num" val="0.69"/>
        <cfvo type="num" val="0.8"/>
        <cfvo type="num" val="0.9"/>
        <color rgb="FFF8696B"/>
        <color rgb="FFFFEB84"/>
        <color rgb="FF63BE7B"/>
      </colorScale>
    </cfRule>
  </conditionalFormatting>
  <conditionalFormatting sqref="AT24">
    <cfRule type="colorScale" priority="127">
      <colorScale>
        <cfvo type="num" val="0.69"/>
        <cfvo type="num" val="0.8"/>
        <cfvo type="num" val="0.9"/>
        <color rgb="FFF8696B"/>
        <color rgb="FFFFEB84"/>
        <color rgb="FF63BE7B"/>
      </colorScale>
    </cfRule>
  </conditionalFormatting>
  <conditionalFormatting sqref="BL24">
    <cfRule type="colorScale" priority="124">
      <colorScale>
        <cfvo type="num" val="0.69"/>
        <cfvo type="num" val="0.8"/>
        <cfvo type="num" val="0.9"/>
        <color rgb="FFF8696B"/>
        <color rgb="FFFFEB84"/>
        <color rgb="FF63BE7B"/>
      </colorScale>
    </cfRule>
  </conditionalFormatting>
  <conditionalFormatting sqref="BR24">
    <cfRule type="colorScale" priority="123">
      <colorScale>
        <cfvo type="num" val="0.69"/>
        <cfvo type="num" val="0.8"/>
        <cfvo type="num" val="0.9"/>
        <color rgb="FFF8696B"/>
        <color rgb="FFFFEB84"/>
        <color rgb="FF63BE7B"/>
      </colorScale>
    </cfRule>
  </conditionalFormatting>
  <conditionalFormatting sqref="CI24 CD24">
    <cfRule type="colorScale" priority="122">
      <colorScale>
        <cfvo type="num" val="0.69"/>
        <cfvo type="num" val="0.8"/>
        <cfvo type="num" val="0.9"/>
        <color rgb="FFF8696B"/>
        <color rgb="FFFFEB84"/>
        <color rgb="FF63BE7B"/>
      </colorScale>
    </cfRule>
  </conditionalFormatting>
  <conditionalFormatting sqref="CP24">
    <cfRule type="colorScale" priority="121">
      <colorScale>
        <cfvo type="num" val="0.69"/>
        <cfvo type="num" val="0.8"/>
        <cfvo type="num" val="0.9"/>
        <color rgb="FFF8696B"/>
        <color rgb="FFFFEB84"/>
        <color rgb="FF63BE7B"/>
      </colorScale>
    </cfRule>
  </conditionalFormatting>
  <conditionalFormatting sqref="AB24">
    <cfRule type="colorScale" priority="130">
      <colorScale>
        <cfvo type="num" val="0.69"/>
        <cfvo type="num" val="0.8"/>
        <cfvo type="num" val="0.9"/>
        <color rgb="FFF8696B"/>
        <color rgb="FFFFEB84"/>
        <color rgb="FF63BE7B"/>
      </colorScale>
    </cfRule>
  </conditionalFormatting>
  <conditionalFormatting sqref="AH21">
    <cfRule type="colorScale" priority="118">
      <colorScale>
        <cfvo type="num" val="0.69"/>
        <cfvo type="num" val="0.8"/>
        <cfvo type="num" val="0.9"/>
        <color rgb="FFF8696B"/>
        <color rgb="FFFFEB84"/>
        <color rgb="FF63BE7B"/>
      </colorScale>
    </cfRule>
  </conditionalFormatting>
  <conditionalFormatting sqref="AN24">
    <cfRule type="colorScale" priority="128">
      <colorScale>
        <cfvo type="num" val="0.69"/>
        <cfvo type="num" val="0.8"/>
        <cfvo type="num" val="0.9"/>
        <color rgb="FFF8696B"/>
        <color rgb="FFFFEB84"/>
        <color rgb="FF63BE7B"/>
      </colorScale>
    </cfRule>
  </conditionalFormatting>
  <conditionalFormatting sqref="AZ24">
    <cfRule type="colorScale" priority="126">
      <colorScale>
        <cfvo type="num" val="0.69"/>
        <cfvo type="num" val="0.8"/>
        <cfvo type="num" val="0.9"/>
        <color rgb="FFF8696B"/>
        <color rgb="FFFFEB84"/>
        <color rgb="FF63BE7B"/>
      </colorScale>
    </cfRule>
  </conditionalFormatting>
  <conditionalFormatting sqref="BL21">
    <cfRule type="colorScale" priority="116">
      <colorScale>
        <cfvo type="num" val="0.69"/>
        <cfvo type="num" val="0.8"/>
        <cfvo type="num" val="0.9"/>
        <color rgb="FFF8696B"/>
        <color rgb="FFFFEB84"/>
        <color rgb="FF63BE7B"/>
      </colorScale>
    </cfRule>
  </conditionalFormatting>
  <conditionalFormatting sqref="BR21">
    <cfRule type="colorScale" priority="115">
      <colorScale>
        <cfvo type="num" val="0.69"/>
        <cfvo type="num" val="0.8"/>
        <cfvo type="num" val="0.9"/>
        <color rgb="FFF8696B"/>
        <color rgb="FFFFEB84"/>
        <color rgb="FF63BE7B"/>
      </colorScale>
    </cfRule>
  </conditionalFormatting>
  <conditionalFormatting sqref="CD21">
    <cfRule type="colorScale" priority="114">
      <colorScale>
        <cfvo type="num" val="0.69"/>
        <cfvo type="num" val="0.8"/>
        <cfvo type="num" val="0.9"/>
        <color rgb="FFF8696B"/>
        <color rgb="FFFFEB84"/>
        <color rgb="FF63BE7B"/>
      </colorScale>
    </cfRule>
  </conditionalFormatting>
  <conditionalFormatting sqref="CP21">
    <cfRule type="colorScale" priority="113">
      <colorScale>
        <cfvo type="num" val="0.69"/>
        <cfvo type="num" val="0.8"/>
        <cfvo type="num" val="0.9"/>
        <color rgb="FFF8696B"/>
        <color rgb="FFFFEB84"/>
        <color rgb="FF63BE7B"/>
      </colorScale>
    </cfRule>
  </conditionalFormatting>
  <conditionalFormatting sqref="AB21">
    <cfRule type="colorScale" priority="119">
      <colorScale>
        <cfvo type="num" val="0.69"/>
        <cfvo type="num" val="0.8"/>
        <cfvo type="num" val="0.9"/>
        <color rgb="FFF8696B"/>
        <color rgb="FFFFEB84"/>
        <color rgb="FF63BE7B"/>
      </colorScale>
    </cfRule>
  </conditionalFormatting>
  <conditionalFormatting sqref="AN21">
    <cfRule type="colorScale" priority="117">
      <colorScale>
        <cfvo type="num" val="0.69"/>
        <cfvo type="num" val="0.8"/>
        <cfvo type="num" val="0.9"/>
        <color rgb="FFF8696B"/>
        <color rgb="FFFFEB84"/>
        <color rgb="FF63BE7B"/>
      </colorScale>
    </cfRule>
  </conditionalFormatting>
  <conditionalFormatting sqref="AH7:AH9 AH11:AH12">
    <cfRule type="colorScale" priority="111">
      <colorScale>
        <cfvo type="num" val="0.69"/>
        <cfvo type="num" val="0.8"/>
        <cfvo type="num" val="0.9"/>
        <color rgb="FFF8696B"/>
        <color rgb="FFFFEB84"/>
        <color rgb="FF63BE7B"/>
      </colorScale>
    </cfRule>
  </conditionalFormatting>
  <conditionalFormatting sqref="BL7:BL12 BL16:BL17">
    <cfRule type="colorScale" priority="109">
      <colorScale>
        <cfvo type="num" val="0.69"/>
        <cfvo type="num" val="0.8"/>
        <cfvo type="num" val="0.9"/>
        <color rgb="FFF8696B"/>
        <color rgb="FFFFEB84"/>
        <color rgb="FF63BE7B"/>
      </colorScale>
    </cfRule>
  </conditionalFormatting>
  <conditionalFormatting sqref="BR7:BR9 BR11:BR15">
    <cfRule type="colorScale" priority="108">
      <colorScale>
        <cfvo type="num" val="0.69"/>
        <cfvo type="num" val="0.8"/>
        <cfvo type="num" val="0.9"/>
        <color rgb="FFF8696B"/>
        <color rgb="FFFFEB84"/>
        <color rgb="FF63BE7B"/>
      </colorScale>
    </cfRule>
  </conditionalFormatting>
  <conditionalFormatting sqref="CD8:CD9 CD11:CD12 CI8 CI12 CD14:CD15">
    <cfRule type="colorScale" priority="107">
      <colorScale>
        <cfvo type="num" val="0.69"/>
        <cfvo type="num" val="0.8"/>
        <cfvo type="num" val="0.9"/>
        <color rgb="FFF8696B"/>
        <color rgb="FFFFEB84"/>
        <color rgb="FF63BE7B"/>
      </colorScale>
    </cfRule>
  </conditionalFormatting>
  <conditionalFormatting sqref="CP7:CP8">
    <cfRule type="colorScale" priority="106">
      <colorScale>
        <cfvo type="num" val="0.69"/>
        <cfvo type="num" val="0.8"/>
        <cfvo type="num" val="0.9"/>
        <color rgb="FFF8696B"/>
        <color rgb="FFFFEB84"/>
        <color rgb="FF63BE7B"/>
      </colorScale>
    </cfRule>
  </conditionalFormatting>
  <conditionalFormatting sqref="CV7:CV9 CV11:CV15">
    <cfRule type="colorScale" priority="105">
      <colorScale>
        <cfvo type="num" val="0.69"/>
        <cfvo type="num" val="0.8"/>
        <cfvo type="num" val="0.9"/>
        <color rgb="FFF8696B"/>
        <color rgb="FFFFEB84"/>
        <color rgb="FF63BE7B"/>
      </colorScale>
    </cfRule>
  </conditionalFormatting>
  <conditionalFormatting sqref="AB7:AB9 AB11:AB12">
    <cfRule type="colorScale" priority="112">
      <colorScale>
        <cfvo type="num" val="0.69"/>
        <cfvo type="num" val="0.8"/>
        <cfvo type="num" val="0.9"/>
        <color rgb="FFF8696B"/>
        <color rgb="FFFFEB84"/>
        <color rgb="FF63BE7B"/>
      </colorScale>
    </cfRule>
  </conditionalFormatting>
  <conditionalFormatting sqref="AN7:AN9 AN11:AN12">
    <cfRule type="colorScale" priority="110">
      <colorScale>
        <cfvo type="num" val="0.69"/>
        <cfvo type="num" val="0.8"/>
        <cfvo type="num" val="0.9"/>
        <color rgb="FFF8696B"/>
        <color rgb="FFFFEB84"/>
        <color rgb="FF63BE7B"/>
      </colorScale>
    </cfRule>
  </conditionalFormatting>
  <conditionalFormatting sqref="BL10">
    <cfRule type="colorScale" priority="103">
      <colorScale>
        <cfvo type="num" val="0.69"/>
        <cfvo type="num" val="0.8"/>
        <cfvo type="num" val="0.9"/>
        <color rgb="FFF8696B"/>
        <color rgb="FFFFEB84"/>
        <color rgb="FF63BE7B"/>
      </colorScale>
    </cfRule>
  </conditionalFormatting>
  <conditionalFormatting sqref="BR10">
    <cfRule type="colorScale" priority="102">
      <colorScale>
        <cfvo type="num" val="0.69"/>
        <cfvo type="num" val="0.8"/>
        <cfvo type="num" val="0.9"/>
        <color rgb="FFF8696B"/>
        <color rgb="FFFFEB84"/>
        <color rgb="FF63BE7B"/>
      </colorScale>
    </cfRule>
  </conditionalFormatting>
  <conditionalFormatting sqref="CD10">
    <cfRule type="colorScale" priority="101">
      <colorScale>
        <cfvo type="num" val="0.69"/>
        <cfvo type="num" val="0.8"/>
        <cfvo type="num" val="0.9"/>
        <color rgb="FFF8696B"/>
        <color rgb="FFFFEB84"/>
        <color rgb="FF63BE7B"/>
      </colorScale>
    </cfRule>
  </conditionalFormatting>
  <conditionalFormatting sqref="CV10">
    <cfRule type="colorScale" priority="100">
      <colorScale>
        <cfvo type="num" val="0.69"/>
        <cfvo type="num" val="0.8"/>
        <cfvo type="num" val="0.9"/>
        <color rgb="FFF8696B"/>
        <color rgb="FFFFEB84"/>
        <color rgb="FF63BE7B"/>
      </colorScale>
    </cfRule>
  </conditionalFormatting>
  <conditionalFormatting sqref="AB10">
    <cfRule type="colorScale" priority="104">
      <colorScale>
        <cfvo type="num" val="0.69"/>
        <cfvo type="num" val="0.8"/>
        <cfvo type="num" val="0.9"/>
        <color rgb="FFF8696B"/>
        <color rgb="FFFFEB84"/>
        <color rgb="FF63BE7B"/>
      </colorScale>
    </cfRule>
  </conditionalFormatting>
  <conditionalFormatting sqref="AB20">
    <cfRule type="colorScale" priority="99">
      <colorScale>
        <cfvo type="num" val="0.69"/>
        <cfvo type="num" val="0.8"/>
        <cfvo type="num" val="0.9"/>
        <color rgb="FFF8696B"/>
        <color rgb="FFFFEB84"/>
        <color rgb="FF63BE7B"/>
      </colorScale>
    </cfRule>
  </conditionalFormatting>
  <conditionalFormatting sqref="AH20">
    <cfRule type="colorScale" priority="98">
      <colorScale>
        <cfvo type="num" val="0.69"/>
        <cfvo type="num" val="0.8"/>
        <cfvo type="num" val="0.9"/>
        <color rgb="FFF8696B"/>
        <color rgb="FFFFEB84"/>
        <color rgb="FF63BE7B"/>
      </colorScale>
    </cfRule>
  </conditionalFormatting>
  <conditionalFormatting sqref="AN20">
    <cfRule type="colorScale" priority="97">
      <colorScale>
        <cfvo type="num" val="0.69"/>
        <cfvo type="num" val="0.8"/>
        <cfvo type="num" val="0.9"/>
        <color rgb="FFF8696B"/>
        <color rgb="FFFFEB84"/>
        <color rgb="FF63BE7B"/>
      </colorScale>
    </cfRule>
  </conditionalFormatting>
  <conditionalFormatting sqref="AH10">
    <cfRule type="colorScale" priority="96">
      <colorScale>
        <cfvo type="num" val="0.69"/>
        <cfvo type="num" val="0.8"/>
        <cfvo type="num" val="0.9"/>
        <color rgb="FFF8696B"/>
        <color rgb="FFFFEB84"/>
        <color rgb="FF63BE7B"/>
      </colorScale>
    </cfRule>
  </conditionalFormatting>
  <conditionalFormatting sqref="AN10">
    <cfRule type="colorScale" priority="95">
      <colorScale>
        <cfvo type="num" val="0.69"/>
        <cfvo type="num" val="0.8"/>
        <cfvo type="num" val="0.9"/>
        <color rgb="FFF8696B"/>
        <color rgb="FFFFEB84"/>
        <color rgb="FF63BE7B"/>
      </colorScale>
    </cfRule>
  </conditionalFormatting>
  <conditionalFormatting sqref="AH13">
    <cfRule type="colorScale" priority="94">
      <colorScale>
        <cfvo type="num" val="0.69"/>
        <cfvo type="num" val="0.8"/>
        <cfvo type="num" val="0.9"/>
        <color rgb="FFF8696B"/>
        <color rgb="FFFFEB84"/>
        <color rgb="FF63BE7B"/>
      </colorScale>
    </cfRule>
  </conditionalFormatting>
  <conditionalFormatting sqref="AB13">
    <cfRule type="colorScale" priority="93">
      <colorScale>
        <cfvo type="num" val="0.69"/>
        <cfvo type="num" val="0.8"/>
        <cfvo type="num" val="0.9"/>
        <color rgb="FFF8696B"/>
        <color rgb="FFFFEB84"/>
        <color rgb="FF63BE7B"/>
      </colorScale>
    </cfRule>
  </conditionalFormatting>
  <conditionalFormatting sqref="AN13">
    <cfRule type="colorScale" priority="92">
      <colorScale>
        <cfvo type="num" val="0.69"/>
        <cfvo type="num" val="0.8"/>
        <cfvo type="num" val="0.9"/>
        <color rgb="FFF8696B"/>
        <color rgb="FFFFEB84"/>
        <color rgb="FF63BE7B"/>
      </colorScale>
    </cfRule>
  </conditionalFormatting>
  <conditionalFormatting sqref="AH14">
    <cfRule type="colorScale" priority="91">
      <colorScale>
        <cfvo type="num" val="0.69"/>
        <cfvo type="num" val="0.8"/>
        <cfvo type="num" val="0.9"/>
        <color rgb="FFF8696B"/>
        <color rgb="FFFFEB84"/>
        <color rgb="FF63BE7B"/>
      </colorScale>
    </cfRule>
  </conditionalFormatting>
  <conditionalFormatting sqref="AB14">
    <cfRule type="colorScale" priority="90">
      <colorScale>
        <cfvo type="num" val="0.69"/>
        <cfvo type="num" val="0.8"/>
        <cfvo type="num" val="0.9"/>
        <color rgb="FFF8696B"/>
        <color rgb="FFFFEB84"/>
        <color rgb="FF63BE7B"/>
      </colorScale>
    </cfRule>
  </conditionalFormatting>
  <conditionalFormatting sqref="AN14">
    <cfRule type="colorScale" priority="89">
      <colorScale>
        <cfvo type="num" val="0.69"/>
        <cfvo type="num" val="0.8"/>
        <cfvo type="num" val="0.9"/>
        <color rgb="FFF8696B"/>
        <color rgb="FFFFEB84"/>
        <color rgb="FF63BE7B"/>
      </colorScale>
    </cfRule>
  </conditionalFormatting>
  <conditionalFormatting sqref="AH15">
    <cfRule type="colorScale" priority="88">
      <colorScale>
        <cfvo type="num" val="0.69"/>
        <cfvo type="num" val="0.8"/>
        <cfvo type="num" val="0.9"/>
        <color rgb="FFF8696B"/>
        <color rgb="FFFFEB84"/>
        <color rgb="FF63BE7B"/>
      </colorScale>
    </cfRule>
  </conditionalFormatting>
  <conditionalFormatting sqref="AB15">
    <cfRule type="colorScale" priority="87">
      <colorScale>
        <cfvo type="num" val="0.69"/>
        <cfvo type="num" val="0.8"/>
        <cfvo type="num" val="0.9"/>
        <color rgb="FFF8696B"/>
        <color rgb="FFFFEB84"/>
        <color rgb="FF63BE7B"/>
      </colorScale>
    </cfRule>
  </conditionalFormatting>
  <conditionalFormatting sqref="AN15">
    <cfRule type="colorScale" priority="86">
      <colorScale>
        <cfvo type="num" val="0.69"/>
        <cfvo type="num" val="0.8"/>
        <cfvo type="num" val="0.9"/>
        <color rgb="FFF8696B"/>
        <color rgb="FFFFEB84"/>
        <color rgb="FF63BE7B"/>
      </colorScale>
    </cfRule>
  </conditionalFormatting>
  <conditionalFormatting sqref="AN23">
    <cfRule type="colorScale" priority="85">
      <colorScale>
        <cfvo type="num" val="0.69"/>
        <cfvo type="num" val="0.8"/>
        <cfvo type="num" val="0.9"/>
        <color rgb="FFF8696B"/>
        <color rgb="FFFFEB84"/>
        <color rgb="FF63BE7B"/>
      </colorScale>
    </cfRule>
  </conditionalFormatting>
  <conditionalFormatting sqref="AT19 AT16">
    <cfRule type="colorScale" priority="84">
      <colorScale>
        <cfvo type="num" val="0.69"/>
        <cfvo type="num" val="0.8"/>
        <cfvo type="num" val="0.9"/>
        <color rgb="FFF8696B"/>
        <color rgb="FFFFEB84"/>
        <color rgb="FF63BE7B"/>
      </colorScale>
    </cfRule>
  </conditionalFormatting>
  <conditionalFormatting sqref="AT21">
    <cfRule type="colorScale" priority="83">
      <colorScale>
        <cfvo type="num" val="0.69"/>
        <cfvo type="num" val="0.8"/>
        <cfvo type="num" val="0.9"/>
        <color rgb="FFF8696B"/>
        <color rgb="FFFFEB84"/>
        <color rgb="FF63BE7B"/>
      </colorScale>
    </cfRule>
  </conditionalFormatting>
  <conditionalFormatting sqref="AT7:AT9 AT11:AT12">
    <cfRule type="colorScale" priority="82">
      <colorScale>
        <cfvo type="num" val="0.69"/>
        <cfvo type="num" val="0.8"/>
        <cfvo type="num" val="0.9"/>
        <color rgb="FFF8696B"/>
        <color rgb="FFFFEB84"/>
        <color rgb="FF63BE7B"/>
      </colorScale>
    </cfRule>
  </conditionalFormatting>
  <conditionalFormatting sqref="AT20">
    <cfRule type="colorScale" priority="81">
      <colorScale>
        <cfvo type="num" val="0.69"/>
        <cfvo type="num" val="0.8"/>
        <cfvo type="num" val="0.9"/>
        <color rgb="FFF8696B"/>
        <color rgb="FFFFEB84"/>
        <color rgb="FF63BE7B"/>
      </colorScale>
    </cfRule>
  </conditionalFormatting>
  <conditionalFormatting sqref="AZ16 AZ19">
    <cfRule type="colorScale" priority="80">
      <colorScale>
        <cfvo type="num" val="0.69"/>
        <cfvo type="num" val="0.8"/>
        <cfvo type="num" val="0.9"/>
        <color rgb="FFF8696B"/>
        <color rgb="FFFFEB84"/>
        <color rgb="FF63BE7B"/>
      </colorScale>
    </cfRule>
  </conditionalFormatting>
  <conditionalFormatting sqref="AZ21">
    <cfRule type="colorScale" priority="79">
      <colorScale>
        <cfvo type="num" val="0.69"/>
        <cfvo type="num" val="0.8"/>
        <cfvo type="num" val="0.9"/>
        <color rgb="FFF8696B"/>
        <color rgb="FFFFEB84"/>
        <color rgb="FF63BE7B"/>
      </colorScale>
    </cfRule>
  </conditionalFormatting>
  <conditionalFormatting sqref="AZ7:AZ9 AZ11:AZ12">
    <cfRule type="colorScale" priority="78">
      <colorScale>
        <cfvo type="num" val="0.69"/>
        <cfvo type="num" val="0.8"/>
        <cfvo type="num" val="0.9"/>
        <color rgb="FFF8696B"/>
        <color rgb="FFFFEB84"/>
        <color rgb="FF63BE7B"/>
      </colorScale>
    </cfRule>
  </conditionalFormatting>
  <conditionalFormatting sqref="AZ20">
    <cfRule type="colorScale" priority="77">
      <colorScale>
        <cfvo type="num" val="0.69"/>
        <cfvo type="num" val="0.8"/>
        <cfvo type="num" val="0.9"/>
        <color rgb="FFF8696B"/>
        <color rgb="FFFFEB84"/>
        <color rgb="FF63BE7B"/>
      </colorScale>
    </cfRule>
  </conditionalFormatting>
  <conditionalFormatting sqref="BF12 BF8 BF16 BF21:BF23">
    <cfRule type="colorScale" priority="75">
      <colorScale>
        <cfvo type="num" val="0.69"/>
        <cfvo type="num" val="0.8"/>
        <cfvo type="num" val="0.9"/>
        <color rgb="FFF8696B"/>
        <color rgb="FFFFEB84"/>
        <color rgb="FF63BE7B"/>
      </colorScale>
    </cfRule>
  </conditionalFormatting>
  <conditionalFormatting sqref="BF7">
    <cfRule type="colorScale" priority="76">
      <colorScale>
        <cfvo type="num" val="0.69"/>
        <cfvo type="num" val="0.8"/>
        <cfvo type="num" val="0.9"/>
        <color rgb="FFF8696B"/>
        <color rgb="FFFFEB84"/>
        <color rgb="FF63BE7B"/>
      </colorScale>
    </cfRule>
  </conditionalFormatting>
  <conditionalFormatting sqref="BF9">
    <cfRule type="colorScale" priority="74">
      <colorScale>
        <cfvo type="num" val="0.69"/>
        <cfvo type="num" val="0.8"/>
        <cfvo type="num" val="0.9"/>
        <color rgb="FFF8696B"/>
        <color rgb="FFFFEB84"/>
        <color rgb="FF63BE7B"/>
      </colorScale>
    </cfRule>
  </conditionalFormatting>
  <conditionalFormatting sqref="AT10">
    <cfRule type="colorScale" priority="73">
      <colorScale>
        <cfvo type="num" val="0.69"/>
        <cfvo type="num" val="0.8"/>
        <cfvo type="num" val="0.9"/>
        <color rgb="FFF8696B"/>
        <color rgb="FFFFEB84"/>
        <color rgb="FF63BE7B"/>
      </colorScale>
    </cfRule>
  </conditionalFormatting>
  <conditionalFormatting sqref="AZ10">
    <cfRule type="colorScale" priority="72">
      <colorScale>
        <cfvo type="num" val="0.69"/>
        <cfvo type="num" val="0.8"/>
        <cfvo type="num" val="0.9"/>
        <color rgb="FFF8696B"/>
        <color rgb="FFFFEB84"/>
        <color rgb="FF63BE7B"/>
      </colorScale>
    </cfRule>
  </conditionalFormatting>
  <conditionalFormatting sqref="BF10">
    <cfRule type="colorScale" priority="71">
      <colorScale>
        <cfvo type="num" val="0.69"/>
        <cfvo type="num" val="0.8"/>
        <cfvo type="num" val="0.9"/>
        <color rgb="FFF8696B"/>
        <color rgb="FFFFEB84"/>
        <color rgb="FF63BE7B"/>
      </colorScale>
    </cfRule>
  </conditionalFormatting>
  <conditionalFormatting sqref="BF11">
    <cfRule type="colorScale" priority="70">
      <colorScale>
        <cfvo type="num" val="0.69"/>
        <cfvo type="num" val="0.8"/>
        <cfvo type="num" val="0.9"/>
        <color rgb="FFF8696B"/>
        <color rgb="FFFFEB84"/>
        <color rgb="FF63BE7B"/>
      </colorScale>
    </cfRule>
  </conditionalFormatting>
  <conditionalFormatting sqref="AT13">
    <cfRule type="colorScale" priority="69">
      <colorScale>
        <cfvo type="num" val="0.69"/>
        <cfvo type="num" val="0.8"/>
        <cfvo type="num" val="0.9"/>
        <color rgb="FFF8696B"/>
        <color rgb="FFFFEB84"/>
        <color rgb="FF63BE7B"/>
      </colorScale>
    </cfRule>
  </conditionalFormatting>
  <conditionalFormatting sqref="AZ13">
    <cfRule type="colorScale" priority="68">
      <colorScale>
        <cfvo type="num" val="0.69"/>
        <cfvo type="num" val="0.8"/>
        <cfvo type="num" val="0.9"/>
        <color rgb="FFF8696B"/>
        <color rgb="FFFFEB84"/>
        <color rgb="FF63BE7B"/>
      </colorScale>
    </cfRule>
  </conditionalFormatting>
  <conditionalFormatting sqref="BF13">
    <cfRule type="colorScale" priority="67">
      <colorScale>
        <cfvo type="num" val="0.69"/>
        <cfvo type="num" val="0.8"/>
        <cfvo type="num" val="0.9"/>
        <color rgb="FFF8696B"/>
        <color rgb="FFFFEB84"/>
        <color rgb="FF63BE7B"/>
      </colorScale>
    </cfRule>
  </conditionalFormatting>
  <conditionalFormatting sqref="AT14">
    <cfRule type="colorScale" priority="66">
      <colorScale>
        <cfvo type="num" val="0.69"/>
        <cfvo type="num" val="0.8"/>
        <cfvo type="num" val="0.9"/>
        <color rgb="FFF8696B"/>
        <color rgb="FFFFEB84"/>
        <color rgb="FF63BE7B"/>
      </colorScale>
    </cfRule>
  </conditionalFormatting>
  <conditionalFormatting sqref="AZ14">
    <cfRule type="colorScale" priority="65">
      <colorScale>
        <cfvo type="num" val="0.69"/>
        <cfvo type="num" val="0.8"/>
        <cfvo type="num" val="0.9"/>
        <color rgb="FFF8696B"/>
        <color rgb="FFFFEB84"/>
        <color rgb="FF63BE7B"/>
      </colorScale>
    </cfRule>
  </conditionalFormatting>
  <conditionalFormatting sqref="BF14">
    <cfRule type="colorScale" priority="64">
      <colorScale>
        <cfvo type="num" val="0.69"/>
        <cfvo type="num" val="0.8"/>
        <cfvo type="num" val="0.9"/>
        <color rgb="FFF8696B"/>
        <color rgb="FFFFEB84"/>
        <color rgb="FF63BE7B"/>
      </colorScale>
    </cfRule>
  </conditionalFormatting>
  <conditionalFormatting sqref="AT15">
    <cfRule type="colorScale" priority="63">
      <colorScale>
        <cfvo type="num" val="0.69"/>
        <cfvo type="num" val="0.8"/>
        <cfvo type="num" val="0.9"/>
        <color rgb="FFF8696B"/>
        <color rgb="FFFFEB84"/>
        <color rgb="FF63BE7B"/>
      </colorScale>
    </cfRule>
  </conditionalFormatting>
  <conditionalFormatting sqref="AZ15">
    <cfRule type="colorScale" priority="62">
      <colorScale>
        <cfvo type="num" val="0.69"/>
        <cfvo type="num" val="0.8"/>
        <cfvo type="num" val="0.9"/>
        <color rgb="FFF8696B"/>
        <color rgb="FFFFEB84"/>
        <color rgb="FF63BE7B"/>
      </colorScale>
    </cfRule>
  </conditionalFormatting>
  <conditionalFormatting sqref="BF15">
    <cfRule type="colorScale" priority="61">
      <colorScale>
        <cfvo type="num" val="0.69"/>
        <cfvo type="num" val="0.8"/>
        <cfvo type="num" val="0.9"/>
        <color rgb="FFF8696B"/>
        <color rgb="FFFFEB84"/>
        <color rgb="FF63BE7B"/>
      </colorScale>
    </cfRule>
  </conditionalFormatting>
  <conditionalFormatting sqref="AT17 AZ17 BF17">
    <cfRule type="colorScale" priority="60">
      <colorScale>
        <cfvo type="num" val="0.69"/>
        <cfvo type="num" val="0.8"/>
        <cfvo type="num" val="0.9"/>
        <color rgb="FFF8696B"/>
        <color rgb="FFFFEB84"/>
        <color rgb="FF63BE7B"/>
      </colorScale>
    </cfRule>
  </conditionalFormatting>
  <conditionalFormatting sqref="BF19">
    <cfRule type="colorScale" priority="59">
      <colorScale>
        <cfvo type="num" val="0.69"/>
        <cfvo type="num" val="0.8"/>
        <cfvo type="num" val="0.9"/>
        <color rgb="FFF8696B"/>
        <color rgb="FFFFEB84"/>
        <color rgb="FF63BE7B"/>
      </colorScale>
    </cfRule>
  </conditionalFormatting>
  <conditionalFormatting sqref="BF20">
    <cfRule type="colorScale" priority="58">
      <colorScale>
        <cfvo type="num" val="0.69"/>
        <cfvo type="num" val="0.8"/>
        <cfvo type="num" val="0.9"/>
        <color rgb="FFF8696B"/>
        <color rgb="FFFFEB84"/>
        <color rgb="FF63BE7B"/>
      </colorScale>
    </cfRule>
  </conditionalFormatting>
  <conditionalFormatting sqref="BL11">
    <cfRule type="colorScale" priority="57">
      <colorScale>
        <cfvo type="num" val="0.69"/>
        <cfvo type="num" val="0.8"/>
        <cfvo type="num" val="0.9"/>
        <color rgb="FFF8696B"/>
        <color rgb="FFFFEB84"/>
        <color rgb="FF63BE7B"/>
      </colorScale>
    </cfRule>
  </conditionalFormatting>
  <conditionalFormatting sqref="BL12">
    <cfRule type="colorScale" priority="56">
      <colorScale>
        <cfvo type="num" val="0.69"/>
        <cfvo type="num" val="0.8"/>
        <cfvo type="num" val="0.9"/>
        <color rgb="FFF8696B"/>
        <color rgb="FFFFEB84"/>
        <color rgb="FF63BE7B"/>
      </colorScale>
    </cfRule>
  </conditionalFormatting>
  <conditionalFormatting sqref="BL13:BL14">
    <cfRule type="colorScale" priority="55">
      <colorScale>
        <cfvo type="num" val="0.69"/>
        <cfvo type="num" val="0.8"/>
        <cfvo type="num" val="0.9"/>
        <color rgb="FFF8696B"/>
        <color rgb="FFFFEB84"/>
        <color rgb="FF63BE7B"/>
      </colorScale>
    </cfRule>
  </conditionalFormatting>
  <conditionalFormatting sqref="BL15">
    <cfRule type="colorScale" priority="54">
      <colorScale>
        <cfvo type="num" val="0.69"/>
        <cfvo type="num" val="0.8"/>
        <cfvo type="num" val="0.9"/>
        <color rgb="FFF8696B"/>
        <color rgb="FFFFEB84"/>
        <color rgb="FF63BE7B"/>
      </colorScale>
    </cfRule>
  </conditionalFormatting>
  <conditionalFormatting sqref="BX12 BX16 BX21:BX23">
    <cfRule type="colorScale" priority="52">
      <colorScale>
        <cfvo type="num" val="0.69"/>
        <cfvo type="num" val="0.8"/>
        <cfvo type="num" val="0.9"/>
        <color rgb="FFF8696B"/>
        <color rgb="FFFFEB84"/>
        <color rgb="FF63BE7B"/>
      </colorScale>
    </cfRule>
  </conditionalFormatting>
  <conditionalFormatting sqref="BX7 BX24">
    <cfRule type="colorScale" priority="53">
      <colorScale>
        <cfvo type="num" val="0.69"/>
        <cfvo type="num" val="0.8"/>
        <cfvo type="num" val="0.9"/>
        <color rgb="FFF8696B"/>
        <color rgb="FFFFEB84"/>
        <color rgb="FF63BE7B"/>
      </colorScale>
    </cfRule>
  </conditionalFormatting>
  <conditionalFormatting sqref="BX9">
    <cfRule type="colorScale" priority="51">
      <colorScale>
        <cfvo type="num" val="0.69"/>
        <cfvo type="num" val="0.8"/>
        <cfvo type="num" val="0.9"/>
        <color rgb="FFF8696B"/>
        <color rgb="FFFFEB84"/>
        <color rgb="FF63BE7B"/>
      </colorScale>
    </cfRule>
  </conditionalFormatting>
  <conditionalFormatting sqref="BX10">
    <cfRule type="colorScale" priority="50">
      <colorScale>
        <cfvo type="num" val="0.69"/>
        <cfvo type="num" val="0.8"/>
        <cfvo type="num" val="0.9"/>
        <color rgb="FFF8696B"/>
        <color rgb="FFFFEB84"/>
        <color rgb="FF63BE7B"/>
      </colorScale>
    </cfRule>
  </conditionalFormatting>
  <conditionalFormatting sqref="BX11">
    <cfRule type="colorScale" priority="49">
      <colorScale>
        <cfvo type="num" val="0.69"/>
        <cfvo type="num" val="0.8"/>
        <cfvo type="num" val="0.9"/>
        <color rgb="FFF8696B"/>
        <color rgb="FFFFEB84"/>
        <color rgb="FF63BE7B"/>
      </colorScale>
    </cfRule>
  </conditionalFormatting>
  <conditionalFormatting sqref="BX13">
    <cfRule type="colorScale" priority="48">
      <colorScale>
        <cfvo type="num" val="0.69"/>
        <cfvo type="num" val="0.8"/>
        <cfvo type="num" val="0.9"/>
        <color rgb="FFF8696B"/>
        <color rgb="FFFFEB84"/>
        <color rgb="FF63BE7B"/>
      </colorScale>
    </cfRule>
  </conditionalFormatting>
  <conditionalFormatting sqref="BX14">
    <cfRule type="colorScale" priority="47">
      <colorScale>
        <cfvo type="num" val="0.69"/>
        <cfvo type="num" val="0.8"/>
        <cfvo type="num" val="0.9"/>
        <color rgb="FFF8696B"/>
        <color rgb="FFFFEB84"/>
        <color rgb="FF63BE7B"/>
      </colorScale>
    </cfRule>
  </conditionalFormatting>
  <conditionalFormatting sqref="BX15">
    <cfRule type="colorScale" priority="46">
      <colorScale>
        <cfvo type="num" val="0.69"/>
        <cfvo type="num" val="0.8"/>
        <cfvo type="num" val="0.9"/>
        <color rgb="FFF8696B"/>
        <color rgb="FFFFEB84"/>
        <color rgb="FF63BE7B"/>
      </colorScale>
    </cfRule>
  </conditionalFormatting>
  <conditionalFormatting sqref="BX17">
    <cfRule type="colorScale" priority="45">
      <colorScale>
        <cfvo type="num" val="0.69"/>
        <cfvo type="num" val="0.8"/>
        <cfvo type="num" val="0.9"/>
        <color rgb="FFF8696B"/>
        <color rgb="FFFFEB84"/>
        <color rgb="FF63BE7B"/>
      </colorScale>
    </cfRule>
  </conditionalFormatting>
  <conditionalFormatting sqref="BX19">
    <cfRule type="colorScale" priority="44">
      <colorScale>
        <cfvo type="num" val="0.69"/>
        <cfvo type="num" val="0.8"/>
        <cfvo type="num" val="0.9"/>
        <color rgb="FFF8696B"/>
        <color rgb="FFFFEB84"/>
        <color rgb="FF63BE7B"/>
      </colorScale>
    </cfRule>
  </conditionalFormatting>
  <conditionalFormatting sqref="BX20">
    <cfRule type="colorScale" priority="43">
      <colorScale>
        <cfvo type="num" val="0.69"/>
        <cfvo type="num" val="0.8"/>
        <cfvo type="num" val="0.9"/>
        <color rgb="FFF8696B"/>
        <color rgb="FFFFEB84"/>
        <color rgb="FF63BE7B"/>
      </colorScale>
    </cfRule>
  </conditionalFormatting>
  <conditionalFormatting sqref="BX8">
    <cfRule type="colorScale" priority="42">
      <colorScale>
        <cfvo type="num" val="0.69"/>
        <cfvo type="num" val="0.8"/>
        <cfvo type="num" val="0.9"/>
        <color rgb="FFF8696B"/>
        <color rgb="FFFFEB84"/>
        <color rgb="FF63BE7B"/>
      </colorScale>
    </cfRule>
  </conditionalFormatting>
  <conditionalFormatting sqref="BR23">
    <cfRule type="colorScale" priority="41">
      <colorScale>
        <cfvo type="num" val="0.69"/>
        <cfvo type="num" val="0.8"/>
        <cfvo type="num" val="0.9"/>
        <color rgb="FFF8696B"/>
        <color rgb="FFFFEB84"/>
        <color rgb="FF63BE7B"/>
      </colorScale>
    </cfRule>
  </conditionalFormatting>
  <conditionalFormatting sqref="CD7 CI7">
    <cfRule type="colorScale" priority="40">
      <colorScale>
        <cfvo type="num" val="0.69"/>
        <cfvo type="num" val="0.8"/>
        <cfvo type="num" val="0.9"/>
        <color rgb="FFF8696B"/>
        <color rgb="FFFFEB84"/>
        <color rgb="FF63BE7B"/>
      </colorScale>
    </cfRule>
  </conditionalFormatting>
  <conditionalFormatting sqref="CD13">
    <cfRule type="colorScale" priority="39">
      <colorScale>
        <cfvo type="num" val="0.69"/>
        <cfvo type="num" val="0.8"/>
        <cfvo type="num" val="0.9"/>
        <color rgb="FFF8696B"/>
        <color rgb="FFFFEB84"/>
        <color rgb="FF63BE7B"/>
      </colorScale>
    </cfRule>
  </conditionalFormatting>
  <conditionalFormatting sqref="CJ13">
    <cfRule type="colorScale" priority="38">
      <colorScale>
        <cfvo type="num" val="0.69"/>
        <cfvo type="num" val="0.8"/>
        <cfvo type="num" val="0.9"/>
        <color rgb="FFF8696B"/>
        <color rgb="FFFFEB84"/>
        <color rgb="FF63BE7B"/>
      </colorScale>
    </cfRule>
  </conditionalFormatting>
  <conditionalFormatting sqref="CJ14">
    <cfRule type="colorScale" priority="37">
      <colorScale>
        <cfvo type="num" val="0.69"/>
        <cfvo type="num" val="0.8"/>
        <cfvo type="num" val="0.9"/>
        <color rgb="FFF8696B"/>
        <color rgb="FFFFEB84"/>
        <color rgb="FF63BE7B"/>
      </colorScale>
    </cfRule>
  </conditionalFormatting>
  <conditionalFormatting sqref="CJ15">
    <cfRule type="colorScale" priority="36">
      <colorScale>
        <cfvo type="num" val="0.69"/>
        <cfvo type="num" val="0.8"/>
        <cfvo type="num" val="0.9"/>
        <color rgb="FFF8696B"/>
        <color rgb="FFFFEB84"/>
        <color rgb="FF63BE7B"/>
      </colorScale>
    </cfRule>
  </conditionalFormatting>
  <conditionalFormatting sqref="CJ9">
    <cfRule type="colorScale" priority="35">
      <colorScale>
        <cfvo type="num" val="0.69"/>
        <cfvo type="num" val="0.8"/>
        <cfvo type="num" val="0.9"/>
        <color rgb="FFF8696B"/>
        <color rgb="FFFFEB84"/>
        <color rgb="FF63BE7B"/>
      </colorScale>
    </cfRule>
  </conditionalFormatting>
  <conditionalFormatting sqref="CJ10">
    <cfRule type="colorScale" priority="34">
      <colorScale>
        <cfvo type="num" val="0.69"/>
        <cfvo type="num" val="0.8"/>
        <cfvo type="num" val="0.9"/>
        <color rgb="FFF8696B"/>
        <color rgb="FFFFEB84"/>
        <color rgb="FF63BE7B"/>
      </colorScale>
    </cfRule>
  </conditionalFormatting>
  <conditionalFormatting sqref="CJ11">
    <cfRule type="colorScale" priority="33">
      <colorScale>
        <cfvo type="num" val="0.69"/>
        <cfvo type="num" val="0.8"/>
        <cfvo type="num" val="0.9"/>
        <color rgb="FFF8696B"/>
        <color rgb="FFFFEB84"/>
        <color rgb="FF63BE7B"/>
      </colorScale>
    </cfRule>
  </conditionalFormatting>
  <conditionalFormatting sqref="CJ21">
    <cfRule type="colorScale" priority="32">
      <colorScale>
        <cfvo type="num" val="0.69"/>
        <cfvo type="num" val="0.8"/>
        <cfvo type="num" val="0.9"/>
        <color rgb="FFF8696B"/>
        <color rgb="FFFFEB84"/>
        <color rgb="FF63BE7B"/>
      </colorScale>
    </cfRule>
  </conditionalFormatting>
  <conditionalFormatting sqref="CJ19">
    <cfRule type="colorScale" priority="31">
      <colorScale>
        <cfvo type="num" val="0.69"/>
        <cfvo type="num" val="0.8"/>
        <cfvo type="num" val="0.9"/>
        <color rgb="FFF8696B"/>
        <color rgb="FFFFEB84"/>
        <color rgb="FF63BE7B"/>
      </colorScale>
    </cfRule>
  </conditionalFormatting>
  <conditionalFormatting sqref="AH18">
    <cfRule type="colorScale" priority="29">
      <colorScale>
        <cfvo type="num" val="0.69"/>
        <cfvo type="num" val="0.8"/>
        <cfvo type="num" val="0.9"/>
        <color rgb="FFF8696B"/>
        <color rgb="FFFFEB84"/>
        <color rgb="FF63BE7B"/>
      </colorScale>
    </cfRule>
  </conditionalFormatting>
  <conditionalFormatting sqref="BL18">
    <cfRule type="colorScale" priority="27">
      <colorScale>
        <cfvo type="num" val="0.69"/>
        <cfvo type="num" val="0.8"/>
        <cfvo type="num" val="0.9"/>
        <color rgb="FFF8696B"/>
        <color rgb="FFFFEB84"/>
        <color rgb="FF63BE7B"/>
      </colorScale>
    </cfRule>
  </conditionalFormatting>
  <conditionalFormatting sqref="BR18">
    <cfRule type="colorScale" priority="26">
      <colorScale>
        <cfvo type="num" val="0.69"/>
        <cfvo type="num" val="0.8"/>
        <cfvo type="num" val="0.9"/>
        <color rgb="FFF8696B"/>
        <color rgb="FFFFEB84"/>
        <color rgb="FF63BE7B"/>
      </colorScale>
    </cfRule>
  </conditionalFormatting>
  <conditionalFormatting sqref="CD18">
    <cfRule type="colorScale" priority="25">
      <colorScale>
        <cfvo type="num" val="0.69"/>
        <cfvo type="num" val="0.8"/>
        <cfvo type="num" val="0.9"/>
        <color rgb="FFF8696B"/>
        <color rgb="FFFFEB84"/>
        <color rgb="FF63BE7B"/>
      </colorScale>
    </cfRule>
  </conditionalFormatting>
  <conditionalFormatting sqref="AB18">
    <cfRule type="colorScale" priority="30">
      <colorScale>
        <cfvo type="num" val="0.69"/>
        <cfvo type="num" val="0.8"/>
        <cfvo type="num" val="0.9"/>
        <color rgb="FFF8696B"/>
        <color rgb="FFFFEB84"/>
        <color rgb="FF63BE7B"/>
      </colorScale>
    </cfRule>
  </conditionalFormatting>
  <conditionalFormatting sqref="AN18">
    <cfRule type="colorScale" priority="28">
      <colorScale>
        <cfvo type="num" val="0.69"/>
        <cfvo type="num" val="0.8"/>
        <cfvo type="num" val="0.9"/>
        <color rgb="FFF8696B"/>
        <color rgb="FFFFEB84"/>
        <color rgb="FF63BE7B"/>
      </colorScale>
    </cfRule>
  </conditionalFormatting>
  <conditionalFormatting sqref="AT18">
    <cfRule type="colorScale" priority="24">
      <colorScale>
        <cfvo type="num" val="0.69"/>
        <cfvo type="num" val="0.8"/>
        <cfvo type="num" val="0.9"/>
        <color rgb="FFF8696B"/>
        <color rgb="FFFFEB84"/>
        <color rgb="FF63BE7B"/>
      </colorScale>
    </cfRule>
  </conditionalFormatting>
  <conditionalFormatting sqref="AZ18">
    <cfRule type="colorScale" priority="23">
      <colorScale>
        <cfvo type="num" val="0.69"/>
        <cfvo type="num" val="0.8"/>
        <cfvo type="num" val="0.9"/>
        <color rgb="FFF8696B"/>
        <color rgb="FFFFEB84"/>
        <color rgb="FF63BE7B"/>
      </colorScale>
    </cfRule>
  </conditionalFormatting>
  <conditionalFormatting sqref="BF18">
    <cfRule type="colorScale" priority="22">
      <colorScale>
        <cfvo type="num" val="0.69"/>
        <cfvo type="num" val="0.8"/>
        <cfvo type="num" val="0.9"/>
        <color rgb="FFF8696B"/>
        <color rgb="FFFFEB84"/>
        <color rgb="FF63BE7B"/>
      </colorScale>
    </cfRule>
  </conditionalFormatting>
  <conditionalFormatting sqref="BX18">
    <cfRule type="colorScale" priority="21">
      <colorScale>
        <cfvo type="num" val="0.69"/>
        <cfvo type="num" val="0.8"/>
        <cfvo type="num" val="0.9"/>
        <color rgb="FFF8696B"/>
        <color rgb="FFFFEB84"/>
        <color rgb="FF63BE7B"/>
      </colorScale>
    </cfRule>
  </conditionalFormatting>
  <conditionalFormatting sqref="CJ18">
    <cfRule type="colorScale" priority="20">
      <colorScale>
        <cfvo type="num" val="0.69"/>
        <cfvo type="num" val="0.8"/>
        <cfvo type="num" val="0.9"/>
        <color rgb="FFF8696B"/>
        <color rgb="FFFFEB84"/>
        <color rgb="FF63BE7B"/>
      </colorScale>
    </cfRule>
  </conditionalFormatting>
  <conditionalFormatting sqref="CJ17">
    <cfRule type="colorScale" priority="19">
      <colorScale>
        <cfvo type="num" val="0.69"/>
        <cfvo type="num" val="0.8"/>
        <cfvo type="num" val="0.9"/>
        <color rgb="FFF8696B"/>
        <color rgb="FFFFEB84"/>
        <color rgb="FF63BE7B"/>
      </colorScale>
    </cfRule>
  </conditionalFormatting>
  <conditionalFormatting sqref="CJ7">
    <cfRule type="colorScale" priority="18">
      <colorScale>
        <cfvo type="num" val="0.69"/>
        <cfvo type="num" val="0.8"/>
        <cfvo type="num" val="0.9"/>
        <color rgb="FFF8696B"/>
        <color rgb="FFFFEB84"/>
        <color rgb="FF63BE7B"/>
      </colorScale>
    </cfRule>
  </conditionalFormatting>
  <conditionalFormatting sqref="CD22:CD23">
    <cfRule type="colorScale" priority="17">
      <colorScale>
        <cfvo type="num" val="0.69"/>
        <cfvo type="num" val="0.8"/>
        <cfvo type="num" val="0.9"/>
        <color rgb="FFF8696B"/>
        <color rgb="FFFFEB84"/>
        <color rgb="FF63BE7B"/>
      </colorScale>
    </cfRule>
  </conditionalFormatting>
  <conditionalFormatting sqref="CP7:CP22 CP24">
    <cfRule type="colorScale" priority="16">
      <colorScale>
        <cfvo type="num" val="0.69"/>
        <cfvo type="num" val="0.8"/>
        <cfvo type="num" val="0.9"/>
        <color rgb="FFF8696B"/>
        <color rgb="FFFFEB84"/>
        <color rgb="FF63BE7B"/>
      </colorScale>
    </cfRule>
  </conditionalFormatting>
  <conditionalFormatting sqref="CP9:CP18">
    <cfRule type="colorScale" priority="15">
      <colorScale>
        <cfvo type="num" val="0.69"/>
        <cfvo type="num" val="0.8"/>
        <cfvo type="num" val="0.9"/>
        <color rgb="FFF8696B"/>
        <color rgb="FFFFEB84"/>
        <color rgb="FF63BE7B"/>
      </colorScale>
    </cfRule>
  </conditionalFormatting>
  <conditionalFormatting sqref="CO20">
    <cfRule type="colorScale" priority="14">
      <colorScale>
        <cfvo type="num" val="0.69"/>
        <cfvo type="num" val="0.8"/>
        <cfvo type="num" val="0.9"/>
        <color rgb="FFF8696B"/>
        <color rgb="FFFFEB84"/>
        <color rgb="FF63BE7B"/>
      </colorScale>
    </cfRule>
  </conditionalFormatting>
  <conditionalFormatting sqref="CP9">
    <cfRule type="colorScale" priority="13">
      <colorScale>
        <cfvo type="num" val="0.69"/>
        <cfvo type="num" val="0.8"/>
        <cfvo type="num" val="0.9"/>
        <color rgb="FFF8696B"/>
        <color rgb="FFFFEB84"/>
        <color rgb="FF63BE7B"/>
      </colorScale>
    </cfRule>
  </conditionalFormatting>
  <conditionalFormatting sqref="CP10:CP18">
    <cfRule type="colorScale" priority="12">
      <colorScale>
        <cfvo type="num" val="0.69"/>
        <cfvo type="num" val="0.8"/>
        <cfvo type="num" val="0.9"/>
        <color rgb="FFF8696B"/>
        <color rgb="FFFFEB84"/>
        <color rgb="FF63BE7B"/>
      </colorScale>
    </cfRule>
  </conditionalFormatting>
  <conditionalFormatting sqref="CV16">
    <cfRule type="colorScale" priority="11">
      <colorScale>
        <cfvo type="num" val="0.69"/>
        <cfvo type="num" val="0.8"/>
        <cfvo type="num" val="0.9"/>
        <color rgb="FFF8696B"/>
        <color rgb="FFFFEB84"/>
        <color rgb="FF63BE7B"/>
      </colorScale>
    </cfRule>
  </conditionalFormatting>
  <conditionalFormatting sqref="CV17">
    <cfRule type="colorScale" priority="10">
      <colorScale>
        <cfvo type="num" val="0.69"/>
        <cfvo type="num" val="0.8"/>
        <cfvo type="num" val="0.9"/>
        <color rgb="FFF8696B"/>
        <color rgb="FFFFEB84"/>
        <color rgb="FF63BE7B"/>
      </colorScale>
    </cfRule>
  </conditionalFormatting>
  <conditionalFormatting sqref="CV18">
    <cfRule type="colorScale" priority="9">
      <colorScale>
        <cfvo type="num" val="0.69"/>
        <cfvo type="num" val="0.8"/>
        <cfvo type="num" val="0.9"/>
        <color rgb="FFF8696B"/>
        <color rgb="FFFFEB84"/>
        <color rgb="FF63BE7B"/>
      </colorScale>
    </cfRule>
  </conditionalFormatting>
  <conditionalFormatting sqref="CV19">
    <cfRule type="colorScale" priority="8">
      <colorScale>
        <cfvo type="num" val="0.69"/>
        <cfvo type="num" val="0.8"/>
        <cfvo type="num" val="0.9"/>
        <color rgb="FFF8696B"/>
        <color rgb="FFFFEB84"/>
        <color rgb="FF63BE7B"/>
      </colorScale>
    </cfRule>
  </conditionalFormatting>
  <conditionalFormatting sqref="CV20">
    <cfRule type="colorScale" priority="7">
      <colorScale>
        <cfvo type="num" val="0.69"/>
        <cfvo type="num" val="0.8"/>
        <cfvo type="num" val="0.9"/>
        <color rgb="FFF8696B"/>
        <color rgb="FFFFEB84"/>
        <color rgb="FF63BE7B"/>
      </colorScale>
    </cfRule>
  </conditionalFormatting>
  <conditionalFormatting sqref="CV21">
    <cfRule type="colorScale" priority="6">
      <colorScale>
        <cfvo type="num" val="0.69"/>
        <cfvo type="num" val="0.8"/>
        <cfvo type="num" val="0.9"/>
        <color rgb="FFF8696B"/>
        <color rgb="FFFFEB84"/>
        <color rgb="FF63BE7B"/>
      </colorScale>
    </cfRule>
  </conditionalFormatting>
  <conditionalFormatting sqref="CV22">
    <cfRule type="colorScale" priority="5">
      <colorScale>
        <cfvo type="num" val="0.69"/>
        <cfvo type="num" val="0.8"/>
        <cfvo type="num" val="0.9"/>
        <color rgb="FFF8696B"/>
        <color rgb="FFFFEB84"/>
        <color rgb="FF63BE7B"/>
      </colorScale>
    </cfRule>
  </conditionalFormatting>
  <conditionalFormatting sqref="CP23">
    <cfRule type="colorScale" priority="4">
      <colorScale>
        <cfvo type="num" val="0.69"/>
        <cfvo type="num" val="0.8"/>
        <cfvo type="num" val="0.9"/>
        <color rgb="FFF8696B"/>
        <color rgb="FFFFEB84"/>
        <color rgb="FF63BE7B"/>
      </colorScale>
    </cfRule>
  </conditionalFormatting>
  <conditionalFormatting sqref="CP23">
    <cfRule type="colorScale" priority="3">
      <colorScale>
        <cfvo type="num" val="0.69"/>
        <cfvo type="num" val="0.8"/>
        <cfvo type="num" val="0.9"/>
        <color rgb="FFF8696B"/>
        <color rgb="FFFFEB84"/>
        <color rgb="FF63BE7B"/>
      </colorScale>
    </cfRule>
  </conditionalFormatting>
  <conditionalFormatting sqref="CP23">
    <cfRule type="colorScale" priority="2">
      <colorScale>
        <cfvo type="num" val="0.69"/>
        <cfvo type="num" val="0.8"/>
        <cfvo type="num" val="0.9"/>
        <color rgb="FFF8696B"/>
        <color rgb="FFFFEB84"/>
        <color rgb="FF63BE7B"/>
      </colorScale>
    </cfRule>
  </conditionalFormatting>
  <conditionalFormatting sqref="CV23">
    <cfRule type="colorScale" priority="1">
      <colorScale>
        <cfvo type="num" val="0.69"/>
        <cfvo type="num" val="0.8"/>
        <cfvo type="num" val="0.9"/>
        <color rgb="FFF8696B"/>
        <color rgb="FFFFEB84"/>
        <color rgb="FF63BE7B"/>
      </colorScale>
    </cfRule>
  </conditionalFormatting>
  <dataValidations count="1">
    <dataValidation allowBlank="1" showInputMessage="1" showErrorMessage="1" prompt="Establezca el documento o entregable que evidencia la obtención del subproducto _x000a_" sqref="I16"/>
  </dataValidations>
  <printOptions horizontalCentered="1"/>
  <pageMargins left="0.19685039370078741" right="0.19685039370078741" top="0.39370078740157483" bottom="0.39370078740157483" header="0.31496062992125984" footer="0.31496062992125984"/>
  <pageSetup paperSize="14" scale="80" fitToHeight="4" orientation="landscape" r:id="rId1"/>
  <headerFooter alignWithMargins="0"/>
  <colBreaks count="1" manualBreakCount="1">
    <brk id="23" max="18"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DB33"/>
  <sheetViews>
    <sheetView showGridLines="0" view="pageBreakPreview" zoomScaleNormal="100" zoomScaleSheetLayoutView="100" workbookViewId="0">
      <selection activeCell="C4" sqref="C4:J4"/>
    </sheetView>
  </sheetViews>
  <sheetFormatPr baseColWidth="10" defaultRowHeight="12.75"/>
  <cols>
    <col min="1" max="1" width="1.7109375" style="15" customWidth="1"/>
    <col min="2" max="2" width="14.140625" style="15" customWidth="1"/>
    <col min="3" max="3" width="5.42578125" style="2" customWidth="1"/>
    <col min="4" max="4" width="19.42578125" style="15" customWidth="1"/>
    <col min="5" max="5" width="14.7109375" style="15" customWidth="1"/>
    <col min="6" max="6" width="15" style="15" customWidth="1"/>
    <col min="7" max="7" width="9.28515625" style="15" customWidth="1"/>
    <col min="8" max="8" width="17.140625" style="15" customWidth="1"/>
    <col min="9" max="9" width="14" style="15" customWidth="1"/>
    <col min="10" max="10" width="10" style="15" customWidth="1"/>
    <col min="11" max="11" width="4.7109375" style="15" customWidth="1"/>
    <col min="12" max="12" width="4.85546875" style="15" customWidth="1"/>
    <col min="13" max="13" width="4.7109375" style="15" customWidth="1"/>
    <col min="14" max="14" width="5.140625" style="15" customWidth="1"/>
    <col min="15" max="15" width="4.7109375" style="15" customWidth="1"/>
    <col min="16" max="16" width="5.140625" style="15" customWidth="1"/>
    <col min="17" max="17" width="4.7109375" style="15" customWidth="1"/>
    <col min="18" max="18" width="5" style="15" customWidth="1"/>
    <col min="19" max="19" width="4.7109375" style="15" customWidth="1"/>
    <col min="20" max="20" width="5.42578125" style="15" customWidth="1"/>
    <col min="21" max="21" width="4.7109375" style="15" customWidth="1"/>
    <col min="22" max="22" width="5.28515625" style="15" customWidth="1"/>
    <col min="23" max="23" width="20.140625" style="15" bestFit="1" customWidth="1"/>
    <col min="24" max="24" width="9.140625" style="15" hidden="1" customWidth="1"/>
    <col min="25" max="25" width="11" style="15" hidden="1" customWidth="1"/>
    <col min="26" max="26" width="9.140625" style="15" hidden="1" customWidth="1"/>
    <col min="27" max="27" width="8.7109375" style="15" hidden="1" customWidth="1"/>
    <col min="28" max="28" width="11.5703125" style="15" hidden="1" customWidth="1"/>
    <col min="29" max="29" width="61.140625" style="15" hidden="1" customWidth="1"/>
    <col min="30" max="30" width="9.28515625" style="15" hidden="1" customWidth="1"/>
    <col min="31" max="31" width="11" style="15" hidden="1" customWidth="1"/>
    <col min="32" max="32" width="9.140625" style="15" hidden="1" customWidth="1"/>
    <col min="33" max="33" width="8.7109375" style="15" hidden="1" customWidth="1"/>
    <col min="34" max="34" width="11.5703125" style="15" hidden="1" customWidth="1"/>
    <col min="35" max="35" width="61.28515625" style="15" hidden="1" customWidth="1"/>
    <col min="36" max="36" width="10.5703125" style="15" hidden="1" customWidth="1"/>
    <col min="37" max="37" width="12.85546875" style="15" hidden="1" customWidth="1"/>
    <col min="38" max="38" width="9.140625" style="15" hidden="1" customWidth="1"/>
    <col min="39" max="39" width="8.7109375" style="15" hidden="1" customWidth="1"/>
    <col min="40" max="40" width="11.5703125" style="15" hidden="1" customWidth="1"/>
    <col min="41" max="41" width="61.42578125" style="15" hidden="1" customWidth="1"/>
    <col min="42" max="42" width="9.28515625" style="15" hidden="1" customWidth="1"/>
    <col min="43" max="43" width="14.7109375" style="15" hidden="1" customWidth="1"/>
    <col min="44" max="44" width="9.140625" style="15" hidden="1" customWidth="1"/>
    <col min="45" max="45" width="8.7109375" style="15" hidden="1" customWidth="1"/>
    <col min="46" max="46" width="11.5703125" style="15" hidden="1" customWidth="1"/>
    <col min="47" max="47" width="57.5703125" style="15" hidden="1" customWidth="1"/>
    <col min="48" max="48" width="13.28515625" style="15" hidden="1" customWidth="1"/>
    <col min="49" max="49" width="14.7109375" style="15" hidden="1" customWidth="1"/>
    <col min="50" max="50" width="9.140625" style="15" hidden="1" customWidth="1"/>
    <col min="51" max="51" width="8.7109375" style="15" hidden="1" customWidth="1"/>
    <col min="52" max="52" width="11.5703125" style="15" hidden="1" customWidth="1"/>
    <col min="53" max="53" width="54.5703125" style="15" hidden="1" customWidth="1"/>
    <col min="54" max="54" width="10.140625" style="15" hidden="1" customWidth="1"/>
    <col min="55" max="55" width="12.85546875" style="15" hidden="1" customWidth="1"/>
    <col min="56" max="56" width="9.140625" style="15" hidden="1" customWidth="1"/>
    <col min="57" max="57" width="8.7109375" style="15" hidden="1" customWidth="1"/>
    <col min="58" max="58" width="11.5703125" style="15" hidden="1" customWidth="1"/>
    <col min="59" max="59" width="65.7109375" style="15" hidden="1" customWidth="1"/>
    <col min="60" max="60" width="13.140625" style="15" hidden="1" customWidth="1"/>
    <col min="61" max="61" width="14.7109375" style="15" hidden="1" customWidth="1"/>
    <col min="62" max="62" width="9.140625" style="15" hidden="1" customWidth="1"/>
    <col min="63" max="63" width="8.7109375" style="15" hidden="1" customWidth="1"/>
    <col min="64" max="64" width="11.5703125" style="15" hidden="1" customWidth="1"/>
    <col min="65" max="65" width="47.7109375" style="15" hidden="1" customWidth="1"/>
    <col min="66" max="66" width="15" style="15" hidden="1" customWidth="1"/>
    <col min="67" max="67" width="13.140625" style="15" hidden="1" customWidth="1"/>
    <col min="68" max="69" width="8.140625" style="15" hidden="1" customWidth="1"/>
    <col min="70" max="70" width="11.5703125" style="15" hidden="1" customWidth="1"/>
    <col min="71" max="71" width="55.42578125" style="15" hidden="1" customWidth="1"/>
    <col min="72" max="72" width="9.28515625" style="15" hidden="1" customWidth="1"/>
    <col min="73" max="73" width="12" style="15" hidden="1" customWidth="1"/>
    <col min="74" max="75" width="8.140625" style="15" hidden="1" customWidth="1"/>
    <col min="76" max="76" width="11.5703125" style="15" hidden="1" customWidth="1"/>
    <col min="77" max="77" width="55.42578125" style="15" hidden="1" customWidth="1"/>
    <col min="78" max="78" width="13" style="15" hidden="1" customWidth="1"/>
    <col min="79" max="79" width="14.7109375" style="15" hidden="1" customWidth="1"/>
    <col min="80" max="81" width="8.140625" style="15" hidden="1" customWidth="1"/>
    <col min="82" max="82" width="13" style="15" hidden="1" customWidth="1"/>
    <col min="83" max="83" width="58" style="15" hidden="1" customWidth="1"/>
    <col min="84" max="84" width="9.28515625" style="15" hidden="1" customWidth="1"/>
    <col min="85" max="85" width="17" style="15" hidden="1" customWidth="1"/>
    <col min="86" max="87" width="8.140625" style="15" hidden="1" customWidth="1"/>
    <col min="88" max="88" width="11.5703125" style="15" hidden="1" customWidth="1"/>
    <col min="89" max="89" width="55.42578125" style="15" hidden="1" customWidth="1"/>
    <col min="90" max="90" width="13.5703125" style="15" customWidth="1"/>
    <col min="91" max="91" width="16.140625" style="15" customWidth="1"/>
    <col min="92" max="92" width="8.140625" style="15" customWidth="1"/>
    <col min="93" max="93" width="11.7109375" style="15" customWidth="1"/>
    <col min="94" max="94" width="12" style="15" customWidth="1"/>
    <col min="95" max="95" width="55.28515625" style="15" customWidth="1"/>
    <col min="96" max="96" width="10.85546875" style="15" customWidth="1"/>
    <col min="97" max="97" width="11" style="15" customWidth="1"/>
    <col min="98" max="98" width="8.140625" style="15" customWidth="1"/>
    <col min="99" max="99" width="9.140625" style="15" customWidth="1"/>
    <col min="100" max="100" width="24.140625" style="15" customWidth="1"/>
    <col min="101" max="101" width="54.28515625" style="15" customWidth="1"/>
    <col min="102" max="107" width="11.42578125" style="15" customWidth="1"/>
    <col min="108" max="16384" width="11.42578125" style="15"/>
  </cols>
  <sheetData>
    <row r="1" spans="1:106" s="4" customFormat="1" ht="12">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6" s="3" customFormat="1" ht="12" customHeight="1">
      <c r="B2" s="1400" t="s">
        <v>52</v>
      </c>
      <c r="C2" s="11"/>
      <c r="D2" s="1985" t="s">
        <v>50</v>
      </c>
      <c r="E2" s="1985"/>
      <c r="F2" s="1985"/>
      <c r="G2" s="1985"/>
      <c r="H2" s="1985"/>
      <c r="I2" s="1985"/>
      <c r="J2" s="1985"/>
      <c r="K2" s="1985"/>
      <c r="L2" s="1985"/>
      <c r="M2" s="1985"/>
      <c r="N2" s="1981"/>
      <c r="O2" s="1978" t="s">
        <v>48</v>
      </c>
      <c r="P2" s="1978"/>
      <c r="Q2" s="1978"/>
      <c r="R2" s="1978"/>
      <c r="S2" s="1982"/>
      <c r="T2" s="1982"/>
      <c r="U2" s="1982"/>
      <c r="V2" s="1982"/>
    </row>
    <row r="4" spans="1:106">
      <c r="B4" s="49" t="s">
        <v>18</v>
      </c>
      <c r="C4" s="1979" t="s">
        <v>2588</v>
      </c>
      <c r="D4" s="1979"/>
      <c r="E4" s="1979"/>
      <c r="F4" s="1979"/>
      <c r="G4" s="1979"/>
      <c r="H4" s="1979"/>
      <c r="I4" s="1979"/>
      <c r="J4" s="1979"/>
      <c r="K4" s="1996" t="s">
        <v>21</v>
      </c>
      <c r="L4" s="1996"/>
      <c r="M4" s="1996"/>
      <c r="N4" s="1999" t="s">
        <v>2589</v>
      </c>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6">
      <c r="A5" s="128"/>
      <c r="B5" s="128"/>
      <c r="C5" s="44"/>
      <c r="D5" s="128"/>
      <c r="E5" s="128"/>
      <c r="F5" s="128"/>
      <c r="G5" s="128"/>
      <c r="H5" s="128"/>
      <c r="I5" s="128"/>
      <c r="J5" s="128"/>
      <c r="K5" s="128"/>
      <c r="L5" s="128"/>
      <c r="M5" s="128"/>
      <c r="N5" s="128"/>
      <c r="O5" s="128"/>
      <c r="P5" s="128"/>
      <c r="Q5" s="128"/>
      <c r="R5" s="128"/>
      <c r="S5" s="128"/>
      <c r="T5" s="128"/>
      <c r="U5" s="128"/>
      <c r="V5" s="128"/>
      <c r="W5" s="128"/>
    </row>
    <row r="6" spans="1:106" s="2" customFormat="1" ht="11.25">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6" s="2" customFormat="1" ht="33.75">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1401" t="s">
        <v>412</v>
      </c>
      <c r="X7" s="1402" t="s">
        <v>31</v>
      </c>
      <c r="Y7" s="56" t="s">
        <v>32</v>
      </c>
      <c r="Z7" s="57" t="s">
        <v>33</v>
      </c>
      <c r="AA7" s="56" t="s">
        <v>34</v>
      </c>
      <c r="AB7" s="19" t="s">
        <v>35</v>
      </c>
      <c r="AC7" s="57" t="s">
        <v>36</v>
      </c>
      <c r="AD7" s="56" t="s">
        <v>31</v>
      </c>
      <c r="AE7" s="56" t="s">
        <v>32</v>
      </c>
      <c r="AF7" s="57" t="s">
        <v>33</v>
      </c>
      <c r="AG7" s="56" t="s">
        <v>34</v>
      </c>
      <c r="AH7" s="19" t="s">
        <v>35</v>
      </c>
      <c r="AI7" s="57" t="s">
        <v>36</v>
      </c>
      <c r="AJ7" s="56" t="s">
        <v>31</v>
      </c>
      <c r="AK7" s="56" t="s">
        <v>32</v>
      </c>
      <c r="AL7" s="57" t="s">
        <v>33</v>
      </c>
      <c r="AM7" s="56" t="s">
        <v>34</v>
      </c>
      <c r="AN7" s="19" t="s">
        <v>35</v>
      </c>
      <c r="AO7" s="57" t="s">
        <v>36</v>
      </c>
      <c r="AP7" s="56" t="s">
        <v>31</v>
      </c>
      <c r="AQ7" s="56" t="s">
        <v>32</v>
      </c>
      <c r="AR7" s="57" t="s">
        <v>33</v>
      </c>
      <c r="AS7" s="56" t="s">
        <v>34</v>
      </c>
      <c r="AT7" s="19" t="s">
        <v>35</v>
      </c>
      <c r="AU7" s="57" t="s">
        <v>36</v>
      </c>
      <c r="AV7" s="56" t="s">
        <v>31</v>
      </c>
      <c r="AW7" s="56" t="s">
        <v>32</v>
      </c>
      <c r="AX7" s="57" t="s">
        <v>33</v>
      </c>
      <c r="AY7" s="56" t="s">
        <v>34</v>
      </c>
      <c r="AZ7" s="19" t="s">
        <v>35</v>
      </c>
      <c r="BA7" s="57" t="s">
        <v>36</v>
      </c>
      <c r="BB7" s="56" t="s">
        <v>31</v>
      </c>
      <c r="BC7" s="56" t="s">
        <v>32</v>
      </c>
      <c r="BD7" s="57" t="s">
        <v>33</v>
      </c>
      <c r="BE7" s="56" t="s">
        <v>34</v>
      </c>
      <c r="BF7" s="19" t="s">
        <v>35</v>
      </c>
      <c r="BG7" s="57" t="s">
        <v>36</v>
      </c>
      <c r="BH7" s="56" t="s">
        <v>31</v>
      </c>
      <c r="BI7" s="56" t="s">
        <v>32</v>
      </c>
      <c r="BJ7" s="57" t="s">
        <v>33</v>
      </c>
      <c r="BK7" s="56" t="s">
        <v>34</v>
      </c>
      <c r="BL7" s="19" t="s">
        <v>35</v>
      </c>
      <c r="BM7" s="57" t="s">
        <v>36</v>
      </c>
      <c r="BN7" s="56" t="s">
        <v>31</v>
      </c>
      <c r="BO7" s="56" t="s">
        <v>32</v>
      </c>
      <c r="BP7" s="57" t="s">
        <v>33</v>
      </c>
      <c r="BQ7" s="56" t="s">
        <v>34</v>
      </c>
      <c r="BR7" s="19" t="s">
        <v>35</v>
      </c>
      <c r="BS7" s="57" t="s">
        <v>36</v>
      </c>
      <c r="BT7" s="56" t="s">
        <v>31</v>
      </c>
      <c r="BU7" s="56" t="s">
        <v>32</v>
      </c>
      <c r="BV7" s="57" t="s">
        <v>33</v>
      </c>
      <c r="BW7" s="56" t="s">
        <v>34</v>
      </c>
      <c r="BX7" s="19" t="s">
        <v>35</v>
      </c>
      <c r="BY7" s="57" t="s">
        <v>36</v>
      </c>
      <c r="BZ7" s="56" t="s">
        <v>31</v>
      </c>
      <c r="CA7" s="56" t="s">
        <v>32</v>
      </c>
      <c r="CB7" s="57" t="s">
        <v>33</v>
      </c>
      <c r="CC7" s="56" t="s">
        <v>34</v>
      </c>
      <c r="CD7" s="19" t="s">
        <v>35</v>
      </c>
      <c r="CE7" s="57" t="s">
        <v>36</v>
      </c>
      <c r="CF7" s="56" t="s">
        <v>31</v>
      </c>
      <c r="CG7" s="56" t="s">
        <v>32</v>
      </c>
      <c r="CH7" s="57" t="s">
        <v>33</v>
      </c>
      <c r="CI7" s="56" t="s">
        <v>34</v>
      </c>
      <c r="CJ7" s="19" t="s">
        <v>35</v>
      </c>
      <c r="CK7" s="57" t="s">
        <v>36</v>
      </c>
      <c r="CL7" s="56" t="s">
        <v>31</v>
      </c>
      <c r="CM7" s="56" t="s">
        <v>32</v>
      </c>
      <c r="CN7" s="57" t="s">
        <v>33</v>
      </c>
      <c r="CO7" s="56" t="s">
        <v>34</v>
      </c>
      <c r="CP7" s="19" t="s">
        <v>35</v>
      </c>
      <c r="CQ7" s="57" t="s">
        <v>36</v>
      </c>
      <c r="CR7" s="56" t="s">
        <v>31</v>
      </c>
      <c r="CS7" s="56" t="s">
        <v>32</v>
      </c>
      <c r="CT7" s="57" t="s">
        <v>33</v>
      </c>
      <c r="CU7" s="56" t="s">
        <v>34</v>
      </c>
      <c r="CV7" s="19" t="s">
        <v>35</v>
      </c>
      <c r="CW7" s="57" t="s">
        <v>36</v>
      </c>
    </row>
    <row r="8" spans="1:106" ht="137.25" customHeight="1">
      <c r="A8" s="126"/>
      <c r="B8" s="8" t="s">
        <v>2590</v>
      </c>
      <c r="C8" s="9"/>
      <c r="D8" s="13" t="s">
        <v>2591</v>
      </c>
      <c r="E8" s="1403" t="s">
        <v>2592</v>
      </c>
      <c r="F8" s="1403" t="s">
        <v>2593</v>
      </c>
      <c r="G8" s="1404" t="s">
        <v>53</v>
      </c>
      <c r="H8" s="1403" t="s">
        <v>2594</v>
      </c>
      <c r="I8" s="1403" t="s">
        <v>2595</v>
      </c>
      <c r="J8" s="1405" t="s">
        <v>54</v>
      </c>
      <c r="K8" s="7"/>
      <c r="L8" s="7"/>
      <c r="M8" s="12" t="s">
        <v>54</v>
      </c>
      <c r="N8" s="12">
        <v>0.5</v>
      </c>
      <c r="O8" s="7"/>
      <c r="P8" s="14"/>
      <c r="Q8" s="14"/>
      <c r="R8" s="14"/>
      <c r="S8" s="14"/>
      <c r="T8" s="74">
        <v>0.5</v>
      </c>
      <c r="U8" s="14"/>
      <c r="V8" s="14"/>
      <c r="W8" s="1406" t="s">
        <v>79</v>
      </c>
      <c r="X8" s="605"/>
      <c r="Y8" s="68"/>
      <c r="Z8" s="69"/>
      <c r="AA8" s="58"/>
      <c r="AB8" s="58" t="str">
        <f>IF(Y8=0," ",Z8/AA8)</f>
        <v xml:space="preserve"> </v>
      </c>
      <c r="AC8" s="299" t="s">
        <v>385</v>
      </c>
      <c r="AD8" s="68"/>
      <c r="AE8" s="68"/>
      <c r="AF8" s="69" t="str">
        <f t="shared" ref="AF8:AF13" si="0">IF(AE8=0," ",AD8/AE8)</f>
        <v xml:space="preserve"> </v>
      </c>
      <c r="AG8" s="58"/>
      <c r="AH8" s="58" t="str">
        <f t="shared" ref="AH8:AH13" si="1">IF(AE8=0," ",AF8/AG8)</f>
        <v xml:space="preserve"> </v>
      </c>
      <c r="AI8" s="299" t="s">
        <v>385</v>
      </c>
      <c r="AJ8" s="68"/>
      <c r="AK8" s="68"/>
      <c r="AL8" s="69" t="str">
        <f t="shared" ref="AL8:AL13" si="2">IF(AK8=0," ",AJ8/AK8)</f>
        <v xml:space="preserve"> </v>
      </c>
      <c r="AM8" s="58"/>
      <c r="AN8" s="58" t="str">
        <f t="shared" ref="AN8:AN13" si="3">IF(AK8=0," ",AL8/AM8)</f>
        <v xml:space="preserve"> </v>
      </c>
      <c r="AO8" s="299" t="s">
        <v>385</v>
      </c>
      <c r="AP8" s="68">
        <v>50</v>
      </c>
      <c r="AQ8" s="68">
        <v>50</v>
      </c>
      <c r="AR8" s="69">
        <v>0.5</v>
      </c>
      <c r="AS8" s="58">
        <v>0.5</v>
      </c>
      <c r="AT8" s="58">
        <f t="shared" ref="AT8:AT13" si="4">IF(AQ8=0," ",AR8/AS8)</f>
        <v>1</v>
      </c>
      <c r="AU8" s="120" t="s">
        <v>2596</v>
      </c>
      <c r="AV8" s="68"/>
      <c r="AW8" s="68"/>
      <c r="AX8" s="69" t="str">
        <f t="shared" ref="AX8:AX13" si="5">IF(AW8=0," ",AV8/AW8)</f>
        <v xml:space="preserve"> </v>
      </c>
      <c r="AY8" s="58"/>
      <c r="AZ8" s="58" t="str">
        <f t="shared" ref="AZ8:AZ13" si="6">IF(AW8=0," ",AX8/AY8)</f>
        <v xml:space="preserve"> </v>
      </c>
      <c r="BA8" s="299" t="s">
        <v>1110</v>
      </c>
      <c r="BB8" s="68"/>
      <c r="BC8" s="68"/>
      <c r="BD8" s="69" t="str">
        <f t="shared" ref="BD8:BD13" si="7">IF(BC8=0," ",BB8/BC8)</f>
        <v xml:space="preserve"> </v>
      </c>
      <c r="BE8" s="58"/>
      <c r="BF8" s="58" t="str">
        <f t="shared" ref="BF8:BF13" si="8">IF(BC8=0," ",BD8/BE8)</f>
        <v xml:space="preserve"> </v>
      </c>
      <c r="BG8" s="299" t="s">
        <v>1110</v>
      </c>
      <c r="BH8" s="68"/>
      <c r="BI8" s="68"/>
      <c r="BJ8" s="69" t="str">
        <f t="shared" ref="BJ8:BJ13" si="9">IF(BI8=0," ",BH8/BI8)</f>
        <v xml:space="preserve"> </v>
      </c>
      <c r="BK8" s="58"/>
      <c r="BL8" s="58" t="str">
        <f t="shared" ref="BL8:BL13" si="10">IF(BI8=0," ",BJ8/BK8)</f>
        <v xml:space="preserve"> </v>
      </c>
      <c r="BM8" s="315" t="s">
        <v>2597</v>
      </c>
      <c r="BN8" s="68"/>
      <c r="BO8" s="68"/>
      <c r="BP8" s="69" t="str">
        <f t="shared" ref="BP8:BP13" si="11">IF(BO8=0," ",BN8/BO8)</f>
        <v xml:space="preserve"> </v>
      </c>
      <c r="BQ8" s="58"/>
      <c r="BR8" s="58" t="str">
        <f>IF(BO8=0," ",BP8/BQ8)</f>
        <v xml:space="preserve"> </v>
      </c>
      <c r="BS8" s="315" t="s">
        <v>2597</v>
      </c>
      <c r="BT8" s="68"/>
      <c r="BU8" s="68"/>
      <c r="BV8" s="69" t="str">
        <f>IF(BU8=0," ",BT8/BU8)</f>
        <v xml:space="preserve"> </v>
      </c>
      <c r="BW8" s="58"/>
      <c r="BX8" s="58" t="str">
        <f>IF(BU8=0," ",BV8/BW8)</f>
        <v xml:space="preserve"> </v>
      </c>
      <c r="BY8" s="65" t="s">
        <v>2597</v>
      </c>
      <c r="BZ8" s="68">
        <v>50</v>
      </c>
      <c r="CA8" s="68">
        <v>50</v>
      </c>
      <c r="CB8" s="69">
        <v>0.5</v>
      </c>
      <c r="CC8" s="58">
        <v>0.5</v>
      </c>
      <c r="CD8" s="58">
        <f t="shared" ref="CD8:CD13" si="12">IF(CA8=0," ",CB8/CC8)</f>
        <v>1</v>
      </c>
      <c r="CE8" s="65" t="s">
        <v>2598</v>
      </c>
      <c r="CF8" s="68"/>
      <c r="CG8" s="68"/>
      <c r="CH8" s="69" t="str">
        <f t="shared" ref="CH8:CH13" si="13">IF(CG8=0," ",CF8/CG8)</f>
        <v xml:space="preserve"> </v>
      </c>
      <c r="CI8" s="58"/>
      <c r="CJ8" s="58" t="str">
        <f>IF(CG8=0," ",CH8/CI8)</f>
        <v xml:space="preserve"> </v>
      </c>
      <c r="CK8" s="315" t="s">
        <v>2599</v>
      </c>
      <c r="CL8" s="68"/>
      <c r="CM8" s="68"/>
      <c r="CN8" s="69" t="str">
        <f>IF(CM8=0," ",CL8/CM8)</f>
        <v xml:space="preserve"> </v>
      </c>
      <c r="CO8" s="58"/>
      <c r="CP8" s="58" t="s">
        <v>325</v>
      </c>
      <c r="CQ8" s="315" t="s">
        <v>2599</v>
      </c>
      <c r="CR8" s="68">
        <v>2</v>
      </c>
      <c r="CS8" s="68">
        <v>2</v>
      </c>
      <c r="CT8" s="69">
        <v>1</v>
      </c>
      <c r="CU8" s="58">
        <v>1</v>
      </c>
      <c r="CV8" s="58">
        <f>IF(CS8=0," ",CT8/CU8)</f>
        <v>1</v>
      </c>
      <c r="CW8" s="65" t="s">
        <v>2600</v>
      </c>
      <c r="CX8" s="126"/>
      <c r="CY8" s="126"/>
      <c r="CZ8" s="126"/>
      <c r="DA8" s="126"/>
      <c r="DB8" s="126"/>
    </row>
    <row r="9" spans="1:106" s="126" customFormat="1" ht="125.25" customHeight="1">
      <c r="B9" s="8" t="s">
        <v>2590</v>
      </c>
      <c r="C9" s="9"/>
      <c r="D9" s="13" t="s">
        <v>2601</v>
      </c>
      <c r="E9" s="13" t="s">
        <v>2602</v>
      </c>
      <c r="F9" s="1403" t="s">
        <v>2603</v>
      </c>
      <c r="G9" s="1404" t="s">
        <v>53</v>
      </c>
      <c r="H9" s="1407" t="s">
        <v>2604</v>
      </c>
      <c r="I9" s="1403" t="s">
        <v>2605</v>
      </c>
      <c r="J9" s="8" t="s">
        <v>54</v>
      </c>
      <c r="K9" s="388">
        <v>1</v>
      </c>
      <c r="L9" s="388">
        <v>1</v>
      </c>
      <c r="M9" s="388">
        <v>1</v>
      </c>
      <c r="N9" s="388">
        <v>1</v>
      </c>
      <c r="O9" s="388">
        <v>1</v>
      </c>
      <c r="P9" s="388">
        <v>1</v>
      </c>
      <c r="Q9" s="388">
        <v>1</v>
      </c>
      <c r="R9" s="388">
        <v>1</v>
      </c>
      <c r="S9" s="388">
        <v>1</v>
      </c>
      <c r="T9" s="388">
        <v>1</v>
      </c>
      <c r="U9" s="388">
        <v>1</v>
      </c>
      <c r="V9" s="388">
        <v>1</v>
      </c>
      <c r="W9" s="1406" t="s">
        <v>79</v>
      </c>
      <c r="X9" s="605">
        <v>5</v>
      </c>
      <c r="Y9" s="68">
        <v>5</v>
      </c>
      <c r="Z9" s="69">
        <v>1</v>
      </c>
      <c r="AA9" s="58">
        <v>1</v>
      </c>
      <c r="AB9" s="58">
        <f>IF(Y9=0," ",Z9/AA9)</f>
        <v>1</v>
      </c>
      <c r="AC9" s="65" t="s">
        <v>2606</v>
      </c>
      <c r="AD9" s="605">
        <v>2</v>
      </c>
      <c r="AE9" s="68">
        <v>2</v>
      </c>
      <c r="AF9" s="69">
        <v>1</v>
      </c>
      <c r="AG9" s="58">
        <v>1</v>
      </c>
      <c r="AH9" s="58">
        <f t="shared" si="1"/>
        <v>1</v>
      </c>
      <c r="AI9" s="65" t="s">
        <v>2607</v>
      </c>
      <c r="AJ9" s="605">
        <v>1</v>
      </c>
      <c r="AK9" s="68">
        <v>1</v>
      </c>
      <c r="AL9" s="69">
        <v>1</v>
      </c>
      <c r="AM9" s="58">
        <v>1</v>
      </c>
      <c r="AN9" s="58">
        <f t="shared" si="3"/>
        <v>1</v>
      </c>
      <c r="AO9" s="65" t="s">
        <v>2608</v>
      </c>
      <c r="AP9" s="605">
        <v>6</v>
      </c>
      <c r="AQ9" s="68">
        <v>6</v>
      </c>
      <c r="AR9" s="69">
        <f>IF(AQ9=0," ",AP9/AQ9)</f>
        <v>1</v>
      </c>
      <c r="AS9" s="58">
        <v>1</v>
      </c>
      <c r="AT9" s="58">
        <f t="shared" si="4"/>
        <v>1</v>
      </c>
      <c r="AU9" s="65" t="s">
        <v>2609</v>
      </c>
      <c r="AV9" s="68">
        <v>2</v>
      </c>
      <c r="AW9" s="68">
        <v>2</v>
      </c>
      <c r="AX9" s="69">
        <f t="shared" si="5"/>
        <v>1</v>
      </c>
      <c r="AY9" s="58">
        <v>1</v>
      </c>
      <c r="AZ9" s="58">
        <f t="shared" si="6"/>
        <v>1</v>
      </c>
      <c r="BA9" s="65" t="s">
        <v>2610</v>
      </c>
      <c r="BB9" s="68">
        <v>4</v>
      </c>
      <c r="BC9" s="68">
        <v>4</v>
      </c>
      <c r="BD9" s="69">
        <f t="shared" si="7"/>
        <v>1</v>
      </c>
      <c r="BE9" s="58">
        <v>1</v>
      </c>
      <c r="BF9" s="58">
        <f t="shared" si="8"/>
        <v>1</v>
      </c>
      <c r="BG9" s="65" t="s">
        <v>2611</v>
      </c>
      <c r="BH9" s="68">
        <v>2</v>
      </c>
      <c r="BI9" s="68">
        <v>2</v>
      </c>
      <c r="BJ9" s="69">
        <f>IF(BI9=0," ",BH9/BI9)</f>
        <v>1</v>
      </c>
      <c r="BK9" s="58">
        <v>1</v>
      </c>
      <c r="BL9" s="58">
        <f t="shared" si="10"/>
        <v>1</v>
      </c>
      <c r="BM9" s="65" t="s">
        <v>2612</v>
      </c>
      <c r="BN9" s="68">
        <v>0</v>
      </c>
      <c r="BO9" s="68">
        <v>0</v>
      </c>
      <c r="BP9" s="69">
        <f>IF(BI9=0," ",BH9/BI9)</f>
        <v>1</v>
      </c>
      <c r="BQ9" s="58">
        <v>1</v>
      </c>
      <c r="BR9" s="58">
        <f>BP9/BQ9</f>
        <v>1</v>
      </c>
      <c r="BS9" s="65" t="s">
        <v>2613</v>
      </c>
      <c r="BT9" s="68">
        <v>2</v>
      </c>
      <c r="BU9" s="68">
        <v>2</v>
      </c>
      <c r="BV9" s="69">
        <f>IF(BU9=0," ",BT9/BU9)</f>
        <v>1</v>
      </c>
      <c r="BW9" s="58">
        <v>1</v>
      </c>
      <c r="BX9" s="58">
        <f>IF(BU9=0," ",BV9/BW9)</f>
        <v>1</v>
      </c>
      <c r="BY9" s="65" t="s">
        <v>2614</v>
      </c>
      <c r="BZ9" s="68">
        <v>3</v>
      </c>
      <c r="CA9" s="68">
        <v>3</v>
      </c>
      <c r="CB9" s="69">
        <f>IF(CA9=0," ",BZ9/CA9)</f>
        <v>1</v>
      </c>
      <c r="CC9" s="58">
        <v>1</v>
      </c>
      <c r="CD9" s="58">
        <f t="shared" si="12"/>
        <v>1</v>
      </c>
      <c r="CE9" s="65" t="s">
        <v>2615</v>
      </c>
      <c r="CF9" s="68">
        <v>1</v>
      </c>
      <c r="CG9" s="68">
        <v>1</v>
      </c>
      <c r="CH9" s="69">
        <f>IF(CG9=0," ",CF9/CG9)</f>
        <v>1</v>
      </c>
      <c r="CI9" s="58">
        <v>1</v>
      </c>
      <c r="CJ9" s="58">
        <f>IF(CG9=0," ",CH9/CI9)</f>
        <v>1</v>
      </c>
      <c r="CK9" s="65" t="s">
        <v>2616</v>
      </c>
      <c r="CL9" s="68">
        <v>2</v>
      </c>
      <c r="CM9" s="68">
        <v>2</v>
      </c>
      <c r="CN9" s="69">
        <f>IF(CM9=0," ",CL9/CM9)</f>
        <v>1</v>
      </c>
      <c r="CO9" s="58">
        <v>1</v>
      </c>
      <c r="CP9" s="58">
        <f>IF(CM9=0," ",CN9/CO9)</f>
        <v>1</v>
      </c>
      <c r="CQ9" s="65" t="s">
        <v>2617</v>
      </c>
      <c r="CR9" s="68">
        <v>30</v>
      </c>
      <c r="CS9" s="68">
        <v>30</v>
      </c>
      <c r="CT9" s="69">
        <f>IF(CS9=0," ",CR9/CS9)</f>
        <v>1</v>
      </c>
      <c r="CU9" s="58">
        <v>1</v>
      </c>
      <c r="CV9" s="58">
        <f t="shared" ref="CV9:CV22" si="14">IF(CS9=0," ",CT9/CU9)</f>
        <v>1</v>
      </c>
      <c r="CW9" s="65" t="s">
        <v>2618</v>
      </c>
    </row>
    <row r="10" spans="1:106" s="126" customFormat="1" ht="188.25" customHeight="1">
      <c r="B10" s="8" t="s">
        <v>2590</v>
      </c>
      <c r="C10" s="9"/>
      <c r="D10" s="13" t="s">
        <v>2619</v>
      </c>
      <c r="E10" s="13" t="s">
        <v>2620</v>
      </c>
      <c r="F10" s="8" t="s">
        <v>2621</v>
      </c>
      <c r="G10" s="8" t="s">
        <v>53</v>
      </c>
      <c r="H10" s="96" t="s">
        <v>2622</v>
      </c>
      <c r="I10" s="8" t="s">
        <v>2623</v>
      </c>
      <c r="J10" s="8"/>
      <c r="K10" s="388">
        <v>0.9</v>
      </c>
      <c r="L10" s="388">
        <v>0.9</v>
      </c>
      <c r="M10" s="388">
        <v>0.9</v>
      </c>
      <c r="N10" s="388">
        <v>0.9</v>
      </c>
      <c r="O10" s="388">
        <v>0.9</v>
      </c>
      <c r="P10" s="388">
        <v>0.9</v>
      </c>
      <c r="Q10" s="388">
        <v>0.9</v>
      </c>
      <c r="R10" s="388">
        <v>0.9</v>
      </c>
      <c r="S10" s="388">
        <v>0.9</v>
      </c>
      <c r="T10" s="388">
        <v>0.9</v>
      </c>
      <c r="U10" s="388">
        <v>0.9</v>
      </c>
      <c r="V10" s="388">
        <v>0.9</v>
      </c>
      <c r="W10" s="1406" t="s">
        <v>79</v>
      </c>
      <c r="X10" s="605">
        <v>90</v>
      </c>
      <c r="Y10" s="68">
        <v>93</v>
      </c>
      <c r="Z10" s="69">
        <f>IF(Y10=0," ",X10/Y10)</f>
        <v>0.967741935483871</v>
      </c>
      <c r="AA10" s="58">
        <v>0.9</v>
      </c>
      <c r="AB10" s="58">
        <f>IF(Y10=0," ",Z10/AA10)</f>
        <v>1.075268817204301</v>
      </c>
      <c r="AC10" s="65" t="s">
        <v>2624</v>
      </c>
      <c r="AD10" s="68">
        <v>229</v>
      </c>
      <c r="AE10" s="68">
        <v>231</v>
      </c>
      <c r="AF10" s="69">
        <f t="shared" si="0"/>
        <v>0.9913419913419913</v>
      </c>
      <c r="AG10" s="58">
        <v>0.9</v>
      </c>
      <c r="AH10" s="58">
        <f t="shared" si="1"/>
        <v>1.1014911014911015</v>
      </c>
      <c r="AI10" s="65" t="s">
        <v>2625</v>
      </c>
      <c r="AJ10" s="68">
        <v>376</v>
      </c>
      <c r="AK10" s="68">
        <v>377</v>
      </c>
      <c r="AL10" s="69">
        <f t="shared" si="2"/>
        <v>0.99734748010610075</v>
      </c>
      <c r="AM10" s="58">
        <v>0.9</v>
      </c>
      <c r="AN10" s="58">
        <f t="shared" si="3"/>
        <v>1.1081638667845564</v>
      </c>
      <c r="AO10" s="65" t="s">
        <v>2626</v>
      </c>
      <c r="AP10" s="68">
        <v>238</v>
      </c>
      <c r="AQ10" s="68">
        <v>241</v>
      </c>
      <c r="AR10" s="69">
        <f>IF(AQ10=0," ",AP10/AQ10)</f>
        <v>0.98755186721991706</v>
      </c>
      <c r="AS10" s="58">
        <v>0.9</v>
      </c>
      <c r="AT10" s="58">
        <f t="shared" si="4"/>
        <v>1.0972798524665746</v>
      </c>
      <c r="AU10" s="65" t="s">
        <v>2627</v>
      </c>
      <c r="AV10" s="68">
        <v>473</v>
      </c>
      <c r="AW10" s="68">
        <v>477</v>
      </c>
      <c r="AX10" s="69">
        <f t="shared" si="5"/>
        <v>0.99161425576519913</v>
      </c>
      <c r="AY10" s="58">
        <v>0.9</v>
      </c>
      <c r="AZ10" s="58">
        <f t="shared" si="6"/>
        <v>1.1017936175168879</v>
      </c>
      <c r="BA10" s="65" t="s">
        <v>2628</v>
      </c>
      <c r="BB10" s="68">
        <v>194</v>
      </c>
      <c r="BC10" s="68">
        <v>184</v>
      </c>
      <c r="BD10" s="69">
        <f t="shared" si="7"/>
        <v>1.0543478260869565</v>
      </c>
      <c r="BE10" s="58">
        <v>0.9</v>
      </c>
      <c r="BF10" s="58">
        <f t="shared" si="8"/>
        <v>1.1714975845410629</v>
      </c>
      <c r="BG10" s="65" t="s">
        <v>2629</v>
      </c>
      <c r="BH10" s="68">
        <v>336</v>
      </c>
      <c r="BI10" s="68">
        <v>333</v>
      </c>
      <c r="BJ10" s="69">
        <f t="shared" si="9"/>
        <v>1.0090090090090089</v>
      </c>
      <c r="BK10" s="58">
        <v>0.9</v>
      </c>
      <c r="BL10" s="58">
        <f t="shared" si="10"/>
        <v>1.1211211211211209</v>
      </c>
      <c r="BM10" s="65" t="s">
        <v>2630</v>
      </c>
      <c r="BN10" s="68">
        <v>260</v>
      </c>
      <c r="BO10" s="68">
        <v>268</v>
      </c>
      <c r="BP10" s="69">
        <f t="shared" si="11"/>
        <v>0.97014925373134331</v>
      </c>
      <c r="BQ10" s="58">
        <v>0.9</v>
      </c>
      <c r="BR10" s="58">
        <f t="shared" ref="BR10:BR20" si="15">BP10/BQ10</f>
        <v>1.0779436152570481</v>
      </c>
      <c r="BS10" s="101" t="s">
        <v>2631</v>
      </c>
      <c r="BT10" s="68">
        <v>173</v>
      </c>
      <c r="BU10" s="68">
        <v>209</v>
      </c>
      <c r="BV10" s="69">
        <f>IF(BU10=0," ",BT10/BU10)</f>
        <v>0.82775119617224879</v>
      </c>
      <c r="BW10" s="58">
        <v>0.9</v>
      </c>
      <c r="BX10" s="58">
        <f>IF(BU10=0," ",BV10/BW10)</f>
        <v>0.91972355130249861</v>
      </c>
      <c r="BY10" s="65" t="s">
        <v>2632</v>
      </c>
      <c r="BZ10" s="68">
        <v>448</v>
      </c>
      <c r="CA10" s="68">
        <v>417</v>
      </c>
      <c r="CB10" s="69">
        <f>IF(CA10=0," ",BZ10/CA10)</f>
        <v>1.0743405275779376</v>
      </c>
      <c r="CC10" s="58">
        <v>0.9</v>
      </c>
      <c r="CD10" s="58">
        <f t="shared" si="12"/>
        <v>1.1937116973088195</v>
      </c>
      <c r="CE10" s="65" t="s">
        <v>2633</v>
      </c>
      <c r="CF10" s="68">
        <v>332</v>
      </c>
      <c r="CG10" s="68">
        <v>365</v>
      </c>
      <c r="CH10" s="69">
        <f t="shared" si="13"/>
        <v>0.90958904109589045</v>
      </c>
      <c r="CI10" s="58">
        <v>0.9</v>
      </c>
      <c r="CJ10" s="58">
        <f>IF(CG10=0," ",CH10/CI10)</f>
        <v>1.0106544901065448</v>
      </c>
      <c r="CK10" s="65" t="s">
        <v>2634</v>
      </c>
      <c r="CL10" s="68">
        <v>1173</v>
      </c>
      <c r="CM10" s="68">
        <v>1135</v>
      </c>
      <c r="CN10" s="69">
        <f>IF(CM10=0," ",CL10/CM10)</f>
        <v>1.0334801762114538</v>
      </c>
      <c r="CO10" s="58">
        <v>0.9</v>
      </c>
      <c r="CP10" s="58">
        <f>IF(CM10=0," ",CN10/CO10)</f>
        <v>1.1483113069016153</v>
      </c>
      <c r="CQ10" s="65" t="s">
        <v>2635</v>
      </c>
      <c r="CR10" s="68">
        <v>4505</v>
      </c>
      <c r="CS10" s="68">
        <v>4505</v>
      </c>
      <c r="CT10" s="69">
        <f>IF(CS10=0," ",CR10/CS10)</f>
        <v>1</v>
      </c>
      <c r="CU10" s="58">
        <v>1</v>
      </c>
      <c r="CV10" s="58">
        <f t="shared" si="14"/>
        <v>1</v>
      </c>
      <c r="CW10" s="65" t="s">
        <v>2636</v>
      </c>
    </row>
    <row r="11" spans="1:106" s="126" customFormat="1" ht="176.25" customHeight="1">
      <c r="B11" s="8" t="s">
        <v>2590</v>
      </c>
      <c r="C11" s="9"/>
      <c r="D11" s="13" t="s">
        <v>2637</v>
      </c>
      <c r="E11" s="13" t="s">
        <v>2638</v>
      </c>
      <c r="F11" s="8" t="s">
        <v>2639</v>
      </c>
      <c r="G11" s="8" t="s">
        <v>53</v>
      </c>
      <c r="H11" s="96" t="s">
        <v>2640</v>
      </c>
      <c r="I11" s="8" t="s">
        <v>2641</v>
      </c>
      <c r="J11" s="8" t="s">
        <v>54</v>
      </c>
      <c r="K11" s="388">
        <v>0.96</v>
      </c>
      <c r="L11" s="388">
        <v>0.96</v>
      </c>
      <c r="M11" s="388">
        <v>0.96</v>
      </c>
      <c r="N11" s="388">
        <v>0.96</v>
      </c>
      <c r="O11" s="388">
        <v>0.96</v>
      </c>
      <c r="P11" s="388">
        <v>0.96</v>
      </c>
      <c r="Q11" s="388">
        <v>0.96</v>
      </c>
      <c r="R11" s="388">
        <v>0.96</v>
      </c>
      <c r="S11" s="388">
        <v>0.96</v>
      </c>
      <c r="T11" s="388">
        <v>0.96</v>
      </c>
      <c r="U11" s="388">
        <v>0.96</v>
      </c>
      <c r="V11" s="388">
        <v>0.96</v>
      </c>
      <c r="W11" s="1406" t="s">
        <v>79</v>
      </c>
      <c r="X11" s="605">
        <v>178</v>
      </c>
      <c r="Y11" s="68">
        <v>178</v>
      </c>
      <c r="Z11" s="69">
        <f>IF(Y11=0," ",X11/Y11)</f>
        <v>1</v>
      </c>
      <c r="AA11" s="58">
        <v>0.96</v>
      </c>
      <c r="AB11" s="58">
        <f>IF(Y11=0," ",Z11/AA11)</f>
        <v>1.0416666666666667</v>
      </c>
      <c r="AC11" s="65" t="s">
        <v>2642</v>
      </c>
      <c r="AD11" s="605">
        <v>264</v>
      </c>
      <c r="AE11" s="68">
        <v>264</v>
      </c>
      <c r="AF11" s="69">
        <f t="shared" si="0"/>
        <v>1</v>
      </c>
      <c r="AG11" s="58">
        <v>0.96</v>
      </c>
      <c r="AH11" s="58">
        <f t="shared" si="1"/>
        <v>1.0416666666666667</v>
      </c>
      <c r="AI11" s="65" t="s">
        <v>2643</v>
      </c>
      <c r="AJ11" s="605">
        <v>268</v>
      </c>
      <c r="AK11" s="68">
        <v>272</v>
      </c>
      <c r="AL11" s="69">
        <f t="shared" si="2"/>
        <v>0.98529411764705888</v>
      </c>
      <c r="AM11" s="58">
        <v>0.96</v>
      </c>
      <c r="AN11" s="58">
        <f t="shared" si="3"/>
        <v>1.0263480392156863</v>
      </c>
      <c r="AO11" s="65" t="s">
        <v>2644</v>
      </c>
      <c r="AP11" s="605">
        <v>298</v>
      </c>
      <c r="AQ11" s="68">
        <v>297</v>
      </c>
      <c r="AR11" s="69">
        <f>IF(AQ11=0," ",AP11/AQ11)</f>
        <v>1.0033670033670035</v>
      </c>
      <c r="AS11" s="58">
        <v>0.96</v>
      </c>
      <c r="AT11" s="58">
        <f t="shared" si="4"/>
        <v>1.0451739618406286</v>
      </c>
      <c r="AU11" s="65" t="s">
        <v>2645</v>
      </c>
      <c r="AV11" s="68">
        <v>198</v>
      </c>
      <c r="AW11" s="68">
        <v>200</v>
      </c>
      <c r="AX11" s="69">
        <f t="shared" si="5"/>
        <v>0.99</v>
      </c>
      <c r="AY11" s="58">
        <v>0.96</v>
      </c>
      <c r="AZ11" s="58">
        <f t="shared" si="6"/>
        <v>1.03125</v>
      </c>
      <c r="BA11" s="65" t="s">
        <v>2646</v>
      </c>
      <c r="BB11" s="68">
        <v>269</v>
      </c>
      <c r="BC11" s="68">
        <v>265</v>
      </c>
      <c r="BD11" s="69">
        <f t="shared" si="7"/>
        <v>1.0150943396226415</v>
      </c>
      <c r="BE11" s="58">
        <v>0.96</v>
      </c>
      <c r="BF11" s="58">
        <f t="shared" si="8"/>
        <v>1.0573899371069182</v>
      </c>
      <c r="BG11" s="65" t="s">
        <v>2647</v>
      </c>
      <c r="BH11" s="68">
        <v>375</v>
      </c>
      <c r="BI11" s="68">
        <v>375</v>
      </c>
      <c r="BJ11" s="69">
        <f t="shared" si="9"/>
        <v>1</v>
      </c>
      <c r="BK11" s="58">
        <v>0.96</v>
      </c>
      <c r="BL11" s="58">
        <f t="shared" si="10"/>
        <v>1.0416666666666667</v>
      </c>
      <c r="BM11" s="65" t="s">
        <v>2648</v>
      </c>
      <c r="BN11" s="68">
        <v>238</v>
      </c>
      <c r="BO11" s="68">
        <v>238</v>
      </c>
      <c r="BP11" s="69">
        <f t="shared" si="11"/>
        <v>1</v>
      </c>
      <c r="BQ11" s="58">
        <v>0.96</v>
      </c>
      <c r="BR11" s="58">
        <f t="shared" si="15"/>
        <v>1.0416666666666667</v>
      </c>
      <c r="BS11" s="65" t="s">
        <v>2649</v>
      </c>
      <c r="BT11" s="68">
        <v>286</v>
      </c>
      <c r="BU11" s="68">
        <v>292</v>
      </c>
      <c r="BV11" s="69">
        <f>IF(BU11=0," ",BT11/BU11)</f>
        <v>0.97945205479452058</v>
      </c>
      <c r="BW11" s="58">
        <v>0.96</v>
      </c>
      <c r="BX11" s="58">
        <f>IF(BU11=0," ",BV11/BW11)</f>
        <v>1.0202625570776256</v>
      </c>
      <c r="BY11" s="65" t="s">
        <v>2650</v>
      </c>
      <c r="BZ11" s="68">
        <v>324</v>
      </c>
      <c r="CA11" s="68">
        <v>326</v>
      </c>
      <c r="CB11" s="69">
        <f>IF(CA11=0," ",BZ11/CA11)</f>
        <v>0.99386503067484666</v>
      </c>
      <c r="CC11" s="58">
        <v>0.96</v>
      </c>
      <c r="CD11" s="58">
        <f t="shared" si="12"/>
        <v>1.035276073619632</v>
      </c>
      <c r="CE11" s="65" t="s">
        <v>2651</v>
      </c>
      <c r="CF11" s="68">
        <v>237</v>
      </c>
      <c r="CG11" s="68">
        <v>235</v>
      </c>
      <c r="CH11" s="69">
        <f t="shared" si="13"/>
        <v>1.0085106382978724</v>
      </c>
      <c r="CI11" s="58">
        <v>0.96</v>
      </c>
      <c r="CJ11" s="58">
        <f>IF(CG11=0," ",CH11/CI11)</f>
        <v>1.050531914893617</v>
      </c>
      <c r="CK11" s="65" t="s">
        <v>2652</v>
      </c>
      <c r="CL11" s="68">
        <v>187</v>
      </c>
      <c r="CM11" s="68">
        <v>181</v>
      </c>
      <c r="CN11" s="69">
        <f>IF(CM11=0," ",CL11/CM11)</f>
        <v>1.0331491712707181</v>
      </c>
      <c r="CO11" s="58">
        <v>0.96</v>
      </c>
      <c r="CP11" s="58">
        <f>IF(CM11=0," ",CN11/CO11)</f>
        <v>1.076197053406998</v>
      </c>
      <c r="CQ11" s="65" t="s">
        <v>2653</v>
      </c>
      <c r="CR11" s="119">
        <v>3123</v>
      </c>
      <c r="CS11" s="68">
        <v>3123</v>
      </c>
      <c r="CT11" s="69">
        <f>IF(CS11=0," ",CR11/CS11)</f>
        <v>1</v>
      </c>
      <c r="CU11" s="58">
        <v>1</v>
      </c>
      <c r="CV11" s="58">
        <f t="shared" si="14"/>
        <v>1</v>
      </c>
      <c r="CW11" s="65" t="s">
        <v>2654</v>
      </c>
    </row>
    <row r="12" spans="1:106" s="126" customFormat="1" ht="146.25" customHeight="1">
      <c r="B12" s="8" t="s">
        <v>2655</v>
      </c>
      <c r="C12" s="9"/>
      <c r="D12" s="13" t="s">
        <v>2656</v>
      </c>
      <c r="E12" s="789" t="s">
        <v>2657</v>
      </c>
      <c r="F12" s="790" t="s">
        <v>2658</v>
      </c>
      <c r="G12" s="790" t="s">
        <v>53</v>
      </c>
      <c r="H12" s="1408" t="s">
        <v>2659</v>
      </c>
      <c r="I12" s="8" t="s">
        <v>2660</v>
      </c>
      <c r="J12" s="8" t="s">
        <v>54</v>
      </c>
      <c r="K12" s="7"/>
      <c r="L12" s="7"/>
      <c r="M12" s="12"/>
      <c r="N12" s="7"/>
      <c r="O12" s="7"/>
      <c r="P12" s="12">
        <v>0.5</v>
      </c>
      <c r="Q12" s="14"/>
      <c r="R12" s="14"/>
      <c r="S12" s="12"/>
      <c r="T12" s="14"/>
      <c r="U12" s="14"/>
      <c r="V12" s="12">
        <v>0.5</v>
      </c>
      <c r="W12" s="1406" t="s">
        <v>79</v>
      </c>
      <c r="X12" s="605" t="s">
        <v>2661</v>
      </c>
      <c r="Y12" s="68"/>
      <c r="Z12" s="69" t="str">
        <f>IF(Y12=0," ",X12/Y12)</f>
        <v xml:space="preserve"> </v>
      </c>
      <c r="AA12" s="58"/>
      <c r="AB12" s="58" t="str">
        <f>IF(Y12=0," ",Z12/AA12)</f>
        <v xml:space="preserve"> </v>
      </c>
      <c r="AC12" s="299" t="s">
        <v>385</v>
      </c>
      <c r="AD12" s="68" t="s">
        <v>2661</v>
      </c>
      <c r="AE12" s="68"/>
      <c r="AF12" s="69" t="str">
        <f t="shared" si="0"/>
        <v xml:space="preserve"> </v>
      </c>
      <c r="AG12" s="58"/>
      <c r="AH12" s="58" t="str">
        <f t="shared" si="1"/>
        <v xml:space="preserve"> </v>
      </c>
      <c r="AI12" s="299" t="s">
        <v>385</v>
      </c>
      <c r="AJ12" s="68"/>
      <c r="AK12" s="68"/>
      <c r="AL12" s="69" t="str">
        <f t="shared" si="2"/>
        <v xml:space="preserve"> </v>
      </c>
      <c r="AM12" s="58"/>
      <c r="AN12" s="58" t="str">
        <f t="shared" si="3"/>
        <v xml:space="preserve"> </v>
      </c>
      <c r="AO12" s="299" t="s">
        <v>385</v>
      </c>
      <c r="AP12" s="68" t="s">
        <v>2661</v>
      </c>
      <c r="AQ12" s="68"/>
      <c r="AR12" s="69" t="str">
        <f>IF(AQ12=0," ",AP12/AQ12)</f>
        <v xml:space="preserve"> </v>
      </c>
      <c r="AS12" s="58"/>
      <c r="AT12" s="58" t="str">
        <f t="shared" si="4"/>
        <v xml:space="preserve"> </v>
      </c>
      <c r="AU12" s="65" t="s">
        <v>385</v>
      </c>
      <c r="AV12" s="68"/>
      <c r="AW12" s="68"/>
      <c r="AX12" s="69" t="str">
        <f t="shared" si="5"/>
        <v xml:space="preserve"> </v>
      </c>
      <c r="AY12" s="58"/>
      <c r="AZ12" s="58" t="str">
        <f t="shared" si="6"/>
        <v xml:space="preserve"> </v>
      </c>
      <c r="BA12" s="299" t="s">
        <v>1110</v>
      </c>
      <c r="BB12" s="68">
        <v>1</v>
      </c>
      <c r="BC12" s="68">
        <v>1</v>
      </c>
      <c r="BD12" s="69">
        <f t="shared" si="7"/>
        <v>1</v>
      </c>
      <c r="BE12" s="58">
        <v>1</v>
      </c>
      <c r="BF12" s="58">
        <f t="shared" si="8"/>
        <v>1</v>
      </c>
      <c r="BG12" s="65" t="s">
        <v>2662</v>
      </c>
      <c r="BH12" s="68"/>
      <c r="BI12" s="68"/>
      <c r="BJ12" s="69" t="str">
        <f t="shared" si="9"/>
        <v xml:space="preserve"> </v>
      </c>
      <c r="BK12" s="58"/>
      <c r="BL12" s="58" t="str">
        <f t="shared" si="10"/>
        <v xml:space="preserve"> </v>
      </c>
      <c r="BM12" s="299" t="s">
        <v>1110</v>
      </c>
      <c r="BN12" s="68"/>
      <c r="BO12" s="68"/>
      <c r="BP12" s="69" t="str">
        <f t="shared" si="11"/>
        <v xml:space="preserve"> </v>
      </c>
      <c r="BQ12" s="58"/>
      <c r="BR12" s="58"/>
      <c r="BS12" s="65" t="s">
        <v>2663</v>
      </c>
      <c r="BT12" s="68"/>
      <c r="BU12" s="68"/>
      <c r="BV12" s="69" t="str">
        <f>IF(BU12=0," ",BT12/BU12)</f>
        <v xml:space="preserve"> </v>
      </c>
      <c r="BW12" s="58"/>
      <c r="BX12" s="58" t="str">
        <f>IF(BU12=0," ",BV12/BW12)</f>
        <v xml:space="preserve"> </v>
      </c>
      <c r="BY12" s="65" t="s">
        <v>2663</v>
      </c>
      <c r="BZ12" s="68"/>
      <c r="CA12" s="68"/>
      <c r="CB12" s="69" t="str">
        <f>IF(CA12=0," ",BZ12/CA12)</f>
        <v xml:space="preserve"> </v>
      </c>
      <c r="CC12" s="58"/>
      <c r="CD12" s="58" t="str">
        <f t="shared" si="12"/>
        <v xml:space="preserve"> </v>
      </c>
      <c r="CE12" s="299" t="s">
        <v>385</v>
      </c>
      <c r="CF12" s="68"/>
      <c r="CG12" s="68"/>
      <c r="CH12" s="69" t="str">
        <f t="shared" si="13"/>
        <v xml:space="preserve"> </v>
      </c>
      <c r="CI12" s="58"/>
      <c r="CJ12" s="58" t="str">
        <f>IF(CG12=0," ",CH12/CI12)</f>
        <v xml:space="preserve"> </v>
      </c>
      <c r="CK12" s="299" t="s">
        <v>1110</v>
      </c>
      <c r="CL12" s="68">
        <v>1</v>
      </c>
      <c r="CM12" s="68">
        <v>1</v>
      </c>
      <c r="CN12" s="69">
        <v>1</v>
      </c>
      <c r="CO12" s="58">
        <v>1</v>
      </c>
      <c r="CP12" s="58">
        <f>IF(CM12=0," ",CN12/CO12)</f>
        <v>1</v>
      </c>
      <c r="CQ12" s="65" t="s">
        <v>2664</v>
      </c>
      <c r="CR12" s="68">
        <v>2</v>
      </c>
      <c r="CS12" s="68">
        <v>2</v>
      </c>
      <c r="CT12" s="69">
        <f>IF(CS12=0," ",CR12/CS12)</f>
        <v>1</v>
      </c>
      <c r="CU12" s="58">
        <v>1</v>
      </c>
      <c r="CV12" s="58">
        <f t="shared" si="14"/>
        <v>1</v>
      </c>
      <c r="CW12" s="65" t="s">
        <v>2665</v>
      </c>
    </row>
    <row r="13" spans="1:106" s="126" customFormat="1" ht="92.25" customHeight="1">
      <c r="B13" s="8" t="s">
        <v>2655</v>
      </c>
      <c r="C13" s="9"/>
      <c r="D13" s="13" t="s">
        <v>2666</v>
      </c>
      <c r="E13" s="789" t="s">
        <v>2667</v>
      </c>
      <c r="F13" s="790" t="s">
        <v>2668</v>
      </c>
      <c r="G13" s="790" t="s">
        <v>53</v>
      </c>
      <c r="H13" s="1408" t="s">
        <v>2669</v>
      </c>
      <c r="I13" s="8" t="s">
        <v>2670</v>
      </c>
      <c r="J13" s="8" t="s">
        <v>54</v>
      </c>
      <c r="K13" s="12"/>
      <c r="L13" s="12"/>
      <c r="M13" s="12"/>
      <c r="N13" s="12">
        <v>0.1</v>
      </c>
      <c r="O13" s="12">
        <v>0.1</v>
      </c>
      <c r="P13" s="12">
        <v>0.2</v>
      </c>
      <c r="Q13" s="12">
        <v>0.1</v>
      </c>
      <c r="R13" s="12">
        <v>0.1</v>
      </c>
      <c r="S13" s="12">
        <v>0.1</v>
      </c>
      <c r="T13" s="12">
        <v>0.2</v>
      </c>
      <c r="U13" s="12">
        <v>0.1</v>
      </c>
      <c r="V13" s="12"/>
      <c r="W13" s="1406" t="s">
        <v>79</v>
      </c>
      <c r="X13" s="605" t="s">
        <v>2661</v>
      </c>
      <c r="Y13" s="68"/>
      <c r="Z13" s="69" t="str">
        <f>IF(Y13=0," ",X13/Y13)</f>
        <v xml:space="preserve"> </v>
      </c>
      <c r="AA13" s="58"/>
      <c r="AB13" s="58"/>
      <c r="AC13" s="299" t="s">
        <v>385</v>
      </c>
      <c r="AD13" s="68" t="s">
        <v>2661</v>
      </c>
      <c r="AE13" s="68"/>
      <c r="AF13" s="69" t="str">
        <f t="shared" si="0"/>
        <v xml:space="preserve"> </v>
      </c>
      <c r="AG13" s="58"/>
      <c r="AH13" s="58" t="str">
        <f t="shared" si="1"/>
        <v xml:space="preserve"> </v>
      </c>
      <c r="AI13" s="299" t="s">
        <v>385</v>
      </c>
      <c r="AJ13" s="68"/>
      <c r="AK13" s="68"/>
      <c r="AL13" s="69" t="str">
        <f t="shared" si="2"/>
        <v xml:space="preserve"> </v>
      </c>
      <c r="AM13" s="58"/>
      <c r="AN13" s="58" t="str">
        <f t="shared" si="3"/>
        <v xml:space="preserve"> </v>
      </c>
      <c r="AO13" s="299" t="s">
        <v>385</v>
      </c>
      <c r="AP13" s="68">
        <v>1</v>
      </c>
      <c r="AQ13" s="68">
        <v>10</v>
      </c>
      <c r="AR13" s="69">
        <f>IF(AQ13=0," ",AP13/AQ13)</f>
        <v>0.1</v>
      </c>
      <c r="AS13" s="58">
        <v>0.1</v>
      </c>
      <c r="AT13" s="58">
        <f t="shared" si="4"/>
        <v>1</v>
      </c>
      <c r="AU13" s="1409" t="s">
        <v>2671</v>
      </c>
      <c r="AV13" s="68">
        <v>1</v>
      </c>
      <c r="AW13" s="68">
        <v>10</v>
      </c>
      <c r="AX13" s="69">
        <f t="shared" si="5"/>
        <v>0.1</v>
      </c>
      <c r="AY13" s="58">
        <v>0.1</v>
      </c>
      <c r="AZ13" s="58">
        <f t="shared" si="6"/>
        <v>1</v>
      </c>
      <c r="BA13" s="65" t="s">
        <v>2672</v>
      </c>
      <c r="BB13" s="68">
        <v>2</v>
      </c>
      <c r="BC13" s="68">
        <v>10</v>
      </c>
      <c r="BD13" s="69">
        <f t="shared" si="7"/>
        <v>0.2</v>
      </c>
      <c r="BE13" s="58">
        <v>0.2</v>
      </c>
      <c r="BF13" s="58">
        <f t="shared" si="8"/>
        <v>1</v>
      </c>
      <c r="BG13" s="65" t="s">
        <v>2673</v>
      </c>
      <c r="BH13" s="68">
        <v>1</v>
      </c>
      <c r="BI13" s="68">
        <v>10</v>
      </c>
      <c r="BJ13" s="69">
        <f t="shared" si="9"/>
        <v>0.1</v>
      </c>
      <c r="BK13" s="58">
        <v>0.1</v>
      </c>
      <c r="BL13" s="58">
        <f t="shared" si="10"/>
        <v>1</v>
      </c>
      <c r="BM13" s="65" t="s">
        <v>2674</v>
      </c>
      <c r="BN13" s="68">
        <v>1</v>
      </c>
      <c r="BO13" s="68">
        <v>10</v>
      </c>
      <c r="BP13" s="69">
        <f t="shared" si="11"/>
        <v>0.1</v>
      </c>
      <c r="BQ13" s="58">
        <v>0.1</v>
      </c>
      <c r="BR13" s="58">
        <f t="shared" si="15"/>
        <v>1</v>
      </c>
      <c r="BS13" s="65" t="s">
        <v>2675</v>
      </c>
      <c r="BT13" s="68">
        <v>1</v>
      </c>
      <c r="BU13" s="68">
        <v>10</v>
      </c>
      <c r="BV13" s="69">
        <v>0.1</v>
      </c>
      <c r="BW13" s="58">
        <v>0.1</v>
      </c>
      <c r="BX13" s="58">
        <v>1</v>
      </c>
      <c r="BY13" s="65" t="s">
        <v>2676</v>
      </c>
      <c r="BZ13" s="68">
        <v>2</v>
      </c>
      <c r="CA13" s="68">
        <v>2</v>
      </c>
      <c r="CB13" s="69">
        <v>0.2</v>
      </c>
      <c r="CC13" s="58">
        <v>0.2</v>
      </c>
      <c r="CD13" s="58">
        <f t="shared" si="12"/>
        <v>1</v>
      </c>
      <c r="CE13" s="65" t="s">
        <v>2677</v>
      </c>
      <c r="CF13" s="68">
        <v>1</v>
      </c>
      <c r="CG13" s="68">
        <v>1</v>
      </c>
      <c r="CH13" s="69">
        <f t="shared" si="13"/>
        <v>1</v>
      </c>
      <c r="CI13" s="58">
        <v>0.1</v>
      </c>
      <c r="CJ13" s="58">
        <v>1</v>
      </c>
      <c r="CK13" s="65" t="s">
        <v>2678</v>
      </c>
      <c r="CL13" s="68">
        <v>0</v>
      </c>
      <c r="CM13" s="68">
        <v>0</v>
      </c>
      <c r="CN13" s="69">
        <v>0</v>
      </c>
      <c r="CO13" s="58">
        <v>0</v>
      </c>
      <c r="CP13" s="58" t="s">
        <v>325</v>
      </c>
      <c r="CQ13" s="315" t="s">
        <v>2679</v>
      </c>
      <c r="CR13" s="68">
        <v>10</v>
      </c>
      <c r="CS13" s="68">
        <v>10</v>
      </c>
      <c r="CT13" s="69">
        <f>IF(CS13=0," ",CR13/CS13)</f>
        <v>1</v>
      </c>
      <c r="CU13" s="58">
        <v>1</v>
      </c>
      <c r="CV13" s="58">
        <f t="shared" si="14"/>
        <v>1</v>
      </c>
      <c r="CW13" s="65" t="s">
        <v>2680</v>
      </c>
    </row>
    <row r="14" spans="1:106" s="126" customFormat="1">
      <c r="B14" s="75"/>
      <c r="C14" s="78"/>
      <c r="D14" s="79"/>
      <c r="E14" s="1410"/>
      <c r="F14" s="1290"/>
      <c r="G14" s="1290"/>
      <c r="H14" s="1410" t="s">
        <v>49</v>
      </c>
      <c r="I14" s="80"/>
      <c r="J14" s="80"/>
      <c r="K14" s="81"/>
      <c r="L14" s="81"/>
      <c r="M14" s="82"/>
      <c r="N14" s="81"/>
      <c r="O14" s="81"/>
      <c r="P14" s="83"/>
      <c r="Q14" s="83"/>
      <c r="R14" s="83"/>
      <c r="S14" s="83"/>
      <c r="T14" s="83"/>
      <c r="U14" s="83"/>
      <c r="V14" s="83"/>
      <c r="W14" s="1411"/>
      <c r="X14" s="605"/>
      <c r="Y14" s="68"/>
      <c r="Z14" s="69"/>
      <c r="AA14" s="58"/>
      <c r="AB14" s="58"/>
      <c r="AC14" s="8"/>
      <c r="AD14" s="8"/>
      <c r="AE14" s="68"/>
      <c r="AF14" s="68"/>
      <c r="AG14" s="69"/>
      <c r="AH14" s="58"/>
      <c r="AI14" s="58"/>
      <c r="AJ14" s="8"/>
      <c r="AK14" s="68"/>
      <c r="AL14" s="68"/>
      <c r="AM14" s="69"/>
      <c r="AN14" s="58"/>
      <c r="AO14" s="58"/>
      <c r="AP14" s="68"/>
      <c r="AQ14" s="68"/>
      <c r="AR14" s="69"/>
      <c r="AS14" s="58"/>
      <c r="AT14" s="58"/>
      <c r="AU14" s="65"/>
      <c r="AV14" s="8"/>
      <c r="AW14" s="68"/>
      <c r="AX14" s="68"/>
      <c r="AY14" s="69"/>
      <c r="AZ14" s="58"/>
      <c r="BA14" s="58"/>
      <c r="BB14" s="68"/>
      <c r="BC14" s="68"/>
      <c r="BD14" s="69"/>
      <c r="BE14" s="58"/>
      <c r="BF14" s="58"/>
      <c r="BG14" s="65"/>
      <c r="BH14" s="8"/>
      <c r="BI14" s="68"/>
      <c r="BJ14" s="68"/>
      <c r="BK14" s="69"/>
      <c r="BL14" s="58"/>
      <c r="BM14" s="58"/>
      <c r="BN14" s="68"/>
      <c r="BO14" s="68"/>
      <c r="BP14" s="69"/>
      <c r="BQ14" s="58"/>
      <c r="BR14" s="58"/>
      <c r="BS14" s="65"/>
      <c r="BT14" s="8"/>
      <c r="BU14" s="68"/>
      <c r="BV14" s="68"/>
      <c r="BW14" s="69"/>
      <c r="BX14" s="58"/>
      <c r="BY14" s="58"/>
      <c r="BZ14" s="68"/>
      <c r="CA14" s="68"/>
      <c r="CB14" s="69"/>
      <c r="CC14" s="58"/>
      <c r="CD14" s="58"/>
      <c r="CE14" s="65"/>
      <c r="CF14" s="8"/>
      <c r="CG14" s="68"/>
      <c r="CH14" s="68"/>
      <c r="CI14" s="69"/>
      <c r="CJ14" s="58"/>
      <c r="CK14" s="58"/>
      <c r="CL14" s="68"/>
      <c r="CM14" s="68"/>
      <c r="CN14" s="69"/>
      <c r="CO14" s="58"/>
      <c r="CP14" s="58"/>
      <c r="CQ14" s="65"/>
      <c r="CR14" s="8"/>
      <c r="CS14" s="68"/>
      <c r="CT14" s="68"/>
      <c r="CU14" s="69"/>
      <c r="CV14" s="58"/>
      <c r="CW14" s="58"/>
    </row>
    <row r="15" spans="1:106" s="126" customFormat="1" ht="84.75" customHeight="1">
      <c r="B15" s="8" t="s">
        <v>155</v>
      </c>
      <c r="C15" s="8" t="s">
        <v>156</v>
      </c>
      <c r="D15" s="13" t="s">
        <v>157</v>
      </c>
      <c r="E15" s="789" t="s">
        <v>158</v>
      </c>
      <c r="F15" s="790" t="s">
        <v>159</v>
      </c>
      <c r="G15" s="790" t="s">
        <v>53</v>
      </c>
      <c r="H15" s="789" t="s">
        <v>160</v>
      </c>
      <c r="I15" s="8" t="s">
        <v>161</v>
      </c>
      <c r="J15" s="8" t="s">
        <v>54</v>
      </c>
      <c r="K15" s="7"/>
      <c r="L15" s="7"/>
      <c r="M15" s="12"/>
      <c r="N15" s="7">
        <v>100</v>
      </c>
      <c r="O15" s="7"/>
      <c r="P15" s="7">
        <v>100</v>
      </c>
      <c r="Q15" s="74"/>
      <c r="R15" s="74"/>
      <c r="S15" s="7">
        <v>100</v>
      </c>
      <c r="T15" s="74"/>
      <c r="U15" s="74"/>
      <c r="V15" s="7">
        <v>100</v>
      </c>
      <c r="W15" s="1406" t="s">
        <v>79</v>
      </c>
      <c r="X15" s="605"/>
      <c r="Y15" s="68"/>
      <c r="Z15" s="69" t="str">
        <f>IF(Y15=0," ",X15/Y15)</f>
        <v xml:space="preserve"> </v>
      </c>
      <c r="AA15" s="58"/>
      <c r="AB15" s="58" t="str">
        <f>IF(Y15=0," ",Z15/AA15)</f>
        <v xml:space="preserve"> </v>
      </c>
      <c r="AC15" s="299" t="s">
        <v>385</v>
      </c>
      <c r="AD15" s="68"/>
      <c r="AE15" s="68"/>
      <c r="AF15" s="69" t="str">
        <f t="shared" ref="AF15:AF22" si="16">IF(AE15=0," ",AD15/AE15)</f>
        <v xml:space="preserve"> </v>
      </c>
      <c r="AG15" s="58"/>
      <c r="AH15" s="58" t="str">
        <f t="shared" ref="AH15:AH22" si="17">IF(AE15=0," ",AF15/AG15)</f>
        <v xml:space="preserve"> </v>
      </c>
      <c r="AI15" s="299" t="s">
        <v>385</v>
      </c>
      <c r="AJ15" s="68"/>
      <c r="AK15" s="68"/>
      <c r="AL15" s="69"/>
      <c r="AM15" s="58"/>
      <c r="AN15" s="58"/>
      <c r="AO15" s="107" t="s">
        <v>1110</v>
      </c>
      <c r="AP15" s="68">
        <f>0+AP16+AP17+AP18</f>
        <v>0</v>
      </c>
      <c r="AQ15" s="68">
        <f>2+AQ16+AQ17+AQ18</f>
        <v>2</v>
      </c>
      <c r="AR15" s="69">
        <f>IF(AQ15=0," ",AP15/AQ15)</f>
        <v>0</v>
      </c>
      <c r="AS15" s="58">
        <v>1</v>
      </c>
      <c r="AT15" s="58">
        <f>IF(AQ15=0," ",AR15/AS15)</f>
        <v>0</v>
      </c>
      <c r="AU15" s="65" t="s">
        <v>2681</v>
      </c>
      <c r="AV15" s="68"/>
      <c r="AW15" s="68"/>
      <c r="AX15" s="69" t="str">
        <f t="shared" ref="AX15:AX22" si="18">IF(AW15=0," ",AV15/AW15)</f>
        <v xml:space="preserve"> </v>
      </c>
      <c r="AY15" s="58">
        <v>1</v>
      </c>
      <c r="AZ15" s="58" t="str">
        <f t="shared" ref="AZ15:AZ22" si="19">IF(AW15=0," ",AX15/AY15)</f>
        <v xml:space="preserve"> </v>
      </c>
      <c r="BA15" s="299" t="s">
        <v>1110</v>
      </c>
      <c r="BB15" s="68">
        <v>0</v>
      </c>
      <c r="BC15" s="68">
        <v>3</v>
      </c>
      <c r="BD15" s="69">
        <f>BB15/BC15</f>
        <v>0</v>
      </c>
      <c r="BE15" s="58">
        <v>1</v>
      </c>
      <c r="BF15" s="58">
        <f>BD15/BE15</f>
        <v>0</v>
      </c>
      <c r="BG15" s="65" t="s">
        <v>2681</v>
      </c>
      <c r="BH15" s="68"/>
      <c r="BI15" s="68"/>
      <c r="BJ15" s="69" t="str">
        <f t="shared" ref="BJ15:BJ22" si="20">IF(BI15=0," ",BH15/BI15)</f>
        <v xml:space="preserve"> </v>
      </c>
      <c r="BK15" s="58"/>
      <c r="BL15" s="58" t="str">
        <f t="shared" ref="BL15:BL22" si="21">IF(BI15=0," ",BJ15/BK15)</f>
        <v xml:space="preserve"> </v>
      </c>
      <c r="BM15" s="299" t="s">
        <v>1110</v>
      </c>
      <c r="BN15" s="68">
        <v>0</v>
      </c>
      <c r="BO15" s="68">
        <v>0</v>
      </c>
      <c r="BP15" s="69" t="str">
        <f t="shared" ref="BP15:BP22" si="22">IF(BO15=0," ",BN15/BO15)</f>
        <v xml:space="preserve"> </v>
      </c>
      <c r="BQ15" s="58">
        <v>0</v>
      </c>
      <c r="BR15" s="58" t="s">
        <v>325</v>
      </c>
      <c r="BS15" s="65" t="s">
        <v>2663</v>
      </c>
      <c r="BT15" s="68">
        <v>1</v>
      </c>
      <c r="BU15" s="68">
        <v>5</v>
      </c>
      <c r="BV15" s="69">
        <f>IF(BU15=0," ",BT15/BU15)</f>
        <v>0.2</v>
      </c>
      <c r="BW15" s="58">
        <v>1</v>
      </c>
      <c r="BX15" s="58">
        <f>IF(BU15=0," ",BV15/BW15)</f>
        <v>0.2</v>
      </c>
      <c r="BY15" s="101" t="s">
        <v>2682</v>
      </c>
      <c r="BZ15" s="68"/>
      <c r="CA15" s="68"/>
      <c r="CB15" s="69" t="str">
        <f t="shared" ref="CB15:CB21" si="23">IF(CA15=0," ",BZ15/CA15)</f>
        <v xml:space="preserve"> </v>
      </c>
      <c r="CC15" s="58"/>
      <c r="CD15" s="58" t="str">
        <f t="shared" ref="CD15:CD22" si="24">IF(CA15=0," ",CB15/CC15)</f>
        <v xml:space="preserve"> </v>
      </c>
      <c r="CE15" s="299" t="s">
        <v>385</v>
      </c>
      <c r="CF15" s="68"/>
      <c r="CG15" s="68"/>
      <c r="CH15" s="69" t="str">
        <f t="shared" ref="CH15:CH22" si="25">IF(CG15=0," ",CF15/CG15)</f>
        <v xml:space="preserve"> </v>
      </c>
      <c r="CI15" s="58"/>
      <c r="CJ15" s="58" t="str">
        <f t="shared" ref="CJ15:CJ22" si="26">IF(CG15=0," ",CH15/CI15)</f>
        <v xml:space="preserve"> </v>
      </c>
      <c r="CK15" s="299" t="s">
        <v>385</v>
      </c>
      <c r="CL15" s="68">
        <v>38</v>
      </c>
      <c r="CM15" s="68">
        <v>38</v>
      </c>
      <c r="CN15" s="69">
        <f>IF(CM15=0," ",CL15/CM15)</f>
        <v>1</v>
      </c>
      <c r="CO15" s="58">
        <v>1</v>
      </c>
      <c r="CP15" s="58">
        <f>IF(CM15=0," ",CN15/CO15)</f>
        <v>1</v>
      </c>
      <c r="CQ15" s="116" t="s">
        <v>2683</v>
      </c>
      <c r="CR15" s="68">
        <v>38</v>
      </c>
      <c r="CS15" s="68">
        <v>38</v>
      </c>
      <c r="CT15" s="69">
        <f t="shared" ref="CT15:CT22" si="27">IF(CS15=0," ",CR15/CS15)</f>
        <v>1</v>
      </c>
      <c r="CU15" s="58">
        <v>1</v>
      </c>
      <c r="CV15" s="58">
        <f t="shared" si="14"/>
        <v>1</v>
      </c>
      <c r="CW15" s="116" t="s">
        <v>2684</v>
      </c>
    </row>
    <row r="16" spans="1:106" s="126" customFormat="1" ht="90" customHeight="1">
      <c r="B16" s="8" t="s">
        <v>55</v>
      </c>
      <c r="C16" s="8" t="s">
        <v>89</v>
      </c>
      <c r="D16" s="8" t="s">
        <v>56</v>
      </c>
      <c r="E16" s="790" t="s">
        <v>57</v>
      </c>
      <c r="F16" s="847" t="s">
        <v>58</v>
      </c>
      <c r="G16" s="790" t="s">
        <v>53</v>
      </c>
      <c r="H16" s="847" t="s">
        <v>59</v>
      </c>
      <c r="I16" s="8" t="s">
        <v>60</v>
      </c>
      <c r="J16" s="135" t="s">
        <v>54</v>
      </c>
      <c r="K16" s="7"/>
      <c r="L16" s="7"/>
      <c r="M16" s="12">
        <v>1</v>
      </c>
      <c r="N16" s="7"/>
      <c r="O16" s="7"/>
      <c r="P16" s="12">
        <v>1</v>
      </c>
      <c r="Q16" s="12"/>
      <c r="R16" s="7"/>
      <c r="S16" s="12">
        <v>1</v>
      </c>
      <c r="T16" s="12"/>
      <c r="U16" s="7"/>
      <c r="V16" s="12">
        <v>1</v>
      </c>
      <c r="W16" s="1412" t="s">
        <v>79</v>
      </c>
      <c r="X16" s="605"/>
      <c r="Y16" s="68"/>
      <c r="Z16" s="69" t="str">
        <f>IF(Y16=0," ",X16/Y16)</f>
        <v xml:space="preserve"> </v>
      </c>
      <c r="AA16" s="58"/>
      <c r="AB16" s="58" t="str">
        <f>IF(Y16=0," ",Z16/AA16)</f>
        <v xml:space="preserve"> </v>
      </c>
      <c r="AC16" s="315" t="s">
        <v>1280</v>
      </c>
      <c r="AD16" s="68"/>
      <c r="AE16" s="68"/>
      <c r="AF16" s="69" t="str">
        <f t="shared" si="16"/>
        <v xml:space="preserve"> </v>
      </c>
      <c r="AG16" s="58"/>
      <c r="AH16" s="58" t="str">
        <f t="shared" si="17"/>
        <v xml:space="preserve"> </v>
      </c>
      <c r="AI16" s="315" t="s">
        <v>1280</v>
      </c>
      <c r="AJ16" s="68" t="s">
        <v>957</v>
      </c>
      <c r="AK16" s="68">
        <v>1</v>
      </c>
      <c r="AL16" s="69">
        <v>0</v>
      </c>
      <c r="AM16" s="58">
        <v>1</v>
      </c>
      <c r="AN16" s="58">
        <v>0</v>
      </c>
      <c r="AO16" s="65" t="s">
        <v>1509</v>
      </c>
      <c r="AP16" s="68">
        <v>0</v>
      </c>
      <c r="AQ16" s="68">
        <v>0</v>
      </c>
      <c r="AR16" s="69" t="str">
        <f t="shared" ref="AR16:AR22" si="28">IF(AQ16=0," ",AP16/AQ16)</f>
        <v xml:space="preserve"> </v>
      </c>
      <c r="AS16" s="58">
        <v>1</v>
      </c>
      <c r="AT16" s="58" t="str">
        <f t="shared" ref="AT16:AT22" si="29">IF(AQ16=0," ",AR16/AS16)</f>
        <v xml:space="preserve"> </v>
      </c>
      <c r="AU16" s="65" t="s">
        <v>1110</v>
      </c>
      <c r="AV16" s="68"/>
      <c r="AW16" s="68"/>
      <c r="AX16" s="69" t="str">
        <f t="shared" si="18"/>
        <v xml:space="preserve"> </v>
      </c>
      <c r="AY16" s="58"/>
      <c r="AZ16" s="58" t="str">
        <f t="shared" si="19"/>
        <v xml:space="preserve"> </v>
      </c>
      <c r="BA16" s="299" t="s">
        <v>1110</v>
      </c>
      <c r="BB16" s="68" t="s">
        <v>957</v>
      </c>
      <c r="BC16" s="68">
        <v>1</v>
      </c>
      <c r="BD16" s="69">
        <v>0</v>
      </c>
      <c r="BE16" s="58">
        <v>1</v>
      </c>
      <c r="BF16" s="58">
        <v>0</v>
      </c>
      <c r="BG16" s="65" t="s">
        <v>1509</v>
      </c>
      <c r="BH16" s="68"/>
      <c r="BI16" s="68"/>
      <c r="BJ16" s="69">
        <v>0</v>
      </c>
      <c r="BK16" s="58"/>
      <c r="BL16" s="58">
        <v>0</v>
      </c>
      <c r="BM16" s="315" t="s">
        <v>325</v>
      </c>
      <c r="BN16" s="68">
        <v>0</v>
      </c>
      <c r="BO16" s="68">
        <v>0</v>
      </c>
      <c r="BP16" s="69">
        <v>0</v>
      </c>
      <c r="BQ16" s="58">
        <v>0</v>
      </c>
      <c r="BR16" s="58" t="s">
        <v>325</v>
      </c>
      <c r="BS16" s="65" t="s">
        <v>2663</v>
      </c>
      <c r="BT16" s="68" t="s">
        <v>957</v>
      </c>
      <c r="BU16" s="68">
        <v>1</v>
      </c>
      <c r="BV16" s="69">
        <v>0</v>
      </c>
      <c r="BW16" s="58">
        <v>1</v>
      </c>
      <c r="BX16" s="58">
        <v>0</v>
      </c>
      <c r="BY16" s="65" t="s">
        <v>2685</v>
      </c>
      <c r="BZ16" s="68"/>
      <c r="CA16" s="68"/>
      <c r="CB16" s="69" t="str">
        <f t="shared" si="23"/>
        <v xml:space="preserve"> </v>
      </c>
      <c r="CC16" s="58"/>
      <c r="CD16" s="58" t="str">
        <f t="shared" si="24"/>
        <v xml:space="preserve"> </v>
      </c>
      <c r="CE16" s="299" t="s">
        <v>1110</v>
      </c>
      <c r="CF16" s="68"/>
      <c r="CG16" s="68"/>
      <c r="CH16" s="69" t="str">
        <f t="shared" si="25"/>
        <v xml:space="preserve"> </v>
      </c>
      <c r="CI16" s="58"/>
      <c r="CJ16" s="58" t="str">
        <f t="shared" si="26"/>
        <v xml:space="preserve"> </v>
      </c>
      <c r="CK16" s="299" t="s">
        <v>1110</v>
      </c>
      <c r="CL16" s="231">
        <v>100</v>
      </c>
      <c r="CM16" s="1304">
        <v>100</v>
      </c>
      <c r="CN16" s="22">
        <f>IF(CM16=0," ",CL16/CM16)</f>
        <v>1</v>
      </c>
      <c r="CO16" s="23">
        <v>1</v>
      </c>
      <c r="CP16" s="24">
        <f>IF(CM16=0," ",CN16/CO16)</f>
        <v>1</v>
      </c>
      <c r="CQ16" s="25" t="s">
        <v>326</v>
      </c>
      <c r="CR16" s="68">
        <v>25</v>
      </c>
      <c r="CS16" s="68">
        <v>100</v>
      </c>
      <c r="CT16" s="69">
        <v>0.25</v>
      </c>
      <c r="CU16" s="58">
        <v>1</v>
      </c>
      <c r="CV16" s="58">
        <f t="shared" si="14"/>
        <v>0.25</v>
      </c>
      <c r="CW16" s="65" t="s">
        <v>327</v>
      </c>
    </row>
    <row r="17" spans="2:101" s="126" customFormat="1" ht="111" customHeight="1">
      <c r="B17" s="599" t="s">
        <v>81</v>
      </c>
      <c r="C17" s="8" t="s">
        <v>92</v>
      </c>
      <c r="D17" s="13" t="s">
        <v>83</v>
      </c>
      <c r="E17" s="790" t="s">
        <v>84</v>
      </c>
      <c r="F17" s="847" t="s">
        <v>1322</v>
      </c>
      <c r="G17" s="790" t="s">
        <v>66</v>
      </c>
      <c r="H17" s="790" t="s">
        <v>2686</v>
      </c>
      <c r="I17" s="8" t="s">
        <v>85</v>
      </c>
      <c r="J17" s="8" t="s">
        <v>54</v>
      </c>
      <c r="K17" s="12"/>
      <c r="L17" s="12"/>
      <c r="M17" s="12">
        <v>1</v>
      </c>
      <c r="N17" s="12"/>
      <c r="O17" s="12"/>
      <c r="P17" s="12">
        <v>1</v>
      </c>
      <c r="Q17" s="12"/>
      <c r="R17" s="12"/>
      <c r="S17" s="12">
        <v>1</v>
      </c>
      <c r="T17" s="12"/>
      <c r="U17" s="12"/>
      <c r="V17" s="12">
        <v>1</v>
      </c>
      <c r="W17" s="1406" t="s">
        <v>79</v>
      </c>
      <c r="X17" s="605"/>
      <c r="Y17" s="68"/>
      <c r="Z17" s="69"/>
      <c r="AA17" s="58"/>
      <c r="AB17" s="58"/>
      <c r="AC17" s="299" t="s">
        <v>1110</v>
      </c>
      <c r="AD17" s="68"/>
      <c r="AE17" s="68"/>
      <c r="AF17" s="69"/>
      <c r="AG17" s="58"/>
      <c r="AH17" s="58"/>
      <c r="AI17" s="299" t="s">
        <v>385</v>
      </c>
      <c r="AJ17" s="68">
        <v>39</v>
      </c>
      <c r="AK17" s="68">
        <v>39</v>
      </c>
      <c r="AL17" s="69">
        <v>1</v>
      </c>
      <c r="AM17" s="58">
        <v>1</v>
      </c>
      <c r="AN17" s="58">
        <v>1</v>
      </c>
      <c r="AO17" s="65" t="s">
        <v>2687</v>
      </c>
      <c r="AP17" s="68"/>
      <c r="AQ17" s="68"/>
      <c r="AR17" s="69"/>
      <c r="AS17" s="58"/>
      <c r="AT17" s="58"/>
      <c r="AU17" s="65" t="s">
        <v>1110</v>
      </c>
      <c r="AV17" s="68"/>
      <c r="AW17" s="68"/>
      <c r="AX17" s="69"/>
      <c r="AY17" s="58"/>
      <c r="AZ17" s="58"/>
      <c r="BA17" s="299" t="s">
        <v>1110</v>
      </c>
      <c r="BB17" s="68">
        <v>42</v>
      </c>
      <c r="BC17" s="68">
        <v>42</v>
      </c>
      <c r="BD17" s="69">
        <f>BB17/BC17</f>
        <v>1</v>
      </c>
      <c r="BE17" s="58">
        <v>1</v>
      </c>
      <c r="BF17" s="58">
        <f>BD17/BE17</f>
        <v>1</v>
      </c>
      <c r="BG17" s="65" t="s">
        <v>2688</v>
      </c>
      <c r="BH17" s="68"/>
      <c r="BI17" s="68"/>
      <c r="BJ17" s="69"/>
      <c r="BK17" s="58"/>
      <c r="BL17" s="58"/>
      <c r="BM17" s="315" t="s">
        <v>1110</v>
      </c>
      <c r="BN17" s="68"/>
      <c r="BO17" s="68"/>
      <c r="BP17" s="69"/>
      <c r="BQ17" s="58"/>
      <c r="BR17" s="58"/>
      <c r="BS17" s="65" t="s">
        <v>2663</v>
      </c>
      <c r="BT17" s="68">
        <v>51</v>
      </c>
      <c r="BU17" s="68">
        <v>51</v>
      </c>
      <c r="BV17" s="69">
        <v>1</v>
      </c>
      <c r="BW17" s="58">
        <v>1</v>
      </c>
      <c r="BX17" s="58">
        <f>IF(BU17=0," ",BV17/BW17)</f>
        <v>1</v>
      </c>
      <c r="BY17" s="65" t="s">
        <v>2689</v>
      </c>
      <c r="BZ17" s="68"/>
      <c r="CA17" s="68"/>
      <c r="CB17" s="69"/>
      <c r="CC17" s="58"/>
      <c r="CD17" s="58"/>
      <c r="CE17" s="299" t="s">
        <v>1110</v>
      </c>
      <c r="CF17" s="68"/>
      <c r="CG17" s="68"/>
      <c r="CH17" s="69"/>
      <c r="CI17" s="58"/>
      <c r="CJ17" s="58"/>
      <c r="CK17" s="299" t="s">
        <v>1110</v>
      </c>
      <c r="CL17" s="68">
        <v>60</v>
      </c>
      <c r="CM17" s="68">
        <v>60</v>
      </c>
      <c r="CN17" s="69">
        <v>1</v>
      </c>
      <c r="CO17" s="58">
        <v>1</v>
      </c>
      <c r="CP17" s="58">
        <v>1</v>
      </c>
      <c r="CQ17" s="65" t="s">
        <v>2689</v>
      </c>
      <c r="CR17" s="68">
        <v>100</v>
      </c>
      <c r="CS17" s="68">
        <v>100</v>
      </c>
      <c r="CT17" s="69">
        <v>1</v>
      </c>
      <c r="CU17" s="58">
        <v>1</v>
      </c>
      <c r="CV17" s="58">
        <f t="shared" si="14"/>
        <v>1</v>
      </c>
      <c r="CW17" s="65" t="s">
        <v>2690</v>
      </c>
    </row>
    <row r="18" spans="2:101" s="126" customFormat="1" ht="101.25" customHeight="1">
      <c r="B18" s="8" t="s">
        <v>55</v>
      </c>
      <c r="C18" s="8" t="s">
        <v>88</v>
      </c>
      <c r="D18" s="8" t="s">
        <v>61</v>
      </c>
      <c r="E18" s="790" t="s">
        <v>57</v>
      </c>
      <c r="F18" s="847" t="s">
        <v>62</v>
      </c>
      <c r="G18" s="790" t="s">
        <v>53</v>
      </c>
      <c r="H18" s="790" t="s">
        <v>63</v>
      </c>
      <c r="I18" s="8" t="s">
        <v>64</v>
      </c>
      <c r="J18" s="135" t="s">
        <v>54</v>
      </c>
      <c r="K18" s="713"/>
      <c r="L18" s="714">
        <v>1</v>
      </c>
      <c r="M18" s="714"/>
      <c r="N18" s="714">
        <v>1</v>
      </c>
      <c r="O18" s="713"/>
      <c r="P18" s="60">
        <v>1</v>
      </c>
      <c r="Q18" s="715"/>
      <c r="R18" s="60">
        <v>1</v>
      </c>
      <c r="S18" s="715"/>
      <c r="T18" s="60">
        <v>1</v>
      </c>
      <c r="U18" s="716"/>
      <c r="V18" s="60">
        <v>1</v>
      </c>
      <c r="W18" s="1412" t="s">
        <v>79</v>
      </c>
      <c r="X18" s="605"/>
      <c r="Y18" s="68"/>
      <c r="Z18" s="69" t="str">
        <f>IF(Y18=0," ",X18/Y18)</f>
        <v xml:space="preserve"> </v>
      </c>
      <c r="AA18" s="58"/>
      <c r="AB18" s="58" t="str">
        <f>IF(Y18=0," ",Z18/AA18)</f>
        <v xml:space="preserve"> </v>
      </c>
      <c r="AC18" s="315" t="s">
        <v>1280</v>
      </c>
      <c r="AD18" s="68"/>
      <c r="AE18" s="68"/>
      <c r="AF18" s="69" t="str">
        <f t="shared" si="16"/>
        <v xml:space="preserve"> </v>
      </c>
      <c r="AG18" s="58"/>
      <c r="AH18" s="58" t="str">
        <f t="shared" si="17"/>
        <v xml:space="preserve"> </v>
      </c>
      <c r="AI18" s="315" t="s">
        <v>1280</v>
      </c>
      <c r="AJ18" s="68"/>
      <c r="AK18" s="68"/>
      <c r="AL18" s="69" t="str">
        <f>IF(AK18=0," ",AJ18/AK18)</f>
        <v xml:space="preserve"> </v>
      </c>
      <c r="AM18" s="58"/>
      <c r="AN18" s="58" t="str">
        <f>IF(AK18=0," ",AL18/AM18)</f>
        <v xml:space="preserve"> </v>
      </c>
      <c r="AO18" s="315" t="s">
        <v>1280</v>
      </c>
      <c r="AP18" s="68"/>
      <c r="AQ18" s="68"/>
      <c r="AR18" s="69" t="str">
        <f t="shared" si="28"/>
        <v xml:space="preserve"> </v>
      </c>
      <c r="AS18" s="58"/>
      <c r="AT18" s="58" t="str">
        <f t="shared" si="29"/>
        <v xml:space="preserve"> </v>
      </c>
      <c r="AU18" s="315" t="s">
        <v>1280</v>
      </c>
      <c r="AV18" s="68"/>
      <c r="AW18" s="68"/>
      <c r="AX18" s="69" t="str">
        <f t="shared" si="18"/>
        <v xml:space="preserve"> </v>
      </c>
      <c r="AY18" s="58"/>
      <c r="AZ18" s="58" t="str">
        <f t="shared" si="19"/>
        <v xml:space="preserve"> </v>
      </c>
      <c r="BA18" s="299" t="s">
        <v>1110</v>
      </c>
      <c r="BB18" s="1413">
        <v>100</v>
      </c>
      <c r="BC18" s="1414">
        <v>100</v>
      </c>
      <c r="BD18" s="69">
        <f>IF(BC18=0," ",BB18/BC18)</f>
        <v>1</v>
      </c>
      <c r="BE18" s="58">
        <v>1</v>
      </c>
      <c r="BF18" s="58">
        <f>IF(BC18=0," ",BD18/BE18)</f>
        <v>1</v>
      </c>
      <c r="BG18" s="65" t="s">
        <v>972</v>
      </c>
      <c r="BH18" s="68"/>
      <c r="BI18" s="68"/>
      <c r="BJ18" s="69" t="str">
        <f t="shared" si="20"/>
        <v xml:space="preserve"> </v>
      </c>
      <c r="BK18" s="58"/>
      <c r="BL18" s="58" t="str">
        <f t="shared" si="21"/>
        <v xml:space="preserve"> </v>
      </c>
      <c r="BM18" s="315" t="s">
        <v>1280</v>
      </c>
      <c r="BN18" s="68">
        <v>0</v>
      </c>
      <c r="BO18" s="68">
        <v>0</v>
      </c>
      <c r="BP18" s="69">
        <v>0</v>
      </c>
      <c r="BQ18" s="58">
        <v>0</v>
      </c>
      <c r="BR18" s="58" t="s">
        <v>325</v>
      </c>
      <c r="BS18" s="65" t="s">
        <v>2691</v>
      </c>
      <c r="BT18" s="68">
        <v>0</v>
      </c>
      <c r="BU18" s="68">
        <v>0</v>
      </c>
      <c r="BV18" s="69">
        <v>0</v>
      </c>
      <c r="BW18" s="58">
        <v>0</v>
      </c>
      <c r="BX18" s="58" t="s">
        <v>325</v>
      </c>
      <c r="BY18" s="65" t="s">
        <v>2691</v>
      </c>
      <c r="BZ18" s="68"/>
      <c r="CA18" s="68"/>
      <c r="CB18" s="69" t="str">
        <f t="shared" si="23"/>
        <v xml:space="preserve"> </v>
      </c>
      <c r="CC18" s="58"/>
      <c r="CD18" s="58" t="str">
        <f t="shared" si="24"/>
        <v xml:space="preserve"> </v>
      </c>
      <c r="CE18" s="65" t="s">
        <v>148</v>
      </c>
      <c r="CF18" s="68"/>
      <c r="CG18" s="68"/>
      <c r="CH18" s="69" t="str">
        <f t="shared" si="25"/>
        <v xml:space="preserve"> </v>
      </c>
      <c r="CI18" s="58"/>
      <c r="CJ18" s="58" t="str">
        <f t="shared" si="26"/>
        <v xml:space="preserve"> </v>
      </c>
      <c r="CK18" s="315" t="s">
        <v>1280</v>
      </c>
      <c r="CL18" s="68"/>
      <c r="CM18" s="68"/>
      <c r="CN18" s="69"/>
      <c r="CO18" s="58"/>
      <c r="CP18" s="58" t="s">
        <v>325</v>
      </c>
      <c r="CQ18" s="65" t="s">
        <v>2692</v>
      </c>
      <c r="CR18" s="68">
        <v>0</v>
      </c>
      <c r="CS18" s="68">
        <v>0</v>
      </c>
      <c r="CT18" s="69">
        <v>0</v>
      </c>
      <c r="CU18" s="58">
        <v>0</v>
      </c>
      <c r="CV18" s="58" t="s">
        <v>325</v>
      </c>
      <c r="CW18" s="65" t="s">
        <v>2692</v>
      </c>
    </row>
    <row r="19" spans="2:101" s="126" customFormat="1" ht="121.5" customHeight="1">
      <c r="B19" s="391" t="s">
        <v>260</v>
      </c>
      <c r="C19" s="8" t="s">
        <v>261</v>
      </c>
      <c r="D19" s="391" t="s">
        <v>262</v>
      </c>
      <c r="E19" s="790" t="s">
        <v>263</v>
      </c>
      <c r="F19" s="846" t="s">
        <v>264</v>
      </c>
      <c r="G19" s="790" t="s">
        <v>66</v>
      </c>
      <c r="H19" s="846" t="s">
        <v>390</v>
      </c>
      <c r="I19" s="8" t="s">
        <v>267</v>
      </c>
      <c r="J19" s="8" t="s">
        <v>391</v>
      </c>
      <c r="K19" s="7"/>
      <c r="L19" s="7"/>
      <c r="M19" s="12"/>
      <c r="N19" s="12">
        <v>0.03</v>
      </c>
      <c r="O19" s="12">
        <v>0.03</v>
      </c>
      <c r="P19" s="12">
        <v>0.03</v>
      </c>
      <c r="Q19" s="12">
        <v>0.03</v>
      </c>
      <c r="R19" s="12">
        <v>0.03</v>
      </c>
      <c r="S19" s="12">
        <v>0.03</v>
      </c>
      <c r="T19" s="12">
        <v>0.05</v>
      </c>
      <c r="U19" s="12">
        <v>0.05</v>
      </c>
      <c r="V19" s="12">
        <v>0.03</v>
      </c>
      <c r="W19" s="1415" t="s">
        <v>2291</v>
      </c>
      <c r="X19" s="68">
        <v>0</v>
      </c>
      <c r="Y19" s="68">
        <v>0</v>
      </c>
      <c r="Z19" s="69" t="s">
        <v>332</v>
      </c>
      <c r="AA19" s="58">
        <v>0</v>
      </c>
      <c r="AB19" s="58" t="s">
        <v>332</v>
      </c>
      <c r="AC19" s="65" t="s">
        <v>2693</v>
      </c>
      <c r="AD19" s="68">
        <v>0</v>
      </c>
      <c r="AE19" s="68">
        <v>0</v>
      </c>
      <c r="AF19" s="69">
        <v>0</v>
      </c>
      <c r="AG19" s="58">
        <v>0</v>
      </c>
      <c r="AH19" s="58" t="str">
        <f t="shared" si="17"/>
        <v xml:space="preserve"> </v>
      </c>
      <c r="AI19" s="65" t="s">
        <v>2693</v>
      </c>
      <c r="AJ19" s="68">
        <v>0</v>
      </c>
      <c r="AK19" s="1416">
        <v>637443415</v>
      </c>
      <c r="AL19" s="69">
        <v>0</v>
      </c>
      <c r="AM19" s="58">
        <v>0</v>
      </c>
      <c r="AN19" s="58">
        <v>0</v>
      </c>
      <c r="AO19" s="65" t="s">
        <v>2694</v>
      </c>
      <c r="AP19" s="68"/>
      <c r="AQ19" s="1416">
        <v>637443415</v>
      </c>
      <c r="AR19" s="69">
        <v>0</v>
      </c>
      <c r="AS19" s="58">
        <v>0.03</v>
      </c>
      <c r="AT19" s="58">
        <v>0</v>
      </c>
      <c r="AU19" s="65" t="s">
        <v>2695</v>
      </c>
      <c r="AV19" s="664">
        <v>53844333</v>
      </c>
      <c r="AW19" s="1416">
        <v>637443415</v>
      </c>
      <c r="AX19" s="69">
        <f t="shared" si="18"/>
        <v>8.4469196375650063E-2</v>
      </c>
      <c r="AY19" s="58">
        <f>O19</f>
        <v>0.03</v>
      </c>
      <c r="AZ19" s="58">
        <f t="shared" si="19"/>
        <v>2.8156398791883355</v>
      </c>
      <c r="BA19" s="65" t="s">
        <v>2696</v>
      </c>
      <c r="BB19" s="664">
        <v>8989464</v>
      </c>
      <c r="BC19" s="1416">
        <v>637443415</v>
      </c>
      <c r="BD19" s="69">
        <f>IF(BC19=0," ",BB19/BC19)</f>
        <v>1.410237173757611E-2</v>
      </c>
      <c r="BE19" s="58">
        <f>P19</f>
        <v>0.03</v>
      </c>
      <c r="BF19" s="58">
        <v>0.2274274795224851</v>
      </c>
      <c r="BG19" s="65" t="s">
        <v>2697</v>
      </c>
      <c r="BH19" s="393">
        <v>0</v>
      </c>
      <c r="BI19" s="1416">
        <v>637443415</v>
      </c>
      <c r="BJ19" s="69">
        <f>IF(BI19=0," ",BH19/BI19)</f>
        <v>0</v>
      </c>
      <c r="BK19" s="58">
        <f>Q19</f>
        <v>0.03</v>
      </c>
      <c r="BL19" s="58">
        <f>IF(BI19=0," ",BJ19/BK19)</f>
        <v>0</v>
      </c>
      <c r="BM19" s="65" t="s">
        <v>2698</v>
      </c>
      <c r="BN19" s="1416">
        <v>3338000</v>
      </c>
      <c r="BO19" s="1416">
        <v>1317557582</v>
      </c>
      <c r="BP19" s="1417">
        <f t="shared" si="22"/>
        <v>2.5334756109353859E-3</v>
      </c>
      <c r="BQ19" s="58">
        <v>0.03</v>
      </c>
      <c r="BR19" s="58">
        <f t="shared" si="15"/>
        <v>8.444918703117954E-2</v>
      </c>
      <c r="BS19" s="65" t="s">
        <v>2699</v>
      </c>
      <c r="BT19" s="68">
        <v>0</v>
      </c>
      <c r="BU19" s="1416">
        <v>1317557582</v>
      </c>
      <c r="BV19" s="69">
        <v>0</v>
      </c>
      <c r="BW19" s="58">
        <v>0.03</v>
      </c>
      <c r="BX19" s="58">
        <v>0</v>
      </c>
      <c r="BY19" s="65" t="s">
        <v>2700</v>
      </c>
      <c r="BZ19" s="1418">
        <v>0</v>
      </c>
      <c r="CA19" s="1418">
        <v>1317557582</v>
      </c>
      <c r="CB19" s="1419">
        <f t="shared" si="23"/>
        <v>0</v>
      </c>
      <c r="CC19" s="867">
        <f>T19</f>
        <v>0.05</v>
      </c>
      <c r="CD19" s="867">
        <f t="shared" si="24"/>
        <v>0</v>
      </c>
      <c r="CE19" s="65" t="s">
        <v>2701</v>
      </c>
      <c r="CF19" s="68">
        <v>0</v>
      </c>
      <c r="CG19" s="1420">
        <v>1237569798</v>
      </c>
      <c r="CH19" s="69">
        <f t="shared" si="25"/>
        <v>0</v>
      </c>
      <c r="CI19" s="58">
        <v>0.05</v>
      </c>
      <c r="CJ19" s="58">
        <f t="shared" si="26"/>
        <v>0</v>
      </c>
      <c r="CK19" s="65" t="s">
        <v>2701</v>
      </c>
      <c r="CL19" s="68">
        <v>0</v>
      </c>
      <c r="CM19" s="68">
        <v>0</v>
      </c>
      <c r="CN19" s="69">
        <v>0</v>
      </c>
      <c r="CO19" s="58">
        <v>0.03</v>
      </c>
      <c r="CP19" s="58">
        <v>0</v>
      </c>
      <c r="CQ19" s="65" t="s">
        <v>2702</v>
      </c>
      <c r="CR19" s="119">
        <v>85637317</v>
      </c>
      <c r="CS19" s="68">
        <v>1207007115</v>
      </c>
      <c r="CT19" s="69">
        <f t="shared" si="27"/>
        <v>7.0950134374311455E-2</v>
      </c>
      <c r="CU19" s="58">
        <v>0.31</v>
      </c>
      <c r="CV19" s="58">
        <f t="shared" si="14"/>
        <v>0.2288714012074563</v>
      </c>
      <c r="CW19" s="65" t="s">
        <v>2703</v>
      </c>
    </row>
    <row r="20" spans="2:101" s="126" customFormat="1" ht="81">
      <c r="B20" s="391" t="s">
        <v>260</v>
      </c>
      <c r="C20" s="8" t="s">
        <v>273</v>
      </c>
      <c r="D20" s="352" t="s">
        <v>274</v>
      </c>
      <c r="E20" s="8" t="s">
        <v>275</v>
      </c>
      <c r="F20" s="391" t="s">
        <v>276</v>
      </c>
      <c r="G20" s="8" t="s">
        <v>66</v>
      </c>
      <c r="H20" s="846" t="s">
        <v>394</v>
      </c>
      <c r="I20" s="8" t="s">
        <v>267</v>
      </c>
      <c r="J20" s="8" t="s">
        <v>391</v>
      </c>
      <c r="K20" s="7"/>
      <c r="L20" s="7"/>
      <c r="M20" s="12">
        <v>0.03</v>
      </c>
      <c r="N20" s="12">
        <v>0.03</v>
      </c>
      <c r="O20" s="12">
        <v>0.03</v>
      </c>
      <c r="P20" s="12">
        <v>0.03</v>
      </c>
      <c r="Q20" s="12">
        <v>0.03</v>
      </c>
      <c r="R20" s="12">
        <v>0.1</v>
      </c>
      <c r="S20" s="12">
        <v>0.03</v>
      </c>
      <c r="T20" s="12">
        <v>0.1</v>
      </c>
      <c r="U20" s="12">
        <v>0.05</v>
      </c>
      <c r="V20" s="12">
        <v>0.05</v>
      </c>
      <c r="W20" s="1415" t="s">
        <v>2292</v>
      </c>
      <c r="X20" s="605">
        <v>0</v>
      </c>
      <c r="Y20" s="68">
        <v>0</v>
      </c>
      <c r="Z20" s="69" t="s">
        <v>332</v>
      </c>
      <c r="AA20" s="58">
        <v>0</v>
      </c>
      <c r="AB20" s="58" t="str">
        <f>IF(Y20=0," ",Z20/AA20)</f>
        <v xml:space="preserve"> </v>
      </c>
      <c r="AC20" s="65" t="s">
        <v>2693</v>
      </c>
      <c r="AD20" s="68">
        <v>0</v>
      </c>
      <c r="AE20" s="68">
        <v>0</v>
      </c>
      <c r="AF20" s="69">
        <v>0</v>
      </c>
      <c r="AG20" s="58">
        <v>0</v>
      </c>
      <c r="AH20" s="58" t="s">
        <v>332</v>
      </c>
      <c r="AI20" s="65" t="s">
        <v>2704</v>
      </c>
      <c r="AJ20" s="393">
        <v>237866666</v>
      </c>
      <c r="AK20" s="393">
        <v>792800000</v>
      </c>
      <c r="AL20" s="69">
        <f>IF(AK20=0," ",AJ20/AK20)</f>
        <v>0.30003363521695259</v>
      </c>
      <c r="AM20" s="58">
        <f>M20</f>
        <v>0.03</v>
      </c>
      <c r="AN20" s="58">
        <f>IF(AK20=0," ",AL20/AM20)</f>
        <v>10.00112117389842</v>
      </c>
      <c r="AO20" s="65" t="s">
        <v>2705</v>
      </c>
      <c r="AP20" s="1416">
        <v>200000</v>
      </c>
      <c r="AQ20" s="1416">
        <v>792800000</v>
      </c>
      <c r="AR20" s="1421">
        <f>IF(AQ20=0," ",AP20/AQ20)</f>
        <v>2.5227043390514632E-4</v>
      </c>
      <c r="AS20" s="58">
        <v>0.03</v>
      </c>
      <c r="AT20" s="563">
        <f>IF(AQ20=0," ",AR20/AS20)</f>
        <v>8.409014463504878E-3</v>
      </c>
      <c r="AU20" s="65" t="s">
        <v>2706</v>
      </c>
      <c r="AV20" s="664">
        <v>0</v>
      </c>
      <c r="AW20" s="664">
        <v>792800000</v>
      </c>
      <c r="AX20" s="69">
        <f>IF(AW20=0," ",AV20/AW20)</f>
        <v>0</v>
      </c>
      <c r="AY20" s="58">
        <f>O20</f>
        <v>0.03</v>
      </c>
      <c r="AZ20" s="58">
        <f>IF(AW20=0," ",AX20/AY20)</f>
        <v>0</v>
      </c>
      <c r="BA20" s="65" t="s">
        <v>2698</v>
      </c>
      <c r="BB20" s="664">
        <v>0</v>
      </c>
      <c r="BC20" s="664">
        <v>792800000</v>
      </c>
      <c r="BD20" s="69">
        <f>IF(BC20=0," ",BB20/BC20)</f>
        <v>0</v>
      </c>
      <c r="BE20" s="58">
        <f>P20</f>
        <v>0.03</v>
      </c>
      <c r="BF20" s="58">
        <f>IF(BC20=0," ",BD20/BE20)</f>
        <v>0</v>
      </c>
      <c r="BG20" s="65" t="s">
        <v>2698</v>
      </c>
      <c r="BH20" s="393">
        <v>133970967</v>
      </c>
      <c r="BI20" s="393">
        <v>817085689</v>
      </c>
      <c r="BJ20" s="69">
        <f>IF(BI20=0," ",BH20/BI20)</f>
        <v>0.16396195503553851</v>
      </c>
      <c r="BK20" s="58">
        <f>Q20</f>
        <v>0.03</v>
      </c>
      <c r="BL20" s="58">
        <f>IF(BI20=0," ",BJ20/BK20)</f>
        <v>5.4653985011846169</v>
      </c>
      <c r="BM20" s="65" t="s">
        <v>2707</v>
      </c>
      <c r="BN20" s="1416">
        <v>19594996</v>
      </c>
      <c r="BO20" s="393">
        <v>792800000</v>
      </c>
      <c r="BP20" s="69">
        <f t="shared" si="22"/>
        <v>2.4716190716448032E-2</v>
      </c>
      <c r="BQ20" s="58">
        <v>0.1</v>
      </c>
      <c r="BR20" s="58">
        <f t="shared" si="15"/>
        <v>0.2471619071644803</v>
      </c>
      <c r="BS20" s="65" t="s">
        <v>2708</v>
      </c>
      <c r="BT20" s="1416">
        <v>8700000</v>
      </c>
      <c r="BU20" s="393">
        <v>792800000</v>
      </c>
      <c r="BV20" s="69">
        <v>1.0973763874873865E-2</v>
      </c>
      <c r="BW20" s="58">
        <v>0.03</v>
      </c>
      <c r="BX20" s="58">
        <v>0.36579212916246218</v>
      </c>
      <c r="BY20" s="65" t="s">
        <v>2709</v>
      </c>
      <c r="BZ20" s="68"/>
      <c r="CA20" s="68"/>
      <c r="CB20" s="69"/>
      <c r="CC20" s="58"/>
      <c r="CD20" s="58"/>
      <c r="CE20" s="65" t="s">
        <v>2710</v>
      </c>
      <c r="CF20" s="68">
        <v>0</v>
      </c>
      <c r="CG20" s="1422">
        <v>558436501</v>
      </c>
      <c r="CH20" s="69">
        <f t="shared" si="25"/>
        <v>0</v>
      </c>
      <c r="CI20" s="58">
        <v>0.05</v>
      </c>
      <c r="CJ20" s="58">
        <f t="shared" si="26"/>
        <v>0</v>
      </c>
      <c r="CK20" s="65" t="s">
        <v>2701</v>
      </c>
      <c r="CL20" s="664">
        <v>92800000</v>
      </c>
      <c r="CM20" s="664">
        <v>792800000</v>
      </c>
      <c r="CN20" s="69">
        <f>IF(CM20=0," ",CL20/CM20)</f>
        <v>0.1170534813319879</v>
      </c>
      <c r="CO20" s="58">
        <f>V20</f>
        <v>0.05</v>
      </c>
      <c r="CP20" s="867">
        <f>IF(CM20=0," ",CN20/CO20)</f>
        <v>2.3410696266397579</v>
      </c>
      <c r="CQ20" s="65" t="s">
        <v>2711</v>
      </c>
      <c r="CR20" s="68">
        <v>2764709817</v>
      </c>
      <c r="CS20" s="68">
        <v>3228646318</v>
      </c>
      <c r="CT20" s="69">
        <f t="shared" si="27"/>
        <v>0.85630618677136872</v>
      </c>
      <c r="CU20" s="58">
        <v>0.48</v>
      </c>
      <c r="CV20" s="58">
        <f t="shared" si="14"/>
        <v>1.7839712224403517</v>
      </c>
      <c r="CW20" s="65" t="s">
        <v>2712</v>
      </c>
    </row>
    <row r="21" spans="2:101" s="126" customFormat="1" ht="86.25" customHeight="1">
      <c r="B21" s="391" t="s">
        <v>67</v>
      </c>
      <c r="C21" s="8" t="s">
        <v>90</v>
      </c>
      <c r="D21" s="8" t="s">
        <v>93</v>
      </c>
      <c r="E21" s="8" t="s">
        <v>68</v>
      </c>
      <c r="F21" s="8" t="s">
        <v>69</v>
      </c>
      <c r="G21" s="8" t="s">
        <v>53</v>
      </c>
      <c r="H21" s="8" t="s">
        <v>70</v>
      </c>
      <c r="I21" s="8" t="s">
        <v>71</v>
      </c>
      <c r="J21" s="8" t="s">
        <v>54</v>
      </c>
      <c r="K21" s="1212"/>
      <c r="L21" s="1213"/>
      <c r="M21" s="1213"/>
      <c r="N21" s="1213"/>
      <c r="O21" s="1213"/>
      <c r="P21" s="1340"/>
      <c r="Q21" s="1340">
        <v>0.3</v>
      </c>
      <c r="R21" s="1213"/>
      <c r="S21" s="1213"/>
      <c r="T21" s="1340">
        <v>0.3</v>
      </c>
      <c r="U21" s="1340">
        <v>0.3</v>
      </c>
      <c r="V21" s="1340">
        <v>0.1</v>
      </c>
      <c r="W21" s="1415" t="s">
        <v>72</v>
      </c>
      <c r="X21" s="605">
        <v>0</v>
      </c>
      <c r="Y21" s="68">
        <v>0</v>
      </c>
      <c r="Z21" s="69">
        <v>0</v>
      </c>
      <c r="AA21" s="58">
        <v>0</v>
      </c>
      <c r="AB21" s="58" t="str">
        <f>IF(Y21=0," ",Z21/AA21)</f>
        <v xml:space="preserve"> </v>
      </c>
      <c r="AC21" s="65" t="s">
        <v>2704</v>
      </c>
      <c r="AD21" s="605">
        <v>0</v>
      </c>
      <c r="AE21" s="68">
        <v>0</v>
      </c>
      <c r="AF21" s="69">
        <v>0</v>
      </c>
      <c r="AG21" s="58">
        <v>0</v>
      </c>
      <c r="AH21" s="58" t="str">
        <f t="shared" si="17"/>
        <v xml:space="preserve"> </v>
      </c>
      <c r="AI21" s="65" t="s">
        <v>2704</v>
      </c>
      <c r="AJ21" s="605">
        <v>0</v>
      </c>
      <c r="AK21" s="68">
        <v>0</v>
      </c>
      <c r="AL21" s="69">
        <v>0</v>
      </c>
      <c r="AM21" s="58">
        <v>0</v>
      </c>
      <c r="AN21" s="58" t="str">
        <f>IF(AK21=0," ",AL21/AM21)</f>
        <v xml:space="preserve"> </v>
      </c>
      <c r="AO21" s="65" t="s">
        <v>2704</v>
      </c>
      <c r="AP21" s="605">
        <v>0</v>
      </c>
      <c r="AQ21" s="68">
        <v>0</v>
      </c>
      <c r="AR21" s="69">
        <v>0</v>
      </c>
      <c r="AS21" s="58">
        <v>0</v>
      </c>
      <c r="AT21" s="58" t="str">
        <f t="shared" si="29"/>
        <v xml:space="preserve"> </v>
      </c>
      <c r="AU21" s="65" t="s">
        <v>2704</v>
      </c>
      <c r="AV21" s="68"/>
      <c r="AW21" s="68"/>
      <c r="AX21" s="69" t="str">
        <f t="shared" si="18"/>
        <v xml:space="preserve"> </v>
      </c>
      <c r="AY21" s="58"/>
      <c r="AZ21" s="58" t="str">
        <f t="shared" si="19"/>
        <v xml:space="preserve"> </v>
      </c>
      <c r="BA21" s="299" t="s">
        <v>1110</v>
      </c>
      <c r="BB21" s="664"/>
      <c r="BC21" s="664"/>
      <c r="BD21" s="69" t="str">
        <f>IF(BC21=0," ",BB21/BC21)</f>
        <v xml:space="preserve"> </v>
      </c>
      <c r="BE21" s="58">
        <f>P21</f>
        <v>0</v>
      </c>
      <c r="BF21" s="58" t="str">
        <f>IF(BC21=0," ",BD21/BE21)</f>
        <v xml:space="preserve"> </v>
      </c>
      <c r="BG21" s="65" t="s">
        <v>2713</v>
      </c>
      <c r="BH21" s="68">
        <v>0</v>
      </c>
      <c r="BI21" s="1416">
        <v>7088564850</v>
      </c>
      <c r="BJ21" s="69">
        <f t="shared" si="20"/>
        <v>0</v>
      </c>
      <c r="BK21" s="58">
        <v>0.3</v>
      </c>
      <c r="BL21" s="58">
        <f t="shared" si="21"/>
        <v>0</v>
      </c>
      <c r="BM21" s="65" t="s">
        <v>2714</v>
      </c>
      <c r="BN21" s="68"/>
      <c r="BO21" s="68"/>
      <c r="BP21" s="69"/>
      <c r="BQ21" s="58"/>
      <c r="BR21" s="58"/>
      <c r="BS21" s="65" t="s">
        <v>2715</v>
      </c>
      <c r="BT21" s="68"/>
      <c r="BU21" s="68"/>
      <c r="BV21" s="69" t="str">
        <f>IF(BU21=0," ",BT21/BU21)</f>
        <v xml:space="preserve"> </v>
      </c>
      <c r="BW21" s="58"/>
      <c r="BX21" s="58" t="str">
        <f>IF(BU21=0," ",BV21/BW21)</f>
        <v xml:space="preserve"> </v>
      </c>
      <c r="BY21" s="65" t="s">
        <v>2715</v>
      </c>
      <c r="BZ21" s="1418">
        <v>856238000</v>
      </c>
      <c r="CA21" s="1418">
        <v>6115713851</v>
      </c>
      <c r="CB21" s="69">
        <f t="shared" si="23"/>
        <v>0.14000622345337393</v>
      </c>
      <c r="CC21" s="58">
        <v>0.3</v>
      </c>
      <c r="CD21" s="58">
        <f t="shared" si="24"/>
        <v>0.46668741151124649</v>
      </c>
      <c r="CE21" s="65" t="s">
        <v>2716</v>
      </c>
      <c r="CF21" s="68">
        <v>0</v>
      </c>
      <c r="CG21" s="68">
        <v>2093640782</v>
      </c>
      <c r="CH21" s="69">
        <f t="shared" si="25"/>
        <v>0</v>
      </c>
      <c r="CI21" s="58">
        <v>0.3</v>
      </c>
      <c r="CJ21" s="58">
        <f t="shared" si="26"/>
        <v>0</v>
      </c>
      <c r="CK21" s="65" t="s">
        <v>2717</v>
      </c>
      <c r="CL21" s="664">
        <v>797713500</v>
      </c>
      <c r="CM21" s="664">
        <v>1354085982</v>
      </c>
      <c r="CN21" s="69">
        <f>IF(CM21=0," ",CL21/CM21)</f>
        <v>0.58911583946963864</v>
      </c>
      <c r="CO21" s="58">
        <v>0.1</v>
      </c>
      <c r="CP21" s="58">
        <f>IF(CM21=0," ",CN21/CO21)</f>
        <v>5.8911583946963857</v>
      </c>
      <c r="CQ21" s="65" t="s">
        <v>2718</v>
      </c>
      <c r="CR21" s="68">
        <v>981285982</v>
      </c>
      <c r="CS21" s="68">
        <v>1354085982</v>
      </c>
      <c r="CT21" s="69">
        <f t="shared" si="27"/>
        <v>0.72468513450721184</v>
      </c>
      <c r="CU21" s="58">
        <v>1</v>
      </c>
      <c r="CV21" s="58">
        <f t="shared" si="14"/>
        <v>0.72468513450721184</v>
      </c>
      <c r="CW21" s="65" t="s">
        <v>2719</v>
      </c>
    </row>
    <row r="22" spans="2:101" s="126" customFormat="1" ht="108" customHeight="1">
      <c r="B22" s="391" t="s">
        <v>73</v>
      </c>
      <c r="C22" s="8" t="s">
        <v>91</v>
      </c>
      <c r="D22" s="8" t="s">
        <v>74</v>
      </c>
      <c r="E22" s="8" t="s">
        <v>75</v>
      </c>
      <c r="F22" s="8" t="s">
        <v>76</v>
      </c>
      <c r="G22" s="8" t="s">
        <v>53</v>
      </c>
      <c r="H22" s="8" t="s">
        <v>77</v>
      </c>
      <c r="I22" s="8" t="s">
        <v>78</v>
      </c>
      <c r="J22" s="8" t="s">
        <v>54</v>
      </c>
      <c r="K22" s="12">
        <v>0.8</v>
      </c>
      <c r="L22" s="12">
        <v>0.8</v>
      </c>
      <c r="M22" s="12">
        <v>0.8</v>
      </c>
      <c r="N22" s="12">
        <v>0.8</v>
      </c>
      <c r="O22" s="12">
        <v>0.8</v>
      </c>
      <c r="P22" s="12">
        <v>0.8</v>
      </c>
      <c r="Q22" s="12">
        <v>0.8</v>
      </c>
      <c r="R22" s="12">
        <v>0.8</v>
      </c>
      <c r="S22" s="12">
        <v>0.8</v>
      </c>
      <c r="T22" s="12">
        <v>0.8</v>
      </c>
      <c r="U22" s="12">
        <v>0.8</v>
      </c>
      <c r="V22" s="12">
        <v>0.8</v>
      </c>
      <c r="W22" s="1415" t="s">
        <v>80</v>
      </c>
      <c r="X22" s="605">
        <v>100</v>
      </c>
      <c r="Y22" s="68">
        <v>100</v>
      </c>
      <c r="Z22" s="69">
        <v>1</v>
      </c>
      <c r="AA22" s="58">
        <v>0.8</v>
      </c>
      <c r="AB22" s="58">
        <f>IF(Y22=0," ",Z22/AA22)</f>
        <v>1.25</v>
      </c>
      <c r="AC22" s="65" t="s">
        <v>2720</v>
      </c>
      <c r="AD22" s="68">
        <v>100</v>
      </c>
      <c r="AE22" s="68">
        <v>100</v>
      </c>
      <c r="AF22" s="69">
        <f t="shared" si="16"/>
        <v>1</v>
      </c>
      <c r="AG22" s="58">
        <v>0.8</v>
      </c>
      <c r="AH22" s="58">
        <f t="shared" si="17"/>
        <v>1.25</v>
      </c>
      <c r="AI22" s="65" t="s">
        <v>2720</v>
      </c>
      <c r="AJ22" s="68">
        <v>25</v>
      </c>
      <c r="AK22" s="68">
        <v>100</v>
      </c>
      <c r="AL22" s="69">
        <f>IF(AK22=0," ",AJ22/AK22)</f>
        <v>0.25</v>
      </c>
      <c r="AM22" s="58">
        <v>0.8</v>
      </c>
      <c r="AN22" s="58">
        <f>IF(AK22=0," ",AL22/AM22)</f>
        <v>0.3125</v>
      </c>
      <c r="AO22" s="65" t="s">
        <v>2721</v>
      </c>
      <c r="AP22" s="68">
        <v>100</v>
      </c>
      <c r="AQ22" s="68">
        <v>100</v>
      </c>
      <c r="AR22" s="69">
        <f t="shared" si="28"/>
        <v>1</v>
      </c>
      <c r="AS22" s="58">
        <v>0.8</v>
      </c>
      <c r="AT22" s="58">
        <f t="shared" si="29"/>
        <v>1.25</v>
      </c>
      <c r="AU22" s="65" t="s">
        <v>2720</v>
      </c>
      <c r="AV22" s="68">
        <v>65</v>
      </c>
      <c r="AW22" s="68">
        <v>100</v>
      </c>
      <c r="AX22" s="69">
        <f t="shared" si="18"/>
        <v>0.65</v>
      </c>
      <c r="AY22" s="58">
        <v>1</v>
      </c>
      <c r="AZ22" s="58">
        <f t="shared" si="19"/>
        <v>0.65</v>
      </c>
      <c r="BA22" s="65" t="s">
        <v>2722</v>
      </c>
      <c r="BB22" s="68">
        <v>100</v>
      </c>
      <c r="BC22" s="68">
        <v>100</v>
      </c>
      <c r="BD22" s="69">
        <f>IF(BC22=0," ",BB22/BC22)</f>
        <v>1</v>
      </c>
      <c r="BE22" s="58">
        <v>1</v>
      </c>
      <c r="BF22" s="58">
        <f>IF(BC22=0," ",BD22/BE22)</f>
        <v>1</v>
      </c>
      <c r="BG22" s="65" t="s">
        <v>2723</v>
      </c>
      <c r="BH22" s="68">
        <v>100</v>
      </c>
      <c r="BI22" s="68">
        <v>100</v>
      </c>
      <c r="BJ22" s="69">
        <f t="shared" si="20"/>
        <v>1</v>
      </c>
      <c r="BK22" s="58">
        <v>0.8</v>
      </c>
      <c r="BL22" s="58">
        <f t="shared" si="21"/>
        <v>1.25</v>
      </c>
      <c r="BM22" s="65" t="s">
        <v>2724</v>
      </c>
      <c r="BN22" s="68">
        <v>15</v>
      </c>
      <c r="BO22" s="68">
        <v>100</v>
      </c>
      <c r="BP22" s="69">
        <f t="shared" si="22"/>
        <v>0.15</v>
      </c>
      <c r="BQ22" s="58">
        <v>1</v>
      </c>
      <c r="BR22" s="58">
        <f>BP22/BQ22</f>
        <v>0.15</v>
      </c>
      <c r="BS22" s="1415" t="s">
        <v>2725</v>
      </c>
      <c r="BT22" s="68">
        <v>100</v>
      </c>
      <c r="BU22" s="68">
        <v>100</v>
      </c>
      <c r="BV22" s="69">
        <f>IF(BU22=0," ",BT22/BU22)</f>
        <v>1</v>
      </c>
      <c r="BW22" s="58">
        <v>0.8</v>
      </c>
      <c r="BX22" s="58">
        <f>IF(BU22=0," ",BV22/BW22)</f>
        <v>1.25</v>
      </c>
      <c r="BY22" s="65" t="s">
        <v>2724</v>
      </c>
      <c r="BZ22" s="68">
        <v>100</v>
      </c>
      <c r="CA22" s="68">
        <v>100</v>
      </c>
      <c r="CB22" s="69">
        <v>1</v>
      </c>
      <c r="CC22" s="58">
        <v>0.8</v>
      </c>
      <c r="CD22" s="58">
        <f t="shared" si="24"/>
        <v>1.25</v>
      </c>
      <c r="CE22" s="65" t="s">
        <v>2726</v>
      </c>
      <c r="CF22" s="68">
        <v>40</v>
      </c>
      <c r="CG22" s="68">
        <v>100</v>
      </c>
      <c r="CH22" s="69">
        <f t="shared" si="25"/>
        <v>0.4</v>
      </c>
      <c r="CI22" s="58">
        <v>0.8</v>
      </c>
      <c r="CJ22" s="58">
        <f t="shared" si="26"/>
        <v>0.5</v>
      </c>
      <c r="CK22" s="65" t="s">
        <v>2727</v>
      </c>
      <c r="CL22" s="68">
        <v>65</v>
      </c>
      <c r="CM22" s="68">
        <v>100</v>
      </c>
      <c r="CN22" s="69">
        <v>0.65</v>
      </c>
      <c r="CO22" s="58">
        <v>0.8</v>
      </c>
      <c r="CP22" s="58">
        <f>IF(CM22=0," ",CN22/CO22)</f>
        <v>0.8125</v>
      </c>
      <c r="CQ22" s="65" t="s">
        <v>2728</v>
      </c>
      <c r="CR22" s="119">
        <v>25</v>
      </c>
      <c r="CS22" s="68">
        <v>100</v>
      </c>
      <c r="CT22" s="69">
        <f t="shared" si="27"/>
        <v>0.25</v>
      </c>
      <c r="CU22" s="58">
        <v>0.8</v>
      </c>
      <c r="CV22" s="58">
        <f t="shared" si="14"/>
        <v>0.3125</v>
      </c>
      <c r="CW22" s="65" t="s">
        <v>2729</v>
      </c>
    </row>
    <row r="23" spans="2:101" s="126" customFormat="1">
      <c r="B23" s="2124" t="s">
        <v>17</v>
      </c>
      <c r="C23" s="2124"/>
      <c r="D23" s="2124"/>
      <c r="E23" s="2124"/>
      <c r="F23" s="5"/>
      <c r="G23" s="5"/>
      <c r="H23" s="5"/>
      <c r="I23" s="5"/>
      <c r="J23" s="5"/>
      <c r="K23" s="6"/>
      <c r="L23" s="6"/>
      <c r="M23" s="6"/>
      <c r="N23" s="6"/>
      <c r="O23" s="6"/>
      <c r="P23" s="6"/>
      <c r="Q23" s="6"/>
      <c r="R23" s="6"/>
      <c r="S23" s="6"/>
      <c r="T23" s="6"/>
      <c r="U23" s="6"/>
      <c r="V23" s="6"/>
    </row>
    <row r="24" spans="2:101" s="126" customFormat="1">
      <c r="B24" s="405"/>
      <c r="C24" s="405"/>
      <c r="D24" s="405"/>
      <c r="E24" s="405"/>
      <c r="F24" s="5"/>
      <c r="G24" s="5"/>
      <c r="H24" s="5"/>
      <c r="I24" s="5"/>
      <c r="J24" s="5"/>
      <c r="K24" s="6"/>
      <c r="L24" s="6"/>
      <c r="M24" s="6"/>
      <c r="N24" s="6"/>
      <c r="O24" s="6"/>
      <c r="P24" s="6"/>
      <c r="Q24" s="6"/>
      <c r="R24" s="6"/>
      <c r="S24" s="6"/>
      <c r="T24" s="6"/>
      <c r="U24" s="6"/>
      <c r="V24" s="6"/>
    </row>
    <row r="25" spans="2:101" s="126" customFormat="1">
      <c r="B25" s="405"/>
      <c r="C25" s="405"/>
      <c r="D25" s="405"/>
      <c r="E25" s="405"/>
      <c r="F25" s="5"/>
      <c r="G25" s="5"/>
      <c r="H25" s="5"/>
      <c r="I25" s="5"/>
      <c r="J25" s="5"/>
      <c r="K25" s="6"/>
      <c r="L25" s="6"/>
      <c r="M25" s="6"/>
      <c r="N25" s="6"/>
      <c r="O25" s="6"/>
      <c r="P25" s="6"/>
      <c r="Q25" s="6"/>
      <c r="R25" s="6"/>
      <c r="S25" s="6"/>
      <c r="T25" s="6"/>
      <c r="U25" s="6"/>
      <c r="V25" s="6"/>
    </row>
    <row r="26" spans="2:101" s="126" customFormat="1">
      <c r="C26" s="121"/>
    </row>
    <row r="27" spans="2:101" s="126" customFormat="1" ht="5.25" customHeight="1">
      <c r="C27" s="121"/>
      <c r="E27" s="2125"/>
      <c r="F27" s="2125"/>
      <c r="G27" s="2125"/>
      <c r="H27" s="2125"/>
      <c r="K27" s="126" t="s">
        <v>28</v>
      </c>
    </row>
    <row r="28" spans="2:101" s="126" customFormat="1">
      <c r="C28" s="121"/>
      <c r="E28" s="2450" t="s">
        <v>2730</v>
      </c>
      <c r="F28" s="2450"/>
      <c r="G28" s="2450"/>
      <c r="H28" s="2450"/>
    </row>
    <row r="29" spans="2:101" s="126" customFormat="1">
      <c r="C29" s="121"/>
      <c r="E29" s="2451" t="s">
        <v>2731</v>
      </c>
      <c r="F29" s="2451"/>
      <c r="G29" s="2451"/>
      <c r="H29" s="2451"/>
    </row>
    <row r="30" spans="2:101" s="126" customFormat="1">
      <c r="E30" s="129"/>
      <c r="F30" s="129"/>
      <c r="G30" s="129"/>
      <c r="H30" s="129"/>
    </row>
    <row r="31" spans="2:101" s="126" customFormat="1"/>
    <row r="32" spans="2:101">
      <c r="C32" s="15"/>
    </row>
    <row r="33" spans="3:3">
      <c r="C33" s="15"/>
    </row>
  </sheetData>
  <autoFilter ref="B6:CW23">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4" showButton="0"/>
    <filterColumn colId="35" showButton="0"/>
    <filterColumn colId="36" showButton="0"/>
    <filterColumn colId="37" showButton="0"/>
    <filterColumn colId="38" showButton="0"/>
    <filterColumn colId="40" showButton="0"/>
    <filterColumn colId="41" showButton="0"/>
    <filterColumn colId="42" showButton="0"/>
    <filterColumn colId="43" showButton="0"/>
    <filterColumn colId="44" showButton="0"/>
    <filterColumn colId="46" showButton="0"/>
    <filterColumn colId="47" showButton="0"/>
    <filterColumn colId="48" showButton="0"/>
    <filterColumn colId="49" showButton="0"/>
    <filterColumn colId="50" showButton="0"/>
    <filterColumn colId="52" showButton="0"/>
    <filterColumn colId="53" showButton="0"/>
    <filterColumn colId="54" showButton="0"/>
    <filterColumn colId="55" showButton="0"/>
    <filterColumn colId="56" showButton="0"/>
    <filterColumn colId="58" showButton="0"/>
    <filterColumn colId="59" showButton="0"/>
    <filterColumn colId="60" showButton="0"/>
    <filterColumn colId="61" showButton="0"/>
    <filterColumn colId="62" showButton="0"/>
    <filterColumn colId="64" showButton="0"/>
    <filterColumn colId="65" showButton="0"/>
    <filterColumn colId="66" showButton="0"/>
    <filterColumn colId="67" showButton="0"/>
    <filterColumn colId="68" showButton="0"/>
    <filterColumn colId="70" showButton="0"/>
    <filterColumn colId="71" showButton="0"/>
    <filterColumn colId="72" showButton="0"/>
    <filterColumn colId="73" showButton="0"/>
    <filterColumn colId="74" showButton="0"/>
    <filterColumn colId="76" showButton="0"/>
    <filterColumn colId="77" showButton="0"/>
    <filterColumn colId="78" showButton="0"/>
    <filterColumn colId="79" showButton="0"/>
    <filterColumn colId="80" showButton="0"/>
    <filterColumn colId="82" showButton="0"/>
    <filterColumn colId="83" showButton="0"/>
    <filterColumn colId="84" showButton="0"/>
    <filterColumn colId="85" showButton="0"/>
    <filterColumn colId="86" showButton="0"/>
    <filterColumn colId="88" showButton="0"/>
    <filterColumn colId="89" showButton="0"/>
    <filterColumn colId="90" showButton="0"/>
    <filterColumn colId="91" showButton="0"/>
    <filterColumn colId="92" showButton="0"/>
    <filterColumn colId="94" showButton="0"/>
    <filterColumn colId="95" showButton="0"/>
    <filterColumn colId="96" showButton="0"/>
    <filterColumn colId="97" showButton="0"/>
    <filterColumn colId="98" showButton="0"/>
  </autoFilter>
  <mergeCells count="48">
    <mergeCell ref="CL6:CQ6"/>
    <mergeCell ref="CR6:CW6"/>
    <mergeCell ref="B23:E23"/>
    <mergeCell ref="E27:H27"/>
    <mergeCell ref="E28:H28"/>
    <mergeCell ref="E29:H29"/>
    <mergeCell ref="BB6:BG6"/>
    <mergeCell ref="BH6:BM6"/>
    <mergeCell ref="BN6:BS6"/>
    <mergeCell ref="BT6:BY6"/>
    <mergeCell ref="BZ6:CE6"/>
    <mergeCell ref="CF6:CK6"/>
    <mergeCell ref="K6:V6"/>
    <mergeCell ref="X6:AC6"/>
    <mergeCell ref="AD6:AI6"/>
    <mergeCell ref="AJ6:AO6"/>
    <mergeCell ref="AP6:AU6"/>
    <mergeCell ref="AV6:BA6"/>
    <mergeCell ref="CR4:CW4"/>
    <mergeCell ref="B6:B7"/>
    <mergeCell ref="C6:C7"/>
    <mergeCell ref="D6:D7"/>
    <mergeCell ref="E6:E7"/>
    <mergeCell ref="F6:F7"/>
    <mergeCell ref="G6:G7"/>
    <mergeCell ref="H6:H7"/>
    <mergeCell ref="I6:I7"/>
    <mergeCell ref="J6:J7"/>
    <mergeCell ref="BH4:BM4"/>
    <mergeCell ref="BN4:BS4"/>
    <mergeCell ref="BT4:BY4"/>
    <mergeCell ref="BZ4:CE4"/>
    <mergeCell ref="CF4:CK4"/>
    <mergeCell ref="CL4:CQ4"/>
    <mergeCell ref="X4:AC4"/>
    <mergeCell ref="AD4:AI4"/>
    <mergeCell ref="AJ4:AO4"/>
    <mergeCell ref="AP4:AU4"/>
    <mergeCell ref="AV4:BA4"/>
    <mergeCell ref="BB4:BG4"/>
    <mergeCell ref="B1:N1"/>
    <mergeCell ref="O1:R1"/>
    <mergeCell ref="S1:V2"/>
    <mergeCell ref="D2:N2"/>
    <mergeCell ref="O2:R2"/>
    <mergeCell ref="C4:J4"/>
    <mergeCell ref="K4:M4"/>
    <mergeCell ref="N4:V4"/>
  </mergeCells>
  <conditionalFormatting sqref="AB15:AB17 AB11 AH15:AH17 AN15:AN17 AT16 AZ15:AZ17 BF15:BF16 BL15 BX15 CD15 CJ15:CJ17 CP15 BL17 BX17 CD17 CP17">
    <cfRule type="colorScale" priority="127">
      <colorScale>
        <cfvo type="num" val="0.69"/>
        <cfvo type="num" val="0.8"/>
        <cfvo type="num" val="0.9"/>
        <color rgb="FFF8696B"/>
        <color rgb="FFFFEB84"/>
        <color rgb="FF63BE7B"/>
      </colorScale>
    </cfRule>
  </conditionalFormatting>
  <conditionalFormatting sqref="AZ11">
    <cfRule type="colorScale" priority="126">
      <colorScale>
        <cfvo type="num" val="0.69"/>
        <cfvo type="num" val="0.8"/>
        <cfvo type="num" val="0.9"/>
        <color rgb="FFF8696B"/>
        <color rgb="FFFFEB84"/>
        <color rgb="FF63BE7B"/>
      </colorScale>
    </cfRule>
  </conditionalFormatting>
  <conditionalFormatting sqref="BF11">
    <cfRule type="colorScale" priority="125">
      <colorScale>
        <cfvo type="num" val="0.69"/>
        <cfvo type="num" val="0.8"/>
        <cfvo type="num" val="0.9"/>
        <color rgb="FFF8696B"/>
        <color rgb="FFFFEB84"/>
        <color rgb="FF63BE7B"/>
      </colorScale>
    </cfRule>
  </conditionalFormatting>
  <conditionalFormatting sqref="BL11">
    <cfRule type="colorScale" priority="124">
      <colorScale>
        <cfvo type="num" val="0.69"/>
        <cfvo type="num" val="0.8"/>
        <cfvo type="num" val="0.9"/>
        <color rgb="FFF8696B"/>
        <color rgb="FFFFEB84"/>
        <color rgb="FF63BE7B"/>
      </colorScale>
    </cfRule>
  </conditionalFormatting>
  <conditionalFormatting sqref="BX11">
    <cfRule type="colorScale" priority="123">
      <colorScale>
        <cfvo type="num" val="0.69"/>
        <cfvo type="num" val="0.8"/>
        <cfvo type="num" val="0.9"/>
        <color rgb="FFF8696B"/>
        <color rgb="FFFFEB84"/>
        <color rgb="FF63BE7B"/>
      </colorScale>
    </cfRule>
  </conditionalFormatting>
  <conditionalFormatting sqref="CD11">
    <cfRule type="colorScale" priority="122">
      <colorScale>
        <cfvo type="num" val="0.69"/>
        <cfvo type="num" val="0.8"/>
        <cfvo type="num" val="0.9"/>
        <color rgb="FFF8696B"/>
        <color rgb="FFFFEB84"/>
        <color rgb="FF63BE7B"/>
      </colorScale>
    </cfRule>
  </conditionalFormatting>
  <conditionalFormatting sqref="CJ11">
    <cfRule type="colorScale" priority="121">
      <colorScale>
        <cfvo type="num" val="0.69"/>
        <cfvo type="num" val="0.8"/>
        <cfvo type="num" val="0.9"/>
        <color rgb="FFF8696B"/>
        <color rgb="FFFFEB84"/>
        <color rgb="FF63BE7B"/>
      </colorScale>
    </cfRule>
  </conditionalFormatting>
  <conditionalFormatting sqref="CP11">
    <cfRule type="colorScale" priority="120">
      <colorScale>
        <cfvo type="num" val="0.69"/>
        <cfvo type="num" val="0.8"/>
        <cfvo type="num" val="0.9"/>
        <color rgb="FFF8696B"/>
        <color rgb="FFFFEB84"/>
        <color rgb="FF63BE7B"/>
      </colorScale>
    </cfRule>
  </conditionalFormatting>
  <conditionalFormatting sqref="AB12">
    <cfRule type="colorScale" priority="119">
      <colorScale>
        <cfvo type="num" val="0.69"/>
        <cfvo type="num" val="0.8"/>
        <cfvo type="num" val="0.9"/>
        <color rgb="FFF8696B"/>
        <color rgb="FFFFEB84"/>
        <color rgb="FF63BE7B"/>
      </colorScale>
    </cfRule>
  </conditionalFormatting>
  <conditionalFormatting sqref="AH12">
    <cfRule type="colorScale" priority="118">
      <colorScale>
        <cfvo type="num" val="0.69"/>
        <cfvo type="num" val="0.8"/>
        <cfvo type="num" val="0.9"/>
        <color rgb="FFF8696B"/>
        <color rgb="FFFFEB84"/>
        <color rgb="FF63BE7B"/>
      </colorScale>
    </cfRule>
  </conditionalFormatting>
  <conditionalFormatting sqref="AN12">
    <cfRule type="colorScale" priority="117">
      <colorScale>
        <cfvo type="num" val="0.69"/>
        <cfvo type="num" val="0.8"/>
        <cfvo type="num" val="0.9"/>
        <color rgb="FFF8696B"/>
        <color rgb="FFFFEB84"/>
        <color rgb="FF63BE7B"/>
      </colorScale>
    </cfRule>
  </conditionalFormatting>
  <conditionalFormatting sqref="AT12">
    <cfRule type="colorScale" priority="116">
      <colorScale>
        <cfvo type="num" val="0.69"/>
        <cfvo type="num" val="0.8"/>
        <cfvo type="num" val="0.9"/>
        <color rgb="FFF8696B"/>
        <color rgb="FFFFEB84"/>
        <color rgb="FF63BE7B"/>
      </colorScale>
    </cfRule>
  </conditionalFormatting>
  <conditionalFormatting sqref="AZ12">
    <cfRule type="colorScale" priority="115">
      <colorScale>
        <cfvo type="num" val="0.69"/>
        <cfvo type="num" val="0.8"/>
        <cfvo type="num" val="0.9"/>
        <color rgb="FFF8696B"/>
        <color rgb="FFFFEB84"/>
        <color rgb="FF63BE7B"/>
      </colorScale>
    </cfRule>
  </conditionalFormatting>
  <conditionalFormatting sqref="BF12">
    <cfRule type="colorScale" priority="114">
      <colorScale>
        <cfvo type="num" val="0.69"/>
        <cfvo type="num" val="0.8"/>
        <cfvo type="num" val="0.9"/>
        <color rgb="FFF8696B"/>
        <color rgb="FFFFEB84"/>
        <color rgb="FF63BE7B"/>
      </colorScale>
    </cfRule>
  </conditionalFormatting>
  <conditionalFormatting sqref="BL12">
    <cfRule type="colorScale" priority="113">
      <colorScale>
        <cfvo type="num" val="0.69"/>
        <cfvo type="num" val="0.8"/>
        <cfvo type="num" val="0.9"/>
        <color rgb="FFF8696B"/>
        <color rgb="FFFFEB84"/>
        <color rgb="FF63BE7B"/>
      </colorScale>
    </cfRule>
  </conditionalFormatting>
  <conditionalFormatting sqref="BX12">
    <cfRule type="colorScale" priority="112">
      <colorScale>
        <cfvo type="num" val="0.69"/>
        <cfvo type="num" val="0.8"/>
        <cfvo type="num" val="0.9"/>
        <color rgb="FFF8696B"/>
        <color rgb="FFFFEB84"/>
        <color rgb="FF63BE7B"/>
      </colorScale>
    </cfRule>
  </conditionalFormatting>
  <conditionalFormatting sqref="CD12">
    <cfRule type="colorScale" priority="111">
      <colorScale>
        <cfvo type="num" val="0.69"/>
        <cfvo type="num" val="0.8"/>
        <cfvo type="num" val="0.9"/>
        <color rgb="FFF8696B"/>
        <color rgb="FFFFEB84"/>
        <color rgb="FF63BE7B"/>
      </colorScale>
    </cfRule>
  </conditionalFormatting>
  <conditionalFormatting sqref="CJ12">
    <cfRule type="colorScale" priority="110">
      <colorScale>
        <cfvo type="num" val="0.69"/>
        <cfvo type="num" val="0.8"/>
        <cfvo type="num" val="0.9"/>
        <color rgb="FFF8696B"/>
        <color rgb="FFFFEB84"/>
        <color rgb="FF63BE7B"/>
      </colorScale>
    </cfRule>
  </conditionalFormatting>
  <conditionalFormatting sqref="CP12">
    <cfRule type="colorScale" priority="109">
      <colorScale>
        <cfvo type="num" val="0.69"/>
        <cfvo type="num" val="0.8"/>
        <cfvo type="num" val="0.9"/>
        <color rgb="FFF8696B"/>
        <color rgb="FFFFEB84"/>
        <color rgb="FF63BE7B"/>
      </colorScale>
    </cfRule>
  </conditionalFormatting>
  <conditionalFormatting sqref="AB13">
    <cfRule type="colorScale" priority="108">
      <colorScale>
        <cfvo type="num" val="0.69"/>
        <cfvo type="num" val="0.8"/>
        <cfvo type="num" val="0.9"/>
        <color rgb="FFF8696B"/>
        <color rgb="FFFFEB84"/>
        <color rgb="FF63BE7B"/>
      </colorScale>
    </cfRule>
  </conditionalFormatting>
  <conditionalFormatting sqref="AH13">
    <cfRule type="colorScale" priority="107">
      <colorScale>
        <cfvo type="num" val="0.69"/>
        <cfvo type="num" val="0.8"/>
        <cfvo type="num" val="0.9"/>
        <color rgb="FFF8696B"/>
        <color rgb="FFFFEB84"/>
        <color rgb="FF63BE7B"/>
      </colorScale>
    </cfRule>
  </conditionalFormatting>
  <conditionalFormatting sqref="AN13">
    <cfRule type="colorScale" priority="106">
      <colorScale>
        <cfvo type="num" val="0.69"/>
        <cfvo type="num" val="0.8"/>
        <cfvo type="num" val="0.9"/>
        <color rgb="FFF8696B"/>
        <color rgb="FFFFEB84"/>
        <color rgb="FF63BE7B"/>
      </colorScale>
    </cfRule>
  </conditionalFormatting>
  <conditionalFormatting sqref="AT13">
    <cfRule type="colorScale" priority="105">
      <colorScale>
        <cfvo type="num" val="0.69"/>
        <cfvo type="num" val="0.8"/>
        <cfvo type="num" val="0.9"/>
        <color rgb="FFF8696B"/>
        <color rgb="FFFFEB84"/>
        <color rgb="FF63BE7B"/>
      </colorScale>
    </cfRule>
  </conditionalFormatting>
  <conditionalFormatting sqref="AZ13">
    <cfRule type="colorScale" priority="104">
      <colorScale>
        <cfvo type="num" val="0.69"/>
        <cfvo type="num" val="0.8"/>
        <cfvo type="num" val="0.9"/>
        <color rgb="FFF8696B"/>
        <color rgb="FFFFEB84"/>
        <color rgb="FF63BE7B"/>
      </colorScale>
    </cfRule>
  </conditionalFormatting>
  <conditionalFormatting sqref="BF13">
    <cfRule type="colorScale" priority="103">
      <colorScale>
        <cfvo type="num" val="0.69"/>
        <cfvo type="num" val="0.8"/>
        <cfvo type="num" val="0.9"/>
        <color rgb="FFF8696B"/>
        <color rgb="FFFFEB84"/>
        <color rgb="FF63BE7B"/>
      </colorScale>
    </cfRule>
  </conditionalFormatting>
  <conditionalFormatting sqref="BL13">
    <cfRule type="colorScale" priority="102">
      <colorScale>
        <cfvo type="num" val="0.69"/>
        <cfvo type="num" val="0.8"/>
        <cfvo type="num" val="0.9"/>
        <color rgb="FFF8696B"/>
        <color rgb="FFFFEB84"/>
        <color rgb="FF63BE7B"/>
      </colorScale>
    </cfRule>
  </conditionalFormatting>
  <conditionalFormatting sqref="BX13">
    <cfRule type="colorScale" priority="101">
      <colorScale>
        <cfvo type="num" val="0.69"/>
        <cfvo type="num" val="0.8"/>
        <cfvo type="num" val="0.9"/>
        <color rgb="FFF8696B"/>
        <color rgb="FFFFEB84"/>
        <color rgb="FF63BE7B"/>
      </colorScale>
    </cfRule>
  </conditionalFormatting>
  <conditionalFormatting sqref="CD13">
    <cfRule type="colorScale" priority="100">
      <colorScale>
        <cfvo type="num" val="0.69"/>
        <cfvo type="num" val="0.8"/>
        <cfvo type="num" val="0.9"/>
        <color rgb="FFF8696B"/>
        <color rgb="FFFFEB84"/>
        <color rgb="FF63BE7B"/>
      </colorScale>
    </cfRule>
  </conditionalFormatting>
  <conditionalFormatting sqref="AB14">
    <cfRule type="colorScale" priority="99">
      <colorScale>
        <cfvo type="num" val="0.69"/>
        <cfvo type="num" val="0.8"/>
        <cfvo type="num" val="0.9"/>
        <color rgb="FFF8696B"/>
        <color rgb="FFFFEB84"/>
        <color rgb="FF63BE7B"/>
      </colorScale>
    </cfRule>
  </conditionalFormatting>
  <conditionalFormatting sqref="AT14">
    <cfRule type="colorScale" priority="98">
      <colorScale>
        <cfvo type="num" val="0.69"/>
        <cfvo type="num" val="0.8"/>
        <cfvo type="num" val="0.9"/>
        <color rgb="FFF8696B"/>
        <color rgb="FFFFEB84"/>
        <color rgb="FF63BE7B"/>
      </colorScale>
    </cfRule>
  </conditionalFormatting>
  <conditionalFormatting sqref="BF14">
    <cfRule type="colorScale" priority="97">
      <colorScale>
        <cfvo type="num" val="0.69"/>
        <cfvo type="num" val="0.8"/>
        <cfvo type="num" val="0.9"/>
        <color rgb="FFF8696B"/>
        <color rgb="FFFFEB84"/>
        <color rgb="FF63BE7B"/>
      </colorScale>
    </cfRule>
  </conditionalFormatting>
  <conditionalFormatting sqref="CD14">
    <cfRule type="colorScale" priority="96">
      <colorScale>
        <cfvo type="num" val="0.69"/>
        <cfvo type="num" val="0.8"/>
        <cfvo type="num" val="0.9"/>
        <color rgb="FFF8696B"/>
        <color rgb="FFFFEB84"/>
        <color rgb="FF63BE7B"/>
      </colorScale>
    </cfRule>
  </conditionalFormatting>
  <conditionalFormatting sqref="CP14">
    <cfRule type="colorScale" priority="95">
      <colorScale>
        <cfvo type="num" val="0.69"/>
        <cfvo type="num" val="0.8"/>
        <cfvo type="num" val="0.9"/>
        <color rgb="FFF8696B"/>
        <color rgb="FFFFEB84"/>
        <color rgb="FF63BE7B"/>
      </colorScale>
    </cfRule>
  </conditionalFormatting>
  <conditionalFormatting sqref="AI14">
    <cfRule type="colorScale" priority="94">
      <colorScale>
        <cfvo type="num" val="0.69"/>
        <cfvo type="num" val="0.8"/>
        <cfvo type="num" val="0.9"/>
        <color rgb="FFF8696B"/>
        <color rgb="FFFFEB84"/>
        <color rgb="FF63BE7B"/>
      </colorScale>
    </cfRule>
  </conditionalFormatting>
  <conditionalFormatting sqref="AO14">
    <cfRule type="colorScale" priority="93">
      <colorScale>
        <cfvo type="num" val="0.69"/>
        <cfvo type="num" val="0.8"/>
        <cfvo type="num" val="0.9"/>
        <color rgb="FFF8696B"/>
        <color rgb="FFFFEB84"/>
        <color rgb="FF63BE7B"/>
      </colorScale>
    </cfRule>
  </conditionalFormatting>
  <conditionalFormatting sqref="BA14">
    <cfRule type="colorScale" priority="92">
      <colorScale>
        <cfvo type="num" val="0.69"/>
        <cfvo type="num" val="0.8"/>
        <cfvo type="num" val="0.9"/>
        <color rgb="FFF8696B"/>
        <color rgb="FFFFEB84"/>
        <color rgb="FF63BE7B"/>
      </colorScale>
    </cfRule>
  </conditionalFormatting>
  <conditionalFormatting sqref="BM14">
    <cfRule type="colorScale" priority="91">
      <colorScale>
        <cfvo type="num" val="0.69"/>
        <cfvo type="num" val="0.8"/>
        <cfvo type="num" val="0.9"/>
        <color rgb="FFF8696B"/>
        <color rgb="FFFFEB84"/>
        <color rgb="FF63BE7B"/>
      </colorScale>
    </cfRule>
  </conditionalFormatting>
  <conditionalFormatting sqref="BY14">
    <cfRule type="colorScale" priority="90">
      <colorScale>
        <cfvo type="num" val="0.69"/>
        <cfvo type="num" val="0.8"/>
        <cfvo type="num" val="0.9"/>
        <color rgb="FFF8696B"/>
        <color rgb="FFFFEB84"/>
        <color rgb="FF63BE7B"/>
      </colorScale>
    </cfRule>
  </conditionalFormatting>
  <conditionalFormatting sqref="CK14">
    <cfRule type="colorScale" priority="89">
      <colorScale>
        <cfvo type="num" val="0.69"/>
        <cfvo type="num" val="0.8"/>
        <cfvo type="num" val="0.9"/>
        <color rgb="FFF8696B"/>
        <color rgb="FFFFEB84"/>
        <color rgb="FF63BE7B"/>
      </colorScale>
    </cfRule>
  </conditionalFormatting>
  <conditionalFormatting sqref="CW14">
    <cfRule type="colorScale" priority="88">
      <colorScale>
        <cfvo type="num" val="0.69"/>
        <cfvo type="num" val="0.8"/>
        <cfvo type="num" val="0.9"/>
        <color rgb="FFF8696B"/>
        <color rgb="FFFFEB84"/>
        <color rgb="FF63BE7B"/>
      </colorScale>
    </cfRule>
  </conditionalFormatting>
  <conditionalFormatting sqref="AB18">
    <cfRule type="colorScale" priority="87">
      <colorScale>
        <cfvo type="num" val="0.69"/>
        <cfvo type="num" val="0.8"/>
        <cfvo type="num" val="0.9"/>
        <color rgb="FFF8696B"/>
        <color rgb="FFFFEB84"/>
        <color rgb="FF63BE7B"/>
      </colorScale>
    </cfRule>
  </conditionalFormatting>
  <conditionalFormatting sqref="AH20 AH22 AH18">
    <cfRule type="colorScale" priority="86">
      <colorScale>
        <cfvo type="num" val="0.69"/>
        <cfvo type="num" val="0.8"/>
        <cfvo type="num" val="0.9"/>
        <color rgb="FFF8696B"/>
        <color rgb="FFFFEB84"/>
        <color rgb="FF63BE7B"/>
      </colorScale>
    </cfRule>
  </conditionalFormatting>
  <conditionalFormatting sqref="AN18:AN19 AN22">
    <cfRule type="colorScale" priority="85">
      <colorScale>
        <cfvo type="num" val="0.69"/>
        <cfvo type="num" val="0.8"/>
        <cfvo type="num" val="0.9"/>
        <color rgb="FFF8696B"/>
        <color rgb="FFFFEB84"/>
        <color rgb="FF63BE7B"/>
      </colorScale>
    </cfRule>
  </conditionalFormatting>
  <conditionalFormatting sqref="AT18">
    <cfRule type="colorScale" priority="84">
      <colorScale>
        <cfvo type="num" val="0.69"/>
        <cfvo type="num" val="0.8"/>
        <cfvo type="num" val="0.9"/>
        <color rgb="FFF8696B"/>
        <color rgb="FFFFEB84"/>
        <color rgb="FF63BE7B"/>
      </colorScale>
    </cfRule>
  </conditionalFormatting>
  <conditionalFormatting sqref="AZ21:AZ22 AZ18">
    <cfRule type="colorScale" priority="83">
      <colorScale>
        <cfvo type="num" val="0.69"/>
        <cfvo type="num" val="0.8"/>
        <cfvo type="num" val="0.9"/>
        <color rgb="FFF8696B"/>
        <color rgb="FFFFEB84"/>
        <color rgb="FF63BE7B"/>
      </colorScale>
    </cfRule>
  </conditionalFormatting>
  <conditionalFormatting sqref="BF22">
    <cfRule type="colorScale" priority="82">
      <colorScale>
        <cfvo type="num" val="0.69"/>
        <cfvo type="num" val="0.8"/>
        <cfvo type="num" val="0.9"/>
        <color rgb="FFF8696B"/>
        <color rgb="FFFFEB84"/>
        <color rgb="FF63BE7B"/>
      </colorScale>
    </cfRule>
  </conditionalFormatting>
  <conditionalFormatting sqref="BL21:BL22 BL18">
    <cfRule type="colorScale" priority="81">
      <colorScale>
        <cfvo type="num" val="0.69"/>
        <cfvo type="num" val="0.8"/>
        <cfvo type="num" val="0.9"/>
        <color rgb="FFF8696B"/>
        <color rgb="FFFFEB84"/>
        <color rgb="FF63BE7B"/>
      </colorScale>
    </cfRule>
  </conditionalFormatting>
  <conditionalFormatting sqref="BX18:BX22">
    <cfRule type="colorScale" priority="80">
      <colorScale>
        <cfvo type="num" val="0.69"/>
        <cfvo type="num" val="0.8"/>
        <cfvo type="num" val="0.9"/>
        <color rgb="FFF8696B"/>
        <color rgb="FFFFEB84"/>
        <color rgb="FF63BE7B"/>
      </colorScale>
    </cfRule>
  </conditionalFormatting>
  <conditionalFormatting sqref="CD21:CD22 CD18">
    <cfRule type="colorScale" priority="79">
      <colorScale>
        <cfvo type="num" val="0.69"/>
        <cfvo type="num" val="0.8"/>
        <cfvo type="num" val="0.9"/>
        <color rgb="FFF8696B"/>
        <color rgb="FFFFEB84"/>
        <color rgb="FF63BE7B"/>
      </colorScale>
    </cfRule>
  </conditionalFormatting>
  <conditionalFormatting sqref="CJ18:CJ22">
    <cfRule type="colorScale" priority="78">
      <colorScale>
        <cfvo type="num" val="0.69"/>
        <cfvo type="num" val="0.8"/>
        <cfvo type="num" val="0.9"/>
        <color rgb="FFF8696B"/>
        <color rgb="FFFFEB84"/>
        <color rgb="FF63BE7B"/>
      </colorScale>
    </cfRule>
  </conditionalFormatting>
  <conditionalFormatting sqref="CP19 CP22">
    <cfRule type="colorScale" priority="77">
      <colorScale>
        <cfvo type="num" val="0.69"/>
        <cfvo type="num" val="0.8"/>
        <cfvo type="num" val="0.9"/>
        <color rgb="FFF8696B"/>
        <color rgb="FFFFEB84"/>
        <color rgb="FF63BE7B"/>
      </colorScale>
    </cfRule>
  </conditionalFormatting>
  <conditionalFormatting sqref="AB8">
    <cfRule type="colorScale" priority="76">
      <colorScale>
        <cfvo type="num" val="0.69"/>
        <cfvo type="num" val="0.8"/>
        <cfvo type="num" val="0.9"/>
        <color rgb="FFF8696B"/>
        <color rgb="FFFFEB84"/>
        <color rgb="FF63BE7B"/>
      </colorScale>
    </cfRule>
  </conditionalFormatting>
  <conditionalFormatting sqref="AH8">
    <cfRule type="colorScale" priority="75">
      <colorScale>
        <cfvo type="num" val="0.69"/>
        <cfvo type="num" val="0.8"/>
        <cfvo type="num" val="0.9"/>
        <color rgb="FFF8696B"/>
        <color rgb="FFFFEB84"/>
        <color rgb="FF63BE7B"/>
      </colorScale>
    </cfRule>
  </conditionalFormatting>
  <conditionalFormatting sqref="AN8">
    <cfRule type="colorScale" priority="74">
      <colorScale>
        <cfvo type="num" val="0.69"/>
        <cfvo type="num" val="0.8"/>
        <cfvo type="num" val="0.9"/>
        <color rgb="FFF8696B"/>
        <color rgb="FFFFEB84"/>
        <color rgb="FF63BE7B"/>
      </colorScale>
    </cfRule>
  </conditionalFormatting>
  <conditionalFormatting sqref="AT8">
    <cfRule type="colorScale" priority="73">
      <colorScale>
        <cfvo type="num" val="0.69"/>
        <cfvo type="num" val="0.8"/>
        <cfvo type="num" val="0.9"/>
        <color rgb="FFF8696B"/>
        <color rgb="FFFFEB84"/>
        <color rgb="FF63BE7B"/>
      </colorScale>
    </cfRule>
  </conditionalFormatting>
  <conditionalFormatting sqref="AZ8">
    <cfRule type="colorScale" priority="72">
      <colorScale>
        <cfvo type="num" val="0.69"/>
        <cfvo type="num" val="0.8"/>
        <cfvo type="num" val="0.9"/>
        <color rgb="FFF8696B"/>
        <color rgb="FFFFEB84"/>
        <color rgb="FF63BE7B"/>
      </colorScale>
    </cfRule>
  </conditionalFormatting>
  <conditionalFormatting sqref="BF8">
    <cfRule type="colorScale" priority="71">
      <colorScale>
        <cfvo type="num" val="0.69"/>
        <cfvo type="num" val="0.8"/>
        <cfvo type="num" val="0.9"/>
        <color rgb="FFF8696B"/>
        <color rgb="FFFFEB84"/>
        <color rgb="FF63BE7B"/>
      </colorScale>
    </cfRule>
  </conditionalFormatting>
  <conditionalFormatting sqref="BL8">
    <cfRule type="colorScale" priority="70">
      <colorScale>
        <cfvo type="num" val="0.69"/>
        <cfvo type="num" val="0.8"/>
        <cfvo type="num" val="0.9"/>
        <color rgb="FFF8696B"/>
        <color rgb="FFFFEB84"/>
        <color rgb="FF63BE7B"/>
      </colorScale>
    </cfRule>
  </conditionalFormatting>
  <conditionalFormatting sqref="BR8">
    <cfRule type="colorScale" priority="69">
      <colorScale>
        <cfvo type="num" val="0.69"/>
        <cfvo type="num" val="0.8"/>
        <cfvo type="num" val="0.9"/>
        <color rgb="FFF8696B"/>
        <color rgb="FFFFEB84"/>
        <color rgb="FF63BE7B"/>
      </colorScale>
    </cfRule>
  </conditionalFormatting>
  <conditionalFormatting sqref="BX8">
    <cfRule type="colorScale" priority="68">
      <colorScale>
        <cfvo type="num" val="0.69"/>
        <cfvo type="num" val="0.8"/>
        <cfvo type="num" val="0.9"/>
        <color rgb="FFF8696B"/>
        <color rgb="FFFFEB84"/>
        <color rgb="FF63BE7B"/>
      </colorScale>
    </cfRule>
  </conditionalFormatting>
  <conditionalFormatting sqref="CD8">
    <cfRule type="colorScale" priority="67">
      <colorScale>
        <cfvo type="num" val="0.69"/>
        <cfvo type="num" val="0.8"/>
        <cfvo type="num" val="0.9"/>
        <color rgb="FFF8696B"/>
        <color rgb="FFFFEB84"/>
        <color rgb="FF63BE7B"/>
      </colorScale>
    </cfRule>
  </conditionalFormatting>
  <conditionalFormatting sqref="CJ8">
    <cfRule type="colorScale" priority="66">
      <colorScale>
        <cfvo type="num" val="0.69"/>
        <cfvo type="num" val="0.8"/>
        <cfvo type="num" val="0.9"/>
        <color rgb="FFF8696B"/>
        <color rgb="FFFFEB84"/>
        <color rgb="FF63BE7B"/>
      </colorScale>
    </cfRule>
  </conditionalFormatting>
  <conditionalFormatting sqref="CV8:CV13">
    <cfRule type="colorScale" priority="65">
      <colorScale>
        <cfvo type="num" val="0.69"/>
        <cfvo type="num" val="0.8"/>
        <cfvo type="num" val="0.9"/>
        <color rgb="FFF8696B"/>
        <color rgb="FFFFEB84"/>
        <color rgb="FF63BE7B"/>
      </colorScale>
    </cfRule>
  </conditionalFormatting>
  <conditionalFormatting sqref="AB9">
    <cfRule type="colorScale" priority="64">
      <colorScale>
        <cfvo type="num" val="0.69"/>
        <cfvo type="num" val="0.8"/>
        <cfvo type="num" val="0.9"/>
        <color rgb="FFF8696B"/>
        <color rgb="FFFFEB84"/>
        <color rgb="FF63BE7B"/>
      </colorScale>
    </cfRule>
  </conditionalFormatting>
  <conditionalFormatting sqref="AZ9">
    <cfRule type="colorScale" priority="63">
      <colorScale>
        <cfvo type="num" val="0.69"/>
        <cfvo type="num" val="0.8"/>
        <cfvo type="num" val="0.9"/>
        <color rgb="FFF8696B"/>
        <color rgb="FFFFEB84"/>
        <color rgb="FF63BE7B"/>
      </colorScale>
    </cfRule>
  </conditionalFormatting>
  <conditionalFormatting sqref="BF9">
    <cfRule type="colorScale" priority="62">
      <colorScale>
        <cfvo type="num" val="0.69"/>
        <cfvo type="num" val="0.8"/>
        <cfvo type="num" val="0.9"/>
        <color rgb="FFF8696B"/>
        <color rgb="FFFFEB84"/>
        <color rgb="FF63BE7B"/>
      </colorScale>
    </cfRule>
  </conditionalFormatting>
  <conditionalFormatting sqref="BL9">
    <cfRule type="colorScale" priority="61">
      <colorScale>
        <cfvo type="num" val="0.69"/>
        <cfvo type="num" val="0.8"/>
        <cfvo type="num" val="0.9"/>
        <color rgb="FFF8696B"/>
        <color rgb="FFFFEB84"/>
        <color rgb="FF63BE7B"/>
      </colorScale>
    </cfRule>
  </conditionalFormatting>
  <conditionalFormatting sqref="BR9:BR22">
    <cfRule type="colorScale" priority="60">
      <colorScale>
        <cfvo type="num" val="0.69"/>
        <cfvo type="num" val="0.8"/>
        <cfvo type="num" val="0.9"/>
        <color rgb="FFF8696B"/>
        <color rgb="FFFFEB84"/>
        <color rgb="FF63BE7B"/>
      </colorScale>
    </cfRule>
  </conditionalFormatting>
  <conditionalFormatting sqref="BX9">
    <cfRule type="colorScale" priority="59">
      <colorScale>
        <cfvo type="num" val="0.69"/>
        <cfvo type="num" val="0.8"/>
        <cfvo type="num" val="0.9"/>
        <color rgb="FFF8696B"/>
        <color rgb="FFFFEB84"/>
        <color rgb="FF63BE7B"/>
      </colorScale>
    </cfRule>
  </conditionalFormatting>
  <conditionalFormatting sqref="CD9">
    <cfRule type="colorScale" priority="58">
      <colorScale>
        <cfvo type="num" val="0.69"/>
        <cfvo type="num" val="0.8"/>
        <cfvo type="num" val="0.9"/>
        <color rgb="FFF8696B"/>
        <color rgb="FFFFEB84"/>
        <color rgb="FF63BE7B"/>
      </colorScale>
    </cfRule>
  </conditionalFormatting>
  <conditionalFormatting sqref="CP9">
    <cfRule type="colorScale" priority="57">
      <colorScale>
        <cfvo type="num" val="0.69"/>
        <cfvo type="num" val="0.8"/>
        <cfvo type="num" val="0.9"/>
        <color rgb="FFF8696B"/>
        <color rgb="FFFFEB84"/>
        <color rgb="FF63BE7B"/>
      </colorScale>
    </cfRule>
  </conditionalFormatting>
  <conditionalFormatting sqref="AB10">
    <cfRule type="colorScale" priority="56">
      <colorScale>
        <cfvo type="num" val="0.69"/>
        <cfvo type="num" val="0.8"/>
        <cfvo type="num" val="0.9"/>
        <color rgb="FFF8696B"/>
        <color rgb="FFFFEB84"/>
        <color rgb="FF63BE7B"/>
      </colorScale>
    </cfRule>
  </conditionalFormatting>
  <conditionalFormatting sqref="AH10">
    <cfRule type="colorScale" priority="55">
      <colorScale>
        <cfvo type="num" val="0.69"/>
        <cfvo type="num" val="0.8"/>
        <cfvo type="num" val="0.9"/>
        <color rgb="FFF8696B"/>
        <color rgb="FFFFEB84"/>
        <color rgb="FF63BE7B"/>
      </colorScale>
    </cfRule>
  </conditionalFormatting>
  <conditionalFormatting sqref="AN10">
    <cfRule type="colorScale" priority="54">
      <colorScale>
        <cfvo type="num" val="0.69"/>
        <cfvo type="num" val="0.8"/>
        <cfvo type="num" val="0.9"/>
        <color rgb="FFF8696B"/>
        <color rgb="FFFFEB84"/>
        <color rgb="FF63BE7B"/>
      </colorScale>
    </cfRule>
  </conditionalFormatting>
  <conditionalFormatting sqref="AT10">
    <cfRule type="colorScale" priority="53">
      <colorScale>
        <cfvo type="num" val="0.69"/>
        <cfvo type="num" val="0.8"/>
        <cfvo type="num" val="0.9"/>
        <color rgb="FFF8696B"/>
        <color rgb="FFFFEB84"/>
        <color rgb="FF63BE7B"/>
      </colorScale>
    </cfRule>
  </conditionalFormatting>
  <conditionalFormatting sqref="AZ10">
    <cfRule type="colorScale" priority="52">
      <colorScale>
        <cfvo type="num" val="0.69"/>
        <cfvo type="num" val="0.8"/>
        <cfvo type="num" val="0.9"/>
        <color rgb="FFF8696B"/>
        <color rgb="FFFFEB84"/>
        <color rgb="FF63BE7B"/>
      </colorScale>
    </cfRule>
  </conditionalFormatting>
  <conditionalFormatting sqref="BF10">
    <cfRule type="colorScale" priority="51">
      <colorScale>
        <cfvo type="num" val="0.69"/>
        <cfvo type="num" val="0.8"/>
        <cfvo type="num" val="0.9"/>
        <color rgb="FFF8696B"/>
        <color rgb="FFFFEB84"/>
        <color rgb="FF63BE7B"/>
      </colorScale>
    </cfRule>
  </conditionalFormatting>
  <conditionalFormatting sqref="BL10">
    <cfRule type="colorScale" priority="50">
      <colorScale>
        <cfvo type="num" val="0.69"/>
        <cfvo type="num" val="0.8"/>
        <cfvo type="num" val="0.9"/>
        <color rgb="FFF8696B"/>
        <color rgb="FFFFEB84"/>
        <color rgb="FF63BE7B"/>
      </colorScale>
    </cfRule>
  </conditionalFormatting>
  <conditionalFormatting sqref="BX10">
    <cfRule type="colorScale" priority="49">
      <colorScale>
        <cfvo type="num" val="0.69"/>
        <cfvo type="num" val="0.8"/>
        <cfvo type="num" val="0.9"/>
        <color rgb="FFF8696B"/>
        <color rgb="FFFFEB84"/>
        <color rgb="FF63BE7B"/>
      </colorScale>
    </cfRule>
  </conditionalFormatting>
  <conditionalFormatting sqref="CD10">
    <cfRule type="colorScale" priority="48">
      <colorScale>
        <cfvo type="num" val="0.69"/>
        <cfvo type="num" val="0.8"/>
        <cfvo type="num" val="0.9"/>
        <color rgb="FFF8696B"/>
        <color rgb="FFFFEB84"/>
        <color rgb="FF63BE7B"/>
      </colorScale>
    </cfRule>
  </conditionalFormatting>
  <conditionalFormatting sqref="CJ10">
    <cfRule type="colorScale" priority="47">
      <colorScale>
        <cfvo type="num" val="0.69"/>
        <cfvo type="num" val="0.8"/>
        <cfvo type="num" val="0.9"/>
        <color rgb="FFF8696B"/>
        <color rgb="FFFFEB84"/>
        <color rgb="FF63BE7B"/>
      </colorScale>
    </cfRule>
  </conditionalFormatting>
  <conditionalFormatting sqref="CP10">
    <cfRule type="colorScale" priority="46">
      <colorScale>
        <cfvo type="num" val="0.69"/>
        <cfvo type="num" val="0.8"/>
        <cfvo type="num" val="0.9"/>
        <color rgb="FFF8696B"/>
        <color rgb="FFFFEB84"/>
        <color rgb="FF63BE7B"/>
      </colorScale>
    </cfRule>
  </conditionalFormatting>
  <conditionalFormatting sqref="AH9">
    <cfRule type="colorScale" priority="45">
      <colorScale>
        <cfvo type="num" val="0.69"/>
        <cfvo type="num" val="0.8"/>
        <cfvo type="num" val="0.9"/>
        <color rgb="FFF8696B"/>
        <color rgb="FFFFEB84"/>
        <color rgb="FF63BE7B"/>
      </colorScale>
    </cfRule>
  </conditionalFormatting>
  <conditionalFormatting sqref="AN9">
    <cfRule type="colorScale" priority="44">
      <colorScale>
        <cfvo type="num" val="0.69"/>
        <cfvo type="num" val="0.8"/>
        <cfvo type="num" val="0.9"/>
        <color rgb="FFF8696B"/>
        <color rgb="FFFFEB84"/>
        <color rgb="FF63BE7B"/>
      </colorScale>
    </cfRule>
  </conditionalFormatting>
  <conditionalFormatting sqref="AT9">
    <cfRule type="colorScale" priority="43">
      <colorScale>
        <cfvo type="num" val="0.69"/>
        <cfvo type="num" val="0.8"/>
        <cfvo type="num" val="0.9"/>
        <color rgb="FFF8696B"/>
        <color rgb="FFFFEB84"/>
        <color rgb="FF63BE7B"/>
      </colorScale>
    </cfRule>
  </conditionalFormatting>
  <conditionalFormatting sqref="AH11">
    <cfRule type="colorScale" priority="42">
      <colorScale>
        <cfvo type="num" val="0.69"/>
        <cfvo type="num" val="0.8"/>
        <cfvo type="num" val="0.9"/>
        <color rgb="FFF8696B"/>
        <color rgb="FFFFEB84"/>
        <color rgb="FF63BE7B"/>
      </colorScale>
    </cfRule>
  </conditionalFormatting>
  <conditionalFormatting sqref="AN11">
    <cfRule type="colorScale" priority="41">
      <colorScale>
        <cfvo type="num" val="0.69"/>
        <cfvo type="num" val="0.8"/>
        <cfvo type="num" val="0.9"/>
        <color rgb="FFF8696B"/>
        <color rgb="FFFFEB84"/>
        <color rgb="FF63BE7B"/>
      </colorScale>
    </cfRule>
  </conditionalFormatting>
  <conditionalFormatting sqref="AT11">
    <cfRule type="colorScale" priority="40">
      <colorScale>
        <cfvo type="num" val="0.69"/>
        <cfvo type="num" val="0.8"/>
        <cfvo type="num" val="0.9"/>
        <color rgb="FFF8696B"/>
        <color rgb="FFFFEB84"/>
        <color rgb="FF63BE7B"/>
      </colorScale>
    </cfRule>
  </conditionalFormatting>
  <conditionalFormatting sqref="AT22">
    <cfRule type="colorScale" priority="39">
      <colorScale>
        <cfvo type="num" val="0.69"/>
        <cfvo type="num" val="0.8"/>
        <cfvo type="num" val="0.9"/>
        <color rgb="FFF8696B"/>
        <color rgb="FFFFEB84"/>
        <color rgb="FF63BE7B"/>
      </colorScale>
    </cfRule>
  </conditionalFormatting>
  <conditionalFormatting sqref="AH21">
    <cfRule type="colorScale" priority="38">
      <colorScale>
        <cfvo type="num" val="0.69"/>
        <cfvo type="num" val="0.8"/>
        <cfvo type="num" val="0.9"/>
        <color rgb="FFF8696B"/>
        <color rgb="FFFFEB84"/>
        <color rgb="FF63BE7B"/>
      </colorScale>
    </cfRule>
  </conditionalFormatting>
  <conditionalFormatting sqref="AN21">
    <cfRule type="colorScale" priority="37">
      <colorScale>
        <cfvo type="num" val="0.69"/>
        <cfvo type="num" val="0.8"/>
        <cfvo type="num" val="0.9"/>
        <color rgb="FFF8696B"/>
        <color rgb="FFFFEB84"/>
        <color rgb="FF63BE7B"/>
      </colorScale>
    </cfRule>
  </conditionalFormatting>
  <conditionalFormatting sqref="AT21">
    <cfRule type="colorScale" priority="36">
      <colorScale>
        <cfvo type="num" val="0.69"/>
        <cfvo type="num" val="0.8"/>
        <cfvo type="num" val="0.9"/>
        <color rgb="FFF8696B"/>
        <color rgb="FFFFEB84"/>
        <color rgb="FF63BE7B"/>
      </colorScale>
    </cfRule>
  </conditionalFormatting>
  <conditionalFormatting sqref="AB19">
    <cfRule type="colorScale" priority="35">
      <colorScale>
        <cfvo type="num" val="0.69"/>
        <cfvo type="num" val="0.8"/>
        <cfvo type="num" val="0.9"/>
        <color rgb="FFF8696B"/>
        <color rgb="FFFFEB84"/>
        <color rgb="FF63BE7B"/>
      </colorScale>
    </cfRule>
  </conditionalFormatting>
  <conditionalFormatting sqref="AH19">
    <cfRule type="colorScale" priority="34">
      <colorScale>
        <cfvo type="num" val="0.69"/>
        <cfvo type="num" val="0.8"/>
        <cfvo type="num" val="0.9"/>
        <color rgb="FFF8696B"/>
        <color rgb="FFFFEB84"/>
        <color rgb="FF63BE7B"/>
      </colorScale>
    </cfRule>
  </conditionalFormatting>
  <conditionalFormatting sqref="AN20">
    <cfRule type="colorScale" priority="33">
      <colorScale>
        <cfvo type="num" val="0.69"/>
        <cfvo type="num" val="0.8"/>
        <cfvo type="num" val="0.9"/>
        <color rgb="FFF8696B"/>
        <color rgb="FFFFEB84"/>
        <color rgb="FF63BE7B"/>
      </colorScale>
    </cfRule>
  </conditionalFormatting>
  <conditionalFormatting sqref="AT17">
    <cfRule type="colorScale" priority="32">
      <colorScale>
        <cfvo type="num" val="0.69"/>
        <cfvo type="num" val="0.8"/>
        <cfvo type="num" val="0.9"/>
        <color rgb="FFF8696B"/>
        <color rgb="FFFFEB84"/>
        <color rgb="FF63BE7B"/>
      </colorScale>
    </cfRule>
  </conditionalFormatting>
  <conditionalFormatting sqref="AT15">
    <cfRule type="colorScale" priority="31">
      <colorScale>
        <cfvo type="num" val="0.69"/>
        <cfvo type="num" val="0.8"/>
        <cfvo type="num" val="0.9"/>
        <color rgb="FFF8696B"/>
        <color rgb="FFFFEB84"/>
        <color rgb="FF63BE7B"/>
      </colorScale>
    </cfRule>
  </conditionalFormatting>
  <conditionalFormatting sqref="AB22">
    <cfRule type="colorScale" priority="30">
      <colorScale>
        <cfvo type="num" val="0.69"/>
        <cfvo type="num" val="0.8"/>
        <cfvo type="num" val="0.9"/>
        <color rgb="FFF8696B"/>
        <color rgb="FFFFEB84"/>
        <color rgb="FF63BE7B"/>
      </colorScale>
    </cfRule>
  </conditionalFormatting>
  <conditionalFormatting sqref="AB21">
    <cfRule type="colorScale" priority="29">
      <colorScale>
        <cfvo type="num" val="0.69"/>
        <cfvo type="num" val="0.8"/>
        <cfvo type="num" val="0.9"/>
        <color rgb="FFF8696B"/>
        <color rgb="FFFFEB84"/>
        <color rgb="FF63BE7B"/>
      </colorScale>
    </cfRule>
  </conditionalFormatting>
  <conditionalFormatting sqref="AB20">
    <cfRule type="colorScale" priority="28">
      <colorScale>
        <cfvo type="num" val="0.69"/>
        <cfvo type="num" val="0.8"/>
        <cfvo type="num" val="0.9"/>
        <color rgb="FFF8696B"/>
        <color rgb="FFFFEB84"/>
        <color rgb="FF63BE7B"/>
      </colorScale>
    </cfRule>
  </conditionalFormatting>
  <conditionalFormatting sqref="AT20">
    <cfRule type="colorScale" priority="27">
      <colorScale>
        <cfvo type="num" val="0.69"/>
        <cfvo type="num" val="0.8"/>
        <cfvo type="num" val="0.9"/>
        <color rgb="FFF8696B"/>
        <color rgb="FFFFEB84"/>
        <color rgb="FF63BE7B"/>
      </colorScale>
    </cfRule>
  </conditionalFormatting>
  <conditionalFormatting sqref="AT19">
    <cfRule type="colorScale" priority="26">
      <colorScale>
        <cfvo type="num" val="0.69"/>
        <cfvo type="num" val="0.8"/>
        <cfvo type="num" val="0.9"/>
        <color rgb="FFF8696B"/>
        <color rgb="FFFFEB84"/>
        <color rgb="FF63BE7B"/>
      </colorScale>
    </cfRule>
  </conditionalFormatting>
  <conditionalFormatting sqref="AZ19">
    <cfRule type="colorScale" priority="25">
      <colorScale>
        <cfvo type="num" val="0.69"/>
        <cfvo type="num" val="0.8"/>
        <cfvo type="num" val="0.9"/>
        <color rgb="FFF8696B"/>
        <color rgb="FFFFEB84"/>
        <color rgb="FF63BE7B"/>
      </colorScale>
    </cfRule>
  </conditionalFormatting>
  <conditionalFormatting sqref="AZ20">
    <cfRule type="colorScale" priority="24">
      <colorScale>
        <cfvo type="num" val="0.69"/>
        <cfvo type="num" val="0.8"/>
        <cfvo type="num" val="0.9"/>
        <color rgb="FFF8696B"/>
        <color rgb="FFFFEB84"/>
        <color rgb="FF63BE7B"/>
      </colorScale>
    </cfRule>
  </conditionalFormatting>
  <conditionalFormatting sqref="BF17">
    <cfRule type="colorScale" priority="23">
      <colorScale>
        <cfvo type="num" val="0.69"/>
        <cfvo type="num" val="0.8"/>
        <cfvo type="num" val="0.9"/>
        <color rgb="FFF8696B"/>
        <color rgb="FFFFEB84"/>
        <color rgb="FF63BE7B"/>
      </colorScale>
    </cfRule>
  </conditionalFormatting>
  <conditionalFormatting sqref="BF18">
    <cfRule type="colorScale" priority="22">
      <colorScale>
        <cfvo type="num" val="0.69"/>
        <cfvo type="num" val="0.8"/>
        <cfvo type="num" val="0.9"/>
        <color rgb="FFF8696B"/>
        <color rgb="FFFFEB84"/>
        <color rgb="FF63BE7B"/>
      </colorScale>
    </cfRule>
  </conditionalFormatting>
  <conditionalFormatting sqref="BF18">
    <cfRule type="colorScale" priority="21">
      <colorScale>
        <cfvo type="num" val="0.69"/>
        <cfvo type="num" val="0.8"/>
        <cfvo type="num" val="0.9"/>
        <color rgb="FFF8696B"/>
        <color rgb="FFFFEB84"/>
        <color rgb="FF63BE7B"/>
      </colorScale>
    </cfRule>
  </conditionalFormatting>
  <conditionalFormatting sqref="BF18">
    <cfRule type="colorScale" priority="20">
      <colorScale>
        <cfvo type="num" val="0.69"/>
        <cfvo type="num" val="0.8"/>
        <cfvo type="num" val="0.9"/>
        <color rgb="FFF8696B"/>
        <color rgb="FFFFEB84"/>
        <color rgb="FF63BE7B"/>
      </colorScale>
    </cfRule>
  </conditionalFormatting>
  <conditionalFormatting sqref="BF20:BF21">
    <cfRule type="colorScale" priority="19">
      <colorScale>
        <cfvo type="num" val="0.69"/>
        <cfvo type="num" val="0.8"/>
        <cfvo type="num" val="0.9"/>
        <color rgb="FFF8696B"/>
        <color rgb="FFFFEB84"/>
        <color rgb="FF63BE7B"/>
      </colorScale>
    </cfRule>
  </conditionalFormatting>
  <conditionalFormatting sqref="BF19">
    <cfRule type="colorScale" priority="18">
      <colorScale>
        <cfvo type="num" val="0.69"/>
        <cfvo type="num" val="0.8"/>
        <cfvo type="num" val="0.9"/>
        <color rgb="FFF8696B"/>
        <color rgb="FFFFEB84"/>
        <color rgb="FF63BE7B"/>
      </colorScale>
    </cfRule>
  </conditionalFormatting>
  <conditionalFormatting sqref="BL19">
    <cfRule type="colorScale" priority="17">
      <colorScale>
        <cfvo type="num" val="0.69"/>
        <cfvo type="num" val="0.8"/>
        <cfvo type="num" val="0.9"/>
        <color rgb="FFF8696B"/>
        <color rgb="FFFFEB84"/>
        <color rgb="FF63BE7B"/>
      </colorScale>
    </cfRule>
  </conditionalFormatting>
  <conditionalFormatting sqref="BL20">
    <cfRule type="colorScale" priority="16">
      <colorScale>
        <cfvo type="num" val="0.69"/>
        <cfvo type="num" val="0.8"/>
        <cfvo type="num" val="0.9"/>
        <color rgb="FFF8696B"/>
        <color rgb="FFFFEB84"/>
        <color rgb="FF63BE7B"/>
      </colorScale>
    </cfRule>
  </conditionalFormatting>
  <conditionalFormatting sqref="BL16">
    <cfRule type="colorScale" priority="15">
      <colorScale>
        <cfvo type="num" val="0.69"/>
        <cfvo type="num" val="0.8"/>
        <cfvo type="num" val="0.9"/>
        <color rgb="FFF8696B"/>
        <color rgb="FFFFEB84"/>
        <color rgb="FF63BE7B"/>
      </colorScale>
    </cfRule>
  </conditionalFormatting>
  <conditionalFormatting sqref="BX16">
    <cfRule type="colorScale" priority="14">
      <colorScale>
        <cfvo type="num" val="0.69"/>
        <cfvo type="num" val="0.8"/>
        <cfvo type="num" val="0.9"/>
        <color rgb="FFF8696B"/>
        <color rgb="FFFFEB84"/>
        <color rgb="FF63BE7B"/>
      </colorScale>
    </cfRule>
  </conditionalFormatting>
  <conditionalFormatting sqref="CD16">
    <cfRule type="colorScale" priority="13">
      <colorScale>
        <cfvo type="num" val="0.69"/>
        <cfvo type="num" val="0.8"/>
        <cfvo type="num" val="0.9"/>
        <color rgb="FFF8696B"/>
        <color rgb="FFFFEB84"/>
        <color rgb="FF63BE7B"/>
      </colorScale>
    </cfRule>
  </conditionalFormatting>
  <conditionalFormatting sqref="CD19">
    <cfRule type="colorScale" priority="12">
      <colorScale>
        <cfvo type="num" val="0.69"/>
        <cfvo type="num" val="0.8"/>
        <cfvo type="num" val="0.9"/>
        <color rgb="FFF8696B"/>
        <color rgb="FFFFEB84"/>
        <color rgb="FF63BE7B"/>
      </colorScale>
    </cfRule>
  </conditionalFormatting>
  <conditionalFormatting sqref="CD20">
    <cfRule type="colorScale" priority="11">
      <colorScale>
        <cfvo type="num" val="0.69"/>
        <cfvo type="num" val="0.8"/>
        <cfvo type="num" val="0.9"/>
        <color rgb="FFF8696B"/>
        <color rgb="FFFFEB84"/>
        <color rgb="FF63BE7B"/>
      </colorScale>
    </cfRule>
  </conditionalFormatting>
  <conditionalFormatting sqref="CJ9">
    <cfRule type="colorScale" priority="10">
      <colorScale>
        <cfvo type="num" val="0.69"/>
        <cfvo type="num" val="0.8"/>
        <cfvo type="num" val="0.9"/>
        <color rgb="FFF8696B"/>
        <color rgb="FFFFEB84"/>
        <color rgb="FF63BE7B"/>
      </colorScale>
    </cfRule>
  </conditionalFormatting>
  <conditionalFormatting sqref="CJ13">
    <cfRule type="colorScale" priority="9">
      <colorScale>
        <cfvo type="num" val="0.69"/>
        <cfvo type="num" val="0.8"/>
        <cfvo type="num" val="0.9"/>
        <color rgb="FFF8696B"/>
        <color rgb="FFFFEB84"/>
        <color rgb="FF63BE7B"/>
      </colorScale>
    </cfRule>
  </conditionalFormatting>
  <conditionalFormatting sqref="CP21">
    <cfRule type="colorScale" priority="8">
      <colorScale>
        <cfvo type="num" val="0.69"/>
        <cfvo type="num" val="0.8"/>
        <cfvo type="num" val="0.9"/>
        <color rgb="FFF8696B"/>
        <color rgb="FFFFEB84"/>
        <color rgb="FF63BE7B"/>
      </colorScale>
    </cfRule>
  </conditionalFormatting>
  <conditionalFormatting sqref="CP20">
    <cfRule type="colorScale" priority="7">
      <colorScale>
        <cfvo type="num" val="0.69"/>
        <cfvo type="num" val="0.8"/>
        <cfvo type="num" val="0.9"/>
        <color rgb="FFF8696B"/>
        <color rgb="FFFFEB84"/>
        <color rgb="FF63BE7B"/>
      </colorScale>
    </cfRule>
  </conditionalFormatting>
  <conditionalFormatting sqref="CV15:CV22">
    <cfRule type="colorScale" priority="6">
      <colorScale>
        <cfvo type="num" val="0.69"/>
        <cfvo type="num" val="0.8"/>
        <cfvo type="num" val="0.9"/>
        <color rgb="FFF8696B"/>
        <color rgb="FFFFEB84"/>
        <color rgb="FF63BE7B"/>
      </colorScale>
    </cfRule>
  </conditionalFormatting>
  <conditionalFormatting sqref="CP18">
    <cfRule type="colorScale" priority="5">
      <colorScale>
        <cfvo type="num" val="0.69"/>
        <cfvo type="num" val="0.8"/>
        <cfvo type="num" val="0.9"/>
        <color rgb="FFF8696B"/>
        <color rgb="FFFFEB84"/>
        <color rgb="FF63BE7B"/>
      </colorScale>
    </cfRule>
  </conditionalFormatting>
  <conditionalFormatting sqref="CP16">
    <cfRule type="colorScale" priority="4">
      <colorScale>
        <cfvo type="num" val="0.69"/>
        <cfvo type="num" val="0.8"/>
        <cfvo type="num" val="0.9"/>
        <color rgb="FFF8696B"/>
        <color rgb="FFFFEB84"/>
        <color rgb="FF63BE7B"/>
      </colorScale>
    </cfRule>
  </conditionalFormatting>
  <conditionalFormatting sqref="CP16">
    <cfRule type="colorScale" priority="3">
      <colorScale>
        <cfvo type="num" val="0.69"/>
        <cfvo type="num" val="0.8"/>
        <cfvo type="num" val="0.9"/>
        <color rgb="FFF8696B"/>
        <color rgb="FFFFEB84"/>
        <color rgb="FF63BE7B"/>
      </colorScale>
    </cfRule>
  </conditionalFormatting>
  <conditionalFormatting sqref="CP13">
    <cfRule type="colorScale" priority="2">
      <colorScale>
        <cfvo type="num" val="0.69"/>
        <cfvo type="num" val="0.8"/>
        <cfvo type="num" val="0.9"/>
        <color rgb="FFF8696B"/>
        <color rgb="FFFFEB84"/>
        <color rgb="FF63BE7B"/>
      </colorScale>
    </cfRule>
  </conditionalFormatting>
  <conditionalFormatting sqref="CP8">
    <cfRule type="colorScale" priority="1">
      <colorScale>
        <cfvo type="num" val="0.69"/>
        <cfvo type="num" val="0.8"/>
        <cfvo type="num" val="0.9"/>
        <color rgb="FFF8696B"/>
        <color rgb="FFFFEB84"/>
        <color rgb="FF63BE7B"/>
      </colorScale>
    </cfRule>
  </conditionalFormatting>
  <printOptions horizontalCentered="1"/>
  <pageMargins left="0" right="0" top="0" bottom="0" header="0.31496062992125984" footer="0.31496062992125984"/>
  <pageSetup scale="50" orientation="portrait" r:id="rId1"/>
  <headerFooter alignWithMargins="0"/>
  <colBreaks count="1" manualBreakCount="1">
    <brk id="71" max="28"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Y95"/>
  <sheetViews>
    <sheetView showGridLines="0" view="pageBreakPreview" zoomScaleNormal="100" zoomScaleSheetLayoutView="100" workbookViewId="0">
      <pane xSplit="1" ySplit="7" topLeftCell="B8" activePane="bottomRight" state="frozen"/>
      <selection pane="topRight" activeCell="B1" sqref="B1"/>
      <selection pane="bottomLeft" activeCell="A8" sqref="A8"/>
      <selection pane="bottomRight" activeCell="H8" sqref="H8:H9"/>
    </sheetView>
  </sheetViews>
  <sheetFormatPr baseColWidth="10" defaultRowHeight="12.75"/>
  <cols>
    <col min="1" max="1" width="1.140625" style="15" customWidth="1"/>
    <col min="2" max="2" width="24.140625" style="15" customWidth="1"/>
    <col min="3" max="3" width="5.42578125" style="2" customWidth="1"/>
    <col min="4" max="4" width="25.85546875" style="15" customWidth="1"/>
    <col min="5" max="5" width="10.42578125" style="15" customWidth="1"/>
    <col min="6" max="6" width="22.28515625" style="15" customWidth="1"/>
    <col min="7" max="7" width="9.42578125" style="15" customWidth="1"/>
    <col min="8" max="8" width="24.85546875" style="15" customWidth="1"/>
    <col min="9" max="9" width="15.85546875" style="15" customWidth="1"/>
    <col min="10" max="10" width="8.85546875" style="15" customWidth="1"/>
    <col min="11" max="11" width="4.7109375" style="15" customWidth="1"/>
    <col min="12" max="12" width="5.85546875" style="15" customWidth="1"/>
    <col min="13" max="13" width="5.42578125" style="126" bestFit="1" customWidth="1"/>
    <col min="14" max="14" width="5.140625" style="126" bestFit="1" customWidth="1"/>
    <col min="15" max="15" width="4.7109375" style="126" customWidth="1"/>
    <col min="16" max="16" width="5.140625" style="126" bestFit="1" customWidth="1"/>
    <col min="17" max="17" width="4.7109375" style="126" customWidth="1"/>
    <col min="18" max="18" width="5.140625" style="126" bestFit="1" customWidth="1"/>
    <col min="19" max="19" width="4.7109375" style="126" customWidth="1"/>
    <col min="20" max="20" width="5.140625" style="15" bestFit="1" customWidth="1"/>
    <col min="21" max="21" width="4.7109375" style="126" customWidth="1"/>
    <col min="22" max="22" width="5" style="126" customWidth="1"/>
    <col min="23" max="23" width="7.28515625" style="15" customWidth="1"/>
    <col min="24" max="24" width="9.5703125" style="15" customWidth="1"/>
    <col min="25" max="25" width="9.28515625" style="15" customWidth="1"/>
    <col min="26" max="26" width="11" style="15" customWidth="1"/>
    <col min="27" max="27" width="8.42578125" style="15" customWidth="1"/>
    <col min="28" max="28" width="7.85546875" style="15" customWidth="1"/>
    <col min="29" max="29" width="11.7109375" style="15" customWidth="1"/>
    <col min="30" max="30" width="23.42578125" style="15" customWidth="1"/>
    <col min="31" max="31" width="9.28515625" style="15" customWidth="1"/>
    <col min="32" max="32" width="11" style="15" customWidth="1"/>
    <col min="33" max="34" width="8.140625" style="15" customWidth="1"/>
    <col min="35" max="35" width="11.5703125" style="15" customWidth="1"/>
    <col min="36" max="36" width="28.140625" style="15" customWidth="1"/>
    <col min="37" max="37" width="9.28515625" style="15" customWidth="1"/>
    <col min="38" max="38" width="11" style="15" customWidth="1"/>
    <col min="39" max="40" width="8.140625" style="15" customWidth="1"/>
    <col min="41" max="41" width="11.5703125" style="15" customWidth="1"/>
    <col min="42" max="42" width="29.28515625" style="15" customWidth="1"/>
    <col min="43" max="43" width="9.28515625" style="15" customWidth="1"/>
    <col min="44" max="44" width="11" style="15" customWidth="1"/>
    <col min="45" max="46" width="8.140625" style="15" customWidth="1"/>
    <col min="47" max="47" width="11.5703125" style="15" customWidth="1"/>
    <col min="48" max="48" width="21.5703125" style="15" customWidth="1"/>
    <col min="49" max="49" width="9.28515625" style="15" customWidth="1"/>
    <col min="50" max="50" width="11" style="15" customWidth="1"/>
    <col min="51" max="52" width="8.140625" style="15" customWidth="1"/>
    <col min="53" max="53" width="11.5703125" style="15" customWidth="1"/>
    <col min="54" max="54" width="40.42578125" style="15" customWidth="1"/>
    <col min="55" max="55" width="9.28515625" style="15" customWidth="1"/>
    <col min="56" max="56" width="11" style="15" customWidth="1"/>
    <col min="57" max="58" width="8.140625" style="15" customWidth="1"/>
    <col min="59" max="59" width="11.5703125" style="15" customWidth="1"/>
    <col min="60" max="60" width="55.42578125" style="15" customWidth="1"/>
    <col min="61" max="61" width="9.28515625" style="15" customWidth="1"/>
    <col min="62" max="62" width="11" style="15" customWidth="1"/>
    <col min="63" max="64" width="8.140625" style="15" customWidth="1"/>
    <col min="65" max="65" width="11.5703125" style="15" customWidth="1"/>
    <col min="66" max="66" width="41.28515625" style="15" customWidth="1"/>
    <col min="67" max="67" width="9.28515625" style="15" customWidth="1"/>
    <col min="68" max="68" width="11" style="15" customWidth="1"/>
    <col min="69" max="70" width="8.140625" style="15" customWidth="1"/>
    <col min="71" max="71" width="11.5703125" style="15" customWidth="1"/>
    <col min="72" max="72" width="55.42578125" style="15" customWidth="1"/>
    <col min="73" max="73" width="9.28515625" style="15" customWidth="1"/>
    <col min="74" max="74" width="11" style="15" customWidth="1"/>
    <col min="75" max="76" width="8.140625" style="15" customWidth="1"/>
    <col min="77" max="77" width="11.5703125" style="15" customWidth="1"/>
    <col min="78" max="78" width="55.42578125" style="15" customWidth="1"/>
    <col min="79" max="79" width="9.28515625" style="15" customWidth="1"/>
    <col min="80" max="80" width="11" style="15" customWidth="1"/>
    <col min="81" max="82" width="8.140625" style="15" customWidth="1"/>
    <col min="83" max="83" width="11.5703125" style="15" customWidth="1"/>
    <col min="84" max="84" width="55.42578125" style="15" customWidth="1"/>
    <col min="85" max="85" width="9.28515625" style="15" customWidth="1"/>
    <col min="86" max="86" width="11" style="15" customWidth="1"/>
    <col min="87" max="88" width="8.140625" style="15" customWidth="1"/>
    <col min="89" max="89" width="11.5703125" style="15" customWidth="1"/>
    <col min="90" max="90" width="55.42578125" style="15" customWidth="1"/>
    <col min="91" max="91" width="9.28515625" style="15" customWidth="1"/>
    <col min="92" max="92" width="11" style="15" customWidth="1"/>
    <col min="93" max="94" width="8.140625" style="15" customWidth="1"/>
    <col min="95" max="95" width="11.5703125" style="15" customWidth="1"/>
    <col min="96" max="96" width="41.85546875" style="15" customWidth="1"/>
    <col min="97" max="97" width="9.28515625" style="15" bestFit="1" customWidth="1"/>
    <col min="98" max="98" width="13" style="15" customWidth="1"/>
    <col min="99" max="99" width="15" style="15" bestFit="1" customWidth="1"/>
    <col min="100" max="100" width="9.140625" style="15" customWidth="1"/>
    <col min="101" max="101" width="12.85546875" style="15" customWidth="1"/>
    <col min="102" max="102" width="45.7109375" style="15" customWidth="1"/>
    <col min="103" max="16384" width="11.42578125" style="15"/>
  </cols>
  <sheetData>
    <row r="1" spans="1:102" s="574" customFormat="1" ht="24.75" customHeight="1">
      <c r="A1" s="684"/>
      <c r="B1" s="2293" t="s">
        <v>1331</v>
      </c>
      <c r="C1" s="2293"/>
      <c r="D1" s="2293"/>
      <c r="E1" s="2293"/>
      <c r="F1" s="2293"/>
      <c r="G1" s="2293"/>
      <c r="H1" s="2293"/>
      <c r="I1" s="2293"/>
      <c r="J1" s="2293"/>
      <c r="K1" s="2293"/>
      <c r="L1" s="2293"/>
      <c r="M1" s="2293"/>
      <c r="N1" s="2293"/>
      <c r="O1" s="2294"/>
      <c r="P1" s="2295"/>
      <c r="Q1" s="2295"/>
      <c r="R1" s="2295"/>
      <c r="S1" s="2296"/>
      <c r="T1" s="2296"/>
      <c r="U1" s="2296"/>
      <c r="V1" s="2296"/>
      <c r="W1" s="1423"/>
    </row>
    <row r="2" spans="1:102" s="2" customFormat="1" ht="22.5" customHeight="1">
      <c r="A2" s="2297" t="s">
        <v>1332</v>
      </c>
      <c r="B2" s="2298"/>
      <c r="C2" s="583"/>
      <c r="D2" s="2299" t="s">
        <v>1333</v>
      </c>
      <c r="E2" s="2299"/>
      <c r="F2" s="2299"/>
      <c r="G2" s="2299"/>
      <c r="H2" s="2299"/>
      <c r="I2" s="2299"/>
      <c r="J2" s="2299"/>
      <c r="K2" s="2299"/>
      <c r="L2" s="2299"/>
      <c r="M2" s="2299"/>
      <c r="N2" s="2298"/>
      <c r="O2" s="1979" t="s">
        <v>1334</v>
      </c>
      <c r="P2" s="1979"/>
      <c r="Q2" s="1979"/>
      <c r="R2" s="1979"/>
      <c r="S2" s="2296"/>
      <c r="T2" s="2296"/>
      <c r="U2" s="2296"/>
      <c r="V2" s="2296"/>
      <c r="W2" s="1423"/>
    </row>
    <row r="3" spans="1:102" s="2" customFormat="1" ht="5.25" customHeight="1">
      <c r="A3" s="1424"/>
      <c r="B3" s="679"/>
      <c r="C3" s="679"/>
      <c r="D3" s="679"/>
      <c r="E3" s="679"/>
      <c r="F3" s="679"/>
      <c r="G3" s="679"/>
      <c r="H3" s="679"/>
      <c r="I3" s="679"/>
      <c r="J3" s="679"/>
      <c r="K3" s="679"/>
      <c r="L3" s="679"/>
      <c r="M3" s="296"/>
      <c r="N3" s="296"/>
      <c r="O3" s="296"/>
      <c r="P3" s="296"/>
      <c r="Q3" s="296"/>
      <c r="R3" s="296"/>
      <c r="S3" s="296"/>
      <c r="T3" s="679"/>
      <c r="U3" s="296"/>
      <c r="V3" s="1425"/>
      <c r="W3" s="679"/>
    </row>
    <row r="4" spans="1:102" s="2" customFormat="1" ht="19.5" customHeight="1">
      <c r="A4" s="1424"/>
      <c r="B4" s="686" t="s">
        <v>18</v>
      </c>
      <c r="C4" s="1979" t="s">
        <v>2732</v>
      </c>
      <c r="D4" s="1979"/>
      <c r="E4" s="1979"/>
      <c r="F4" s="1979"/>
      <c r="G4" s="1979"/>
      <c r="H4" s="1979"/>
      <c r="I4" s="1979"/>
      <c r="J4" s="1979"/>
      <c r="K4" s="2300" t="s">
        <v>21</v>
      </c>
      <c r="L4" s="2300"/>
      <c r="M4" s="2300"/>
      <c r="N4" s="2452">
        <v>2014</v>
      </c>
      <c r="O4" s="2453"/>
      <c r="P4" s="2453"/>
      <c r="Q4" s="2453"/>
      <c r="R4" s="2453"/>
      <c r="S4" s="2453"/>
      <c r="T4" s="2453"/>
      <c r="U4" s="2453"/>
      <c r="V4" s="2454"/>
      <c r="W4" s="725"/>
      <c r="X4" s="679"/>
      <c r="Y4" s="2302" t="s">
        <v>29</v>
      </c>
      <c r="Z4" s="2302"/>
      <c r="AA4" s="2302"/>
      <c r="AB4" s="2302"/>
      <c r="AC4" s="2302"/>
      <c r="AD4" s="2303"/>
      <c r="AE4" s="2304" t="s">
        <v>29</v>
      </c>
      <c r="AF4" s="2302"/>
      <c r="AG4" s="2302"/>
      <c r="AH4" s="2302"/>
      <c r="AI4" s="2302"/>
      <c r="AJ4" s="2303"/>
      <c r="AK4" s="2304" t="s">
        <v>29</v>
      </c>
      <c r="AL4" s="2302"/>
      <c r="AM4" s="2302"/>
      <c r="AN4" s="2302"/>
      <c r="AO4" s="2302"/>
      <c r="AP4" s="2303"/>
      <c r="AQ4" s="2304" t="s">
        <v>29</v>
      </c>
      <c r="AR4" s="2302"/>
      <c r="AS4" s="2302"/>
      <c r="AT4" s="2302"/>
      <c r="AU4" s="2302"/>
      <c r="AV4" s="2303"/>
      <c r="AW4" s="2304" t="s">
        <v>29</v>
      </c>
      <c r="AX4" s="2302"/>
      <c r="AY4" s="2302"/>
      <c r="AZ4" s="2302"/>
      <c r="BA4" s="2302"/>
      <c r="BB4" s="2303"/>
      <c r="BC4" s="2304" t="s">
        <v>29</v>
      </c>
      <c r="BD4" s="2302"/>
      <c r="BE4" s="2302"/>
      <c r="BF4" s="2302"/>
      <c r="BG4" s="2302"/>
      <c r="BH4" s="2303"/>
      <c r="BI4" s="2304" t="s">
        <v>29</v>
      </c>
      <c r="BJ4" s="2302"/>
      <c r="BK4" s="2302"/>
      <c r="BL4" s="2302"/>
      <c r="BM4" s="2302"/>
      <c r="BN4" s="2303"/>
      <c r="BO4" s="2304" t="s">
        <v>29</v>
      </c>
      <c r="BP4" s="2302"/>
      <c r="BQ4" s="2302"/>
      <c r="BR4" s="2302"/>
      <c r="BS4" s="2302"/>
      <c r="BT4" s="2303"/>
      <c r="BU4" s="2304" t="s">
        <v>29</v>
      </c>
      <c r="BV4" s="2302"/>
      <c r="BW4" s="2302"/>
      <c r="BX4" s="2302"/>
      <c r="BY4" s="2302"/>
      <c r="BZ4" s="2303"/>
      <c r="CA4" s="2304" t="s">
        <v>29</v>
      </c>
      <c r="CB4" s="2302"/>
      <c r="CC4" s="2302"/>
      <c r="CD4" s="2302"/>
      <c r="CE4" s="2302"/>
      <c r="CF4" s="2303"/>
      <c r="CG4" s="2304" t="s">
        <v>29</v>
      </c>
      <c r="CH4" s="2302"/>
      <c r="CI4" s="2302"/>
      <c r="CJ4" s="2302"/>
      <c r="CK4" s="2302"/>
      <c r="CL4" s="2303"/>
      <c r="CM4" s="2304" t="s">
        <v>29</v>
      </c>
      <c r="CN4" s="2302"/>
      <c r="CO4" s="2302"/>
      <c r="CP4" s="2302"/>
      <c r="CQ4" s="2302"/>
      <c r="CR4" s="2303"/>
      <c r="CS4" s="2304" t="s">
        <v>30</v>
      </c>
      <c r="CT4" s="2302"/>
      <c r="CU4" s="2302"/>
      <c r="CV4" s="2302"/>
      <c r="CW4" s="2302"/>
      <c r="CX4" s="2302"/>
    </row>
    <row r="5" spans="1:102" s="2" customFormat="1" ht="6" customHeight="1">
      <c r="A5" s="1424"/>
      <c r="B5" s="679"/>
      <c r="C5" s="44"/>
      <c r="D5" s="679"/>
      <c r="E5" s="679"/>
      <c r="F5" s="679"/>
      <c r="G5" s="679"/>
      <c r="H5" s="679"/>
      <c r="I5" s="679"/>
      <c r="J5" s="679"/>
      <c r="K5" s="679"/>
      <c r="L5" s="679"/>
      <c r="M5" s="296"/>
      <c r="N5" s="296"/>
      <c r="O5" s="296"/>
      <c r="P5" s="296"/>
      <c r="Q5" s="296"/>
      <c r="R5" s="296"/>
      <c r="S5" s="296"/>
      <c r="T5" s="679"/>
      <c r="U5" s="296"/>
      <c r="V5" s="1425"/>
      <c r="W5" s="679"/>
      <c r="X5" s="679"/>
    </row>
    <row r="6" spans="1:102" s="2" customFormat="1" ht="13.5" customHeight="1">
      <c r="A6" s="1424"/>
      <c r="B6" s="1968" t="s">
        <v>26</v>
      </c>
      <c r="C6" s="1968" t="s">
        <v>10</v>
      </c>
      <c r="D6" s="1968" t="s">
        <v>23</v>
      </c>
      <c r="E6" s="1968" t="s">
        <v>19</v>
      </c>
      <c r="F6" s="1968" t="s">
        <v>11</v>
      </c>
      <c r="G6" s="2374" t="s">
        <v>15</v>
      </c>
      <c r="H6" s="1968" t="s">
        <v>12</v>
      </c>
      <c r="I6" s="1968" t="s">
        <v>20</v>
      </c>
      <c r="J6" s="1968" t="s">
        <v>16</v>
      </c>
      <c r="K6" s="1968" t="s">
        <v>24</v>
      </c>
      <c r="L6" s="1968"/>
      <c r="M6" s="1968"/>
      <c r="N6" s="1968"/>
      <c r="O6" s="1968"/>
      <c r="P6" s="1968"/>
      <c r="Q6" s="1968"/>
      <c r="R6" s="1968"/>
      <c r="S6" s="1968"/>
      <c r="T6" s="1968"/>
      <c r="U6" s="1968"/>
      <c r="V6" s="1968"/>
      <c r="W6" s="1426"/>
      <c r="X6" s="1427"/>
      <c r="Y6" s="1990" t="s">
        <v>37</v>
      </c>
      <c r="Z6" s="1987"/>
      <c r="AA6" s="1987"/>
      <c r="AB6" s="1987"/>
      <c r="AC6" s="1987"/>
      <c r="AD6" s="1987"/>
      <c r="AE6" s="1966" t="s">
        <v>38</v>
      </c>
      <c r="AF6" s="1967"/>
      <c r="AG6" s="1967"/>
      <c r="AH6" s="1967"/>
      <c r="AI6" s="1967"/>
      <c r="AJ6" s="1967"/>
      <c r="AK6" s="1976" t="s">
        <v>39</v>
      </c>
      <c r="AL6" s="1977"/>
      <c r="AM6" s="1977"/>
      <c r="AN6" s="1977"/>
      <c r="AO6" s="1977"/>
      <c r="AP6" s="1977"/>
      <c r="AQ6" s="1962" t="s">
        <v>40</v>
      </c>
      <c r="AR6" s="1963"/>
      <c r="AS6" s="1963"/>
      <c r="AT6" s="1963"/>
      <c r="AU6" s="1963"/>
      <c r="AV6" s="1963"/>
      <c r="AW6" s="1986" t="s">
        <v>41</v>
      </c>
      <c r="AX6" s="1987"/>
      <c r="AY6" s="1987"/>
      <c r="AZ6" s="1987"/>
      <c r="BA6" s="1987"/>
      <c r="BB6" s="1987"/>
      <c r="BC6" s="1997" t="s">
        <v>42</v>
      </c>
      <c r="BD6" s="1998"/>
      <c r="BE6" s="1998"/>
      <c r="BF6" s="1998"/>
      <c r="BG6" s="1998"/>
      <c r="BH6" s="1998"/>
      <c r="BI6" s="1969" t="s">
        <v>43</v>
      </c>
      <c r="BJ6" s="1970"/>
      <c r="BK6" s="1970"/>
      <c r="BL6" s="1970"/>
      <c r="BM6" s="1970"/>
      <c r="BN6" s="1970"/>
      <c r="BO6" s="1964" t="s">
        <v>44</v>
      </c>
      <c r="BP6" s="1965"/>
      <c r="BQ6" s="1965"/>
      <c r="BR6" s="1965"/>
      <c r="BS6" s="1965"/>
      <c r="BT6" s="1965"/>
      <c r="BU6" s="1966" t="s">
        <v>45</v>
      </c>
      <c r="BV6" s="1967"/>
      <c r="BW6" s="1967"/>
      <c r="BX6" s="1967"/>
      <c r="BY6" s="1967"/>
      <c r="BZ6" s="1967"/>
      <c r="CA6" s="1976" t="s">
        <v>46</v>
      </c>
      <c r="CB6" s="1977"/>
      <c r="CC6" s="1977"/>
      <c r="CD6" s="1977"/>
      <c r="CE6" s="1977"/>
      <c r="CF6" s="1977"/>
      <c r="CG6" s="1962" t="s">
        <v>47</v>
      </c>
      <c r="CH6" s="1963"/>
      <c r="CI6" s="1963"/>
      <c r="CJ6" s="1963"/>
      <c r="CK6" s="1963"/>
      <c r="CL6" s="1963"/>
      <c r="CM6" s="1986" t="s">
        <v>87</v>
      </c>
      <c r="CN6" s="1987"/>
      <c r="CO6" s="1987"/>
      <c r="CP6" s="1987"/>
      <c r="CQ6" s="1987"/>
      <c r="CR6" s="1987"/>
      <c r="CS6" s="1988" t="s">
        <v>411</v>
      </c>
      <c r="CT6" s="1989"/>
      <c r="CU6" s="1989"/>
      <c r="CV6" s="1989"/>
      <c r="CW6" s="1989"/>
      <c r="CX6" s="1989"/>
    </row>
    <row r="7" spans="1:102" s="1140" customFormat="1" ht="38.25" customHeight="1">
      <c r="A7" s="1428"/>
      <c r="B7" s="1968"/>
      <c r="C7" s="1968"/>
      <c r="D7" s="1968"/>
      <c r="E7" s="1968"/>
      <c r="F7" s="1968"/>
      <c r="G7" s="2375"/>
      <c r="H7" s="2305"/>
      <c r="I7" s="1968"/>
      <c r="J7" s="1968"/>
      <c r="K7" s="47" t="s">
        <v>13</v>
      </c>
      <c r="L7" s="47" t="s">
        <v>0</v>
      </c>
      <c r="M7" s="47" t="s">
        <v>1</v>
      </c>
      <c r="N7" s="47" t="s">
        <v>14</v>
      </c>
      <c r="O7" s="47" t="s">
        <v>2</v>
      </c>
      <c r="P7" s="47" t="s">
        <v>3</v>
      </c>
      <c r="Q7" s="47" t="s">
        <v>4</v>
      </c>
      <c r="R7" s="47" t="s">
        <v>5</v>
      </c>
      <c r="S7" s="47" t="s">
        <v>6</v>
      </c>
      <c r="T7" s="47" t="s">
        <v>7</v>
      </c>
      <c r="U7" s="47" t="s">
        <v>8</v>
      </c>
      <c r="V7" s="47" t="s">
        <v>9</v>
      </c>
      <c r="W7" s="1429" t="s">
        <v>2733</v>
      </c>
      <c r="X7" s="1430" t="s">
        <v>412</v>
      </c>
      <c r="Y7" s="56" t="s">
        <v>31</v>
      </c>
      <c r="Z7" s="56" t="s">
        <v>32</v>
      </c>
      <c r="AA7" s="56" t="s">
        <v>33</v>
      </c>
      <c r="AB7" s="56" t="s">
        <v>34</v>
      </c>
      <c r="AC7" s="56" t="s">
        <v>414</v>
      </c>
      <c r="AD7" s="56" t="s">
        <v>36</v>
      </c>
      <c r="AE7" s="56" t="s">
        <v>31</v>
      </c>
      <c r="AF7" s="56" t="s">
        <v>32</v>
      </c>
      <c r="AG7" s="56" t="s">
        <v>33</v>
      </c>
      <c r="AH7" s="56" t="s">
        <v>34</v>
      </c>
      <c r="AI7" s="56" t="s">
        <v>414</v>
      </c>
      <c r="AJ7" s="56" t="s">
        <v>36</v>
      </c>
      <c r="AK7" s="56" t="s">
        <v>31</v>
      </c>
      <c r="AL7" s="56" t="s">
        <v>32</v>
      </c>
      <c r="AM7" s="56" t="s">
        <v>33</v>
      </c>
      <c r="AN7" s="56" t="s">
        <v>34</v>
      </c>
      <c r="AO7" s="56" t="s">
        <v>414</v>
      </c>
      <c r="AP7" s="56" t="s">
        <v>36</v>
      </c>
      <c r="AQ7" s="56" t="s">
        <v>31</v>
      </c>
      <c r="AR7" s="56" t="s">
        <v>32</v>
      </c>
      <c r="AS7" s="56" t="s">
        <v>33</v>
      </c>
      <c r="AT7" s="56" t="s">
        <v>34</v>
      </c>
      <c r="AU7" s="56" t="s">
        <v>414</v>
      </c>
      <c r="AV7" s="56" t="s">
        <v>36</v>
      </c>
      <c r="AW7" s="56" t="s">
        <v>31</v>
      </c>
      <c r="AX7" s="56" t="s">
        <v>32</v>
      </c>
      <c r="AY7" s="56" t="s">
        <v>33</v>
      </c>
      <c r="AZ7" s="56" t="s">
        <v>34</v>
      </c>
      <c r="BA7" s="56" t="s">
        <v>414</v>
      </c>
      <c r="BB7" s="56" t="s">
        <v>36</v>
      </c>
      <c r="BC7" s="56" t="s">
        <v>31</v>
      </c>
      <c r="BD7" s="56" t="s">
        <v>32</v>
      </c>
      <c r="BE7" s="56" t="s">
        <v>33</v>
      </c>
      <c r="BF7" s="56" t="s">
        <v>34</v>
      </c>
      <c r="BG7" s="56" t="s">
        <v>414</v>
      </c>
      <c r="BH7" s="56" t="s">
        <v>36</v>
      </c>
      <c r="BI7" s="56" t="s">
        <v>31</v>
      </c>
      <c r="BJ7" s="56" t="s">
        <v>32</v>
      </c>
      <c r="BK7" s="56" t="s">
        <v>33</v>
      </c>
      <c r="BL7" s="56" t="s">
        <v>34</v>
      </c>
      <c r="BM7" s="56" t="s">
        <v>414</v>
      </c>
      <c r="BN7" s="56" t="s">
        <v>36</v>
      </c>
      <c r="BO7" s="56" t="s">
        <v>31</v>
      </c>
      <c r="BP7" s="56" t="s">
        <v>32</v>
      </c>
      <c r="BQ7" s="56" t="s">
        <v>33</v>
      </c>
      <c r="BR7" s="56" t="s">
        <v>34</v>
      </c>
      <c r="BS7" s="56" t="s">
        <v>414</v>
      </c>
      <c r="BT7" s="56" t="s">
        <v>36</v>
      </c>
      <c r="BU7" s="56" t="s">
        <v>31</v>
      </c>
      <c r="BV7" s="56" t="s">
        <v>32</v>
      </c>
      <c r="BW7" s="56" t="s">
        <v>33</v>
      </c>
      <c r="BX7" s="56" t="s">
        <v>34</v>
      </c>
      <c r="BY7" s="56" t="s">
        <v>414</v>
      </c>
      <c r="BZ7" s="56" t="s">
        <v>36</v>
      </c>
      <c r="CA7" s="56" t="s">
        <v>31</v>
      </c>
      <c r="CB7" s="56" t="s">
        <v>32</v>
      </c>
      <c r="CC7" s="56" t="s">
        <v>33</v>
      </c>
      <c r="CD7" s="56" t="s">
        <v>34</v>
      </c>
      <c r="CE7" s="56" t="s">
        <v>414</v>
      </c>
      <c r="CF7" s="56" t="s">
        <v>36</v>
      </c>
      <c r="CG7" s="56" t="s">
        <v>31</v>
      </c>
      <c r="CH7" s="56" t="s">
        <v>32</v>
      </c>
      <c r="CI7" s="56" t="s">
        <v>33</v>
      </c>
      <c r="CJ7" s="56" t="s">
        <v>34</v>
      </c>
      <c r="CK7" s="56" t="s">
        <v>414</v>
      </c>
      <c r="CL7" s="56" t="s">
        <v>36</v>
      </c>
      <c r="CM7" s="56" t="s">
        <v>31</v>
      </c>
      <c r="CN7" s="56" t="s">
        <v>32</v>
      </c>
      <c r="CO7" s="56" t="s">
        <v>33</v>
      </c>
      <c r="CP7" s="56" t="s">
        <v>34</v>
      </c>
      <c r="CQ7" s="56" t="s">
        <v>414</v>
      </c>
      <c r="CR7" s="56" t="s">
        <v>36</v>
      </c>
      <c r="CS7" s="56" t="s">
        <v>31</v>
      </c>
      <c r="CT7" s="56" t="s">
        <v>32</v>
      </c>
      <c r="CU7" s="56" t="s">
        <v>33</v>
      </c>
      <c r="CV7" s="56" t="s">
        <v>34</v>
      </c>
      <c r="CW7" s="56" t="s">
        <v>414</v>
      </c>
      <c r="CX7" s="56" t="s">
        <v>36</v>
      </c>
    </row>
    <row r="8" spans="1:102" s="126" customFormat="1" ht="34.5" customHeight="1">
      <c r="A8" s="1431"/>
      <c r="B8" s="2455" t="s">
        <v>416</v>
      </c>
      <c r="C8" s="2209">
        <v>1</v>
      </c>
      <c r="D8" s="2455" t="s">
        <v>2734</v>
      </c>
      <c r="E8" s="2455" t="s">
        <v>418</v>
      </c>
      <c r="F8" s="2455" t="s">
        <v>419</v>
      </c>
      <c r="G8" s="2112" t="s">
        <v>53</v>
      </c>
      <c r="H8" s="2455" t="s">
        <v>420</v>
      </c>
      <c r="I8" s="2455" t="s">
        <v>437</v>
      </c>
      <c r="J8" s="13" t="s">
        <v>54</v>
      </c>
      <c r="K8" s="74">
        <v>1</v>
      </c>
      <c r="L8" s="7"/>
      <c r="M8" s="12"/>
      <c r="N8" s="7"/>
      <c r="O8" s="7"/>
      <c r="P8" s="14"/>
      <c r="Q8" s="14"/>
      <c r="R8" s="14"/>
      <c r="S8" s="14"/>
      <c r="T8" s="14"/>
      <c r="U8" s="14"/>
      <c r="V8" s="14"/>
      <c r="W8" s="83">
        <v>1</v>
      </c>
      <c r="X8" s="80"/>
      <c r="Y8" s="21">
        <v>100</v>
      </c>
      <c r="Z8" s="21">
        <v>100</v>
      </c>
      <c r="AA8" s="22">
        <f>IF(Z8=0," ",Y8/Z8)</f>
        <v>1</v>
      </c>
      <c r="AB8" s="58">
        <f>+K8</f>
        <v>1</v>
      </c>
      <c r="AC8" s="24">
        <f>IF(Z8=0," ",AA8/AB8)</f>
        <v>1</v>
      </c>
      <c r="AD8" s="2104" t="s">
        <v>2735</v>
      </c>
      <c r="AE8" s="21">
        <v>0</v>
      </c>
      <c r="AF8" s="21">
        <v>0</v>
      </c>
      <c r="AG8" s="22" t="str">
        <f>IF(AF8=0," ",AE8/AF8)</f>
        <v xml:space="preserve"> </v>
      </c>
      <c r="AH8" s="58">
        <f>+L8</f>
        <v>0</v>
      </c>
      <c r="AI8" s="24" t="str">
        <f>IF(AF8=0," ",AG8/AH8)</f>
        <v xml:space="preserve"> </v>
      </c>
      <c r="AJ8" s="2457" t="s">
        <v>2736</v>
      </c>
      <c r="AK8" s="21">
        <v>0</v>
      </c>
      <c r="AL8" s="21">
        <v>0</v>
      </c>
      <c r="AM8" s="22" t="str">
        <f>IF(AL8=0," ",AK8/AL8)</f>
        <v xml:space="preserve"> </v>
      </c>
      <c r="AN8" s="58">
        <f>+R8</f>
        <v>0</v>
      </c>
      <c r="AO8" s="24" t="str">
        <f t="shared" ref="AO8:AO16" si="0">IF(AL8=0," ",AM8/AN8)</f>
        <v xml:space="preserve"> </v>
      </c>
      <c r="AP8" s="2457" t="s">
        <v>2736</v>
      </c>
      <c r="AQ8" s="21">
        <v>0</v>
      </c>
      <c r="AR8" s="21">
        <v>0</v>
      </c>
      <c r="AS8" s="22" t="str">
        <f t="shared" ref="AS8:AS16" si="1">IF(AR8=0," ",AQ8/AR8)</f>
        <v xml:space="preserve"> </v>
      </c>
      <c r="AT8" s="58">
        <f>+N8</f>
        <v>0</v>
      </c>
      <c r="AU8" s="24" t="str">
        <f t="shared" ref="AU8:AU16" si="2">IF(AR8=0," ",AS8/AT8)</f>
        <v xml:space="preserve"> </v>
      </c>
      <c r="AV8" s="1432" t="s">
        <v>2736</v>
      </c>
      <c r="AW8" s="21">
        <v>0</v>
      </c>
      <c r="AX8" s="21">
        <v>0</v>
      </c>
      <c r="AY8" s="22" t="str">
        <f>IF(AX8=0," ",AW8/AX8)</f>
        <v xml:space="preserve"> </v>
      </c>
      <c r="AZ8" s="58">
        <f>+T8</f>
        <v>0</v>
      </c>
      <c r="BA8" s="24" t="str">
        <f>IF(AX8=0," ",AY8/AZ8)</f>
        <v xml:space="preserve"> </v>
      </c>
      <c r="BB8" s="1432" t="s">
        <v>2736</v>
      </c>
      <c r="BC8" s="21">
        <v>0</v>
      </c>
      <c r="BD8" s="21">
        <v>0</v>
      </c>
      <c r="BE8" s="22" t="str">
        <f>IF(BD8=0," ",BC8/BD8)</f>
        <v xml:space="preserve"> </v>
      </c>
      <c r="BF8" s="58">
        <f>+P8</f>
        <v>0</v>
      </c>
      <c r="BG8" s="24" t="str">
        <f>IF(BD8=0," ",BE8/BF8)</f>
        <v xml:space="preserve"> </v>
      </c>
      <c r="BH8" s="1432" t="s">
        <v>2736</v>
      </c>
      <c r="BI8" s="21">
        <v>0</v>
      </c>
      <c r="BJ8" s="21">
        <v>0</v>
      </c>
      <c r="BK8" s="22" t="str">
        <f>IF(BJ8=0," ",BI8/BJ8)</f>
        <v xml:space="preserve"> </v>
      </c>
      <c r="BL8" s="58">
        <f>+V8</f>
        <v>0</v>
      </c>
      <c r="BM8" s="24" t="str">
        <f>IF(BJ8=0," ",BK8/BL8)</f>
        <v xml:space="preserve"> </v>
      </c>
      <c r="BN8" s="1432" t="s">
        <v>2736</v>
      </c>
      <c r="BO8" s="21">
        <v>0</v>
      </c>
      <c r="BP8" s="21">
        <v>0</v>
      </c>
      <c r="BQ8" s="22" t="str">
        <f>IF(BP8=0," ",BO8/BP8)</f>
        <v xml:space="preserve"> </v>
      </c>
      <c r="BR8" s="58">
        <f>+AB8</f>
        <v>1</v>
      </c>
      <c r="BS8" s="24" t="str">
        <f>IF(BP8=0," ",BQ8/BR8)</f>
        <v xml:space="preserve"> </v>
      </c>
      <c r="BT8" s="1432" t="s">
        <v>2736</v>
      </c>
      <c r="BU8" s="21">
        <v>0</v>
      </c>
      <c r="BV8" s="21">
        <v>0</v>
      </c>
      <c r="BW8" s="22" t="str">
        <f>IF(BV8=0," ",BU8/BV8)</f>
        <v xml:space="preserve"> </v>
      </c>
      <c r="BX8" s="58">
        <f>+AH8</f>
        <v>0</v>
      </c>
      <c r="BY8" s="24" t="str">
        <f>IF(BV8=0," ",BW8/BX8)</f>
        <v xml:space="preserve"> </v>
      </c>
      <c r="BZ8" s="1432" t="s">
        <v>2736</v>
      </c>
      <c r="CA8" s="21">
        <v>0</v>
      </c>
      <c r="CB8" s="21">
        <v>0</v>
      </c>
      <c r="CC8" s="22" t="str">
        <f>IF(CB8=0," ",CA8/CB8)</f>
        <v xml:space="preserve"> </v>
      </c>
      <c r="CD8" s="58">
        <f>+T8</f>
        <v>0</v>
      </c>
      <c r="CE8" s="24" t="str">
        <f>IF(CB8=0," ",CC8/CD8)</f>
        <v xml:space="preserve"> </v>
      </c>
      <c r="CF8" s="1432" t="s">
        <v>2736</v>
      </c>
      <c r="CG8" s="21">
        <v>0</v>
      </c>
      <c r="CH8" s="21">
        <v>0</v>
      </c>
      <c r="CI8" s="22" t="str">
        <f>IF(CH8=0," ",CG8/CH8)</f>
        <v xml:space="preserve"> </v>
      </c>
      <c r="CJ8" s="58">
        <f>+U8</f>
        <v>0</v>
      </c>
      <c r="CK8" s="24" t="str">
        <f>IF(CH8=0," ",CI8/CJ8)</f>
        <v xml:space="preserve"> </v>
      </c>
      <c r="CL8" s="1432" t="s">
        <v>2736</v>
      </c>
      <c r="CM8" s="21">
        <v>0</v>
      </c>
      <c r="CN8" s="21">
        <v>0</v>
      </c>
      <c r="CO8" s="22" t="str">
        <f>IF(CN8=0," ",CM8/CN8)</f>
        <v xml:space="preserve"> </v>
      </c>
      <c r="CP8" s="58">
        <f>+V8</f>
        <v>0</v>
      </c>
      <c r="CQ8" s="24" t="str">
        <f>IF(CN8=0," ",CO8/CP8)</f>
        <v xml:space="preserve"> </v>
      </c>
      <c r="CR8" s="1432" t="s">
        <v>2736</v>
      </c>
      <c r="CS8" s="68">
        <f>+Y8+AE8+AK8+AQ8+AW8+BC8+BI8+BO8+BU8+CA8+CG8+CM8</f>
        <v>100</v>
      </c>
      <c r="CT8" s="68">
        <v>100</v>
      </c>
      <c r="CU8" s="69">
        <v>1</v>
      </c>
      <c r="CV8" s="58">
        <f>+W8</f>
        <v>1</v>
      </c>
      <c r="CW8" s="58">
        <f>IF(CT8=0," ",CU8/CV8)</f>
        <v>1</v>
      </c>
      <c r="CX8" s="315" t="s">
        <v>2737</v>
      </c>
    </row>
    <row r="9" spans="1:102" ht="13.5" customHeight="1">
      <c r="A9" s="893"/>
      <c r="B9" s="2456"/>
      <c r="C9" s="2210"/>
      <c r="D9" s="2456"/>
      <c r="E9" s="2456"/>
      <c r="F9" s="2456"/>
      <c r="G9" s="2112"/>
      <c r="H9" s="2456"/>
      <c r="I9" s="2456"/>
      <c r="J9" s="13" t="s">
        <v>435</v>
      </c>
      <c r="K9" s="7">
        <v>2</v>
      </c>
      <c r="L9" s="7"/>
      <c r="M9" s="12"/>
      <c r="N9" s="7"/>
      <c r="O9" s="7"/>
      <c r="P9" s="14"/>
      <c r="Q9" s="14"/>
      <c r="R9" s="14"/>
      <c r="S9" s="14"/>
      <c r="T9" s="14"/>
      <c r="U9" s="14"/>
      <c r="V9" s="14"/>
      <c r="W9" s="1433">
        <f>SUM(K9:V9)</f>
        <v>2</v>
      </c>
      <c r="X9" s="80"/>
      <c r="Y9" s="21"/>
      <c r="Z9" s="21"/>
      <c r="AA9" s="22"/>
      <c r="AB9" s="1434"/>
      <c r="AC9" s="24" t="str">
        <f>IF(Z9=0," ",AA9/AB9)</f>
        <v xml:space="preserve"> </v>
      </c>
      <c r="AD9" s="2106"/>
      <c r="AE9" s="21"/>
      <c r="AF9" s="21"/>
      <c r="AG9" s="22" t="str">
        <f>IF(AF9=0," ",AE9/AF9)</f>
        <v xml:space="preserve"> </v>
      </c>
      <c r="AH9" s="58"/>
      <c r="AI9" s="24" t="str">
        <f>IF(AF9=0," ",AG9/AH9)</f>
        <v xml:space="preserve"> </v>
      </c>
      <c r="AJ9" s="2458"/>
      <c r="AK9" s="21"/>
      <c r="AL9" s="21"/>
      <c r="AM9" s="22" t="str">
        <f>IF(AL9=0," ",AK9/AL9)</f>
        <v xml:space="preserve"> </v>
      </c>
      <c r="AN9" s="58"/>
      <c r="AO9" s="24" t="str">
        <f t="shared" si="0"/>
        <v xml:space="preserve"> </v>
      </c>
      <c r="AP9" s="2458"/>
      <c r="AQ9" s="21"/>
      <c r="AR9" s="21"/>
      <c r="AS9" s="22" t="str">
        <f t="shared" si="1"/>
        <v xml:space="preserve"> </v>
      </c>
      <c r="AT9" s="58"/>
      <c r="AU9" s="24" t="str">
        <f t="shared" si="2"/>
        <v xml:space="preserve"> </v>
      </c>
      <c r="AV9" s="1435"/>
      <c r="AW9" s="21"/>
      <c r="AX9" s="21"/>
      <c r="AY9" s="22" t="str">
        <f>IF(AX9=0," ",AW9/AX9)</f>
        <v xml:space="preserve"> </v>
      </c>
      <c r="AZ9" s="58"/>
      <c r="BA9" s="24" t="str">
        <f>IF(AX9=0," ",AY9/AZ9)</f>
        <v xml:space="preserve"> </v>
      </c>
      <c r="BB9" s="1435"/>
      <c r="BC9" s="21"/>
      <c r="BD9" s="21"/>
      <c r="BE9" s="22" t="str">
        <f>IF(BD9=0," ",BC9/BD9)</f>
        <v xml:space="preserve"> </v>
      </c>
      <c r="BF9" s="58"/>
      <c r="BG9" s="24" t="str">
        <f>IF(BD9=0," ",BE9/BF9)</f>
        <v xml:space="preserve"> </v>
      </c>
      <c r="BH9" s="25"/>
      <c r="BI9" s="21"/>
      <c r="BJ9" s="21"/>
      <c r="BK9" s="22" t="str">
        <f>IF(BJ9=0," ",BI9/BJ9)</f>
        <v xml:space="preserve"> </v>
      </c>
      <c r="BL9" s="58"/>
      <c r="BM9" s="24" t="str">
        <f>IF(BJ9=0," ",BK9/BL9)</f>
        <v xml:space="preserve"> </v>
      </c>
      <c r="BN9" s="25"/>
      <c r="BO9" s="21"/>
      <c r="BP9" s="21"/>
      <c r="BQ9" s="22" t="str">
        <f>IF(BP9=0," ",BO9/BP9)</f>
        <v xml:space="preserve"> </v>
      </c>
      <c r="BR9" s="58"/>
      <c r="BS9" s="24" t="str">
        <f>IF(BP9=0," ",BQ9/BR9)</f>
        <v xml:space="preserve"> </v>
      </c>
      <c r="BT9" s="25"/>
      <c r="BU9" s="21"/>
      <c r="BV9" s="21"/>
      <c r="BW9" s="22" t="str">
        <f>IF(BV9=0," ",BU9/BV9)</f>
        <v xml:space="preserve"> </v>
      </c>
      <c r="BX9" s="58"/>
      <c r="BY9" s="24" t="str">
        <f>IF(BV9=0," ",BW9/BX9)</f>
        <v xml:space="preserve"> </v>
      </c>
      <c r="BZ9" s="25"/>
      <c r="CA9" s="21"/>
      <c r="CB9" s="21"/>
      <c r="CC9" s="22" t="str">
        <f>IF(CB9=0," ",CA9/CB9)</f>
        <v xml:space="preserve"> </v>
      </c>
      <c r="CD9" s="58"/>
      <c r="CE9" s="24" t="str">
        <f>IF(CB9=0," ",CC9/CD9)</f>
        <v xml:space="preserve"> </v>
      </c>
      <c r="CF9" s="25"/>
      <c r="CG9" s="21"/>
      <c r="CH9" s="21"/>
      <c r="CI9" s="22" t="str">
        <f>IF(CH9=0," ",CG9/CH9)</f>
        <v xml:space="preserve"> </v>
      </c>
      <c r="CJ9" s="58"/>
      <c r="CK9" s="24" t="str">
        <f>IF(CH9=0," ",CI9/CJ9)</f>
        <v xml:space="preserve"> </v>
      </c>
      <c r="CL9" s="25"/>
      <c r="CM9" s="21"/>
      <c r="CN9" s="21"/>
      <c r="CO9" s="22" t="str">
        <f>IF(CN9=0," ",CM9/CN9)</f>
        <v xml:space="preserve"> </v>
      </c>
      <c r="CP9" s="58"/>
      <c r="CQ9" s="24" t="str">
        <f>IF(CN9=0," ",CO9/CP9)</f>
        <v xml:space="preserve"> </v>
      </c>
      <c r="CR9" s="25"/>
      <c r="CS9" s="21"/>
      <c r="CT9" s="21"/>
      <c r="CU9" s="22" t="str">
        <f>IF(CT9=0," ",CS9/CT9)</f>
        <v xml:space="preserve"> </v>
      </c>
      <c r="CV9" s="58"/>
      <c r="CW9" s="24" t="str">
        <f>IF(CT9=0," ",CU9/CV9)</f>
        <v xml:space="preserve"> </v>
      </c>
      <c r="CX9" s="25"/>
    </row>
    <row r="10" spans="1:102" s="126" customFormat="1" ht="33.75">
      <c r="A10" s="1431"/>
      <c r="B10" s="2455" t="s">
        <v>416</v>
      </c>
      <c r="C10" s="2209">
        <v>2</v>
      </c>
      <c r="D10" s="2455" t="s">
        <v>2738</v>
      </c>
      <c r="E10" s="2455" t="s">
        <v>448</v>
      </c>
      <c r="F10" s="2455" t="s">
        <v>449</v>
      </c>
      <c r="G10" s="2112" t="s">
        <v>53</v>
      </c>
      <c r="H10" s="2455" t="s">
        <v>2739</v>
      </c>
      <c r="I10" s="2455" t="s">
        <v>2740</v>
      </c>
      <c r="J10" s="13" t="s">
        <v>54</v>
      </c>
      <c r="K10" s="74"/>
      <c r="L10" s="74">
        <v>0.25</v>
      </c>
      <c r="M10" s="74">
        <v>0.5</v>
      </c>
      <c r="N10" s="74"/>
      <c r="O10" s="74"/>
      <c r="P10" s="14"/>
      <c r="Q10" s="74"/>
      <c r="R10" s="14"/>
      <c r="S10" s="14"/>
      <c r="T10" s="74">
        <v>1</v>
      </c>
      <c r="U10" s="14"/>
      <c r="V10" s="14"/>
      <c r="W10" s="83">
        <v>1</v>
      </c>
      <c r="X10" s="80"/>
      <c r="Y10" s="68">
        <v>0</v>
      </c>
      <c r="Z10" s="68">
        <v>0</v>
      </c>
      <c r="AA10" s="69" t="str">
        <f>IF(Z10=0," ",Y10/Z10)</f>
        <v xml:space="preserve"> </v>
      </c>
      <c r="AB10" s="58">
        <f>+K10</f>
        <v>0</v>
      </c>
      <c r="AC10" s="58" t="str">
        <f>IF(Z10=0," ",AA10/AB10)</f>
        <v xml:space="preserve"> </v>
      </c>
      <c r="AD10" s="65" t="s">
        <v>2736</v>
      </c>
      <c r="AE10" s="68">
        <v>1</v>
      </c>
      <c r="AF10" s="68">
        <v>1</v>
      </c>
      <c r="AG10" s="69">
        <f>IF(AF10=0," ",AE10/AF10)</f>
        <v>1</v>
      </c>
      <c r="AH10" s="1434">
        <v>1</v>
      </c>
      <c r="AI10" s="58">
        <f>IF(AF10=0," ",AG10/AH10)</f>
        <v>1</v>
      </c>
      <c r="AJ10" s="2457" t="s">
        <v>2741</v>
      </c>
      <c r="AK10" s="68">
        <v>0</v>
      </c>
      <c r="AL10" s="68">
        <v>100</v>
      </c>
      <c r="AM10" s="69">
        <f>IF(AL10=0," ",AK10/AL10)</f>
        <v>0</v>
      </c>
      <c r="AN10" s="58">
        <f>+M10</f>
        <v>0.5</v>
      </c>
      <c r="AO10" s="58">
        <f t="shared" si="0"/>
        <v>0</v>
      </c>
      <c r="AP10" s="2104" t="s">
        <v>2742</v>
      </c>
      <c r="AQ10" s="68">
        <v>0</v>
      </c>
      <c r="AR10" s="68">
        <v>0</v>
      </c>
      <c r="AS10" s="69" t="str">
        <f t="shared" si="1"/>
        <v xml:space="preserve"> </v>
      </c>
      <c r="AT10" s="58">
        <f>+N10</f>
        <v>0</v>
      </c>
      <c r="AU10" s="58" t="str">
        <f t="shared" si="2"/>
        <v xml:space="preserve"> </v>
      </c>
      <c r="AV10" s="2457" t="s">
        <v>2736</v>
      </c>
      <c r="AW10" s="68">
        <v>0</v>
      </c>
      <c r="AX10" s="68">
        <v>0</v>
      </c>
      <c r="AY10" s="69" t="str">
        <f t="shared" ref="AY10:AY15" si="3">IF(AX10=0," ",AW10/AX10)</f>
        <v xml:space="preserve"> </v>
      </c>
      <c r="AZ10" s="58">
        <f>+T10</f>
        <v>1</v>
      </c>
      <c r="BA10" s="58" t="str">
        <f t="shared" ref="BA10:BA15" si="4">IF(AX10=0," ",AY10/AZ10)</f>
        <v xml:space="preserve"> </v>
      </c>
      <c r="BB10" s="2457" t="s">
        <v>2736</v>
      </c>
      <c r="BC10" s="68">
        <v>1</v>
      </c>
      <c r="BD10" s="68">
        <v>1</v>
      </c>
      <c r="BE10" s="69">
        <f>IF(BD10=0," ",BC10/BD10)</f>
        <v>1</v>
      </c>
      <c r="BF10" s="1434">
        <v>1</v>
      </c>
      <c r="BG10" s="58">
        <f>IF(BD10=0," ",BE10/BF10)</f>
        <v>1</v>
      </c>
      <c r="BH10" s="2104" t="s">
        <v>2743</v>
      </c>
      <c r="BI10" s="68">
        <v>0</v>
      </c>
      <c r="BJ10" s="68">
        <v>0</v>
      </c>
      <c r="BK10" s="69" t="str">
        <f>IF(BJ10=0," ",BI10/BJ10)</f>
        <v xml:space="preserve"> </v>
      </c>
      <c r="BL10" s="58">
        <f>+V10</f>
        <v>0</v>
      </c>
      <c r="BM10" s="58" t="str">
        <f>IF(BJ10=0," ",BK10/BL10)</f>
        <v xml:space="preserve"> </v>
      </c>
      <c r="BN10" s="317" t="s">
        <v>2736</v>
      </c>
      <c r="BO10" s="68">
        <v>0</v>
      </c>
      <c r="BP10" s="68">
        <v>0</v>
      </c>
      <c r="BQ10" s="69" t="str">
        <f>IF(BP10=0," ",BO10/BP10)</f>
        <v xml:space="preserve"> </v>
      </c>
      <c r="BR10" s="58">
        <f>+AB10</f>
        <v>0</v>
      </c>
      <c r="BS10" s="58" t="str">
        <f>IF(BP10=0," ",BQ10/BR10)</f>
        <v xml:space="preserve"> </v>
      </c>
      <c r="BT10" s="317" t="s">
        <v>2736</v>
      </c>
      <c r="BU10" s="68">
        <v>0</v>
      </c>
      <c r="BV10" s="68">
        <v>0</v>
      </c>
      <c r="BW10" s="69" t="str">
        <f>IF(BV10=0," ",BU10/BV10)</f>
        <v xml:space="preserve"> </v>
      </c>
      <c r="BX10" s="58">
        <f>+AH10</f>
        <v>1</v>
      </c>
      <c r="BY10" s="58" t="str">
        <f>IF(BV10=0," ",BW10/BX10)</f>
        <v xml:space="preserve"> </v>
      </c>
      <c r="BZ10" s="317" t="s">
        <v>2736</v>
      </c>
      <c r="CA10" s="68">
        <v>1</v>
      </c>
      <c r="CB10" s="68">
        <v>1</v>
      </c>
      <c r="CC10" s="69">
        <f>IF(CB10=0," ",CA10/CB10)</f>
        <v>1</v>
      </c>
      <c r="CD10" s="1434">
        <v>2</v>
      </c>
      <c r="CE10" s="58">
        <f>IF(CB10=0," ",CC10/CD10)</f>
        <v>0.5</v>
      </c>
      <c r="CF10" s="101" t="s">
        <v>2744</v>
      </c>
      <c r="CG10" s="68">
        <v>0</v>
      </c>
      <c r="CH10" s="68">
        <v>0</v>
      </c>
      <c r="CI10" s="69" t="str">
        <f>IF(CH10=0," ",CG10/CH10)</f>
        <v xml:space="preserve"> </v>
      </c>
      <c r="CJ10" s="58">
        <f>+Z10</f>
        <v>0</v>
      </c>
      <c r="CK10" s="58" t="str">
        <f>IF(CH10=0," ",CI10/CJ10)</f>
        <v xml:space="preserve"> </v>
      </c>
      <c r="CL10" s="317" t="s">
        <v>2736</v>
      </c>
      <c r="CM10" s="21">
        <v>0</v>
      </c>
      <c r="CN10" s="21">
        <v>0</v>
      </c>
      <c r="CO10" s="22" t="str">
        <f>IF(CN10=0," ",CM10/CN10)</f>
        <v xml:space="preserve"> </v>
      </c>
      <c r="CP10" s="58">
        <f>+V10</f>
        <v>0</v>
      </c>
      <c r="CQ10" s="24" t="str">
        <f>IF(CN10=0," ",CO10/CP10)</f>
        <v xml:space="preserve"> </v>
      </c>
      <c r="CR10" s="1432" t="s">
        <v>2736</v>
      </c>
      <c r="CS10" s="58">
        <v>0.75</v>
      </c>
      <c r="CT10" s="68">
        <v>1</v>
      </c>
      <c r="CU10" s="69">
        <f>IF(CT10=0," ",CS10/CT10)</f>
        <v>0.75</v>
      </c>
      <c r="CV10" s="1436">
        <f>+W10</f>
        <v>1</v>
      </c>
      <c r="CW10" s="58">
        <f>IF(CT10=0," ",CU10/CV10)</f>
        <v>0.75</v>
      </c>
      <c r="CX10" s="65" t="s">
        <v>2745</v>
      </c>
    </row>
    <row r="11" spans="1:102">
      <c r="A11" s="893"/>
      <c r="B11" s="2456"/>
      <c r="C11" s="2210"/>
      <c r="D11" s="2456"/>
      <c r="E11" s="2456"/>
      <c r="F11" s="2456"/>
      <c r="G11" s="2112"/>
      <c r="H11" s="2456"/>
      <c r="I11" s="2456"/>
      <c r="J11" s="13" t="s">
        <v>435</v>
      </c>
      <c r="K11" s="7"/>
      <c r="L11" s="7">
        <v>1</v>
      </c>
      <c r="M11" s="7">
        <v>1</v>
      </c>
      <c r="N11" s="7"/>
      <c r="O11" s="7"/>
      <c r="P11" s="14"/>
      <c r="Q11" s="7"/>
      <c r="R11" s="14"/>
      <c r="S11" s="14"/>
      <c r="T11" s="7">
        <v>2</v>
      </c>
      <c r="U11" s="14"/>
      <c r="V11" s="14"/>
      <c r="W11" s="1433">
        <f>SUM(K11:V11)</f>
        <v>4</v>
      </c>
      <c r="X11" s="80"/>
      <c r="Y11" s="21"/>
      <c r="Z11" s="21"/>
      <c r="AA11" s="22"/>
      <c r="AB11" s="58"/>
      <c r="AC11" s="24"/>
      <c r="AD11" s="25"/>
      <c r="AE11" s="21">
        <v>1</v>
      </c>
      <c r="AF11" s="21">
        <v>1</v>
      </c>
      <c r="AG11" s="22">
        <f>IF(AF11=0," ",AE11/AF11)</f>
        <v>1</v>
      </c>
      <c r="AH11" s="1434">
        <v>1</v>
      </c>
      <c r="AI11" s="24">
        <f>IF(AF11=0," ",AG11/AH11)</f>
        <v>1</v>
      </c>
      <c r="AJ11" s="2458"/>
      <c r="AK11" s="21">
        <v>0</v>
      </c>
      <c r="AL11" s="21">
        <v>1</v>
      </c>
      <c r="AM11" s="22">
        <f>IF(AL11=0," ",AK11/AL11)</f>
        <v>0</v>
      </c>
      <c r="AN11" s="1434">
        <v>1</v>
      </c>
      <c r="AO11" s="24">
        <f t="shared" si="0"/>
        <v>0</v>
      </c>
      <c r="AP11" s="2106"/>
      <c r="AQ11" s="21"/>
      <c r="AR11" s="21"/>
      <c r="AS11" s="22" t="str">
        <f t="shared" si="1"/>
        <v xml:space="preserve"> </v>
      </c>
      <c r="AT11" s="58"/>
      <c r="AU11" s="24" t="str">
        <f t="shared" si="2"/>
        <v xml:space="preserve"> </v>
      </c>
      <c r="AV11" s="2458"/>
      <c r="AW11" s="21"/>
      <c r="AX11" s="21"/>
      <c r="AY11" s="22" t="str">
        <f t="shared" si="3"/>
        <v xml:space="preserve"> </v>
      </c>
      <c r="AZ11" s="58"/>
      <c r="BA11" s="24" t="str">
        <f t="shared" si="4"/>
        <v xml:space="preserve"> </v>
      </c>
      <c r="BB11" s="2458"/>
      <c r="BC11" s="21">
        <v>1</v>
      </c>
      <c r="BD11" s="21">
        <v>1</v>
      </c>
      <c r="BE11" s="22">
        <f>IF(BD11=0," ",BC11/BD11)</f>
        <v>1</v>
      </c>
      <c r="BF11" s="1434">
        <v>1</v>
      </c>
      <c r="BG11" s="24">
        <f>IF(BD11=0," ",BE11/BF11)</f>
        <v>1</v>
      </c>
      <c r="BH11" s="2106"/>
      <c r="BI11" s="21"/>
      <c r="BJ11" s="21"/>
      <c r="BK11" s="22"/>
      <c r="BL11" s="58"/>
      <c r="BM11" s="24"/>
      <c r="BN11" s="25"/>
      <c r="BO11" s="21"/>
      <c r="BP11" s="21"/>
      <c r="BQ11" s="22"/>
      <c r="BR11" s="58"/>
      <c r="BS11" s="24"/>
      <c r="BT11" s="25"/>
      <c r="BU11" s="21"/>
      <c r="BV11" s="21"/>
      <c r="BW11" s="22"/>
      <c r="BX11" s="58"/>
      <c r="BY11" s="24"/>
      <c r="BZ11" s="25"/>
      <c r="CA11" s="21"/>
      <c r="CB11" s="21"/>
      <c r="CC11" s="22"/>
      <c r="CD11" s="58"/>
      <c r="CE11" s="24"/>
      <c r="CF11" s="25"/>
      <c r="CG11" s="21"/>
      <c r="CH11" s="21"/>
      <c r="CI11" s="22"/>
      <c r="CJ11" s="58"/>
      <c r="CK11" s="24"/>
      <c r="CL11" s="25"/>
      <c r="CM11" s="21"/>
      <c r="CN11" s="21"/>
      <c r="CO11" s="22"/>
      <c r="CP11" s="58"/>
      <c r="CQ11" s="24"/>
      <c r="CR11" s="25"/>
      <c r="CS11" s="21"/>
      <c r="CT11" s="21"/>
      <c r="CU11" s="22"/>
      <c r="CV11" s="58"/>
      <c r="CW11" s="24"/>
      <c r="CX11" s="25"/>
    </row>
    <row r="12" spans="1:102" s="126" customFormat="1" ht="51" customHeight="1">
      <c r="A12" s="1431"/>
      <c r="B12" s="2423" t="s">
        <v>557</v>
      </c>
      <c r="C12" s="2209">
        <v>3</v>
      </c>
      <c r="D12" s="2455" t="s">
        <v>2746</v>
      </c>
      <c r="E12" s="2112" t="s">
        <v>574</v>
      </c>
      <c r="F12" s="2111" t="s">
        <v>2747</v>
      </c>
      <c r="G12" s="2112" t="s">
        <v>53</v>
      </c>
      <c r="H12" s="2455" t="s">
        <v>575</v>
      </c>
      <c r="I12" s="2423" t="s">
        <v>2748</v>
      </c>
      <c r="J12" s="8" t="s">
        <v>54</v>
      </c>
      <c r="K12" s="7"/>
      <c r="L12" s="12"/>
      <c r="M12" s="12">
        <v>0.5</v>
      </c>
      <c r="N12" s="7"/>
      <c r="O12" s="74"/>
      <c r="P12" s="14"/>
      <c r="Q12" s="74"/>
      <c r="R12" s="14"/>
      <c r="S12" s="14"/>
      <c r="T12" s="74">
        <v>1</v>
      </c>
      <c r="U12" s="14"/>
      <c r="V12" s="14"/>
      <c r="W12" s="83">
        <v>1</v>
      </c>
      <c r="X12" s="80"/>
      <c r="Y12" s="68">
        <v>0</v>
      </c>
      <c r="Z12" s="68">
        <v>0</v>
      </c>
      <c r="AA12" s="69" t="str">
        <f>IF(Z12=0," ",Y12/Z12)</f>
        <v xml:space="preserve"> </v>
      </c>
      <c r="AB12" s="58">
        <f>+K12</f>
        <v>0</v>
      </c>
      <c r="AC12" s="58" t="str">
        <f>IF(Z12=0," ",AA12/AB12)</f>
        <v xml:space="preserve"> </v>
      </c>
      <c r="AD12" s="65" t="s">
        <v>2736</v>
      </c>
      <c r="AE12" s="68">
        <v>0</v>
      </c>
      <c r="AF12" s="68">
        <v>0</v>
      </c>
      <c r="AG12" s="69" t="str">
        <f>IF(AF12=0," ",AE12/AF12)</f>
        <v xml:space="preserve"> </v>
      </c>
      <c r="AH12" s="58">
        <f>+L12</f>
        <v>0</v>
      </c>
      <c r="AI12" s="58" t="str">
        <f>IF(AF12=0," ",AG12/AH12)</f>
        <v xml:space="preserve"> </v>
      </c>
      <c r="AJ12" s="65" t="s">
        <v>2736</v>
      </c>
      <c r="AK12" s="68">
        <v>2</v>
      </c>
      <c r="AL12" s="68">
        <v>2</v>
      </c>
      <c r="AM12" s="69">
        <f>IF(AL12=0," ",AK12/AL12)</f>
        <v>1</v>
      </c>
      <c r="AN12" s="58">
        <v>1</v>
      </c>
      <c r="AO12" s="58">
        <f t="shared" si="0"/>
        <v>1</v>
      </c>
      <c r="AP12" s="65" t="s">
        <v>2749</v>
      </c>
      <c r="AQ12" s="68">
        <v>0</v>
      </c>
      <c r="AR12" s="68">
        <v>0</v>
      </c>
      <c r="AS12" s="69" t="str">
        <f t="shared" si="1"/>
        <v xml:space="preserve"> </v>
      </c>
      <c r="AT12" s="58">
        <f>+N12</f>
        <v>0</v>
      </c>
      <c r="AU12" s="58" t="str">
        <f t="shared" si="2"/>
        <v xml:space="preserve"> </v>
      </c>
      <c r="AV12" s="2457" t="s">
        <v>2736</v>
      </c>
      <c r="AW12" s="68">
        <v>0</v>
      </c>
      <c r="AX12" s="68">
        <v>0</v>
      </c>
      <c r="AY12" s="69" t="str">
        <f t="shared" si="3"/>
        <v xml:space="preserve"> </v>
      </c>
      <c r="AZ12" s="58">
        <f>+T12</f>
        <v>1</v>
      </c>
      <c r="BA12" s="58" t="str">
        <f t="shared" si="4"/>
        <v xml:space="preserve"> </v>
      </c>
      <c r="BB12" s="2457" t="s">
        <v>2736</v>
      </c>
      <c r="BC12" s="68">
        <v>0</v>
      </c>
      <c r="BD12" s="68">
        <v>0</v>
      </c>
      <c r="BE12" s="69" t="str">
        <f>IF(BD12=0," ",BC12/BD12)</f>
        <v xml:space="preserve"> </v>
      </c>
      <c r="BF12" s="58">
        <f>+P12</f>
        <v>0</v>
      </c>
      <c r="BG12" s="58" t="str">
        <f>IF(BD12=0," ",BE12/BF12)</f>
        <v xml:space="preserve"> </v>
      </c>
      <c r="BH12" s="317" t="s">
        <v>2736</v>
      </c>
      <c r="BI12" s="68">
        <v>0</v>
      </c>
      <c r="BJ12" s="68">
        <v>0</v>
      </c>
      <c r="BK12" s="69" t="str">
        <f>IF(BJ12=0," ",BI12/BJ12)</f>
        <v xml:space="preserve"> </v>
      </c>
      <c r="BL12" s="58">
        <f>+V12</f>
        <v>0</v>
      </c>
      <c r="BM12" s="58" t="str">
        <f>IF(BJ12=0," ",BK12/BL12)</f>
        <v xml:space="preserve"> </v>
      </c>
      <c r="BN12" s="317" t="s">
        <v>2736</v>
      </c>
      <c r="BO12" s="68">
        <v>0</v>
      </c>
      <c r="BP12" s="68">
        <v>0</v>
      </c>
      <c r="BQ12" s="69" t="str">
        <f>IF(BP12=0," ",BO12/BP12)</f>
        <v xml:space="preserve"> </v>
      </c>
      <c r="BR12" s="58">
        <f>+AB12</f>
        <v>0</v>
      </c>
      <c r="BS12" s="58" t="str">
        <f>IF(BP12=0," ",BQ12/BR12)</f>
        <v xml:space="preserve"> </v>
      </c>
      <c r="BT12" s="317" t="s">
        <v>2736</v>
      </c>
      <c r="BU12" s="68">
        <v>0</v>
      </c>
      <c r="BV12" s="68">
        <v>0</v>
      </c>
      <c r="BW12" s="69" t="str">
        <f>IF(BV12=0," ",BU12/BV12)</f>
        <v xml:space="preserve"> </v>
      </c>
      <c r="BX12" s="58">
        <f>+AH12</f>
        <v>0</v>
      </c>
      <c r="BY12" s="58" t="str">
        <f>IF(BV12=0," ",BW12/BX12)</f>
        <v xml:space="preserve"> </v>
      </c>
      <c r="BZ12" s="317" t="s">
        <v>2736</v>
      </c>
      <c r="CA12" s="68">
        <v>1</v>
      </c>
      <c r="CB12" s="68">
        <v>1</v>
      </c>
      <c r="CC12" s="69">
        <f>IF(CB12=0," ",CA12/CB12)</f>
        <v>1</v>
      </c>
      <c r="CD12" s="1434">
        <v>2</v>
      </c>
      <c r="CE12" s="58">
        <f>IF(CB12=0," ",CC12/CD12)</f>
        <v>0.5</v>
      </c>
      <c r="CF12" s="101" t="s">
        <v>2750</v>
      </c>
      <c r="CG12" s="68">
        <v>0</v>
      </c>
      <c r="CH12" s="68">
        <v>0</v>
      </c>
      <c r="CI12" s="69" t="str">
        <f>IF(CH12=0," ",CG12/CH12)</f>
        <v xml:space="preserve"> </v>
      </c>
      <c r="CJ12" s="58">
        <f>+Z12</f>
        <v>0</v>
      </c>
      <c r="CK12" s="58" t="str">
        <f>IF(CH12=0," ",CI12/CJ12)</f>
        <v xml:space="preserve"> </v>
      </c>
      <c r="CL12" s="317" t="s">
        <v>2736</v>
      </c>
      <c r="CM12" s="21">
        <v>0</v>
      </c>
      <c r="CN12" s="21">
        <v>0</v>
      </c>
      <c r="CO12" s="22" t="str">
        <f>IF(CN12=0," ",CM12/CN12)</f>
        <v xml:space="preserve"> </v>
      </c>
      <c r="CP12" s="58">
        <f>+V12</f>
        <v>0</v>
      </c>
      <c r="CQ12" s="24" t="str">
        <f>IF(CN12=0," ",CO12/CP12)</f>
        <v xml:space="preserve"> </v>
      </c>
      <c r="CR12" s="1432" t="s">
        <v>2736</v>
      </c>
      <c r="CS12" s="58">
        <v>0.75</v>
      </c>
      <c r="CT12" s="68">
        <v>1</v>
      </c>
      <c r="CU12" s="69">
        <f>IF(CT12=0," ",CS12/CT12)</f>
        <v>0.75</v>
      </c>
      <c r="CV12" s="700">
        <f>+W12</f>
        <v>1</v>
      </c>
      <c r="CW12" s="58">
        <f>IF(CT12=0," ",CU12/CV12)</f>
        <v>0.75</v>
      </c>
      <c r="CX12" s="614" t="s">
        <v>2751</v>
      </c>
    </row>
    <row r="13" spans="1:102" s="126" customFormat="1">
      <c r="A13" s="1431"/>
      <c r="B13" s="2424"/>
      <c r="C13" s="2210"/>
      <c r="D13" s="2456"/>
      <c r="E13" s="2112"/>
      <c r="F13" s="2111"/>
      <c r="G13" s="2112"/>
      <c r="H13" s="2456"/>
      <c r="I13" s="2424"/>
      <c r="J13" s="1437" t="s">
        <v>556</v>
      </c>
      <c r="K13" s="7"/>
      <c r="L13" s="1213"/>
      <c r="M13" s="1213">
        <v>2</v>
      </c>
      <c r="N13" s="7"/>
      <c r="O13" s="7"/>
      <c r="P13" s="14"/>
      <c r="Q13" s="7"/>
      <c r="R13" s="14"/>
      <c r="S13" s="14"/>
      <c r="T13" s="7">
        <v>2</v>
      </c>
      <c r="U13" s="14"/>
      <c r="V13" s="14"/>
      <c r="W13" s="1433">
        <f>SUM(K13:V13)</f>
        <v>4</v>
      </c>
      <c r="X13" s="80"/>
      <c r="Y13" s="68"/>
      <c r="Z13" s="68"/>
      <c r="AA13" s="69"/>
      <c r="AB13" s="58"/>
      <c r="AC13" s="58"/>
      <c r="AD13" s="65"/>
      <c r="AE13" s="68"/>
      <c r="AF13" s="68"/>
      <c r="AG13" s="69"/>
      <c r="AH13" s="58"/>
      <c r="AI13" s="58"/>
      <c r="AJ13" s="65"/>
      <c r="AK13" s="68"/>
      <c r="AL13" s="68"/>
      <c r="AM13" s="69"/>
      <c r="AN13" s="58"/>
      <c r="AO13" s="24" t="str">
        <f t="shared" si="0"/>
        <v xml:space="preserve"> </v>
      </c>
      <c r="AP13" s="65"/>
      <c r="AQ13" s="21"/>
      <c r="AR13" s="21"/>
      <c r="AS13" s="22" t="str">
        <f t="shared" si="1"/>
        <v xml:space="preserve"> </v>
      </c>
      <c r="AT13" s="58"/>
      <c r="AU13" s="24" t="str">
        <f t="shared" si="2"/>
        <v xml:space="preserve"> </v>
      </c>
      <c r="AV13" s="2458"/>
      <c r="AW13" s="21"/>
      <c r="AX13" s="21"/>
      <c r="AY13" s="22" t="str">
        <f t="shared" si="3"/>
        <v xml:space="preserve"> </v>
      </c>
      <c r="AZ13" s="58"/>
      <c r="BA13" s="24" t="str">
        <f t="shared" si="4"/>
        <v xml:space="preserve"> </v>
      </c>
      <c r="BB13" s="2458"/>
      <c r="BC13" s="68"/>
      <c r="BD13" s="68"/>
      <c r="BE13" s="69"/>
      <c r="BF13" s="58"/>
      <c r="BG13" s="58"/>
      <c r="BH13" s="65"/>
      <c r="BI13" s="68"/>
      <c r="BJ13" s="68"/>
      <c r="BK13" s="69"/>
      <c r="BL13" s="58"/>
      <c r="BM13" s="58"/>
      <c r="BN13" s="65"/>
      <c r="BO13" s="68"/>
      <c r="BP13" s="68"/>
      <c r="BQ13" s="69"/>
      <c r="BR13" s="58"/>
      <c r="BS13" s="58"/>
      <c r="BT13" s="65"/>
      <c r="BU13" s="68"/>
      <c r="BV13" s="68"/>
      <c r="BW13" s="69"/>
      <c r="BX13" s="58"/>
      <c r="BY13" s="58"/>
      <c r="BZ13" s="65"/>
      <c r="CA13" s="68"/>
      <c r="CB13" s="68"/>
      <c r="CC13" s="69"/>
      <c r="CD13" s="58"/>
      <c r="CE13" s="58"/>
      <c r="CF13" s="65"/>
      <c r="CG13" s="68"/>
      <c r="CH13" s="68"/>
      <c r="CI13" s="69"/>
      <c r="CJ13" s="58"/>
      <c r="CK13" s="58"/>
      <c r="CL13" s="65"/>
      <c r="CM13" s="68"/>
      <c r="CN13" s="68"/>
      <c r="CO13" s="69"/>
      <c r="CP13" s="58"/>
      <c r="CQ13" s="58"/>
      <c r="CR13" s="65"/>
      <c r="CS13" s="68"/>
      <c r="CT13" s="68"/>
      <c r="CU13" s="69"/>
      <c r="CV13" s="58"/>
      <c r="CW13" s="58"/>
      <c r="CX13" s="65"/>
    </row>
    <row r="14" spans="1:102" s="126" customFormat="1" ht="33.75">
      <c r="A14" s="1431"/>
      <c r="B14" s="2455" t="s">
        <v>416</v>
      </c>
      <c r="C14" s="2209">
        <v>4</v>
      </c>
      <c r="D14" s="2455" t="s">
        <v>2752</v>
      </c>
      <c r="E14" s="2455" t="s">
        <v>472</v>
      </c>
      <c r="F14" s="2455" t="s">
        <v>473</v>
      </c>
      <c r="G14" s="2112" t="s">
        <v>53</v>
      </c>
      <c r="H14" s="2455" t="s">
        <v>474</v>
      </c>
      <c r="I14" s="2455" t="s">
        <v>2753</v>
      </c>
      <c r="J14" s="13" t="s">
        <v>54</v>
      </c>
      <c r="K14" s="7"/>
      <c r="L14" s="74">
        <v>0.33329999999999999</v>
      </c>
      <c r="M14" s="74">
        <v>0.66659999999999997</v>
      </c>
      <c r="N14" s="74"/>
      <c r="O14" s="74"/>
      <c r="P14" s="14"/>
      <c r="Q14" s="14"/>
      <c r="R14" s="14"/>
      <c r="S14" s="386"/>
      <c r="T14" s="14"/>
      <c r="U14" s="14"/>
      <c r="V14" s="14">
        <v>1</v>
      </c>
      <c r="W14" s="83">
        <v>1</v>
      </c>
      <c r="X14" s="80"/>
      <c r="Y14" s="68">
        <v>0</v>
      </c>
      <c r="Z14" s="68">
        <v>0</v>
      </c>
      <c r="AA14" s="69" t="str">
        <f>IF(Z14=0," ",Y14/Z14)</f>
        <v xml:space="preserve"> </v>
      </c>
      <c r="AB14" s="58">
        <f>+K14</f>
        <v>0</v>
      </c>
      <c r="AC14" s="58" t="str">
        <f>IF(Z14=0," ",AA14/AB14)</f>
        <v xml:space="preserve"> </v>
      </c>
      <c r="AD14" s="65" t="s">
        <v>2736</v>
      </c>
      <c r="AE14" s="68">
        <v>33.333300000000001</v>
      </c>
      <c r="AF14" s="68">
        <v>100</v>
      </c>
      <c r="AG14" s="69">
        <f>IF(AF14=0," ",AE14/AF14)</f>
        <v>0.33333299999999999</v>
      </c>
      <c r="AH14" s="58">
        <f>+L14</f>
        <v>0.33329999999999999</v>
      </c>
      <c r="AI14" s="58">
        <f>IF(AF14=0," ",AG14/AH14)</f>
        <v>1.0000990099009901</v>
      </c>
      <c r="AJ14" s="2457" t="s">
        <v>2754</v>
      </c>
      <c r="AK14" s="68">
        <v>67</v>
      </c>
      <c r="AL14" s="68">
        <v>100</v>
      </c>
      <c r="AM14" s="69">
        <f>IF(AL14=0," ",AK14/AL14)</f>
        <v>0.67</v>
      </c>
      <c r="AN14" s="58">
        <f>+M14</f>
        <v>0.66659999999999997</v>
      </c>
      <c r="AO14" s="58">
        <f t="shared" si="0"/>
        <v>1.0051005100510053</v>
      </c>
      <c r="AP14" s="2457" t="s">
        <v>2755</v>
      </c>
      <c r="AQ14" s="68">
        <v>0</v>
      </c>
      <c r="AR14" s="68">
        <v>0</v>
      </c>
      <c r="AS14" s="69" t="str">
        <f t="shared" si="1"/>
        <v xml:space="preserve"> </v>
      </c>
      <c r="AT14" s="58">
        <f>+N14</f>
        <v>0</v>
      </c>
      <c r="AU14" s="58" t="str">
        <f t="shared" si="2"/>
        <v xml:space="preserve"> </v>
      </c>
      <c r="AV14" s="2457" t="s">
        <v>2736</v>
      </c>
      <c r="AW14" s="68">
        <v>0</v>
      </c>
      <c r="AX14" s="68">
        <v>0</v>
      </c>
      <c r="AY14" s="69" t="str">
        <f t="shared" si="3"/>
        <v xml:space="preserve"> </v>
      </c>
      <c r="AZ14" s="58">
        <f>+T14</f>
        <v>0</v>
      </c>
      <c r="BA14" s="58" t="str">
        <f t="shared" si="4"/>
        <v xml:space="preserve"> </v>
      </c>
      <c r="BB14" s="2457" t="s">
        <v>2736</v>
      </c>
      <c r="BC14" s="68">
        <v>0</v>
      </c>
      <c r="BD14" s="68">
        <v>0</v>
      </c>
      <c r="BE14" s="69" t="str">
        <f>IF(BD14=0," ",BC14/BD14)</f>
        <v xml:space="preserve"> </v>
      </c>
      <c r="BF14" s="58">
        <f>+P14</f>
        <v>0</v>
      </c>
      <c r="BG14" s="58" t="str">
        <f>IF(BD14=0," ",BE14/BF14)</f>
        <v xml:space="preserve"> </v>
      </c>
      <c r="BH14" s="317" t="s">
        <v>2736</v>
      </c>
      <c r="BI14" s="68">
        <v>0</v>
      </c>
      <c r="BJ14" s="68">
        <v>0</v>
      </c>
      <c r="BK14" s="69" t="str">
        <f>IF(BJ14=0," ",BI14/BJ14)</f>
        <v xml:space="preserve"> </v>
      </c>
      <c r="BL14" s="58">
        <f>+V14</f>
        <v>1</v>
      </c>
      <c r="BM14" s="58" t="str">
        <f>IF(BJ14=0," ",BK14/BL14)</f>
        <v xml:space="preserve"> </v>
      </c>
      <c r="BN14" s="317" t="s">
        <v>2736</v>
      </c>
      <c r="BO14" s="68">
        <v>0</v>
      </c>
      <c r="BP14" s="68">
        <v>0</v>
      </c>
      <c r="BQ14" s="69" t="str">
        <f>IF(BP14=0," ",BO14/BP14)</f>
        <v xml:space="preserve"> </v>
      </c>
      <c r="BR14" s="58">
        <f>+AB14</f>
        <v>0</v>
      </c>
      <c r="BS14" s="58" t="str">
        <f>IF(BP14=0," ",BQ14/BR14)</f>
        <v xml:space="preserve"> </v>
      </c>
      <c r="BT14" s="317" t="s">
        <v>2736</v>
      </c>
      <c r="BU14" s="68">
        <v>0</v>
      </c>
      <c r="BV14" s="68">
        <v>0</v>
      </c>
      <c r="BW14" s="69" t="str">
        <f>IF(BV14=0," ",BU14/BV14)</f>
        <v xml:space="preserve"> </v>
      </c>
      <c r="BX14" s="58">
        <f>+AH14</f>
        <v>0.33329999999999999</v>
      </c>
      <c r="BY14" s="58" t="str">
        <f>IF(BV14=0," ",BW14/BX14)</f>
        <v xml:space="preserve"> </v>
      </c>
      <c r="BZ14" s="317" t="s">
        <v>2736</v>
      </c>
      <c r="CA14" s="68">
        <v>0</v>
      </c>
      <c r="CB14" s="68">
        <v>0</v>
      </c>
      <c r="CC14" s="69" t="str">
        <f>IF(CB14=0," ",CA14/CB14)</f>
        <v xml:space="preserve"> </v>
      </c>
      <c r="CD14" s="58">
        <f>+T14</f>
        <v>0</v>
      </c>
      <c r="CE14" s="58" t="str">
        <f>IF(CB14=0," ",CC14/CD14)</f>
        <v xml:space="preserve"> </v>
      </c>
      <c r="CF14" s="317" t="s">
        <v>2736</v>
      </c>
      <c r="CG14" s="68">
        <v>0</v>
      </c>
      <c r="CH14" s="68">
        <v>0</v>
      </c>
      <c r="CI14" s="69" t="str">
        <f>IF(CH14=0," ",CG14/CH14)</f>
        <v xml:space="preserve"> </v>
      </c>
      <c r="CJ14" s="58">
        <f>+Z14</f>
        <v>0</v>
      </c>
      <c r="CK14" s="58" t="str">
        <f>IF(CH14=0," ",CI14/CJ14)</f>
        <v xml:space="preserve"> </v>
      </c>
      <c r="CL14" s="317" t="s">
        <v>2736</v>
      </c>
      <c r="CM14" s="568">
        <v>1</v>
      </c>
      <c r="CN14" s="21">
        <v>1</v>
      </c>
      <c r="CO14" s="22">
        <f>IF(CN14=0," ",CM14/CN14)</f>
        <v>1</v>
      </c>
      <c r="CP14" s="58">
        <f>+V14</f>
        <v>1</v>
      </c>
      <c r="CQ14" s="24">
        <f>IF(CN14=0," ",CO14/CP14)</f>
        <v>1</v>
      </c>
      <c r="CR14" s="315" t="s">
        <v>2756</v>
      </c>
      <c r="CS14" s="68">
        <v>100</v>
      </c>
      <c r="CT14" s="68">
        <v>100</v>
      </c>
      <c r="CU14" s="69">
        <f>IF(CT14=0," ",CS14/CT14)</f>
        <v>1</v>
      </c>
      <c r="CV14" s="700">
        <f>+W14</f>
        <v>1</v>
      </c>
      <c r="CW14" s="58">
        <f>IF(CT14=0," ",CU14/CV14)</f>
        <v>1</v>
      </c>
      <c r="CX14" s="614" t="s">
        <v>2757</v>
      </c>
    </row>
    <row r="15" spans="1:102" s="126" customFormat="1">
      <c r="A15" s="1431"/>
      <c r="B15" s="2456"/>
      <c r="C15" s="2210"/>
      <c r="D15" s="2456"/>
      <c r="E15" s="2456"/>
      <c r="F15" s="2456"/>
      <c r="G15" s="2112"/>
      <c r="H15" s="2456"/>
      <c r="I15" s="2456"/>
      <c r="J15" s="13" t="s">
        <v>435</v>
      </c>
      <c r="K15" s="7"/>
      <c r="L15" s="7">
        <v>1</v>
      </c>
      <c r="M15" s="1213">
        <v>1</v>
      </c>
      <c r="N15" s="1213"/>
      <c r="O15" s="7"/>
      <c r="P15" s="14"/>
      <c r="Q15" s="1438"/>
      <c r="R15" s="14"/>
      <c r="T15" s="14"/>
      <c r="U15" s="1438"/>
      <c r="V15" s="1438">
        <v>1</v>
      </c>
      <c r="W15" s="1433">
        <f>SUM(K15:V15)</f>
        <v>3</v>
      </c>
      <c r="X15" s="80"/>
      <c r="Y15" s="68"/>
      <c r="Z15" s="58"/>
      <c r="AA15" s="69"/>
      <c r="AB15" s="58"/>
      <c r="AC15" s="58"/>
      <c r="AD15" s="65"/>
      <c r="AE15" s="21">
        <v>1</v>
      </c>
      <c r="AF15" s="21">
        <v>1</v>
      </c>
      <c r="AG15" s="22">
        <f>IF(AF15=0," ",AE15/AF15)</f>
        <v>1</v>
      </c>
      <c r="AH15" s="1434">
        <v>1</v>
      </c>
      <c r="AI15" s="24">
        <f>IF(AF15=0," ",AG15/AH15)</f>
        <v>1</v>
      </c>
      <c r="AJ15" s="2458"/>
      <c r="AK15" s="21">
        <v>1</v>
      </c>
      <c r="AL15" s="21">
        <v>1</v>
      </c>
      <c r="AM15" s="22">
        <f>IF(AL15=0," ",AK15/AL15)</f>
        <v>1</v>
      </c>
      <c r="AN15" s="1434">
        <v>1</v>
      </c>
      <c r="AO15" s="24">
        <f t="shared" si="0"/>
        <v>1</v>
      </c>
      <c r="AP15" s="2458"/>
      <c r="AQ15" s="21"/>
      <c r="AR15" s="21"/>
      <c r="AS15" s="22" t="str">
        <f t="shared" si="1"/>
        <v xml:space="preserve"> </v>
      </c>
      <c r="AT15" s="58"/>
      <c r="AU15" s="24" t="str">
        <f t="shared" si="2"/>
        <v xml:space="preserve"> </v>
      </c>
      <c r="AV15" s="2458"/>
      <c r="AW15" s="21"/>
      <c r="AX15" s="21"/>
      <c r="AY15" s="22" t="str">
        <f t="shared" si="3"/>
        <v xml:space="preserve"> </v>
      </c>
      <c r="AZ15" s="58"/>
      <c r="BA15" s="24" t="str">
        <f t="shared" si="4"/>
        <v xml:space="preserve"> </v>
      </c>
      <c r="BB15" s="2458"/>
      <c r="BC15" s="68"/>
      <c r="BD15" s="68"/>
      <c r="BE15" s="69"/>
      <c r="BF15" s="58"/>
      <c r="BG15" s="58"/>
      <c r="BH15" s="65"/>
      <c r="BI15" s="68"/>
      <c r="BJ15" s="68"/>
      <c r="BK15" s="69"/>
      <c r="BL15" s="58"/>
      <c r="BM15" s="58"/>
      <c r="BN15" s="65"/>
      <c r="BO15" s="68"/>
      <c r="BP15" s="68"/>
      <c r="BQ15" s="69"/>
      <c r="BR15" s="58"/>
      <c r="BS15" s="58"/>
      <c r="BT15" s="65"/>
      <c r="BU15" s="68"/>
      <c r="BV15" s="68"/>
      <c r="BW15" s="69"/>
      <c r="BX15" s="58"/>
      <c r="BY15" s="58"/>
      <c r="BZ15" s="65"/>
      <c r="CA15" s="68"/>
      <c r="CB15" s="68"/>
      <c r="CC15" s="69"/>
      <c r="CD15" s="58"/>
      <c r="CE15" s="58"/>
      <c r="CF15" s="65"/>
      <c r="CG15" s="68"/>
      <c r="CH15" s="68"/>
      <c r="CI15" s="69"/>
      <c r="CJ15" s="58"/>
      <c r="CK15" s="58"/>
      <c r="CL15" s="65"/>
      <c r="CM15" s="68"/>
      <c r="CN15" s="68"/>
      <c r="CO15" s="69"/>
      <c r="CP15" s="58"/>
      <c r="CQ15" s="58"/>
      <c r="CR15" s="65"/>
      <c r="CS15" s="68"/>
      <c r="CT15" s="68"/>
      <c r="CU15" s="69"/>
      <c r="CV15" s="58"/>
      <c r="CW15" s="58"/>
      <c r="CX15" s="65"/>
    </row>
    <row r="16" spans="1:102" s="126" customFormat="1" ht="66.75" customHeight="1">
      <c r="A16" s="1431"/>
      <c r="B16" s="2455" t="s">
        <v>416</v>
      </c>
      <c r="C16" s="2209">
        <v>5</v>
      </c>
      <c r="D16" s="2455" t="s">
        <v>2758</v>
      </c>
      <c r="E16" s="2455" t="s">
        <v>489</v>
      </c>
      <c r="F16" s="2455" t="s">
        <v>490</v>
      </c>
      <c r="G16" s="2112" t="s">
        <v>53</v>
      </c>
      <c r="H16" s="2455" t="s">
        <v>491</v>
      </c>
      <c r="I16" s="2455" t="s">
        <v>2759</v>
      </c>
      <c r="J16" s="13" t="s">
        <v>54</v>
      </c>
      <c r="K16" s="7"/>
      <c r="L16" s="7"/>
      <c r="M16" s="7"/>
      <c r="N16" s="14">
        <v>0.5</v>
      </c>
      <c r="O16" s="14"/>
      <c r="P16" s="14"/>
      <c r="Q16" s="7"/>
      <c r="R16" s="14"/>
      <c r="S16" s="14"/>
      <c r="T16" s="14">
        <v>0.5</v>
      </c>
      <c r="U16" s="14"/>
      <c r="V16" s="14"/>
      <c r="W16" s="83">
        <f>SUM(K16:V16)</f>
        <v>1</v>
      </c>
      <c r="X16" s="80"/>
      <c r="Y16" s="68">
        <v>0</v>
      </c>
      <c r="Z16" s="68">
        <v>0</v>
      </c>
      <c r="AA16" s="69" t="str">
        <f>IF(Z16=0," ",Y16/Z16)</f>
        <v xml:space="preserve"> </v>
      </c>
      <c r="AB16" s="58">
        <f>+K16</f>
        <v>0</v>
      </c>
      <c r="AC16" s="58" t="str">
        <f>IF(Z16=0," ",AA16/AB16)</f>
        <v xml:space="preserve"> </v>
      </c>
      <c r="AD16" s="65" t="s">
        <v>2736</v>
      </c>
      <c r="AE16" s="68">
        <v>0</v>
      </c>
      <c r="AF16" s="68">
        <v>0</v>
      </c>
      <c r="AG16" s="69" t="str">
        <f>IF(AF16=0," ",AE16/AF16)</f>
        <v xml:space="preserve"> </v>
      </c>
      <c r="AH16" s="58">
        <f>+L16</f>
        <v>0</v>
      </c>
      <c r="AI16" s="58" t="str">
        <f>IF(AF16=0," ",AG16/AH16)</f>
        <v xml:space="preserve"> </v>
      </c>
      <c r="AJ16" s="65" t="s">
        <v>2736</v>
      </c>
      <c r="AK16" s="68">
        <v>0</v>
      </c>
      <c r="AL16" s="68">
        <v>0</v>
      </c>
      <c r="AM16" s="69" t="str">
        <f>IF(AL16=0," ",AK16/AL16)</f>
        <v xml:space="preserve"> </v>
      </c>
      <c r="AN16" s="58">
        <f>+R16</f>
        <v>0</v>
      </c>
      <c r="AO16" s="58" t="str">
        <f t="shared" si="0"/>
        <v xml:space="preserve"> </v>
      </c>
      <c r="AP16" s="65" t="s">
        <v>2736</v>
      </c>
      <c r="AQ16" s="68">
        <v>0</v>
      </c>
      <c r="AR16" s="68">
        <v>1</v>
      </c>
      <c r="AS16" s="69">
        <f t="shared" si="1"/>
        <v>0</v>
      </c>
      <c r="AT16" s="58">
        <f>+N16</f>
        <v>0.5</v>
      </c>
      <c r="AU16" s="58">
        <f t="shared" si="2"/>
        <v>0</v>
      </c>
      <c r="AV16" s="65" t="s">
        <v>2760</v>
      </c>
      <c r="AW16" s="68">
        <v>0</v>
      </c>
      <c r="AX16" s="68">
        <v>0</v>
      </c>
      <c r="AY16" s="69" t="str">
        <f>IF(AX16=0," ",AW16/AX16)</f>
        <v xml:space="preserve"> </v>
      </c>
      <c r="AZ16" s="58">
        <f>+T16</f>
        <v>0.5</v>
      </c>
      <c r="BA16" s="58" t="str">
        <f>IF(AX16=0," ",AY16/AZ16)</f>
        <v xml:space="preserve"> </v>
      </c>
      <c r="BB16" s="2457" t="s">
        <v>2736</v>
      </c>
      <c r="BC16" s="68">
        <v>0</v>
      </c>
      <c r="BD16" s="68">
        <v>0</v>
      </c>
      <c r="BE16" s="69" t="str">
        <f>IF(BD16=0," ",BC16/BD16)</f>
        <v xml:space="preserve"> </v>
      </c>
      <c r="BF16" s="58">
        <f>+P16</f>
        <v>0</v>
      </c>
      <c r="BG16" s="58" t="str">
        <f>IF(BD16=0," ",BE16/BF16)</f>
        <v xml:space="preserve"> </v>
      </c>
      <c r="BH16" s="317" t="s">
        <v>2736</v>
      </c>
      <c r="BI16" s="68">
        <v>0</v>
      </c>
      <c r="BJ16" s="68">
        <v>0</v>
      </c>
      <c r="BK16" s="69" t="str">
        <f>IF(BJ16=0," ",BI16/BJ16)</f>
        <v xml:space="preserve"> </v>
      </c>
      <c r="BL16" s="58">
        <f>+V16</f>
        <v>0</v>
      </c>
      <c r="BM16" s="58" t="str">
        <f>IF(BJ16=0," ",BK16/BL16)</f>
        <v xml:space="preserve"> </v>
      </c>
      <c r="BN16" s="317" t="s">
        <v>2736</v>
      </c>
      <c r="BO16" s="68">
        <v>0</v>
      </c>
      <c r="BP16" s="68">
        <v>0</v>
      </c>
      <c r="BQ16" s="69" t="str">
        <f>IF(BP16=0," ",BO16/BP16)</f>
        <v xml:space="preserve"> </v>
      </c>
      <c r="BR16" s="58">
        <f>+AB16</f>
        <v>0</v>
      </c>
      <c r="BS16" s="58" t="str">
        <f>IF(BP16=0," ",BQ16/BR16)</f>
        <v xml:space="preserve"> </v>
      </c>
      <c r="BT16" s="317" t="s">
        <v>2736</v>
      </c>
      <c r="BU16" s="68">
        <v>0</v>
      </c>
      <c r="BV16" s="68">
        <v>0</v>
      </c>
      <c r="BW16" s="69" t="str">
        <f>IF(BV16=0," ",BU16/BV16)</f>
        <v xml:space="preserve"> </v>
      </c>
      <c r="BX16" s="58">
        <f>+AH16</f>
        <v>0</v>
      </c>
      <c r="BY16" s="58" t="str">
        <f>IF(BV16=0," ",BW16/BX16)</f>
        <v xml:space="preserve"> </v>
      </c>
      <c r="BZ16" s="317" t="s">
        <v>2736</v>
      </c>
      <c r="CA16" s="68">
        <v>0.5</v>
      </c>
      <c r="CB16" s="68">
        <v>1</v>
      </c>
      <c r="CC16" s="69">
        <f>IF(CB16=0," ",CA16/CB16)</f>
        <v>0.5</v>
      </c>
      <c r="CD16" s="58">
        <f>+T16</f>
        <v>0.5</v>
      </c>
      <c r="CE16" s="58">
        <f>IF(CB16=0," ",CC16/CD16)</f>
        <v>1</v>
      </c>
      <c r="CF16" s="101" t="s">
        <v>2761</v>
      </c>
      <c r="CG16" s="68">
        <v>0.5</v>
      </c>
      <c r="CH16" s="68">
        <v>1</v>
      </c>
      <c r="CI16" s="69">
        <f>IF(CH16=0," ",CG16/CH16)</f>
        <v>0.5</v>
      </c>
      <c r="CJ16" s="58">
        <v>0.5</v>
      </c>
      <c r="CK16" s="58">
        <f>IF(CH16=0," ",CI16/CJ16)</f>
        <v>1</v>
      </c>
      <c r="CL16" s="317" t="s">
        <v>2762</v>
      </c>
      <c r="CM16" s="21">
        <v>0</v>
      </c>
      <c r="CN16" s="21">
        <v>0</v>
      </c>
      <c r="CO16" s="22" t="str">
        <f>IF(CN16=0," ",CM16/CN16)</f>
        <v xml:space="preserve"> </v>
      </c>
      <c r="CP16" s="58">
        <f>+V16</f>
        <v>0</v>
      </c>
      <c r="CQ16" s="24" t="str">
        <f>IF(CN16=0," ",CO16/CP16)</f>
        <v xml:space="preserve"> </v>
      </c>
      <c r="CR16" s="317" t="s">
        <v>2763</v>
      </c>
      <c r="CS16" s="68">
        <v>100</v>
      </c>
      <c r="CT16" s="68">
        <v>100</v>
      </c>
      <c r="CU16" s="69">
        <f>IF(CT16=0," ",CS16/CT16)</f>
        <v>1</v>
      </c>
      <c r="CV16" s="700">
        <f>+W16</f>
        <v>1</v>
      </c>
      <c r="CW16" s="58">
        <f>IF(CT16=0," ",CU16/CV16)</f>
        <v>1</v>
      </c>
      <c r="CX16" s="65" t="s">
        <v>2764</v>
      </c>
    </row>
    <row r="17" spans="1:103" s="126" customFormat="1" ht="22.5" customHeight="1">
      <c r="A17" s="1431"/>
      <c r="B17" s="2456"/>
      <c r="C17" s="2210"/>
      <c r="D17" s="2456"/>
      <c r="E17" s="2456"/>
      <c r="F17" s="2456"/>
      <c r="G17" s="2112"/>
      <c r="H17" s="2456"/>
      <c r="I17" s="2456"/>
      <c r="J17" s="13" t="s">
        <v>435</v>
      </c>
      <c r="K17" s="7"/>
      <c r="L17" s="7"/>
      <c r="M17" s="7"/>
      <c r="N17" s="1438">
        <v>1</v>
      </c>
      <c r="O17" s="1438"/>
      <c r="P17" s="1438"/>
      <c r="Q17" s="7"/>
      <c r="R17" s="1438"/>
      <c r="S17" s="1438"/>
      <c r="T17" s="1438">
        <v>1</v>
      </c>
      <c r="U17" s="1438"/>
      <c r="V17" s="1438"/>
      <c r="W17" s="1433">
        <f>SUM(K17:V17)</f>
        <v>2</v>
      </c>
      <c r="X17" s="80"/>
      <c r="Y17" s="68"/>
      <c r="Z17" s="58"/>
      <c r="AA17" s="69"/>
      <c r="AB17" s="58"/>
      <c r="AC17" s="58"/>
      <c r="AD17" s="65"/>
      <c r="AE17" s="68"/>
      <c r="AF17" s="68"/>
      <c r="AG17" s="69"/>
      <c r="AH17" s="58"/>
      <c r="AI17" s="58"/>
      <c r="AJ17" s="65"/>
      <c r="AK17" s="68"/>
      <c r="AL17" s="68"/>
      <c r="AM17" s="69"/>
      <c r="AN17" s="58"/>
      <c r="AO17" s="58"/>
      <c r="AP17" s="65"/>
      <c r="AQ17" s="68"/>
      <c r="AR17" s="68"/>
      <c r="AS17" s="69"/>
      <c r="AT17" s="58"/>
      <c r="AU17" s="58"/>
      <c r="AV17" s="65"/>
      <c r="AW17" s="21"/>
      <c r="AX17" s="21"/>
      <c r="AY17" s="22" t="str">
        <f>IF(AX17=0," ",AW17/AX17)</f>
        <v xml:space="preserve"> </v>
      </c>
      <c r="AZ17" s="58"/>
      <c r="BA17" s="24" t="str">
        <f>IF(AX17=0," ",AY17/AZ17)</f>
        <v xml:space="preserve"> </v>
      </c>
      <c r="BB17" s="2458"/>
      <c r="BC17" s="68"/>
      <c r="BD17" s="68"/>
      <c r="BE17" s="69"/>
      <c r="BF17" s="58"/>
      <c r="BG17" s="58"/>
      <c r="BH17" s="65"/>
      <c r="BI17" s="68"/>
      <c r="BJ17" s="68"/>
      <c r="BK17" s="69"/>
      <c r="BL17" s="58"/>
      <c r="BM17" s="58"/>
      <c r="BN17" s="65"/>
      <c r="BO17" s="68"/>
      <c r="BP17" s="68"/>
      <c r="BQ17" s="69"/>
      <c r="BR17" s="58"/>
      <c r="BS17" s="58"/>
      <c r="BT17" s="65"/>
      <c r="BU17" s="68"/>
      <c r="BV17" s="68"/>
      <c r="BW17" s="69"/>
      <c r="BX17" s="58"/>
      <c r="BY17" s="58"/>
      <c r="BZ17" s="65"/>
      <c r="CA17" s="68"/>
      <c r="CB17" s="68"/>
      <c r="CC17" s="69"/>
      <c r="CD17" s="58"/>
      <c r="CE17" s="58"/>
      <c r="CF17" s="65"/>
      <c r="CG17" s="68"/>
      <c r="CH17" s="68"/>
      <c r="CI17" s="69"/>
      <c r="CJ17" s="58"/>
      <c r="CK17" s="58"/>
      <c r="CL17" s="65"/>
      <c r="CM17" s="68"/>
      <c r="CN17" s="68"/>
      <c r="CO17" s="69"/>
      <c r="CP17" s="58"/>
      <c r="CQ17" s="58"/>
      <c r="CR17" s="65"/>
      <c r="CS17" s="68"/>
      <c r="CT17" s="68"/>
      <c r="CU17" s="69"/>
      <c r="CV17" s="58"/>
      <c r="CW17" s="58"/>
      <c r="CX17" s="65"/>
    </row>
    <row r="18" spans="1:103" s="126" customFormat="1" ht="42.75" customHeight="1">
      <c r="A18" s="1431" t="s">
        <v>332</v>
      </c>
      <c r="B18" s="2455" t="s">
        <v>416</v>
      </c>
      <c r="C18" s="2209">
        <v>6</v>
      </c>
      <c r="D18" s="2455" t="s">
        <v>2765</v>
      </c>
      <c r="E18" s="2455" t="s">
        <v>508</v>
      </c>
      <c r="F18" s="2455" t="s">
        <v>509</v>
      </c>
      <c r="G18" s="2112" t="s">
        <v>53</v>
      </c>
      <c r="H18" s="2455" t="s">
        <v>510</v>
      </c>
      <c r="I18" s="2455" t="s">
        <v>2766</v>
      </c>
      <c r="J18" s="13" t="s">
        <v>512</v>
      </c>
      <c r="K18" s="7"/>
      <c r="L18" s="7"/>
      <c r="M18" s="12"/>
      <c r="N18" s="74">
        <v>0.33329999999999999</v>
      </c>
      <c r="O18" s="74"/>
      <c r="P18" s="14">
        <v>0.66659999999999997</v>
      </c>
      <c r="Q18" s="386"/>
      <c r="R18" s="14"/>
      <c r="S18" s="14"/>
      <c r="T18" s="14">
        <v>1</v>
      </c>
      <c r="U18" s="14"/>
      <c r="V18" s="14"/>
      <c r="W18" s="83">
        <v>1</v>
      </c>
      <c r="X18" s="80"/>
      <c r="Y18" s="68">
        <v>0</v>
      </c>
      <c r="Z18" s="68">
        <v>0</v>
      </c>
      <c r="AA18" s="69" t="str">
        <f>IF(Z18=0," ",Y18/Z18)</f>
        <v xml:space="preserve"> </v>
      </c>
      <c r="AB18" s="58">
        <f>+K18</f>
        <v>0</v>
      </c>
      <c r="AC18" s="58" t="str">
        <f>IF(Z18=0," ",AA18/AB18)</f>
        <v xml:space="preserve"> </v>
      </c>
      <c r="AD18" s="65" t="s">
        <v>2736</v>
      </c>
      <c r="AE18" s="68">
        <v>0</v>
      </c>
      <c r="AF18" s="68">
        <v>0</v>
      </c>
      <c r="AG18" s="69" t="str">
        <f>IF(AF18=0," ",AE18/AF18)</f>
        <v xml:space="preserve"> </v>
      </c>
      <c r="AH18" s="58">
        <f>+L18</f>
        <v>0</v>
      </c>
      <c r="AI18" s="58" t="str">
        <f>IF(AF18=0," ",AG18/AH18)</f>
        <v xml:space="preserve"> </v>
      </c>
      <c r="AJ18" s="65" t="s">
        <v>2736</v>
      </c>
      <c r="AK18" s="68">
        <v>0</v>
      </c>
      <c r="AL18" s="68">
        <v>0</v>
      </c>
      <c r="AM18" s="69" t="str">
        <f>IF(AL18=0," ",AK18/AL18)</f>
        <v xml:space="preserve"> </v>
      </c>
      <c r="AN18" s="58">
        <f>+R18</f>
        <v>0</v>
      </c>
      <c r="AO18" s="58" t="str">
        <f>IF(AL18=0," ",AM18/AN18)</f>
        <v xml:space="preserve"> </v>
      </c>
      <c r="AP18" s="65" t="s">
        <v>2736</v>
      </c>
      <c r="AQ18" s="68">
        <v>0</v>
      </c>
      <c r="AR18" s="68">
        <v>1</v>
      </c>
      <c r="AS18" s="69">
        <f>IF(AR18=0," ",AQ18/AR18)</f>
        <v>0</v>
      </c>
      <c r="AT18" s="58">
        <f>+N18</f>
        <v>0.33329999999999999</v>
      </c>
      <c r="AU18" s="58">
        <f>IF(AR18=0," ",AS18/AT18)</f>
        <v>0</v>
      </c>
      <c r="AV18" s="65" t="s">
        <v>2767</v>
      </c>
      <c r="AW18" s="68">
        <v>0</v>
      </c>
      <c r="AX18" s="68">
        <v>0</v>
      </c>
      <c r="AY18" s="69" t="str">
        <f t="shared" ref="AY18:AY32" si="5">IF(AX18=0," ",AW18/AX18)</f>
        <v xml:space="preserve"> </v>
      </c>
      <c r="AZ18" s="58">
        <f>+T18</f>
        <v>1</v>
      </c>
      <c r="BA18" s="58" t="str">
        <f t="shared" ref="BA18:BA24" si="6">IF(AX18=0," ",AY18/AZ18)</f>
        <v xml:space="preserve"> </v>
      </c>
      <c r="BB18" s="2457" t="s">
        <v>2736</v>
      </c>
      <c r="BC18" s="68">
        <v>1</v>
      </c>
      <c r="BD18" s="68">
        <v>1</v>
      </c>
      <c r="BE18" s="1439">
        <f>IF(BD18=0," ",BC18/BD18)</f>
        <v>1</v>
      </c>
      <c r="BF18" s="1440">
        <v>1</v>
      </c>
      <c r="BG18" s="1441">
        <f>IF(BD18=0," ",BE18/BF18)</f>
        <v>1</v>
      </c>
      <c r="BH18" s="65" t="s">
        <v>2768</v>
      </c>
      <c r="BI18" s="68">
        <v>0</v>
      </c>
      <c r="BJ18" s="68">
        <v>0</v>
      </c>
      <c r="BK18" s="69" t="str">
        <f>IF(BJ18=0," ",BI18/BJ18)</f>
        <v xml:space="preserve"> </v>
      </c>
      <c r="BL18" s="58">
        <f>+V18</f>
        <v>0</v>
      </c>
      <c r="BM18" s="58" t="str">
        <f>IF(BJ18=0," ",BK18/BL18)</f>
        <v xml:space="preserve"> </v>
      </c>
      <c r="BN18" s="317" t="s">
        <v>2736</v>
      </c>
      <c r="BO18" s="68">
        <v>0</v>
      </c>
      <c r="BP18" s="68">
        <v>0</v>
      </c>
      <c r="BQ18" s="69" t="str">
        <f>IF(BP18=0," ",BO18/BP18)</f>
        <v xml:space="preserve"> </v>
      </c>
      <c r="BR18" s="58">
        <f>+AB18</f>
        <v>0</v>
      </c>
      <c r="BS18" s="58" t="str">
        <f>IF(BP18=0," ",BQ18/BR18)</f>
        <v xml:space="preserve"> </v>
      </c>
      <c r="BT18" s="317" t="s">
        <v>2736</v>
      </c>
      <c r="BU18" s="68">
        <v>0</v>
      </c>
      <c r="BV18" s="68">
        <v>0</v>
      </c>
      <c r="BW18" s="69" t="str">
        <f>IF(BV18=0," ",BU18/BV18)</f>
        <v xml:space="preserve"> </v>
      </c>
      <c r="BX18" s="58">
        <f>+AH18</f>
        <v>0</v>
      </c>
      <c r="BY18" s="58" t="str">
        <f>IF(BV18=0," ",BW18/BX18)</f>
        <v xml:space="preserve"> </v>
      </c>
      <c r="BZ18" s="317" t="s">
        <v>2736</v>
      </c>
      <c r="CA18" s="1364">
        <v>0.25</v>
      </c>
      <c r="CB18" s="68">
        <v>1</v>
      </c>
      <c r="CC18" s="69">
        <f>IF(CB18=0," ",CA18/CB18)</f>
        <v>0.25</v>
      </c>
      <c r="CD18" s="58">
        <f>+T18</f>
        <v>1</v>
      </c>
      <c r="CE18" s="58">
        <f>IF(CB18=0," ",CC18/CD18)</f>
        <v>0.25</v>
      </c>
      <c r="CF18" s="101" t="s">
        <v>2769</v>
      </c>
      <c r="CG18" s="68">
        <v>0</v>
      </c>
      <c r="CH18" s="68">
        <v>0</v>
      </c>
      <c r="CI18" s="69" t="str">
        <f>IF(CH18=0," ",CG18/CH18)</f>
        <v xml:space="preserve"> </v>
      </c>
      <c r="CJ18" s="58">
        <f>+Z18</f>
        <v>0</v>
      </c>
      <c r="CK18" s="58" t="str">
        <f>IF(CH18=0," ",CI18/CJ18)</f>
        <v xml:space="preserve"> </v>
      </c>
      <c r="CL18" s="315" t="s">
        <v>702</v>
      </c>
      <c r="CM18" s="21">
        <v>1</v>
      </c>
      <c r="CN18" s="21">
        <v>1</v>
      </c>
      <c r="CO18" s="22">
        <f>IF(CN18=0," ",CM18/CN18)</f>
        <v>1</v>
      </c>
      <c r="CP18" s="1434">
        <v>1</v>
      </c>
      <c r="CQ18" s="24">
        <f>IF(CN18=0," ",CO18/CP18)</f>
        <v>1</v>
      </c>
      <c r="CR18" s="315" t="s">
        <v>2770</v>
      </c>
      <c r="CS18" s="1434">
        <v>2</v>
      </c>
      <c r="CT18" s="68">
        <v>1</v>
      </c>
      <c r="CU18" s="1442">
        <f>IF(CT18=0," ",CS18/CT18)</f>
        <v>2</v>
      </c>
      <c r="CV18" s="1434">
        <v>3</v>
      </c>
      <c r="CW18" s="58">
        <f>IF(CT18=0," ",CU18/CV18)</f>
        <v>0.66666666666666663</v>
      </c>
      <c r="CX18" s="614" t="s">
        <v>2771</v>
      </c>
    </row>
    <row r="19" spans="1:103" s="126" customFormat="1">
      <c r="A19" s="1431"/>
      <c r="B19" s="2456"/>
      <c r="C19" s="2210"/>
      <c r="D19" s="2456"/>
      <c r="E19" s="2456"/>
      <c r="F19" s="2456"/>
      <c r="G19" s="2112"/>
      <c r="H19" s="2456"/>
      <c r="I19" s="2456"/>
      <c r="J19" s="13" t="s">
        <v>435</v>
      </c>
      <c r="K19" s="7"/>
      <c r="L19" s="7"/>
      <c r="M19" s="12"/>
      <c r="N19" s="7">
        <v>1</v>
      </c>
      <c r="O19" s="7"/>
      <c r="P19" s="1438">
        <v>1</v>
      </c>
      <c r="Q19" s="386"/>
      <c r="R19" s="1438"/>
      <c r="S19" s="1438"/>
      <c r="T19" s="1438">
        <v>1</v>
      </c>
      <c r="U19" s="1438"/>
      <c r="V19" s="14"/>
      <c r="W19" s="1433">
        <f>SUM(K19:V19)</f>
        <v>3</v>
      </c>
      <c r="X19" s="80"/>
      <c r="Y19" s="68"/>
      <c r="Z19" s="58"/>
      <c r="AA19" s="69"/>
      <c r="AB19" s="58"/>
      <c r="AC19" s="58"/>
      <c r="AD19" s="65"/>
      <c r="AE19" s="68"/>
      <c r="AF19" s="68"/>
      <c r="AG19" s="69"/>
      <c r="AH19" s="58"/>
      <c r="AI19" s="58"/>
      <c r="AJ19" s="65"/>
      <c r="AK19" s="68"/>
      <c r="AL19" s="68"/>
      <c r="AM19" s="69"/>
      <c r="AN19" s="58"/>
      <c r="AO19" s="58"/>
      <c r="AP19" s="65"/>
      <c r="AQ19" s="68"/>
      <c r="AR19" s="68"/>
      <c r="AS19" s="69"/>
      <c r="AT19" s="58"/>
      <c r="AU19" s="58"/>
      <c r="AV19" s="65"/>
      <c r="AW19" s="21"/>
      <c r="AX19" s="21"/>
      <c r="AY19" s="22" t="str">
        <f t="shared" si="5"/>
        <v xml:space="preserve"> </v>
      </c>
      <c r="AZ19" s="58"/>
      <c r="BA19" s="24" t="str">
        <f t="shared" si="6"/>
        <v xml:space="preserve"> </v>
      </c>
      <c r="BB19" s="2458"/>
      <c r="BC19" s="68"/>
      <c r="BD19" s="68"/>
      <c r="BE19" s="69"/>
      <c r="BF19" s="58"/>
      <c r="BG19" s="58"/>
      <c r="BH19" s="65"/>
      <c r="BI19" s="68"/>
      <c r="BJ19" s="68"/>
      <c r="BK19" s="69"/>
      <c r="BL19" s="58"/>
      <c r="BM19" s="58"/>
      <c r="BN19" s="65"/>
      <c r="BO19" s="68"/>
      <c r="BP19" s="68"/>
      <c r="BQ19" s="69"/>
      <c r="BR19" s="58"/>
      <c r="BS19" s="58"/>
      <c r="BT19" s="65"/>
      <c r="BU19" s="68"/>
      <c r="BV19" s="68"/>
      <c r="BW19" s="69"/>
      <c r="BX19" s="58"/>
      <c r="BY19" s="58"/>
      <c r="BZ19" s="65"/>
      <c r="CA19" s="68"/>
      <c r="CB19" s="68"/>
      <c r="CC19" s="69"/>
      <c r="CD19" s="58"/>
      <c r="CE19" s="58"/>
      <c r="CF19" s="65"/>
      <c r="CG19" s="68"/>
      <c r="CH19" s="68"/>
      <c r="CI19" s="69"/>
      <c r="CJ19" s="58"/>
      <c r="CK19" s="58"/>
      <c r="CL19" s="65"/>
      <c r="CM19" s="68"/>
      <c r="CN19" s="68"/>
      <c r="CO19" s="69"/>
      <c r="CP19" s="58"/>
      <c r="CQ19" s="58"/>
      <c r="CR19" s="65"/>
      <c r="CS19" s="68"/>
      <c r="CT19" s="68"/>
      <c r="CU19" s="69"/>
      <c r="CV19" s="58"/>
      <c r="CW19" s="58"/>
      <c r="CX19" s="65"/>
    </row>
    <row r="20" spans="1:103" s="126" customFormat="1" ht="57.75" customHeight="1">
      <c r="A20" s="1431"/>
      <c r="B20" s="2459" t="s">
        <v>521</v>
      </c>
      <c r="C20" s="2209">
        <v>7</v>
      </c>
      <c r="D20" s="2455" t="s">
        <v>2772</v>
      </c>
      <c r="E20" s="2455" t="s">
        <v>523</v>
      </c>
      <c r="F20" s="2455" t="s">
        <v>524</v>
      </c>
      <c r="G20" s="2112" t="s">
        <v>53</v>
      </c>
      <c r="H20" s="2455" t="s">
        <v>525</v>
      </c>
      <c r="I20" s="2455" t="s">
        <v>2773</v>
      </c>
      <c r="J20" s="13" t="s">
        <v>512</v>
      </c>
      <c r="K20" s="7"/>
      <c r="L20" s="7"/>
      <c r="M20" s="12"/>
      <c r="N20" s="7"/>
      <c r="O20" s="7"/>
      <c r="P20" s="14"/>
      <c r="Q20" s="386"/>
      <c r="R20" s="14"/>
      <c r="S20" s="14"/>
      <c r="T20" s="14">
        <v>0.5</v>
      </c>
      <c r="U20" s="14">
        <v>1</v>
      </c>
      <c r="V20" s="14"/>
      <c r="W20" s="83">
        <v>1</v>
      </c>
      <c r="X20" s="80"/>
      <c r="Y20" s="68">
        <v>0</v>
      </c>
      <c r="Z20" s="68">
        <v>0</v>
      </c>
      <c r="AA20" s="69" t="str">
        <f>IF(Z20=0," ",Y20/Z20)</f>
        <v xml:space="preserve"> </v>
      </c>
      <c r="AB20" s="58">
        <f>+K20</f>
        <v>0</v>
      </c>
      <c r="AC20" s="58" t="str">
        <f>IF(Z20=0," ",AA20/AB20)</f>
        <v xml:space="preserve"> </v>
      </c>
      <c r="AD20" s="65" t="s">
        <v>2736</v>
      </c>
      <c r="AE20" s="68">
        <v>0</v>
      </c>
      <c r="AF20" s="68">
        <v>0</v>
      </c>
      <c r="AG20" s="69" t="str">
        <f>IF(AF20=0," ",AE20/AF20)</f>
        <v xml:space="preserve"> </v>
      </c>
      <c r="AH20" s="58">
        <f>+L20</f>
        <v>0</v>
      </c>
      <c r="AI20" s="58" t="str">
        <f>IF(AF20=0," ",AG20/AH20)</f>
        <v xml:space="preserve"> </v>
      </c>
      <c r="AJ20" s="65" t="s">
        <v>2736</v>
      </c>
      <c r="AK20" s="68">
        <v>0</v>
      </c>
      <c r="AL20" s="68">
        <v>0</v>
      </c>
      <c r="AM20" s="69" t="str">
        <f>IF(AL20=0," ",AK20/AL20)</f>
        <v xml:space="preserve"> </v>
      </c>
      <c r="AN20" s="58">
        <f>+R20</f>
        <v>0</v>
      </c>
      <c r="AO20" s="58" t="str">
        <f>IF(AL20=0," ",AM20/AN20)</f>
        <v xml:space="preserve"> </v>
      </c>
      <c r="AP20" s="65" t="s">
        <v>2736</v>
      </c>
      <c r="AQ20" s="68">
        <v>0</v>
      </c>
      <c r="AR20" s="68">
        <v>0</v>
      </c>
      <c r="AS20" s="69" t="str">
        <f t="shared" ref="AS20:AS32" si="7">IF(AR20=0," ",AQ20/AR20)</f>
        <v xml:space="preserve"> </v>
      </c>
      <c r="AT20" s="58">
        <f>+N20</f>
        <v>0</v>
      </c>
      <c r="AU20" s="58" t="str">
        <f t="shared" ref="AU20:AU25" si="8">IF(AR20=0," ",AS20/AT20)</f>
        <v xml:space="preserve"> </v>
      </c>
      <c r="AV20" s="2457" t="s">
        <v>2736</v>
      </c>
      <c r="AW20" s="68">
        <v>0</v>
      </c>
      <c r="AX20" s="68">
        <v>0</v>
      </c>
      <c r="AY20" s="69" t="str">
        <f t="shared" si="5"/>
        <v xml:space="preserve"> </v>
      </c>
      <c r="AZ20" s="58">
        <f>+T20</f>
        <v>0.5</v>
      </c>
      <c r="BA20" s="58" t="str">
        <f t="shared" si="6"/>
        <v xml:space="preserve"> </v>
      </c>
      <c r="BB20" s="2457" t="s">
        <v>2736</v>
      </c>
      <c r="BC20" s="68">
        <v>0</v>
      </c>
      <c r="BD20" s="68">
        <v>0</v>
      </c>
      <c r="BE20" s="69" t="str">
        <f>IF(BD20=0," ",BC20/BD20)</f>
        <v xml:space="preserve"> </v>
      </c>
      <c r="BF20" s="58">
        <f>+P20</f>
        <v>0</v>
      </c>
      <c r="BG20" s="58" t="str">
        <f>IF(BD20=0," ",BE20/BF20)</f>
        <v xml:space="preserve"> </v>
      </c>
      <c r="BH20" s="317" t="s">
        <v>2736</v>
      </c>
      <c r="BI20" s="68">
        <v>0</v>
      </c>
      <c r="BJ20" s="68">
        <v>0</v>
      </c>
      <c r="BK20" s="69" t="str">
        <f>IF(BJ20=0," ",BI20/BJ20)</f>
        <v xml:space="preserve"> </v>
      </c>
      <c r="BL20" s="58">
        <f>+V20</f>
        <v>0</v>
      </c>
      <c r="BM20" s="58" t="str">
        <f>IF(BJ20=0," ",BK20/BL20)</f>
        <v xml:space="preserve"> </v>
      </c>
      <c r="BN20" s="317" t="s">
        <v>2736</v>
      </c>
      <c r="BO20" s="68">
        <v>0</v>
      </c>
      <c r="BP20" s="68">
        <v>0</v>
      </c>
      <c r="BQ20" s="69" t="str">
        <f>IF(BP20=0," ",BO20/BP20)</f>
        <v xml:space="preserve"> </v>
      </c>
      <c r="BR20" s="58">
        <f>+AB20</f>
        <v>0</v>
      </c>
      <c r="BS20" s="58" t="str">
        <f>IF(BP20=0," ",BQ20/BR20)</f>
        <v xml:space="preserve"> </v>
      </c>
      <c r="BT20" s="317" t="s">
        <v>2736</v>
      </c>
      <c r="BU20" s="68">
        <v>0</v>
      </c>
      <c r="BV20" s="68">
        <v>0</v>
      </c>
      <c r="BW20" s="69" t="str">
        <f>IF(BV20=0," ",BU20/BV20)</f>
        <v xml:space="preserve"> </v>
      </c>
      <c r="BX20" s="58">
        <f>+AH20</f>
        <v>0</v>
      </c>
      <c r="BY20" s="58" t="str">
        <f>IF(BV20=0," ",BW20/BX20)</f>
        <v xml:space="preserve"> </v>
      </c>
      <c r="BZ20" s="317" t="s">
        <v>2736</v>
      </c>
      <c r="CA20" s="1364">
        <v>0</v>
      </c>
      <c r="CB20" s="68">
        <v>1</v>
      </c>
      <c r="CC20" s="69">
        <f>IF(CB20=0," ",CA20/CB20)</f>
        <v>0</v>
      </c>
      <c r="CD20" s="58">
        <f>+T20</f>
        <v>0.5</v>
      </c>
      <c r="CE20" s="58">
        <f>IF(CB20=0," ",CC20/CD20)</f>
        <v>0</v>
      </c>
      <c r="CF20" s="101" t="s">
        <v>2774</v>
      </c>
      <c r="CG20" s="68">
        <v>50</v>
      </c>
      <c r="CH20" s="68">
        <v>100</v>
      </c>
      <c r="CI20" s="69">
        <f>IF(CH20=0," ",CG20/CH20)</f>
        <v>0.5</v>
      </c>
      <c r="CJ20" s="58">
        <v>0.5</v>
      </c>
      <c r="CK20" s="58">
        <f>IF(CH20=0," ",CI20/CJ20)</f>
        <v>1</v>
      </c>
      <c r="CL20" s="315" t="s">
        <v>2775</v>
      </c>
      <c r="CM20" s="21">
        <v>50</v>
      </c>
      <c r="CN20" s="21">
        <v>100</v>
      </c>
      <c r="CO20" s="22">
        <f>IF(CN20=0," ",CM20/CN20)</f>
        <v>0.5</v>
      </c>
      <c r="CP20" s="58">
        <v>0.5</v>
      </c>
      <c r="CQ20" s="24">
        <f>IF(CN20=0," ",CO20/CP20)</f>
        <v>1</v>
      </c>
      <c r="CR20" s="315" t="s">
        <v>2776</v>
      </c>
      <c r="CS20" s="68">
        <f>+Y20+AE20+AK20+AQ20+AW20+BC20+BI20+BO20+BU20+CA20+CG20+CM20</f>
        <v>100</v>
      </c>
      <c r="CT20" s="68">
        <v>100</v>
      </c>
      <c r="CU20" s="69">
        <f>IF(CT20=0," ",CS20/CT20)</f>
        <v>1</v>
      </c>
      <c r="CV20" s="700">
        <f>+W20</f>
        <v>1</v>
      </c>
      <c r="CW20" s="58">
        <f>IF(CT20=0," ",CU20/CV20)</f>
        <v>1</v>
      </c>
      <c r="CX20" s="614" t="s">
        <v>2777</v>
      </c>
    </row>
    <row r="21" spans="1:103" s="126" customFormat="1">
      <c r="A21" s="1431"/>
      <c r="B21" s="2460"/>
      <c r="C21" s="2210"/>
      <c r="D21" s="2456"/>
      <c r="E21" s="2456"/>
      <c r="F21" s="2456"/>
      <c r="G21" s="2112"/>
      <c r="H21" s="2456"/>
      <c r="I21" s="2456"/>
      <c r="J21" s="13" t="s">
        <v>435</v>
      </c>
      <c r="K21" s="7"/>
      <c r="L21" s="7"/>
      <c r="M21" s="12"/>
      <c r="N21" s="7"/>
      <c r="O21" s="7"/>
      <c r="P21" s="1438"/>
      <c r="Q21" s="386"/>
      <c r="R21" s="1438"/>
      <c r="S21" s="1438"/>
      <c r="T21" s="1438">
        <v>1</v>
      </c>
      <c r="U21" s="1438">
        <v>1</v>
      </c>
      <c r="V21" s="14"/>
      <c r="W21" s="1433">
        <f t="shared" ref="W21:W31" si="9">SUM(K21:V21)</f>
        <v>2</v>
      </c>
      <c r="X21" s="80"/>
      <c r="Y21" s="68"/>
      <c r="Z21" s="68"/>
      <c r="AA21" s="69"/>
      <c r="AB21" s="58"/>
      <c r="AC21" s="58"/>
      <c r="AD21" s="65"/>
      <c r="AE21" s="68"/>
      <c r="AF21" s="68"/>
      <c r="AG21" s="69"/>
      <c r="AH21" s="58"/>
      <c r="AI21" s="58"/>
      <c r="AJ21" s="65"/>
      <c r="AK21" s="68"/>
      <c r="AL21" s="68"/>
      <c r="AM21" s="69"/>
      <c r="AN21" s="58"/>
      <c r="AO21" s="58"/>
      <c r="AP21" s="65"/>
      <c r="AQ21" s="21"/>
      <c r="AR21" s="21"/>
      <c r="AS21" s="22" t="str">
        <f t="shared" si="7"/>
        <v xml:space="preserve"> </v>
      </c>
      <c r="AT21" s="58"/>
      <c r="AU21" s="24" t="str">
        <f t="shared" si="8"/>
        <v xml:space="preserve"> </v>
      </c>
      <c r="AV21" s="2458"/>
      <c r="AW21" s="21"/>
      <c r="AX21" s="21"/>
      <c r="AY21" s="22" t="str">
        <f t="shared" si="5"/>
        <v xml:space="preserve"> </v>
      </c>
      <c r="AZ21" s="58"/>
      <c r="BA21" s="24" t="str">
        <f t="shared" si="6"/>
        <v xml:space="preserve"> </v>
      </c>
      <c r="BB21" s="2458"/>
      <c r="BC21" s="68"/>
      <c r="BD21" s="68"/>
      <c r="BE21" s="69"/>
      <c r="BF21" s="58"/>
      <c r="BG21" s="58"/>
      <c r="BH21" s="65"/>
      <c r="BI21" s="68"/>
      <c r="BJ21" s="68"/>
      <c r="BK21" s="69"/>
      <c r="BL21" s="58"/>
      <c r="BM21" s="58"/>
      <c r="BN21" s="65"/>
      <c r="BO21" s="68"/>
      <c r="BP21" s="68"/>
      <c r="BQ21" s="69"/>
      <c r="BR21" s="58"/>
      <c r="BS21" s="58"/>
      <c r="BT21" s="65"/>
      <c r="BU21" s="68"/>
      <c r="BV21" s="68"/>
      <c r="BW21" s="69"/>
      <c r="BX21" s="58"/>
      <c r="BY21" s="58"/>
      <c r="BZ21" s="65"/>
      <c r="CA21" s="68"/>
      <c r="CB21" s="68"/>
      <c r="CC21" s="69"/>
      <c r="CD21" s="58"/>
      <c r="CE21" s="58"/>
      <c r="CF21" s="65"/>
      <c r="CG21" s="68"/>
      <c r="CH21" s="68"/>
      <c r="CI21" s="69"/>
      <c r="CJ21" s="58"/>
      <c r="CK21" s="58"/>
      <c r="CL21" s="65"/>
      <c r="CM21" s="68"/>
      <c r="CN21" s="68"/>
      <c r="CO21" s="69"/>
      <c r="CP21" s="58"/>
      <c r="CQ21" s="58"/>
      <c r="CR21" s="65"/>
      <c r="CS21" s="68"/>
      <c r="CT21" s="68"/>
      <c r="CU21" s="69"/>
      <c r="CV21" s="58"/>
      <c r="CW21" s="58"/>
      <c r="CX21" s="65"/>
    </row>
    <row r="22" spans="1:103" s="126" customFormat="1" ht="67.5">
      <c r="A22" s="1431"/>
      <c r="B22" s="13" t="s">
        <v>416</v>
      </c>
      <c r="C22" s="348">
        <v>8</v>
      </c>
      <c r="D22" s="13" t="s">
        <v>2778</v>
      </c>
      <c r="E22" s="13" t="s">
        <v>2779</v>
      </c>
      <c r="F22" s="13" t="s">
        <v>603</v>
      </c>
      <c r="G22" s="349" t="s">
        <v>53</v>
      </c>
      <c r="H22" s="349" t="s">
        <v>604</v>
      </c>
      <c r="I22" s="349" t="s">
        <v>605</v>
      </c>
      <c r="J22" s="13" t="s">
        <v>606</v>
      </c>
      <c r="K22" s="7"/>
      <c r="L22" s="7"/>
      <c r="M22" s="12"/>
      <c r="N22" s="7"/>
      <c r="O22" s="7"/>
      <c r="P22" s="14"/>
      <c r="Q22" s="14"/>
      <c r="R22" s="14"/>
      <c r="S22" s="14"/>
      <c r="T22" s="14"/>
      <c r="U22" s="14"/>
      <c r="V22" s="1438">
        <v>0.08</v>
      </c>
      <c r="W22" s="1433">
        <f t="shared" si="9"/>
        <v>0.08</v>
      </c>
      <c r="X22" s="80"/>
      <c r="Y22" s="68">
        <v>0</v>
      </c>
      <c r="Z22" s="68">
        <v>0</v>
      </c>
      <c r="AA22" s="69" t="str">
        <f t="shared" ref="AA22:AA32" si="10">IF(Z22=0," ",Y22/Z22)</f>
        <v xml:space="preserve"> </v>
      </c>
      <c r="AB22" s="58">
        <f t="shared" ref="AB22:AB32" si="11">+K22</f>
        <v>0</v>
      </c>
      <c r="AC22" s="58" t="str">
        <f t="shared" ref="AC22:AC32" si="12">IF(Z22=0," ",AA22/AB22)</f>
        <v xml:space="preserve"> </v>
      </c>
      <c r="AD22" s="65" t="s">
        <v>2736</v>
      </c>
      <c r="AE22" s="68">
        <v>0</v>
      </c>
      <c r="AF22" s="68">
        <v>0</v>
      </c>
      <c r="AG22" s="69" t="str">
        <f>IF(AF22=0," ",AE22/AF22)</f>
        <v xml:space="preserve"> </v>
      </c>
      <c r="AH22" s="58">
        <f>+L22</f>
        <v>0</v>
      </c>
      <c r="AI22" s="58" t="str">
        <f>IF(AF22=0," ",AG22/AH22)</f>
        <v xml:space="preserve"> </v>
      </c>
      <c r="AJ22" s="65"/>
      <c r="AK22" s="68">
        <v>0</v>
      </c>
      <c r="AL22" s="68">
        <v>0</v>
      </c>
      <c r="AM22" s="69" t="str">
        <f t="shared" ref="AM22:AM31" si="13">IF(AL22=0," ",AK22/AL22)</f>
        <v xml:space="preserve"> </v>
      </c>
      <c r="AN22" s="58">
        <f>+R22</f>
        <v>0</v>
      </c>
      <c r="AO22" s="58" t="str">
        <f t="shared" ref="AO22:AO31" si="14">IF(AL22=0," ",AM22/AN22)</f>
        <v xml:space="preserve"> </v>
      </c>
      <c r="AP22" s="65" t="s">
        <v>2736</v>
      </c>
      <c r="AQ22" s="68">
        <v>0</v>
      </c>
      <c r="AR22" s="68">
        <v>0</v>
      </c>
      <c r="AS22" s="69" t="str">
        <f t="shared" si="7"/>
        <v xml:space="preserve"> </v>
      </c>
      <c r="AT22" s="58">
        <f>+N22</f>
        <v>0</v>
      </c>
      <c r="AU22" s="58" t="str">
        <f t="shared" si="8"/>
        <v xml:space="preserve"> </v>
      </c>
      <c r="AV22" s="2104" t="s">
        <v>2736</v>
      </c>
      <c r="AW22" s="68">
        <v>0</v>
      </c>
      <c r="AX22" s="68">
        <v>0</v>
      </c>
      <c r="AY22" s="69" t="str">
        <f t="shared" si="5"/>
        <v xml:space="preserve"> </v>
      </c>
      <c r="AZ22" s="58">
        <f>+T22</f>
        <v>0</v>
      </c>
      <c r="BA22" s="58" t="str">
        <f t="shared" si="6"/>
        <v xml:space="preserve"> </v>
      </c>
      <c r="BB22" s="821" t="s">
        <v>2736</v>
      </c>
      <c r="BC22" s="68">
        <v>0</v>
      </c>
      <c r="BD22" s="68">
        <v>0</v>
      </c>
      <c r="BE22" s="69" t="str">
        <f t="shared" ref="BE22:BE32" si="15">IF(BD22=0," ",BC22/BD22)</f>
        <v xml:space="preserve"> </v>
      </c>
      <c r="BF22" s="58">
        <f>+P22</f>
        <v>0</v>
      </c>
      <c r="BG22" s="58" t="str">
        <f>IF(BD22=0," ",BE22/BF22)</f>
        <v xml:space="preserve"> </v>
      </c>
      <c r="BH22" s="317" t="s">
        <v>2736</v>
      </c>
      <c r="BI22" s="68">
        <v>0</v>
      </c>
      <c r="BJ22" s="68">
        <v>0</v>
      </c>
      <c r="BK22" s="69" t="str">
        <f t="shared" ref="BK22:BK32" si="16">IF(BJ22=0," ",BI22/BJ22)</f>
        <v xml:space="preserve"> </v>
      </c>
      <c r="BL22" s="58">
        <f>+V22</f>
        <v>0.08</v>
      </c>
      <c r="BM22" s="58" t="str">
        <f t="shared" ref="BM22:BM32" si="17">IF(BJ22=0," ",BK22/BL22)</f>
        <v xml:space="preserve"> </v>
      </c>
      <c r="BN22" s="317" t="s">
        <v>2736</v>
      </c>
      <c r="BO22" s="68">
        <v>0</v>
      </c>
      <c r="BP22" s="68">
        <v>0</v>
      </c>
      <c r="BQ22" s="69" t="str">
        <f>IF(BP22=0," ",BO22/BP22)</f>
        <v xml:space="preserve"> </v>
      </c>
      <c r="BR22" s="58">
        <f>+AB22</f>
        <v>0</v>
      </c>
      <c r="BS22" s="58" t="str">
        <f>IF(BP22=0," ",BQ22/BR22)</f>
        <v xml:space="preserve"> </v>
      </c>
      <c r="BT22" s="317" t="s">
        <v>2736</v>
      </c>
      <c r="BU22" s="68">
        <v>0</v>
      </c>
      <c r="BV22" s="68">
        <v>0</v>
      </c>
      <c r="BW22" s="69" t="str">
        <f t="shared" ref="BW22:BW32" si="18">IF(BV22=0," ",BU22/BV22)</f>
        <v xml:space="preserve"> </v>
      </c>
      <c r="BX22" s="58">
        <f>+AH22</f>
        <v>0</v>
      </c>
      <c r="BY22" s="58" t="str">
        <f t="shared" ref="BY22:BY32" si="19">IF(BV22=0," ",BW22/BX22)</f>
        <v xml:space="preserve"> </v>
      </c>
      <c r="BZ22" s="317" t="s">
        <v>2736</v>
      </c>
      <c r="CA22" s="68">
        <v>0</v>
      </c>
      <c r="CB22" s="68">
        <v>0</v>
      </c>
      <c r="CC22" s="69" t="str">
        <f t="shared" ref="CC22:CC27" si="20">IF(CB22=0," ",CA22/CB22)</f>
        <v xml:space="preserve"> </v>
      </c>
      <c r="CD22" s="58">
        <f>T22+AN22</f>
        <v>0</v>
      </c>
      <c r="CE22" s="58" t="str">
        <f t="shared" ref="CE22:CE27" si="21">IF(CB22=0," ",CC22/CD22)</f>
        <v xml:space="preserve"> </v>
      </c>
      <c r="CF22" s="317" t="s">
        <v>2736</v>
      </c>
      <c r="CG22" s="68">
        <v>0</v>
      </c>
      <c r="CH22" s="68">
        <v>0</v>
      </c>
      <c r="CI22" s="69" t="str">
        <f t="shared" ref="CI22:CI27" si="22">IF(CH22=0," ",CG22/CH22)</f>
        <v xml:space="preserve"> </v>
      </c>
      <c r="CJ22" s="58">
        <f>+Z22</f>
        <v>0</v>
      </c>
      <c r="CK22" s="58" t="str">
        <f t="shared" ref="CK22:CK27" si="23">IF(CH22=0," ",CI22/CJ22)</f>
        <v xml:space="preserve"> </v>
      </c>
      <c r="CL22" s="317" t="s">
        <v>2736</v>
      </c>
      <c r="CM22" s="21">
        <v>0</v>
      </c>
      <c r="CN22" s="21">
        <v>1</v>
      </c>
      <c r="CO22" s="22">
        <f>IF(CN22=0," ",CM22/CN22)</f>
        <v>0</v>
      </c>
      <c r="CP22" s="58">
        <f>+V22</f>
        <v>0.08</v>
      </c>
      <c r="CQ22" s="24">
        <f>IF(CN22=0," ",CO22/CP22)</f>
        <v>0</v>
      </c>
      <c r="CR22" s="317" t="s">
        <v>2780</v>
      </c>
      <c r="CS22" s="68">
        <f t="shared" ref="CS22:CS32" si="24">+Y22+AE22+AK22+AQ22+AW22+BC22+BI22+BO22+BU22+CA22+CG22+CM22</f>
        <v>0</v>
      </c>
      <c r="CT22" s="68">
        <v>1</v>
      </c>
      <c r="CU22" s="69">
        <f>IF(CT22=0," ",CS22/CT22)</f>
        <v>0</v>
      </c>
      <c r="CV22" s="535">
        <f t="shared" ref="CV22:CV31" si="25">+W22</f>
        <v>0.08</v>
      </c>
      <c r="CW22" s="58">
        <f>IF(CT22=0," ",CU22/CV22)</f>
        <v>0</v>
      </c>
      <c r="CX22" s="2104" t="s">
        <v>2780</v>
      </c>
    </row>
    <row r="23" spans="1:103" s="126" customFormat="1" ht="67.5">
      <c r="A23" s="1431"/>
      <c r="B23" s="13" t="s">
        <v>416</v>
      </c>
      <c r="C23" s="348">
        <v>9</v>
      </c>
      <c r="D23" s="13" t="s">
        <v>2781</v>
      </c>
      <c r="E23" s="13" t="s">
        <v>692</v>
      </c>
      <c r="F23" s="13" t="s">
        <v>603</v>
      </c>
      <c r="G23" s="349" t="s">
        <v>53</v>
      </c>
      <c r="H23" s="349" t="s">
        <v>604</v>
      </c>
      <c r="I23" s="349" t="s">
        <v>605</v>
      </c>
      <c r="J23" s="13" t="s">
        <v>693</v>
      </c>
      <c r="K23" s="7"/>
      <c r="L23" s="7"/>
      <c r="M23" s="12"/>
      <c r="N23" s="7"/>
      <c r="O23" s="7"/>
      <c r="P23" s="14"/>
      <c r="Q23" s="14"/>
      <c r="R23" s="14"/>
      <c r="S23" s="14"/>
      <c r="T23" s="14"/>
      <c r="U23" s="14"/>
      <c r="V23" s="1438">
        <v>0.66</v>
      </c>
      <c r="W23" s="1433">
        <f t="shared" si="9"/>
        <v>0.66</v>
      </c>
      <c r="X23" s="80"/>
      <c r="Y23" s="68">
        <v>0</v>
      </c>
      <c r="Z23" s="68">
        <v>0</v>
      </c>
      <c r="AA23" s="69" t="str">
        <f t="shared" si="10"/>
        <v xml:space="preserve"> </v>
      </c>
      <c r="AB23" s="58">
        <f t="shared" si="11"/>
        <v>0</v>
      </c>
      <c r="AC23" s="58" t="str">
        <f t="shared" si="12"/>
        <v xml:space="preserve"> </v>
      </c>
      <c r="AD23" s="65" t="s">
        <v>2736</v>
      </c>
      <c r="AE23" s="68"/>
      <c r="AF23" s="68"/>
      <c r="AG23" s="69"/>
      <c r="AH23" s="58"/>
      <c r="AI23" s="58"/>
      <c r="AJ23" s="65"/>
      <c r="AK23" s="68">
        <v>0</v>
      </c>
      <c r="AL23" s="68">
        <v>0</v>
      </c>
      <c r="AM23" s="69" t="str">
        <f t="shared" si="13"/>
        <v xml:space="preserve"> </v>
      </c>
      <c r="AN23" s="58">
        <f>+R23</f>
        <v>0</v>
      </c>
      <c r="AO23" s="58" t="str">
        <f t="shared" si="14"/>
        <v xml:space="preserve"> </v>
      </c>
      <c r="AP23" s="65" t="s">
        <v>2736</v>
      </c>
      <c r="AQ23" s="68"/>
      <c r="AR23" s="68"/>
      <c r="AS23" s="69" t="str">
        <f t="shared" si="7"/>
        <v xml:space="preserve"> </v>
      </c>
      <c r="AT23" s="58"/>
      <c r="AU23" s="58" t="str">
        <f t="shared" si="8"/>
        <v xml:space="preserve"> </v>
      </c>
      <c r="AV23" s="2106"/>
      <c r="AW23" s="68"/>
      <c r="AX23" s="68"/>
      <c r="AY23" s="69" t="str">
        <f t="shared" si="5"/>
        <v xml:space="preserve"> </v>
      </c>
      <c r="AZ23" s="58"/>
      <c r="BA23" s="58" t="str">
        <f t="shared" si="6"/>
        <v xml:space="preserve"> </v>
      </c>
      <c r="BB23" s="1398"/>
      <c r="BC23" s="68">
        <v>0</v>
      </c>
      <c r="BD23" s="68">
        <v>0</v>
      </c>
      <c r="BE23" s="69" t="str">
        <f t="shared" si="15"/>
        <v xml:space="preserve"> </v>
      </c>
      <c r="BF23" s="58">
        <f>+P23</f>
        <v>0</v>
      </c>
      <c r="BG23" s="58" t="str">
        <f>IF(BD23=0," ",BE23/BF23)</f>
        <v xml:space="preserve"> </v>
      </c>
      <c r="BH23" s="317" t="s">
        <v>2736</v>
      </c>
      <c r="BI23" s="68">
        <v>0</v>
      </c>
      <c r="BJ23" s="68">
        <v>0</v>
      </c>
      <c r="BK23" s="69" t="str">
        <f t="shared" si="16"/>
        <v xml:space="preserve"> </v>
      </c>
      <c r="BL23" s="58">
        <f>+V23</f>
        <v>0.66</v>
      </c>
      <c r="BM23" s="58" t="str">
        <f t="shared" si="17"/>
        <v xml:space="preserve"> </v>
      </c>
      <c r="BN23" s="65"/>
      <c r="BO23" s="68"/>
      <c r="BP23" s="68"/>
      <c r="BQ23" s="69"/>
      <c r="BR23" s="58"/>
      <c r="BS23" s="58"/>
      <c r="BT23" s="65"/>
      <c r="BU23" s="68">
        <v>0</v>
      </c>
      <c r="BV23" s="68">
        <v>0</v>
      </c>
      <c r="BW23" s="69" t="str">
        <f t="shared" si="18"/>
        <v xml:space="preserve"> </v>
      </c>
      <c r="BX23" s="58">
        <f>+AH23</f>
        <v>0</v>
      </c>
      <c r="BY23" s="58" t="str">
        <f t="shared" si="19"/>
        <v xml:space="preserve"> </v>
      </c>
      <c r="BZ23" s="317" t="s">
        <v>2736</v>
      </c>
      <c r="CA23" s="68">
        <v>0</v>
      </c>
      <c r="CB23" s="68">
        <v>0</v>
      </c>
      <c r="CC23" s="69" t="str">
        <f t="shared" si="20"/>
        <v xml:space="preserve"> </v>
      </c>
      <c r="CD23" s="58">
        <f>T23+AN23</f>
        <v>0</v>
      </c>
      <c r="CE23" s="58" t="str">
        <f t="shared" si="21"/>
        <v xml:space="preserve"> </v>
      </c>
      <c r="CF23" s="317" t="s">
        <v>2736</v>
      </c>
      <c r="CG23" s="68">
        <v>0</v>
      </c>
      <c r="CH23" s="68">
        <v>0</v>
      </c>
      <c r="CI23" s="69" t="str">
        <f t="shared" si="22"/>
        <v xml:space="preserve"> </v>
      </c>
      <c r="CJ23" s="58">
        <f>+Z23</f>
        <v>0</v>
      </c>
      <c r="CK23" s="58" t="str">
        <f t="shared" si="23"/>
        <v xml:space="preserve"> </v>
      </c>
      <c r="CL23" s="317" t="s">
        <v>2736</v>
      </c>
      <c r="CM23" s="21">
        <v>0</v>
      </c>
      <c r="CN23" s="21">
        <v>1</v>
      </c>
      <c r="CO23" s="22">
        <f>IF(CN23=0," ",CM23/CN23)</f>
        <v>0</v>
      </c>
      <c r="CP23" s="58">
        <f>+V23</f>
        <v>0.66</v>
      </c>
      <c r="CQ23" s="24">
        <f>IF(CN23=0," ",CO23/CP23)</f>
        <v>0</v>
      </c>
      <c r="CR23" s="317" t="s">
        <v>2780</v>
      </c>
      <c r="CS23" s="68">
        <f t="shared" si="24"/>
        <v>0</v>
      </c>
      <c r="CT23" s="68">
        <v>1</v>
      </c>
      <c r="CU23" s="69">
        <f>IF(CT23=0," ",CS23/CT23)</f>
        <v>0</v>
      </c>
      <c r="CV23" s="535">
        <f t="shared" si="25"/>
        <v>0.66</v>
      </c>
      <c r="CW23" s="58">
        <f>IF(CT23=0," ",CU23/CV23)</f>
        <v>0</v>
      </c>
      <c r="CX23" s="2106"/>
    </row>
    <row r="24" spans="1:103" s="126" customFormat="1" ht="45.75" customHeight="1">
      <c r="A24" s="1431"/>
      <c r="B24" s="13" t="s">
        <v>416</v>
      </c>
      <c r="C24" s="348">
        <v>10</v>
      </c>
      <c r="D24" s="13" t="s">
        <v>2782</v>
      </c>
      <c r="E24" s="13" t="s">
        <v>649</v>
      </c>
      <c r="F24" s="13" t="s">
        <v>603</v>
      </c>
      <c r="G24" s="349" t="s">
        <v>53</v>
      </c>
      <c r="H24" s="13" t="s">
        <v>604</v>
      </c>
      <c r="I24" s="349" t="s">
        <v>605</v>
      </c>
      <c r="J24" s="13" t="s">
        <v>650</v>
      </c>
      <c r="K24" s="1443">
        <v>6.6666666666666666E-2</v>
      </c>
      <c r="L24" s="1443">
        <v>6.6666666666666666E-2</v>
      </c>
      <c r="M24" s="1443">
        <v>6.6666666666666666E-2</v>
      </c>
      <c r="N24" s="1443">
        <v>6.6666666666666666E-2</v>
      </c>
      <c r="O24" s="1443">
        <v>6.6666666666666666E-2</v>
      </c>
      <c r="P24" s="1443">
        <v>6.6666666666666666E-2</v>
      </c>
      <c r="Q24" s="1443">
        <v>6.6666666666666666E-2</v>
      </c>
      <c r="R24" s="1443">
        <v>6.6666666666666666E-2</v>
      </c>
      <c r="S24" s="1443">
        <v>6.6666666666666666E-2</v>
      </c>
      <c r="T24" s="1443">
        <v>6.6666666666666666E-2</v>
      </c>
      <c r="U24" s="1443">
        <v>6.6666666666666666E-2</v>
      </c>
      <c r="V24" s="1443">
        <v>6.6666666666666666E-2</v>
      </c>
      <c r="W24" s="1433">
        <f t="shared" si="9"/>
        <v>0.79999999999999993</v>
      </c>
      <c r="X24" s="80"/>
      <c r="Y24" s="1444">
        <v>6.6699999999999995E-2</v>
      </c>
      <c r="Z24" s="1434">
        <v>1</v>
      </c>
      <c r="AA24" s="1439">
        <f t="shared" si="10"/>
        <v>6.6699999999999995E-2</v>
      </c>
      <c r="AB24" s="1440">
        <f t="shared" si="11"/>
        <v>6.6666666666666666E-2</v>
      </c>
      <c r="AC24" s="1441">
        <f t="shared" si="12"/>
        <v>1.0004999999999999</v>
      </c>
      <c r="AD24" s="101" t="s">
        <v>651</v>
      </c>
      <c r="AE24" s="1444">
        <v>6.6699999999999995E-2</v>
      </c>
      <c r="AF24" s="1434">
        <v>1</v>
      </c>
      <c r="AG24" s="1439">
        <f t="shared" ref="AG24:AG32" si="26">IF(AF24=0," ",AE24/AF24)</f>
        <v>6.6699999999999995E-2</v>
      </c>
      <c r="AH24" s="1440">
        <f>+Q24</f>
        <v>6.6666666666666666E-2</v>
      </c>
      <c r="AI24" s="1441">
        <f t="shared" ref="AI24:AI32" si="27">IF(AF24=0," ",AG24/AH24)</f>
        <v>1.0004999999999999</v>
      </c>
      <c r="AJ24" s="101" t="s">
        <v>651</v>
      </c>
      <c r="AK24" s="1444">
        <v>6.6699999999999995E-2</v>
      </c>
      <c r="AL24" s="1434">
        <v>1</v>
      </c>
      <c r="AM24" s="1439">
        <f t="shared" si="13"/>
        <v>6.6699999999999995E-2</v>
      </c>
      <c r="AN24" s="1440">
        <f t="shared" ref="AN24:AN31" si="28">+M24</f>
        <v>6.6666666666666666E-2</v>
      </c>
      <c r="AO24" s="1441">
        <f t="shared" si="14"/>
        <v>1.0004999999999999</v>
      </c>
      <c r="AP24" s="101" t="s">
        <v>651</v>
      </c>
      <c r="AQ24" s="1444">
        <v>6.6699999999999995E-2</v>
      </c>
      <c r="AR24" s="1434">
        <v>1</v>
      </c>
      <c r="AS24" s="1439">
        <f t="shared" si="7"/>
        <v>6.6699999999999995E-2</v>
      </c>
      <c r="AT24" s="1440">
        <f>+S24</f>
        <v>6.6666666666666666E-2</v>
      </c>
      <c r="AU24" s="1441">
        <f t="shared" si="8"/>
        <v>1.0004999999999999</v>
      </c>
      <c r="AV24" s="101" t="s">
        <v>651</v>
      </c>
      <c r="AW24" s="1444">
        <v>6.6699999999999995E-2</v>
      </c>
      <c r="AX24" s="1434">
        <v>1</v>
      </c>
      <c r="AY24" s="1439">
        <f t="shared" si="5"/>
        <v>6.6699999999999995E-2</v>
      </c>
      <c r="AZ24" s="1440">
        <f>+O24</f>
        <v>6.6666666666666666E-2</v>
      </c>
      <c r="BA24" s="1441">
        <f t="shared" si="6"/>
        <v>1.0004999999999999</v>
      </c>
      <c r="BB24" s="101" t="s">
        <v>651</v>
      </c>
      <c r="BC24" s="1444">
        <v>6.6699999999999995E-2</v>
      </c>
      <c r="BD24" s="1434">
        <v>1</v>
      </c>
      <c r="BE24" s="1439">
        <f t="shared" si="15"/>
        <v>6.6699999999999995E-2</v>
      </c>
      <c r="BF24" s="1440">
        <f>+Q24</f>
        <v>6.6666666666666666E-2</v>
      </c>
      <c r="BG24" s="1441">
        <f>IF(BD24=0," ",BE24/BF24)</f>
        <v>1.0004999999999999</v>
      </c>
      <c r="BH24" s="101" t="s">
        <v>651</v>
      </c>
      <c r="BI24" s="1444">
        <v>6.6699999999999995E-2</v>
      </c>
      <c r="BJ24" s="1434">
        <v>1</v>
      </c>
      <c r="BK24" s="1439">
        <f t="shared" si="16"/>
        <v>6.6699999999999995E-2</v>
      </c>
      <c r="BL24" s="1440">
        <f>+Q24</f>
        <v>6.6666666666666666E-2</v>
      </c>
      <c r="BM24" s="1441">
        <f t="shared" si="17"/>
        <v>1.0004999999999999</v>
      </c>
      <c r="BN24" s="101" t="s">
        <v>651</v>
      </c>
      <c r="BO24" s="1444">
        <v>6.6699999999999995E-2</v>
      </c>
      <c r="BP24" s="1434">
        <v>1</v>
      </c>
      <c r="BQ24" s="1439">
        <f>IF(BP24=0," ",BO24/BP24)</f>
        <v>6.6699999999999995E-2</v>
      </c>
      <c r="BR24" s="1440">
        <f>+R24</f>
        <v>6.6666666666666666E-2</v>
      </c>
      <c r="BS24" s="1441">
        <f>IF(BP24=0," ",BQ24/BR24)</f>
        <v>1.0004999999999999</v>
      </c>
      <c r="BT24" s="101" t="s">
        <v>651</v>
      </c>
      <c r="BU24" s="1444">
        <v>6.4000000000000001E-2</v>
      </c>
      <c r="BV24" s="1434">
        <v>1</v>
      </c>
      <c r="BW24" s="1439">
        <f t="shared" si="18"/>
        <v>6.4000000000000001E-2</v>
      </c>
      <c r="BX24" s="1440">
        <f>+S24</f>
        <v>6.6666666666666666E-2</v>
      </c>
      <c r="BY24" s="1441">
        <f t="shared" si="19"/>
        <v>0.96000000000000008</v>
      </c>
      <c r="BZ24" s="101" t="s">
        <v>651</v>
      </c>
      <c r="CA24" s="1444">
        <v>6.7000000000000004E-2</v>
      </c>
      <c r="CB24" s="1434">
        <v>1</v>
      </c>
      <c r="CC24" s="1439">
        <f t="shared" si="20"/>
        <v>6.7000000000000004E-2</v>
      </c>
      <c r="CD24" s="1440">
        <f>+Y24</f>
        <v>6.6699999999999995E-2</v>
      </c>
      <c r="CE24" s="1441">
        <f t="shared" si="21"/>
        <v>1.004497751124438</v>
      </c>
      <c r="CF24" s="101" t="s">
        <v>651</v>
      </c>
      <c r="CG24" s="1444">
        <v>6.5000000000000002E-2</v>
      </c>
      <c r="CH24" s="1445">
        <v>1</v>
      </c>
      <c r="CI24" s="1439">
        <f t="shared" si="22"/>
        <v>6.5000000000000002E-2</v>
      </c>
      <c r="CJ24" s="1440">
        <f>+AE24</f>
        <v>6.6699999999999995E-2</v>
      </c>
      <c r="CK24" s="1441">
        <f t="shared" si="23"/>
        <v>0.97451274362818596</v>
      </c>
      <c r="CL24" s="101" t="s">
        <v>651</v>
      </c>
      <c r="CM24" s="1444">
        <v>6.7000000000000004E-2</v>
      </c>
      <c r="CN24" s="1445">
        <v>1</v>
      </c>
      <c r="CO24" s="1439">
        <f t="shared" ref="CO24:CO32" si="29">IF(CN24=0," ",CM24/CN24)</f>
        <v>6.7000000000000004E-2</v>
      </c>
      <c r="CP24" s="1440">
        <f>+AK24</f>
        <v>6.6699999999999995E-2</v>
      </c>
      <c r="CQ24" s="1441">
        <f t="shared" ref="CQ24:CQ32" si="30">IF(CN24=0," ",CO24/CP24)</f>
        <v>1.004497751124438</v>
      </c>
      <c r="CR24" s="315" t="s">
        <v>2783</v>
      </c>
      <c r="CS24" s="68">
        <f t="shared" si="24"/>
        <v>0.79659999999999975</v>
      </c>
      <c r="CT24" s="68">
        <v>1</v>
      </c>
      <c r="CU24" s="69">
        <f>IF(CT24=0," ",CS24/CT24)</f>
        <v>0.79659999999999975</v>
      </c>
      <c r="CV24" s="535">
        <f t="shared" si="25"/>
        <v>0.79999999999999993</v>
      </c>
      <c r="CW24" s="58">
        <f>IF(CT24=0," ",CU24/CV24)</f>
        <v>0.9957499999999998</v>
      </c>
      <c r="CX24" s="315" t="s">
        <v>2784</v>
      </c>
    </row>
    <row r="25" spans="1:103" s="126" customFormat="1" ht="41.25" customHeight="1">
      <c r="A25" s="1431"/>
      <c r="B25" s="13" t="s">
        <v>416</v>
      </c>
      <c r="C25" s="348">
        <v>11</v>
      </c>
      <c r="D25" s="13" t="s">
        <v>2785</v>
      </c>
      <c r="E25" s="13" t="s">
        <v>2786</v>
      </c>
      <c r="F25" s="13" t="s">
        <v>603</v>
      </c>
      <c r="G25" s="349" t="s">
        <v>53</v>
      </c>
      <c r="H25" s="13" t="s">
        <v>604</v>
      </c>
      <c r="I25" s="349" t="s">
        <v>605</v>
      </c>
      <c r="J25" s="13" t="s">
        <v>2787</v>
      </c>
      <c r="K25" s="7"/>
      <c r="L25" s="7"/>
      <c r="M25" s="1213">
        <v>0.1</v>
      </c>
      <c r="N25" s="1213">
        <v>0.2</v>
      </c>
      <c r="O25" s="1213">
        <v>0.3</v>
      </c>
      <c r="P25" s="1438">
        <v>0.4</v>
      </c>
      <c r="Q25" s="14"/>
      <c r="R25" s="14"/>
      <c r="S25" s="14"/>
      <c r="T25" s="14"/>
      <c r="U25" s="14"/>
      <c r="V25" s="14"/>
      <c r="W25" s="1433">
        <f t="shared" si="9"/>
        <v>1</v>
      </c>
      <c r="X25" s="80"/>
      <c r="Y25" s="68">
        <v>0</v>
      </c>
      <c r="Z25" s="68">
        <v>0</v>
      </c>
      <c r="AA25" s="1439" t="str">
        <f t="shared" si="10"/>
        <v xml:space="preserve"> </v>
      </c>
      <c r="AB25" s="58">
        <f t="shared" si="11"/>
        <v>0</v>
      </c>
      <c r="AC25" s="58" t="str">
        <f t="shared" si="12"/>
        <v xml:space="preserve"> </v>
      </c>
      <c r="AD25" s="65" t="s">
        <v>2736</v>
      </c>
      <c r="AE25" s="68">
        <v>0</v>
      </c>
      <c r="AF25" s="68">
        <v>0</v>
      </c>
      <c r="AG25" s="69" t="str">
        <f t="shared" si="26"/>
        <v xml:space="preserve"> </v>
      </c>
      <c r="AH25" s="58">
        <f t="shared" ref="AH25:AH32" si="31">+L25</f>
        <v>0</v>
      </c>
      <c r="AI25" s="58" t="str">
        <f t="shared" si="27"/>
        <v xml:space="preserve"> </v>
      </c>
      <c r="AJ25" s="65" t="s">
        <v>2736</v>
      </c>
      <c r="AK25" s="1444">
        <v>5.0000000000000001E-3</v>
      </c>
      <c r="AL25" s="68">
        <v>1</v>
      </c>
      <c r="AM25" s="1446">
        <f t="shared" si="13"/>
        <v>5.0000000000000001E-3</v>
      </c>
      <c r="AN25" s="1440">
        <f t="shared" si="28"/>
        <v>0.1</v>
      </c>
      <c r="AO25" s="1441">
        <f t="shared" si="14"/>
        <v>4.9999999999999996E-2</v>
      </c>
      <c r="AP25" s="101" t="s">
        <v>640</v>
      </c>
      <c r="AQ25" s="68">
        <v>5.0000000000000001E-3</v>
      </c>
      <c r="AR25" s="68">
        <v>1</v>
      </c>
      <c r="AS25" s="1447">
        <f t="shared" si="7"/>
        <v>5.0000000000000001E-3</v>
      </c>
      <c r="AT25" s="1434">
        <f t="shared" ref="AT25:AT32" si="32">+N25</f>
        <v>0.2</v>
      </c>
      <c r="AU25" s="58">
        <f t="shared" si="8"/>
        <v>2.4999999999999998E-2</v>
      </c>
      <c r="AV25" s="101" t="s">
        <v>640</v>
      </c>
      <c r="AW25" s="68">
        <v>5.0000000000000001E-3</v>
      </c>
      <c r="AX25" s="68">
        <v>1</v>
      </c>
      <c r="AY25" s="1447">
        <f t="shared" si="5"/>
        <v>5.0000000000000001E-3</v>
      </c>
      <c r="AZ25" s="1434">
        <f>+O25</f>
        <v>0.3</v>
      </c>
      <c r="BA25" s="58">
        <f>IF(AX25=0," ",AY25/AZ25)</f>
        <v>1.6666666666666666E-2</v>
      </c>
      <c r="BB25" s="101" t="s">
        <v>640</v>
      </c>
      <c r="BC25" s="1444">
        <v>5.0000000000000001E-3</v>
      </c>
      <c r="BD25" s="68">
        <v>1</v>
      </c>
      <c r="BE25" s="1447">
        <f t="shared" si="15"/>
        <v>5.0000000000000001E-3</v>
      </c>
      <c r="BF25" s="1440">
        <f>+P25</f>
        <v>0.4</v>
      </c>
      <c r="BG25" s="58">
        <f>IF(BD25=0," ",BE25/BF25)</f>
        <v>1.2499999999999999E-2</v>
      </c>
      <c r="BH25" s="101" t="s">
        <v>2788</v>
      </c>
      <c r="BI25" s="68">
        <v>0</v>
      </c>
      <c r="BJ25" s="68">
        <v>0</v>
      </c>
      <c r="BK25" s="69" t="str">
        <f t="shared" si="16"/>
        <v xml:space="preserve"> </v>
      </c>
      <c r="BL25" s="58">
        <f t="shared" ref="BL25:BL32" si="33">+V25</f>
        <v>0</v>
      </c>
      <c r="BM25" s="58" t="str">
        <f t="shared" si="17"/>
        <v xml:space="preserve"> </v>
      </c>
      <c r="BN25" s="317" t="s">
        <v>2736</v>
      </c>
      <c r="BO25" s="1444">
        <v>5.0000000000000001E-3</v>
      </c>
      <c r="BP25" s="1434">
        <v>1</v>
      </c>
      <c r="BQ25" s="1439">
        <f>IF(BP25=0," ",BO25/BP25)</f>
        <v>5.0000000000000001E-3</v>
      </c>
      <c r="BR25" s="1440">
        <v>5.0000000000000001E-3</v>
      </c>
      <c r="BS25" s="1441">
        <f>IF(BP25=0," ",BQ25/BR25)</f>
        <v>1</v>
      </c>
      <c r="BT25" s="101" t="s">
        <v>644</v>
      </c>
      <c r="BU25" s="1444">
        <v>0.67</v>
      </c>
      <c r="BV25" s="1434">
        <v>1</v>
      </c>
      <c r="BW25" s="1439">
        <f t="shared" si="18"/>
        <v>0.67</v>
      </c>
      <c r="BX25" s="1440">
        <v>0.67</v>
      </c>
      <c r="BY25" s="1441">
        <f t="shared" si="19"/>
        <v>1</v>
      </c>
      <c r="BZ25" s="101" t="s">
        <v>645</v>
      </c>
      <c r="CA25" s="1444">
        <v>0.25</v>
      </c>
      <c r="CB25" s="1434">
        <v>1</v>
      </c>
      <c r="CC25" s="1439">
        <f t="shared" si="20"/>
        <v>0.25</v>
      </c>
      <c r="CD25" s="1440">
        <v>0.25</v>
      </c>
      <c r="CE25" s="1441">
        <f t="shared" si="21"/>
        <v>1</v>
      </c>
      <c r="CF25" s="101" t="s">
        <v>645</v>
      </c>
      <c r="CG25" s="1444">
        <v>0.05</v>
      </c>
      <c r="CH25" s="1445">
        <v>1</v>
      </c>
      <c r="CI25" s="1439">
        <f t="shared" si="22"/>
        <v>0.05</v>
      </c>
      <c r="CJ25" s="1440">
        <v>0.05</v>
      </c>
      <c r="CK25" s="1441">
        <f t="shared" si="23"/>
        <v>1</v>
      </c>
      <c r="CL25" s="101" t="s">
        <v>645</v>
      </c>
      <c r="CM25" s="21">
        <v>0</v>
      </c>
      <c r="CN25" s="21">
        <v>0</v>
      </c>
      <c r="CO25" s="22" t="str">
        <f t="shared" si="29"/>
        <v xml:space="preserve"> </v>
      </c>
      <c r="CP25" s="58">
        <f>+V25</f>
        <v>0</v>
      </c>
      <c r="CQ25" s="24" t="str">
        <f t="shared" si="30"/>
        <v xml:space="preserve"> </v>
      </c>
      <c r="CR25" s="317" t="s">
        <v>2736</v>
      </c>
      <c r="CS25" s="1364">
        <f t="shared" si="24"/>
        <v>0.99500000000000011</v>
      </c>
      <c r="CT25" s="68">
        <v>1</v>
      </c>
      <c r="CU25" s="69">
        <f>IF(CT25=0," ",CS25/CT25)</f>
        <v>0.99500000000000011</v>
      </c>
      <c r="CV25" s="535">
        <f>+W25</f>
        <v>1</v>
      </c>
      <c r="CW25" s="58">
        <f>IF(CT25=0," ",CU25/CV25)</f>
        <v>0.99500000000000011</v>
      </c>
      <c r="CX25" s="315" t="s">
        <v>2789</v>
      </c>
    </row>
    <row r="26" spans="1:103" s="126" customFormat="1" ht="33.75">
      <c r="A26" s="1431"/>
      <c r="B26" s="13" t="s">
        <v>416</v>
      </c>
      <c r="C26" s="348">
        <v>12</v>
      </c>
      <c r="D26" s="13" t="s">
        <v>2790</v>
      </c>
      <c r="E26" s="13" t="s">
        <v>2791</v>
      </c>
      <c r="F26" s="13" t="s">
        <v>603</v>
      </c>
      <c r="G26" s="349" t="s">
        <v>53</v>
      </c>
      <c r="H26" s="13" t="s">
        <v>604</v>
      </c>
      <c r="I26" s="349" t="s">
        <v>605</v>
      </c>
      <c r="J26" s="8" t="s">
        <v>658</v>
      </c>
      <c r="K26" s="7"/>
      <c r="L26" s="7">
        <v>0.04</v>
      </c>
      <c r="M26" s="1213">
        <v>0.27</v>
      </c>
      <c r="N26" s="7"/>
      <c r="O26" s="7"/>
      <c r="P26" s="14"/>
      <c r="Q26" s="14"/>
      <c r="R26" s="14"/>
      <c r="S26" s="14"/>
      <c r="T26" s="14"/>
      <c r="U26" s="14"/>
      <c r="V26" s="14"/>
      <c r="W26" s="1433">
        <f t="shared" si="9"/>
        <v>0.31</v>
      </c>
      <c r="X26" s="80"/>
      <c r="Y26" s="68">
        <v>0</v>
      </c>
      <c r="Z26" s="68">
        <v>0</v>
      </c>
      <c r="AA26" s="1439" t="str">
        <f t="shared" si="10"/>
        <v xml:space="preserve"> </v>
      </c>
      <c r="AB26" s="58">
        <f t="shared" si="11"/>
        <v>0</v>
      </c>
      <c r="AC26" s="58" t="str">
        <f t="shared" si="12"/>
        <v xml:space="preserve"> </v>
      </c>
      <c r="AD26" s="65" t="s">
        <v>2736</v>
      </c>
      <c r="AE26" s="1444">
        <v>0.04</v>
      </c>
      <c r="AF26" s="68">
        <v>1</v>
      </c>
      <c r="AG26" s="1446">
        <f t="shared" si="26"/>
        <v>0.04</v>
      </c>
      <c r="AH26" s="1440">
        <f t="shared" si="31"/>
        <v>0.04</v>
      </c>
      <c r="AI26" s="1441">
        <f t="shared" si="27"/>
        <v>1</v>
      </c>
      <c r="AJ26" s="101" t="s">
        <v>651</v>
      </c>
      <c r="AK26" s="1444">
        <v>0.1</v>
      </c>
      <c r="AL26" s="68">
        <v>1</v>
      </c>
      <c r="AM26" s="1446">
        <f t="shared" si="13"/>
        <v>0.1</v>
      </c>
      <c r="AN26" s="1440">
        <f t="shared" si="28"/>
        <v>0.27</v>
      </c>
      <c r="AO26" s="1441">
        <f t="shared" si="14"/>
        <v>0.37037037037037035</v>
      </c>
      <c r="AP26" s="101" t="s">
        <v>2792</v>
      </c>
      <c r="AQ26" s="68">
        <v>0</v>
      </c>
      <c r="AR26" s="68">
        <v>0</v>
      </c>
      <c r="AS26" s="69" t="str">
        <f t="shared" si="7"/>
        <v xml:space="preserve"> </v>
      </c>
      <c r="AT26" s="58">
        <f t="shared" si="32"/>
        <v>0</v>
      </c>
      <c r="AU26" s="58"/>
      <c r="AV26" s="65" t="s">
        <v>2736</v>
      </c>
      <c r="AW26" s="68">
        <v>0</v>
      </c>
      <c r="AX26" s="68">
        <v>0</v>
      </c>
      <c r="AY26" s="69" t="str">
        <f t="shared" si="5"/>
        <v xml:space="preserve"> </v>
      </c>
      <c r="AZ26" s="58">
        <f>+T26</f>
        <v>0</v>
      </c>
      <c r="BA26" s="58"/>
      <c r="BB26" s="65" t="s">
        <v>2736</v>
      </c>
      <c r="BC26" s="68">
        <v>0</v>
      </c>
      <c r="BD26" s="68">
        <v>0</v>
      </c>
      <c r="BE26" s="69" t="str">
        <f t="shared" si="15"/>
        <v xml:space="preserve"> </v>
      </c>
      <c r="BF26" s="58">
        <f>+Z26</f>
        <v>0</v>
      </c>
      <c r="BG26" s="58"/>
      <c r="BH26" s="65" t="s">
        <v>2736</v>
      </c>
      <c r="BI26" s="68">
        <v>0</v>
      </c>
      <c r="BJ26" s="68">
        <v>0</v>
      </c>
      <c r="BK26" s="69" t="str">
        <f t="shared" si="16"/>
        <v xml:space="preserve"> </v>
      </c>
      <c r="BL26" s="58">
        <f t="shared" si="33"/>
        <v>0</v>
      </c>
      <c r="BM26" s="58" t="str">
        <f t="shared" si="17"/>
        <v xml:space="preserve"> </v>
      </c>
      <c r="BN26" s="317" t="s">
        <v>2736</v>
      </c>
      <c r="BO26" s="68">
        <v>0</v>
      </c>
      <c r="BP26" s="68">
        <v>0</v>
      </c>
      <c r="BQ26" s="69" t="str">
        <f t="shared" ref="BQ26:BQ32" si="34">IF(BP26=0," ",BO26/BP26)</f>
        <v xml:space="preserve"> </v>
      </c>
      <c r="BR26" s="58">
        <f t="shared" ref="BR26:BR32" si="35">+AB26</f>
        <v>0</v>
      </c>
      <c r="BS26" s="58" t="str">
        <f t="shared" ref="BS26:BS32" si="36">IF(BP26=0," ",BQ26/BR26)</f>
        <v xml:space="preserve"> </v>
      </c>
      <c r="BT26" s="317" t="s">
        <v>2736</v>
      </c>
      <c r="BU26" s="68">
        <v>0</v>
      </c>
      <c r="BV26" s="68">
        <v>0</v>
      </c>
      <c r="BW26" s="69" t="str">
        <f t="shared" si="18"/>
        <v xml:space="preserve"> </v>
      </c>
      <c r="BX26" s="58">
        <f>+AH26</f>
        <v>0.04</v>
      </c>
      <c r="BY26" s="58" t="str">
        <f t="shared" si="19"/>
        <v xml:space="preserve"> </v>
      </c>
      <c r="BZ26" s="317" t="s">
        <v>2736</v>
      </c>
      <c r="CA26" s="68">
        <v>0</v>
      </c>
      <c r="CB26" s="68">
        <v>0</v>
      </c>
      <c r="CC26" s="69" t="str">
        <f t="shared" si="20"/>
        <v xml:space="preserve"> </v>
      </c>
      <c r="CD26" s="58">
        <f t="shared" ref="CD26:CD31" si="37">+T26</f>
        <v>0</v>
      </c>
      <c r="CE26" s="58" t="str">
        <f t="shared" si="21"/>
        <v xml:space="preserve"> </v>
      </c>
      <c r="CF26" s="317" t="s">
        <v>2736</v>
      </c>
      <c r="CG26" s="68">
        <v>0</v>
      </c>
      <c r="CH26" s="68">
        <v>0</v>
      </c>
      <c r="CI26" s="69" t="str">
        <f t="shared" si="22"/>
        <v xml:space="preserve"> </v>
      </c>
      <c r="CJ26" s="58">
        <f>+Z26</f>
        <v>0</v>
      </c>
      <c r="CK26" s="58" t="str">
        <f t="shared" si="23"/>
        <v xml:space="preserve"> </v>
      </c>
      <c r="CL26" s="317" t="s">
        <v>2736</v>
      </c>
      <c r="CM26" s="653">
        <v>0.17</v>
      </c>
      <c r="CN26" s="21">
        <v>1</v>
      </c>
      <c r="CO26" s="22">
        <f t="shared" si="29"/>
        <v>0.17</v>
      </c>
      <c r="CP26" s="1434">
        <v>0.17</v>
      </c>
      <c r="CQ26" s="24">
        <f t="shared" si="30"/>
        <v>1</v>
      </c>
      <c r="CR26" s="317" t="s">
        <v>2793</v>
      </c>
      <c r="CS26" s="1364">
        <f t="shared" si="24"/>
        <v>0.31000000000000005</v>
      </c>
      <c r="CT26" s="68">
        <v>1</v>
      </c>
      <c r="CU26" s="69">
        <f>IF(CT26=0," ",CS26/CT26)</f>
        <v>0.31000000000000005</v>
      </c>
      <c r="CV26" s="535">
        <f t="shared" si="25"/>
        <v>0.31</v>
      </c>
      <c r="CW26" s="58">
        <f>IF(CT26=0," ",CU26/CV26)</f>
        <v>1.0000000000000002</v>
      </c>
      <c r="CX26" s="315" t="s">
        <v>2794</v>
      </c>
      <c r="CY26" s="1448"/>
    </row>
    <row r="27" spans="1:103" s="126" customFormat="1" ht="33.75">
      <c r="A27" s="1431"/>
      <c r="B27" s="13" t="s">
        <v>416</v>
      </c>
      <c r="C27" s="348">
        <v>13</v>
      </c>
      <c r="D27" s="13" t="s">
        <v>2795</v>
      </c>
      <c r="E27" s="13" t="s">
        <v>670</v>
      </c>
      <c r="F27" s="13" t="s">
        <v>603</v>
      </c>
      <c r="G27" s="349" t="s">
        <v>53</v>
      </c>
      <c r="H27" s="13" t="s">
        <v>604</v>
      </c>
      <c r="I27" s="349" t="s">
        <v>605</v>
      </c>
      <c r="J27" s="8" t="s">
        <v>671</v>
      </c>
      <c r="K27" s="7">
        <v>955</v>
      </c>
      <c r="L27" s="7">
        <v>840</v>
      </c>
      <c r="M27" s="1213">
        <v>650.70000000000005</v>
      </c>
      <c r="N27" s="7"/>
      <c r="O27" s="7"/>
      <c r="P27" s="14"/>
      <c r="Q27" s="1438"/>
      <c r="R27" s="14"/>
      <c r="S27" s="14"/>
      <c r="T27" s="14"/>
      <c r="U27" s="14"/>
      <c r="V27" s="14"/>
      <c r="W27" s="1433">
        <f t="shared" si="9"/>
        <v>2445.6999999999998</v>
      </c>
      <c r="X27" s="80"/>
      <c r="Y27" s="68">
        <v>955</v>
      </c>
      <c r="Z27" s="68">
        <v>1</v>
      </c>
      <c r="AA27" s="1446">
        <f t="shared" si="10"/>
        <v>955</v>
      </c>
      <c r="AB27" s="1440">
        <f t="shared" si="11"/>
        <v>955</v>
      </c>
      <c r="AC27" s="1441">
        <f t="shared" si="12"/>
        <v>1</v>
      </c>
      <c r="AD27" s="101" t="s">
        <v>651</v>
      </c>
      <c r="AE27" s="68">
        <v>840</v>
      </c>
      <c r="AF27" s="68">
        <v>1</v>
      </c>
      <c r="AG27" s="1446">
        <f t="shared" si="26"/>
        <v>840</v>
      </c>
      <c r="AH27" s="1440">
        <f t="shared" si="31"/>
        <v>840</v>
      </c>
      <c r="AI27" s="1441">
        <f t="shared" si="27"/>
        <v>1</v>
      </c>
      <c r="AJ27" s="101" t="s">
        <v>651</v>
      </c>
      <c r="AK27" s="68">
        <v>650.70000000000005</v>
      </c>
      <c r="AL27" s="68">
        <v>1</v>
      </c>
      <c r="AM27" s="1446">
        <f t="shared" si="13"/>
        <v>650.70000000000005</v>
      </c>
      <c r="AN27" s="1440">
        <f t="shared" si="28"/>
        <v>650.70000000000005</v>
      </c>
      <c r="AO27" s="1441">
        <f t="shared" si="14"/>
        <v>1</v>
      </c>
      <c r="AP27" s="101" t="s">
        <v>651</v>
      </c>
      <c r="AQ27" s="68">
        <v>0</v>
      </c>
      <c r="AR27" s="68">
        <v>0</v>
      </c>
      <c r="AS27" s="69" t="str">
        <f t="shared" si="7"/>
        <v xml:space="preserve"> </v>
      </c>
      <c r="AT27" s="58">
        <f t="shared" si="32"/>
        <v>0</v>
      </c>
      <c r="AU27" s="58"/>
      <c r="AV27" s="65" t="s">
        <v>2736</v>
      </c>
      <c r="AW27" s="68">
        <v>0</v>
      </c>
      <c r="AX27" s="68">
        <v>0</v>
      </c>
      <c r="AY27" s="69" t="str">
        <f t="shared" si="5"/>
        <v xml:space="preserve"> </v>
      </c>
      <c r="AZ27" s="58">
        <f>+T27</f>
        <v>0</v>
      </c>
      <c r="BA27" s="58"/>
      <c r="BB27" s="65" t="s">
        <v>2736</v>
      </c>
      <c r="BC27" s="68">
        <v>0</v>
      </c>
      <c r="BD27" s="68">
        <v>0</v>
      </c>
      <c r="BE27" s="69" t="str">
        <f t="shared" si="15"/>
        <v xml:space="preserve"> </v>
      </c>
      <c r="BF27" s="58">
        <v>0</v>
      </c>
      <c r="BG27" s="58"/>
      <c r="BH27" s="65" t="s">
        <v>2736</v>
      </c>
      <c r="BI27" s="68">
        <v>0</v>
      </c>
      <c r="BJ27" s="68">
        <v>0</v>
      </c>
      <c r="BK27" s="69" t="str">
        <f t="shared" si="16"/>
        <v xml:space="preserve"> </v>
      </c>
      <c r="BL27" s="58">
        <f t="shared" si="33"/>
        <v>0</v>
      </c>
      <c r="BM27" s="58" t="str">
        <f t="shared" si="17"/>
        <v xml:space="preserve"> </v>
      </c>
      <c r="BN27" s="317" t="s">
        <v>2736</v>
      </c>
      <c r="BO27" s="68">
        <v>0</v>
      </c>
      <c r="BP27" s="68">
        <v>0</v>
      </c>
      <c r="BQ27" s="69" t="str">
        <f>IF(BP27=0," ",BO27/BP27)</f>
        <v xml:space="preserve"> </v>
      </c>
      <c r="BR27" s="58">
        <f>+R27</f>
        <v>0</v>
      </c>
      <c r="BS27" s="58" t="str">
        <f t="shared" si="36"/>
        <v xml:space="preserve"> </v>
      </c>
      <c r="BT27" s="317" t="s">
        <v>2736</v>
      </c>
      <c r="BU27" s="68">
        <v>0</v>
      </c>
      <c r="BV27" s="68">
        <v>0</v>
      </c>
      <c r="BW27" s="69" t="str">
        <f t="shared" si="18"/>
        <v xml:space="preserve"> </v>
      </c>
      <c r="BX27" s="58">
        <f t="shared" ref="BX27:BX32" si="38">+AH27</f>
        <v>840</v>
      </c>
      <c r="BY27" s="58" t="str">
        <f t="shared" si="19"/>
        <v xml:space="preserve"> </v>
      </c>
      <c r="BZ27" s="317" t="s">
        <v>2736</v>
      </c>
      <c r="CA27" s="68">
        <v>0</v>
      </c>
      <c r="CB27" s="68">
        <v>0</v>
      </c>
      <c r="CC27" s="69" t="str">
        <f t="shared" si="20"/>
        <v xml:space="preserve"> </v>
      </c>
      <c r="CD27" s="58">
        <f t="shared" si="37"/>
        <v>0</v>
      </c>
      <c r="CE27" s="58" t="str">
        <f t="shared" si="21"/>
        <v xml:space="preserve"> </v>
      </c>
      <c r="CF27" s="317" t="s">
        <v>2736</v>
      </c>
      <c r="CG27" s="68">
        <v>0</v>
      </c>
      <c r="CH27" s="68">
        <v>0</v>
      </c>
      <c r="CI27" s="69" t="str">
        <f t="shared" si="22"/>
        <v xml:space="preserve"> </v>
      </c>
      <c r="CJ27" s="58">
        <f>+U27</f>
        <v>0</v>
      </c>
      <c r="CK27" s="58" t="str">
        <f t="shared" si="23"/>
        <v xml:space="preserve"> </v>
      </c>
      <c r="CL27" s="317" t="s">
        <v>2736</v>
      </c>
      <c r="CM27" s="21">
        <v>0</v>
      </c>
      <c r="CN27" s="21">
        <v>0</v>
      </c>
      <c r="CO27" s="22" t="str">
        <f t="shared" si="29"/>
        <v xml:space="preserve"> </v>
      </c>
      <c r="CP27" s="58">
        <f t="shared" ref="CP27:CP32" si="39">+V27</f>
        <v>0</v>
      </c>
      <c r="CQ27" s="24" t="str">
        <f t="shared" si="30"/>
        <v xml:space="preserve"> </v>
      </c>
      <c r="CR27" s="317" t="s">
        <v>2736</v>
      </c>
      <c r="CS27" s="68">
        <f t="shared" si="24"/>
        <v>2445.6999999999998</v>
      </c>
      <c r="CT27" s="68">
        <v>1</v>
      </c>
      <c r="CU27" s="1442">
        <f t="shared" ref="CU27:CU32" si="40">IF(CT27=0," ",CS27/CT27)</f>
        <v>2445.6999999999998</v>
      </c>
      <c r="CV27" s="535">
        <f t="shared" si="25"/>
        <v>2445.6999999999998</v>
      </c>
      <c r="CW27" s="58">
        <f t="shared" ref="CW27:CW32" si="41">IF(CT27=0," ",CU27/CV27)</f>
        <v>1</v>
      </c>
      <c r="CX27" s="315" t="s">
        <v>2796</v>
      </c>
    </row>
    <row r="28" spans="1:103" s="126" customFormat="1" ht="42.75" customHeight="1">
      <c r="A28" s="1431"/>
      <c r="B28" s="13" t="s">
        <v>416</v>
      </c>
      <c r="C28" s="348">
        <v>14</v>
      </c>
      <c r="D28" s="13" t="s">
        <v>2797</v>
      </c>
      <c r="E28" s="13" t="s">
        <v>696</v>
      </c>
      <c r="F28" s="13" t="s">
        <v>603</v>
      </c>
      <c r="G28" s="349" t="s">
        <v>53</v>
      </c>
      <c r="H28" s="13" t="s">
        <v>604</v>
      </c>
      <c r="I28" s="349" t="s">
        <v>605</v>
      </c>
      <c r="J28" s="8" t="s">
        <v>697</v>
      </c>
      <c r="K28" s="7"/>
      <c r="L28" s="7"/>
      <c r="M28" s="12"/>
      <c r="N28" s="7"/>
      <c r="O28" s="7">
        <v>0.1</v>
      </c>
      <c r="P28" s="1438">
        <v>0.5</v>
      </c>
      <c r="Q28" s="1438"/>
      <c r="R28" s="1438"/>
      <c r="S28" s="1438"/>
      <c r="T28" s="1438">
        <v>0.36</v>
      </c>
      <c r="U28" s="1438"/>
      <c r="V28" s="1438"/>
      <c r="W28" s="1433">
        <f t="shared" si="9"/>
        <v>0.96</v>
      </c>
      <c r="X28" s="80"/>
      <c r="Y28" s="68">
        <v>0</v>
      </c>
      <c r="Z28" s="68">
        <v>0</v>
      </c>
      <c r="AA28" s="1439" t="str">
        <f t="shared" si="10"/>
        <v xml:space="preserve"> </v>
      </c>
      <c r="AB28" s="58">
        <f t="shared" si="11"/>
        <v>0</v>
      </c>
      <c r="AC28" s="58" t="str">
        <f t="shared" si="12"/>
        <v xml:space="preserve"> </v>
      </c>
      <c r="AD28" s="65" t="s">
        <v>2736</v>
      </c>
      <c r="AE28" s="68">
        <v>0</v>
      </c>
      <c r="AF28" s="68">
        <v>0</v>
      </c>
      <c r="AG28" s="69" t="str">
        <f t="shared" si="26"/>
        <v xml:space="preserve"> </v>
      </c>
      <c r="AH28" s="58">
        <f t="shared" si="31"/>
        <v>0</v>
      </c>
      <c r="AI28" s="58" t="str">
        <f t="shared" si="27"/>
        <v xml:space="preserve"> </v>
      </c>
      <c r="AJ28" s="65" t="s">
        <v>2736</v>
      </c>
      <c r="AK28" s="68">
        <v>0</v>
      </c>
      <c r="AL28" s="68">
        <v>0</v>
      </c>
      <c r="AM28" s="69" t="str">
        <f t="shared" si="13"/>
        <v xml:space="preserve"> </v>
      </c>
      <c r="AN28" s="58">
        <f t="shared" si="28"/>
        <v>0</v>
      </c>
      <c r="AO28" s="58" t="str">
        <f t="shared" si="14"/>
        <v xml:space="preserve"> </v>
      </c>
      <c r="AP28" s="65" t="s">
        <v>2736</v>
      </c>
      <c r="AQ28" s="68">
        <v>0</v>
      </c>
      <c r="AR28" s="68">
        <v>0</v>
      </c>
      <c r="AS28" s="69" t="str">
        <f t="shared" si="7"/>
        <v xml:space="preserve"> </v>
      </c>
      <c r="AT28" s="58">
        <f t="shared" si="32"/>
        <v>0</v>
      </c>
      <c r="AU28" s="58"/>
      <c r="AV28" s="65" t="s">
        <v>2736</v>
      </c>
      <c r="AW28" s="68">
        <v>0</v>
      </c>
      <c r="AX28" s="68">
        <v>1</v>
      </c>
      <c r="AY28" s="1447">
        <f t="shared" si="5"/>
        <v>0</v>
      </c>
      <c r="AZ28" s="1434">
        <f>+O28</f>
        <v>0.1</v>
      </c>
      <c r="BA28" s="58">
        <f>IF(AX28=0," ",AY28/AZ28)</f>
        <v>0</v>
      </c>
      <c r="BB28" s="101" t="s">
        <v>698</v>
      </c>
      <c r="BC28" s="68">
        <v>0</v>
      </c>
      <c r="BD28" s="68">
        <v>1</v>
      </c>
      <c r="BE28" s="1447">
        <f t="shared" si="15"/>
        <v>0</v>
      </c>
      <c r="BF28" s="1434">
        <f>+U28</f>
        <v>0</v>
      </c>
      <c r="BG28" s="58" t="e">
        <f>IF(BD28=0," ",BE28/BF28)</f>
        <v>#DIV/0!</v>
      </c>
      <c r="BH28" s="101" t="s">
        <v>2798</v>
      </c>
      <c r="BI28" s="68">
        <v>0</v>
      </c>
      <c r="BJ28" s="68">
        <v>0</v>
      </c>
      <c r="BK28" s="69" t="str">
        <f t="shared" si="16"/>
        <v xml:space="preserve"> </v>
      </c>
      <c r="BL28" s="58">
        <f t="shared" si="33"/>
        <v>0</v>
      </c>
      <c r="BM28" s="58" t="str">
        <f t="shared" si="17"/>
        <v xml:space="preserve"> </v>
      </c>
      <c r="BN28" s="317" t="s">
        <v>2736</v>
      </c>
      <c r="BO28" s="68">
        <v>0</v>
      </c>
      <c r="BP28" s="68">
        <v>0</v>
      </c>
      <c r="BQ28" s="69" t="str">
        <f t="shared" si="34"/>
        <v xml:space="preserve"> </v>
      </c>
      <c r="BR28" s="58">
        <f t="shared" si="35"/>
        <v>0</v>
      </c>
      <c r="BS28" s="58" t="str">
        <f t="shared" si="36"/>
        <v xml:space="preserve"> </v>
      </c>
      <c r="BT28" s="317" t="s">
        <v>2736</v>
      </c>
      <c r="BU28" s="68">
        <v>0</v>
      </c>
      <c r="BV28" s="68">
        <v>0</v>
      </c>
      <c r="BW28" s="69" t="str">
        <f t="shared" si="18"/>
        <v xml:space="preserve"> </v>
      </c>
      <c r="BX28" s="58">
        <f t="shared" si="38"/>
        <v>0</v>
      </c>
      <c r="BY28" s="58" t="str">
        <f t="shared" si="19"/>
        <v xml:space="preserve"> </v>
      </c>
      <c r="BZ28" s="317" t="s">
        <v>2736</v>
      </c>
      <c r="CA28" s="68">
        <v>0</v>
      </c>
      <c r="CB28" s="68">
        <v>1</v>
      </c>
      <c r="CC28" s="69">
        <f>IF(CB28=0," ",CA28/CB28)</f>
        <v>0</v>
      </c>
      <c r="CD28" s="58">
        <f t="shared" si="37"/>
        <v>0.36</v>
      </c>
      <c r="CE28" s="58">
        <f>IF(CB28=0," ",CC28/CD28)</f>
        <v>0</v>
      </c>
      <c r="CF28" s="101" t="s">
        <v>701</v>
      </c>
      <c r="CG28" s="68">
        <v>0</v>
      </c>
      <c r="CH28" s="68">
        <v>0</v>
      </c>
      <c r="CI28" s="69" t="str">
        <f>IF(CH28=0," ",CG28/CH28)</f>
        <v xml:space="preserve"> </v>
      </c>
      <c r="CJ28" s="58">
        <f>+U28</f>
        <v>0</v>
      </c>
      <c r="CK28" s="58"/>
      <c r="CL28" s="317" t="s">
        <v>702</v>
      </c>
      <c r="CM28" s="21">
        <v>0</v>
      </c>
      <c r="CN28" s="21">
        <v>0</v>
      </c>
      <c r="CO28" s="22" t="str">
        <f t="shared" si="29"/>
        <v xml:space="preserve"> </v>
      </c>
      <c r="CP28" s="58">
        <f t="shared" si="39"/>
        <v>0</v>
      </c>
      <c r="CQ28" s="24" t="str">
        <f t="shared" si="30"/>
        <v xml:space="preserve"> </v>
      </c>
      <c r="CR28" s="317" t="s">
        <v>702</v>
      </c>
      <c r="CS28" s="68">
        <f t="shared" si="24"/>
        <v>0</v>
      </c>
      <c r="CT28" s="68">
        <v>1</v>
      </c>
      <c r="CU28" s="69">
        <f t="shared" si="40"/>
        <v>0</v>
      </c>
      <c r="CV28" s="535">
        <f t="shared" si="25"/>
        <v>0.96</v>
      </c>
      <c r="CW28" s="58">
        <f t="shared" si="41"/>
        <v>0</v>
      </c>
      <c r="CX28" s="101" t="s">
        <v>2799</v>
      </c>
    </row>
    <row r="29" spans="1:103" s="126" customFormat="1" ht="57" customHeight="1">
      <c r="A29" s="1431"/>
      <c r="B29" s="13" t="s">
        <v>416</v>
      </c>
      <c r="C29" s="348">
        <v>15</v>
      </c>
      <c r="D29" s="13" t="s">
        <v>2800</v>
      </c>
      <c r="E29" s="13" t="s">
        <v>705</v>
      </c>
      <c r="F29" s="13" t="s">
        <v>603</v>
      </c>
      <c r="G29" s="349" t="s">
        <v>53</v>
      </c>
      <c r="H29" s="13" t="s">
        <v>604</v>
      </c>
      <c r="I29" s="349" t="s">
        <v>605</v>
      </c>
      <c r="J29" s="8" t="s">
        <v>697</v>
      </c>
      <c r="K29" s="7"/>
      <c r="L29" s="7"/>
      <c r="M29" s="12"/>
      <c r="N29" s="7"/>
      <c r="O29" s="7"/>
      <c r="P29" s="1438">
        <v>0.08</v>
      </c>
      <c r="Q29" s="1438"/>
      <c r="R29" s="1438"/>
      <c r="S29" s="1438"/>
      <c r="T29" s="1438">
        <v>0.22</v>
      </c>
      <c r="U29" s="1438"/>
      <c r="V29" s="1438"/>
      <c r="W29" s="1433">
        <f t="shared" si="9"/>
        <v>0.3</v>
      </c>
      <c r="X29" s="80"/>
      <c r="Y29" s="68">
        <v>0</v>
      </c>
      <c r="Z29" s="68">
        <v>0</v>
      </c>
      <c r="AA29" s="1439" t="str">
        <f t="shared" si="10"/>
        <v xml:space="preserve"> </v>
      </c>
      <c r="AB29" s="58">
        <f t="shared" si="11"/>
        <v>0</v>
      </c>
      <c r="AC29" s="58" t="str">
        <f t="shared" si="12"/>
        <v xml:space="preserve"> </v>
      </c>
      <c r="AD29" s="65" t="s">
        <v>2736</v>
      </c>
      <c r="AE29" s="68">
        <v>0</v>
      </c>
      <c r="AF29" s="68">
        <v>0</v>
      </c>
      <c r="AG29" s="69" t="str">
        <f t="shared" si="26"/>
        <v xml:space="preserve"> </v>
      </c>
      <c r="AH29" s="58">
        <f t="shared" si="31"/>
        <v>0</v>
      </c>
      <c r="AI29" s="58" t="str">
        <f t="shared" si="27"/>
        <v xml:space="preserve"> </v>
      </c>
      <c r="AJ29" s="65" t="s">
        <v>2736</v>
      </c>
      <c r="AK29" s="68">
        <v>0</v>
      </c>
      <c r="AL29" s="68">
        <v>0</v>
      </c>
      <c r="AM29" s="69" t="str">
        <f t="shared" si="13"/>
        <v xml:space="preserve"> </v>
      </c>
      <c r="AN29" s="58">
        <f t="shared" si="28"/>
        <v>0</v>
      </c>
      <c r="AO29" s="58" t="str">
        <f t="shared" si="14"/>
        <v xml:space="preserve"> </v>
      </c>
      <c r="AP29" s="65" t="s">
        <v>2736</v>
      </c>
      <c r="AQ29" s="68">
        <v>0</v>
      </c>
      <c r="AR29" s="68">
        <v>0</v>
      </c>
      <c r="AS29" s="69" t="str">
        <f t="shared" si="7"/>
        <v xml:space="preserve"> </v>
      </c>
      <c r="AT29" s="58">
        <f t="shared" si="32"/>
        <v>0</v>
      </c>
      <c r="AU29" s="58"/>
      <c r="AV29" s="65" t="s">
        <v>2736</v>
      </c>
      <c r="AW29" s="68">
        <v>0</v>
      </c>
      <c r="AX29" s="68">
        <v>0</v>
      </c>
      <c r="AY29" s="69" t="str">
        <f t="shared" si="5"/>
        <v xml:space="preserve"> </v>
      </c>
      <c r="AZ29" s="58">
        <f>+T29</f>
        <v>0.22</v>
      </c>
      <c r="BA29" s="58"/>
      <c r="BB29" s="65" t="s">
        <v>2736</v>
      </c>
      <c r="BC29" s="68">
        <v>0</v>
      </c>
      <c r="BD29" s="68">
        <v>1</v>
      </c>
      <c r="BE29" s="1447">
        <f t="shared" si="15"/>
        <v>0</v>
      </c>
      <c r="BF29" s="1434">
        <f>+U29</f>
        <v>0</v>
      </c>
      <c r="BG29" s="58" t="e">
        <f>IF(BD29=0," ",BE29/BF29)</f>
        <v>#DIV/0!</v>
      </c>
      <c r="BH29" s="2461" t="s">
        <v>2801</v>
      </c>
      <c r="BI29" s="68">
        <v>0</v>
      </c>
      <c r="BJ29" s="68">
        <v>0</v>
      </c>
      <c r="BK29" s="69" t="str">
        <f t="shared" si="16"/>
        <v xml:space="preserve"> </v>
      </c>
      <c r="BL29" s="58">
        <f t="shared" si="33"/>
        <v>0</v>
      </c>
      <c r="BM29" s="58" t="str">
        <f t="shared" si="17"/>
        <v xml:space="preserve"> </v>
      </c>
      <c r="BN29" s="317" t="s">
        <v>2736</v>
      </c>
      <c r="BO29" s="68">
        <v>0</v>
      </c>
      <c r="BP29" s="68">
        <v>0</v>
      </c>
      <c r="BQ29" s="69" t="str">
        <f t="shared" si="34"/>
        <v xml:space="preserve"> </v>
      </c>
      <c r="BR29" s="58">
        <f t="shared" si="35"/>
        <v>0</v>
      </c>
      <c r="BS29" s="58" t="str">
        <f t="shared" si="36"/>
        <v xml:space="preserve"> </v>
      </c>
      <c r="BT29" s="317" t="s">
        <v>2736</v>
      </c>
      <c r="BU29" s="68">
        <v>0</v>
      </c>
      <c r="BV29" s="68">
        <v>0</v>
      </c>
      <c r="BW29" s="69" t="str">
        <f t="shared" si="18"/>
        <v xml:space="preserve"> </v>
      </c>
      <c r="BX29" s="58">
        <f t="shared" si="38"/>
        <v>0</v>
      </c>
      <c r="BY29" s="58" t="str">
        <f t="shared" si="19"/>
        <v xml:space="preserve"> </v>
      </c>
      <c r="BZ29" s="317" t="s">
        <v>2736</v>
      </c>
      <c r="CA29" s="68">
        <v>0</v>
      </c>
      <c r="CB29" s="68">
        <v>1</v>
      </c>
      <c r="CC29" s="69">
        <f>IF(CB29=0," ",CA29/CB29)</f>
        <v>0</v>
      </c>
      <c r="CD29" s="58">
        <f t="shared" si="37"/>
        <v>0.22</v>
      </c>
      <c r="CE29" s="58">
        <f>IF(CB29=0," ",CC29/CD29)</f>
        <v>0</v>
      </c>
      <c r="CF29" s="2104" t="s">
        <v>706</v>
      </c>
      <c r="CG29" s="68">
        <v>0</v>
      </c>
      <c r="CH29" s="68">
        <v>0</v>
      </c>
      <c r="CI29" s="69" t="str">
        <f>IF(CH29=0," ",CG29/CH29)</f>
        <v xml:space="preserve"> </v>
      </c>
      <c r="CJ29" s="58">
        <f>+U29</f>
        <v>0</v>
      </c>
      <c r="CK29" s="58"/>
      <c r="CL29" s="317" t="s">
        <v>702</v>
      </c>
      <c r="CM29" s="21">
        <v>0</v>
      </c>
      <c r="CN29" s="21">
        <v>0</v>
      </c>
      <c r="CO29" s="22" t="str">
        <f t="shared" si="29"/>
        <v xml:space="preserve"> </v>
      </c>
      <c r="CP29" s="58">
        <f t="shared" si="39"/>
        <v>0</v>
      </c>
      <c r="CQ29" s="24" t="str">
        <f t="shared" si="30"/>
        <v xml:space="preserve"> </v>
      </c>
      <c r="CR29" s="317" t="s">
        <v>702</v>
      </c>
      <c r="CS29" s="68">
        <f t="shared" si="24"/>
        <v>0</v>
      </c>
      <c r="CT29" s="68">
        <v>1</v>
      </c>
      <c r="CU29" s="69">
        <f t="shared" si="40"/>
        <v>0</v>
      </c>
      <c r="CV29" s="535">
        <f t="shared" si="25"/>
        <v>0.3</v>
      </c>
      <c r="CW29" s="58">
        <f t="shared" si="41"/>
        <v>0</v>
      </c>
      <c r="CX29" s="2104" t="s">
        <v>2802</v>
      </c>
    </row>
    <row r="30" spans="1:103" s="126" customFormat="1" ht="36">
      <c r="A30" s="1431"/>
      <c r="B30" s="13" t="s">
        <v>416</v>
      </c>
      <c r="C30" s="348">
        <v>16</v>
      </c>
      <c r="D30" s="13" t="s">
        <v>2803</v>
      </c>
      <c r="E30" s="13" t="s">
        <v>709</v>
      </c>
      <c r="F30" s="13" t="s">
        <v>603</v>
      </c>
      <c r="G30" s="349" t="s">
        <v>53</v>
      </c>
      <c r="H30" s="13" t="s">
        <v>604</v>
      </c>
      <c r="I30" s="349" t="s">
        <v>605</v>
      </c>
      <c r="J30" s="8" t="s">
        <v>710</v>
      </c>
      <c r="K30" s="7"/>
      <c r="L30" s="7"/>
      <c r="M30" s="12"/>
      <c r="N30" s="7"/>
      <c r="O30" s="7"/>
      <c r="P30" s="1438">
        <v>0.04</v>
      </c>
      <c r="Q30" s="1438"/>
      <c r="R30" s="1438"/>
      <c r="S30" s="1438"/>
      <c r="T30" s="1438">
        <v>0.11</v>
      </c>
      <c r="U30" s="1438"/>
      <c r="V30" s="1438"/>
      <c r="W30" s="1433">
        <f t="shared" si="9"/>
        <v>0.15</v>
      </c>
      <c r="X30" s="80"/>
      <c r="Y30" s="68">
        <v>0</v>
      </c>
      <c r="Z30" s="68">
        <v>0</v>
      </c>
      <c r="AA30" s="1439" t="str">
        <f t="shared" si="10"/>
        <v xml:space="preserve"> </v>
      </c>
      <c r="AB30" s="58">
        <f t="shared" si="11"/>
        <v>0</v>
      </c>
      <c r="AC30" s="58" t="str">
        <f t="shared" si="12"/>
        <v xml:space="preserve"> </v>
      </c>
      <c r="AD30" s="65" t="s">
        <v>2736</v>
      </c>
      <c r="AE30" s="68">
        <v>0</v>
      </c>
      <c r="AF30" s="68">
        <v>0</v>
      </c>
      <c r="AG30" s="69" t="str">
        <f t="shared" si="26"/>
        <v xml:space="preserve"> </v>
      </c>
      <c r="AH30" s="58">
        <f t="shared" si="31"/>
        <v>0</v>
      </c>
      <c r="AI30" s="58" t="str">
        <f t="shared" si="27"/>
        <v xml:space="preserve"> </v>
      </c>
      <c r="AJ30" s="65" t="s">
        <v>2736</v>
      </c>
      <c r="AK30" s="68">
        <v>0</v>
      </c>
      <c r="AL30" s="68">
        <v>0</v>
      </c>
      <c r="AM30" s="69" t="str">
        <f t="shared" si="13"/>
        <v xml:space="preserve"> </v>
      </c>
      <c r="AN30" s="58">
        <f t="shared" si="28"/>
        <v>0</v>
      </c>
      <c r="AO30" s="58" t="str">
        <f t="shared" si="14"/>
        <v xml:space="preserve"> </v>
      </c>
      <c r="AP30" s="65" t="s">
        <v>2736</v>
      </c>
      <c r="AQ30" s="68">
        <v>0</v>
      </c>
      <c r="AR30" s="68">
        <v>0</v>
      </c>
      <c r="AS30" s="69" t="str">
        <f t="shared" si="7"/>
        <v xml:space="preserve"> </v>
      </c>
      <c r="AT30" s="58">
        <f t="shared" si="32"/>
        <v>0</v>
      </c>
      <c r="AU30" s="58"/>
      <c r="AV30" s="65" t="s">
        <v>2736</v>
      </c>
      <c r="AW30" s="68">
        <v>0</v>
      </c>
      <c r="AX30" s="68">
        <v>0</v>
      </c>
      <c r="AY30" s="69" t="str">
        <f t="shared" si="5"/>
        <v xml:space="preserve"> </v>
      </c>
      <c r="AZ30" s="58">
        <f>+T30</f>
        <v>0.11</v>
      </c>
      <c r="BA30" s="58"/>
      <c r="BB30" s="65" t="s">
        <v>2736</v>
      </c>
      <c r="BC30" s="68">
        <v>0</v>
      </c>
      <c r="BD30" s="68">
        <v>1</v>
      </c>
      <c r="BE30" s="1447">
        <f t="shared" si="15"/>
        <v>0</v>
      </c>
      <c r="BF30" s="1434">
        <f>+U30</f>
        <v>0</v>
      </c>
      <c r="BG30" s="58" t="e">
        <f>IF(BD30=0," ",BE30/BF30)</f>
        <v>#DIV/0!</v>
      </c>
      <c r="BH30" s="2462"/>
      <c r="BI30" s="68">
        <v>0</v>
      </c>
      <c r="BJ30" s="68">
        <v>0</v>
      </c>
      <c r="BK30" s="69" t="str">
        <f t="shared" si="16"/>
        <v xml:space="preserve"> </v>
      </c>
      <c r="BL30" s="58">
        <f t="shared" si="33"/>
        <v>0</v>
      </c>
      <c r="BM30" s="58" t="str">
        <f t="shared" si="17"/>
        <v xml:space="preserve"> </v>
      </c>
      <c r="BN30" s="317" t="s">
        <v>2736</v>
      </c>
      <c r="BO30" s="68">
        <v>0</v>
      </c>
      <c r="BP30" s="68">
        <v>0</v>
      </c>
      <c r="BQ30" s="69" t="str">
        <f t="shared" si="34"/>
        <v xml:space="preserve"> </v>
      </c>
      <c r="BR30" s="58">
        <f t="shared" si="35"/>
        <v>0</v>
      </c>
      <c r="BS30" s="58" t="str">
        <f t="shared" si="36"/>
        <v xml:space="preserve"> </v>
      </c>
      <c r="BT30" s="317" t="s">
        <v>2736</v>
      </c>
      <c r="BU30" s="68">
        <v>0</v>
      </c>
      <c r="BV30" s="68">
        <v>0</v>
      </c>
      <c r="BW30" s="69" t="str">
        <f t="shared" si="18"/>
        <v xml:space="preserve"> </v>
      </c>
      <c r="BX30" s="58">
        <f t="shared" si="38"/>
        <v>0</v>
      </c>
      <c r="BY30" s="58" t="str">
        <f t="shared" si="19"/>
        <v xml:space="preserve"> </v>
      </c>
      <c r="BZ30" s="317" t="s">
        <v>2736</v>
      </c>
      <c r="CA30" s="68">
        <v>0</v>
      </c>
      <c r="CB30" s="68">
        <v>1</v>
      </c>
      <c r="CC30" s="69">
        <f>IF(CB30=0," ",CA30/CB30)</f>
        <v>0</v>
      </c>
      <c r="CD30" s="58">
        <f t="shared" si="37"/>
        <v>0.11</v>
      </c>
      <c r="CE30" s="58">
        <f>IF(CB30=0," ",CC30/CD30)</f>
        <v>0</v>
      </c>
      <c r="CF30" s="2106"/>
      <c r="CG30" s="68">
        <v>0</v>
      </c>
      <c r="CH30" s="68">
        <v>0</v>
      </c>
      <c r="CI30" s="69" t="str">
        <f>IF(CH30=0," ",CG30/CH30)</f>
        <v xml:space="preserve"> </v>
      </c>
      <c r="CJ30" s="58">
        <f>+U30</f>
        <v>0</v>
      </c>
      <c r="CK30" s="58"/>
      <c r="CL30" s="317" t="s">
        <v>702</v>
      </c>
      <c r="CM30" s="21">
        <v>0</v>
      </c>
      <c r="CN30" s="21">
        <v>0</v>
      </c>
      <c r="CO30" s="22" t="str">
        <f t="shared" si="29"/>
        <v xml:space="preserve"> </v>
      </c>
      <c r="CP30" s="58">
        <f t="shared" si="39"/>
        <v>0</v>
      </c>
      <c r="CQ30" s="24" t="str">
        <f t="shared" si="30"/>
        <v xml:space="preserve"> </v>
      </c>
      <c r="CR30" s="317" t="s">
        <v>702</v>
      </c>
      <c r="CS30" s="68">
        <f t="shared" si="24"/>
        <v>0</v>
      </c>
      <c r="CT30" s="68">
        <v>1</v>
      </c>
      <c r="CU30" s="69">
        <f t="shared" si="40"/>
        <v>0</v>
      </c>
      <c r="CV30" s="535">
        <f t="shared" si="25"/>
        <v>0.15</v>
      </c>
      <c r="CW30" s="58">
        <f t="shared" si="41"/>
        <v>0</v>
      </c>
      <c r="CX30" s="2106"/>
    </row>
    <row r="31" spans="1:103" s="126" customFormat="1" ht="36">
      <c r="A31" s="1431"/>
      <c r="B31" s="13" t="s">
        <v>416</v>
      </c>
      <c r="C31" s="348">
        <v>17</v>
      </c>
      <c r="D31" s="13" t="s">
        <v>2804</v>
      </c>
      <c r="E31" s="13" t="s">
        <v>713</v>
      </c>
      <c r="F31" s="13" t="s">
        <v>603</v>
      </c>
      <c r="G31" s="349" t="s">
        <v>53</v>
      </c>
      <c r="H31" s="13" t="s">
        <v>604</v>
      </c>
      <c r="I31" s="349" t="s">
        <v>605</v>
      </c>
      <c r="J31" s="8" t="s">
        <v>714</v>
      </c>
      <c r="K31" s="7"/>
      <c r="L31" s="7"/>
      <c r="M31" s="12"/>
      <c r="N31" s="7"/>
      <c r="O31" s="7"/>
      <c r="P31" s="1438"/>
      <c r="Q31" s="1438"/>
      <c r="R31" s="1438"/>
      <c r="S31" s="1449"/>
      <c r="T31" s="1449"/>
      <c r="U31" s="1449"/>
      <c r="V31" s="1449"/>
      <c r="W31" s="1433">
        <f t="shared" si="9"/>
        <v>0</v>
      </c>
      <c r="X31" s="80"/>
      <c r="Y31" s="68">
        <v>0</v>
      </c>
      <c r="Z31" s="68">
        <v>0</v>
      </c>
      <c r="AA31" s="1439" t="str">
        <f t="shared" si="10"/>
        <v xml:space="preserve"> </v>
      </c>
      <c r="AB31" s="58">
        <f t="shared" si="11"/>
        <v>0</v>
      </c>
      <c r="AC31" s="58" t="str">
        <f t="shared" si="12"/>
        <v xml:space="preserve"> </v>
      </c>
      <c r="AD31" s="65" t="s">
        <v>2736</v>
      </c>
      <c r="AE31" s="68">
        <v>0</v>
      </c>
      <c r="AF31" s="68">
        <v>0</v>
      </c>
      <c r="AG31" s="69" t="str">
        <f t="shared" si="26"/>
        <v xml:space="preserve"> </v>
      </c>
      <c r="AH31" s="58">
        <f t="shared" si="31"/>
        <v>0</v>
      </c>
      <c r="AI31" s="58" t="str">
        <f t="shared" si="27"/>
        <v xml:space="preserve"> </v>
      </c>
      <c r="AJ31" s="65" t="s">
        <v>2736</v>
      </c>
      <c r="AK31" s="68">
        <v>0</v>
      </c>
      <c r="AL31" s="68">
        <v>0</v>
      </c>
      <c r="AM31" s="69" t="str">
        <f t="shared" si="13"/>
        <v xml:space="preserve"> </v>
      </c>
      <c r="AN31" s="58">
        <f t="shared" si="28"/>
        <v>0</v>
      </c>
      <c r="AO31" s="58" t="str">
        <f t="shared" si="14"/>
        <v xml:space="preserve"> </v>
      </c>
      <c r="AP31" s="65" t="s">
        <v>2736</v>
      </c>
      <c r="AQ31" s="68">
        <v>0</v>
      </c>
      <c r="AR31" s="68">
        <v>0</v>
      </c>
      <c r="AS31" s="69" t="str">
        <f t="shared" si="7"/>
        <v xml:space="preserve"> </v>
      </c>
      <c r="AT31" s="58">
        <f t="shared" si="32"/>
        <v>0</v>
      </c>
      <c r="AU31" s="58"/>
      <c r="AV31" s="65" t="s">
        <v>2736</v>
      </c>
      <c r="AW31" s="68">
        <v>0</v>
      </c>
      <c r="AX31" s="68">
        <v>0</v>
      </c>
      <c r="AY31" s="69" t="str">
        <f t="shared" si="5"/>
        <v xml:space="preserve"> </v>
      </c>
      <c r="AZ31" s="58">
        <f>+T31</f>
        <v>0</v>
      </c>
      <c r="BA31" s="58"/>
      <c r="BB31" s="65" t="s">
        <v>2736</v>
      </c>
      <c r="BC31" s="68">
        <v>0</v>
      </c>
      <c r="BD31" s="68">
        <v>0</v>
      </c>
      <c r="BE31" s="69" t="str">
        <f t="shared" si="15"/>
        <v xml:space="preserve"> </v>
      </c>
      <c r="BF31" s="535">
        <f>+P31</f>
        <v>0</v>
      </c>
      <c r="BG31" s="58"/>
      <c r="BH31" s="65" t="s">
        <v>2736</v>
      </c>
      <c r="BI31" s="68">
        <v>0</v>
      </c>
      <c r="BJ31" s="68">
        <v>0</v>
      </c>
      <c r="BK31" s="69" t="str">
        <f t="shared" si="16"/>
        <v xml:space="preserve"> </v>
      </c>
      <c r="BL31" s="58">
        <f t="shared" si="33"/>
        <v>0</v>
      </c>
      <c r="BM31" s="58" t="str">
        <f t="shared" si="17"/>
        <v xml:space="preserve"> </v>
      </c>
      <c r="BN31" s="317" t="s">
        <v>2736</v>
      </c>
      <c r="BO31" s="68">
        <v>0</v>
      </c>
      <c r="BP31" s="68">
        <v>0</v>
      </c>
      <c r="BQ31" s="69" t="str">
        <f t="shared" si="34"/>
        <v xml:space="preserve"> </v>
      </c>
      <c r="BR31" s="58">
        <f t="shared" si="35"/>
        <v>0</v>
      </c>
      <c r="BS31" s="58" t="str">
        <f t="shared" si="36"/>
        <v xml:space="preserve"> </v>
      </c>
      <c r="BT31" s="317" t="s">
        <v>2736</v>
      </c>
      <c r="BU31" s="68">
        <v>0</v>
      </c>
      <c r="BV31" s="68">
        <v>0</v>
      </c>
      <c r="BW31" s="69" t="str">
        <f t="shared" si="18"/>
        <v xml:space="preserve"> </v>
      </c>
      <c r="BX31" s="58">
        <f t="shared" si="38"/>
        <v>0</v>
      </c>
      <c r="BY31" s="58" t="str">
        <f t="shared" si="19"/>
        <v xml:space="preserve"> </v>
      </c>
      <c r="BZ31" s="317" t="s">
        <v>2736</v>
      </c>
      <c r="CA31" s="68">
        <v>0</v>
      </c>
      <c r="CB31" s="68">
        <v>0</v>
      </c>
      <c r="CC31" s="69" t="str">
        <f>IF(CB31=0," ",CA31/CB31)</f>
        <v xml:space="preserve"> </v>
      </c>
      <c r="CD31" s="1450">
        <f t="shared" si="37"/>
        <v>0</v>
      </c>
      <c r="CE31" s="58" t="str">
        <f>IF(CB31=0," ",CC31/CD31)</f>
        <v xml:space="preserve"> </v>
      </c>
      <c r="CF31" s="317" t="s">
        <v>2805</v>
      </c>
      <c r="CG31" s="68">
        <v>0</v>
      </c>
      <c r="CH31" s="68">
        <v>0</v>
      </c>
      <c r="CI31" s="69" t="str">
        <f>IF(CH31=0," ",CG31/CH31)</f>
        <v xml:space="preserve"> </v>
      </c>
      <c r="CJ31" s="58">
        <f>+Z31</f>
        <v>0</v>
      </c>
      <c r="CK31" s="58" t="str">
        <f>IF(CH31=0," ",CI31/CJ31)</f>
        <v xml:space="preserve"> </v>
      </c>
      <c r="CL31" s="317" t="s">
        <v>2806</v>
      </c>
      <c r="CM31" s="21">
        <v>0</v>
      </c>
      <c r="CN31" s="21">
        <v>0</v>
      </c>
      <c r="CO31" s="22" t="str">
        <f t="shared" si="29"/>
        <v xml:space="preserve"> </v>
      </c>
      <c r="CP31" s="58">
        <f t="shared" si="39"/>
        <v>0</v>
      </c>
      <c r="CQ31" s="24" t="str">
        <f t="shared" si="30"/>
        <v xml:space="preserve"> </v>
      </c>
      <c r="CR31" s="317" t="s">
        <v>2806</v>
      </c>
      <c r="CS31" s="68">
        <f t="shared" si="24"/>
        <v>0</v>
      </c>
      <c r="CT31" s="68">
        <v>0</v>
      </c>
      <c r="CU31" s="69" t="str">
        <f t="shared" si="40"/>
        <v xml:space="preserve"> </v>
      </c>
      <c r="CV31" s="535">
        <f t="shared" si="25"/>
        <v>0</v>
      </c>
      <c r="CW31" s="58" t="str">
        <f t="shared" si="41"/>
        <v xml:space="preserve"> </v>
      </c>
      <c r="CX31" s="101" t="s">
        <v>716</v>
      </c>
    </row>
    <row r="32" spans="1:103" s="126" customFormat="1" ht="53.25" customHeight="1">
      <c r="A32" s="1431"/>
      <c r="B32" s="2423" t="s">
        <v>590</v>
      </c>
      <c r="C32" s="2209">
        <v>18</v>
      </c>
      <c r="D32" s="2455" t="s">
        <v>2807</v>
      </c>
      <c r="E32" s="2455" t="s">
        <v>539</v>
      </c>
      <c r="F32" s="2455" t="s">
        <v>540</v>
      </c>
      <c r="G32" s="2112" t="s">
        <v>53</v>
      </c>
      <c r="H32" s="2455" t="s">
        <v>541</v>
      </c>
      <c r="I32" s="2423" t="s">
        <v>2808</v>
      </c>
      <c r="J32" s="1451" t="s">
        <v>54</v>
      </c>
      <c r="K32" s="7"/>
      <c r="L32" s="7"/>
      <c r="M32" s="12">
        <v>0.5</v>
      </c>
      <c r="N32" s="14"/>
      <c r="O32" s="74"/>
      <c r="P32" s="14"/>
      <c r="Q32" s="386"/>
      <c r="R32" s="14"/>
      <c r="S32" s="14"/>
      <c r="T32" s="74">
        <v>1</v>
      </c>
      <c r="U32" s="14"/>
      <c r="V32" s="14"/>
      <c r="W32" s="83">
        <v>1</v>
      </c>
      <c r="X32" s="80"/>
      <c r="Y32" s="68">
        <v>0</v>
      </c>
      <c r="Z32" s="68">
        <v>0</v>
      </c>
      <c r="AA32" s="69" t="str">
        <f t="shared" si="10"/>
        <v xml:space="preserve"> </v>
      </c>
      <c r="AB32" s="58">
        <f t="shared" si="11"/>
        <v>0</v>
      </c>
      <c r="AC32" s="58" t="str">
        <f t="shared" si="12"/>
        <v xml:space="preserve"> </v>
      </c>
      <c r="AD32" s="65" t="s">
        <v>2736</v>
      </c>
      <c r="AE32" s="68">
        <v>0</v>
      </c>
      <c r="AF32" s="68">
        <v>0</v>
      </c>
      <c r="AG32" s="69" t="str">
        <f t="shared" si="26"/>
        <v xml:space="preserve"> </v>
      </c>
      <c r="AH32" s="58">
        <f t="shared" si="31"/>
        <v>0</v>
      </c>
      <c r="AI32" s="58" t="str">
        <f t="shared" si="27"/>
        <v xml:space="preserve"> </v>
      </c>
      <c r="AJ32" s="65" t="s">
        <v>2736</v>
      </c>
      <c r="AK32" s="68">
        <v>2</v>
      </c>
      <c r="AL32" s="68">
        <v>1</v>
      </c>
      <c r="AM32" s="69">
        <f>IF(AL32=0," ",AK32/AL32)</f>
        <v>2</v>
      </c>
      <c r="AN32" s="1434">
        <v>2</v>
      </c>
      <c r="AO32" s="58">
        <f>IF(AL32=0," ",AM32/AN32)</f>
        <v>1</v>
      </c>
      <c r="AP32" s="65" t="s">
        <v>2809</v>
      </c>
      <c r="AQ32" s="68">
        <v>0</v>
      </c>
      <c r="AR32" s="68">
        <v>0</v>
      </c>
      <c r="AS32" s="69" t="str">
        <f t="shared" si="7"/>
        <v xml:space="preserve"> </v>
      </c>
      <c r="AT32" s="58">
        <f t="shared" si="32"/>
        <v>0</v>
      </c>
      <c r="AU32" s="58"/>
      <c r="AV32" s="65" t="s">
        <v>2736</v>
      </c>
      <c r="AW32" s="68">
        <v>0</v>
      </c>
      <c r="AX32" s="68">
        <v>0</v>
      </c>
      <c r="AY32" s="69" t="str">
        <f t="shared" si="5"/>
        <v xml:space="preserve"> </v>
      </c>
      <c r="AZ32" s="58">
        <f>+T32</f>
        <v>1</v>
      </c>
      <c r="BA32" s="58"/>
      <c r="BB32" s="65" t="s">
        <v>2736</v>
      </c>
      <c r="BC32" s="68">
        <v>0</v>
      </c>
      <c r="BD32" s="68">
        <v>0</v>
      </c>
      <c r="BE32" s="69" t="str">
        <f t="shared" si="15"/>
        <v xml:space="preserve"> </v>
      </c>
      <c r="BF32" s="535">
        <f>+P32</f>
        <v>0</v>
      </c>
      <c r="BG32" s="58"/>
      <c r="BH32" s="65" t="s">
        <v>2736</v>
      </c>
      <c r="BI32" s="68">
        <v>0</v>
      </c>
      <c r="BJ32" s="68">
        <v>0</v>
      </c>
      <c r="BK32" s="69" t="str">
        <f t="shared" si="16"/>
        <v xml:space="preserve"> </v>
      </c>
      <c r="BL32" s="58">
        <f t="shared" si="33"/>
        <v>0</v>
      </c>
      <c r="BM32" s="58" t="str">
        <f t="shared" si="17"/>
        <v xml:space="preserve"> </v>
      </c>
      <c r="BN32" s="317" t="s">
        <v>2736</v>
      </c>
      <c r="BO32" s="68">
        <v>0</v>
      </c>
      <c r="BP32" s="68">
        <v>0</v>
      </c>
      <c r="BQ32" s="69" t="str">
        <f t="shared" si="34"/>
        <v xml:space="preserve"> </v>
      </c>
      <c r="BR32" s="58">
        <f t="shared" si="35"/>
        <v>0</v>
      </c>
      <c r="BS32" s="58" t="str">
        <f t="shared" si="36"/>
        <v xml:space="preserve"> </v>
      </c>
      <c r="BT32" s="317" t="s">
        <v>2736</v>
      </c>
      <c r="BU32" s="68">
        <v>0</v>
      </c>
      <c r="BV32" s="68">
        <v>0</v>
      </c>
      <c r="BW32" s="69" t="str">
        <f t="shared" si="18"/>
        <v xml:space="preserve"> </v>
      </c>
      <c r="BX32" s="58">
        <f t="shared" si="38"/>
        <v>0</v>
      </c>
      <c r="BY32" s="58" t="str">
        <f t="shared" si="19"/>
        <v xml:space="preserve"> </v>
      </c>
      <c r="BZ32" s="317" t="s">
        <v>2736</v>
      </c>
      <c r="CA32" s="68">
        <v>1</v>
      </c>
      <c r="CB32" s="68">
        <v>1</v>
      </c>
      <c r="CC32" s="69">
        <f>IF(CB32=0," ",CA32/CB32)</f>
        <v>1</v>
      </c>
      <c r="CD32" s="1434">
        <v>2</v>
      </c>
      <c r="CE32" s="58">
        <f>IF(CB32=0," ",CC32/CD32)</f>
        <v>0.5</v>
      </c>
      <c r="CF32" s="101" t="s">
        <v>2810</v>
      </c>
      <c r="CG32" s="68">
        <v>0</v>
      </c>
      <c r="CH32" s="68">
        <v>0</v>
      </c>
      <c r="CI32" s="69" t="str">
        <f>IF(CH32=0," ",CG32/CH32)</f>
        <v xml:space="preserve"> </v>
      </c>
      <c r="CJ32" s="58">
        <f>+Z32</f>
        <v>0</v>
      </c>
      <c r="CK32" s="58" t="str">
        <f>IF(CH32=0," ",CI32/CJ32)</f>
        <v xml:space="preserve"> </v>
      </c>
      <c r="CL32" s="317" t="s">
        <v>2736</v>
      </c>
      <c r="CM32" s="21">
        <v>0</v>
      </c>
      <c r="CN32" s="21">
        <v>0</v>
      </c>
      <c r="CO32" s="22" t="str">
        <f t="shared" si="29"/>
        <v xml:space="preserve"> </v>
      </c>
      <c r="CP32" s="58">
        <f t="shared" si="39"/>
        <v>0</v>
      </c>
      <c r="CQ32" s="24" t="str">
        <f t="shared" si="30"/>
        <v xml:space="preserve"> </v>
      </c>
      <c r="CR32" s="317" t="s">
        <v>2811</v>
      </c>
      <c r="CS32" s="68">
        <f t="shared" si="24"/>
        <v>3</v>
      </c>
      <c r="CT32" s="68">
        <v>1</v>
      </c>
      <c r="CU32" s="1442">
        <f t="shared" si="40"/>
        <v>3</v>
      </c>
      <c r="CV32" s="535">
        <f>+W33</f>
        <v>4</v>
      </c>
      <c r="CW32" s="58">
        <f t="shared" si="41"/>
        <v>0.75</v>
      </c>
      <c r="CX32" s="65" t="s">
        <v>2812</v>
      </c>
    </row>
    <row r="33" spans="1:102" s="126" customFormat="1" ht="12.75" customHeight="1">
      <c r="A33" s="1431"/>
      <c r="B33" s="2424"/>
      <c r="C33" s="2210"/>
      <c r="D33" s="2456"/>
      <c r="E33" s="2456"/>
      <c r="F33" s="2456"/>
      <c r="G33" s="2112"/>
      <c r="H33" s="2456"/>
      <c r="I33" s="2424"/>
      <c r="J33" s="1437" t="s">
        <v>556</v>
      </c>
      <c r="K33" s="7"/>
      <c r="L33" s="7"/>
      <c r="M33" s="1213">
        <v>2</v>
      </c>
      <c r="N33" s="7"/>
      <c r="O33" s="7"/>
      <c r="P33" s="14"/>
      <c r="Q33" s="386"/>
      <c r="R33" s="14"/>
      <c r="S33" s="14"/>
      <c r="T33" s="7">
        <v>2</v>
      </c>
      <c r="U33" s="1438"/>
      <c r="V33" s="14"/>
      <c r="W33" s="1433">
        <f>SUM(K33:V33)</f>
        <v>4</v>
      </c>
      <c r="X33" s="80"/>
      <c r="Y33" s="68"/>
      <c r="Z33" s="68"/>
      <c r="AA33" s="69"/>
      <c r="AB33" s="58"/>
      <c r="AC33" s="58"/>
      <c r="AD33" s="65"/>
      <c r="AE33" s="68"/>
      <c r="AF33" s="68"/>
      <c r="AG33" s="69"/>
      <c r="AH33" s="58"/>
      <c r="AI33" s="58"/>
      <c r="AJ33" s="65"/>
      <c r="AK33" s="68"/>
      <c r="AL33" s="68"/>
      <c r="AM33" s="69"/>
      <c r="AN33" s="58"/>
      <c r="AO33" s="58"/>
      <c r="AP33" s="65"/>
      <c r="AQ33" s="68"/>
      <c r="AR33" s="68"/>
      <c r="AS33" s="69"/>
      <c r="AT33" s="58"/>
      <c r="AU33" s="58"/>
      <c r="AV33" s="65"/>
      <c r="AW33" s="68"/>
      <c r="AX33" s="68"/>
      <c r="AY33" s="69"/>
      <c r="AZ33" s="58"/>
      <c r="BA33" s="58"/>
      <c r="BB33" s="65"/>
      <c r="BC33" s="68"/>
      <c r="BD33" s="68"/>
      <c r="BE33" s="69"/>
      <c r="BF33" s="58"/>
      <c r="BG33" s="58"/>
      <c r="BH33" s="65"/>
      <c r="BI33" s="68"/>
      <c r="BJ33" s="68"/>
      <c r="BK33" s="69"/>
      <c r="BL33" s="58"/>
      <c r="BM33" s="58"/>
      <c r="BN33" s="65"/>
      <c r="BO33" s="68"/>
      <c r="BP33" s="68"/>
      <c r="BQ33" s="69"/>
      <c r="BR33" s="58"/>
      <c r="BS33" s="58"/>
      <c r="BT33" s="65"/>
      <c r="BU33" s="68"/>
      <c r="BV33" s="68"/>
      <c r="BW33" s="69"/>
      <c r="BX33" s="58"/>
      <c r="BY33" s="58"/>
      <c r="BZ33" s="65"/>
      <c r="CA33" s="68"/>
      <c r="CB33" s="68"/>
      <c r="CC33" s="69"/>
      <c r="CD33" s="58"/>
      <c r="CE33" s="58"/>
      <c r="CF33" s="65"/>
      <c r="CG33" s="68"/>
      <c r="CH33" s="68"/>
      <c r="CI33" s="69"/>
      <c r="CJ33" s="58"/>
      <c r="CK33" s="58"/>
      <c r="CL33" s="65"/>
      <c r="CM33" s="68"/>
      <c r="CN33" s="68"/>
      <c r="CO33" s="69"/>
      <c r="CP33" s="58"/>
      <c r="CQ33" s="58"/>
      <c r="CR33" s="65"/>
      <c r="CS33" s="68"/>
      <c r="CT33" s="68"/>
      <c r="CU33" s="69"/>
      <c r="CV33" s="58"/>
      <c r="CW33" s="58"/>
      <c r="CX33" s="65"/>
    </row>
    <row r="34" spans="1:102" s="126" customFormat="1" ht="47.25" customHeight="1">
      <c r="A34" s="1431"/>
      <c r="B34" s="2423" t="s">
        <v>590</v>
      </c>
      <c r="C34" s="2209">
        <v>19</v>
      </c>
      <c r="D34" s="2455" t="s">
        <v>2813</v>
      </c>
      <c r="E34" s="2112" t="s">
        <v>559</v>
      </c>
      <c r="F34" s="2111" t="s">
        <v>560</v>
      </c>
      <c r="G34" s="2112" t="s">
        <v>53</v>
      </c>
      <c r="H34" s="2455" t="s">
        <v>561</v>
      </c>
      <c r="I34" s="2423" t="s">
        <v>2814</v>
      </c>
      <c r="J34" s="8" t="s">
        <v>54</v>
      </c>
      <c r="K34" s="7"/>
      <c r="L34" s="7"/>
      <c r="M34" s="12"/>
      <c r="N34" s="14"/>
      <c r="O34" s="7"/>
      <c r="P34" s="14">
        <v>0.5</v>
      </c>
      <c r="Q34" s="386"/>
      <c r="R34" s="14"/>
      <c r="S34" s="14"/>
      <c r="T34" s="14">
        <v>1</v>
      </c>
      <c r="U34" s="14"/>
      <c r="V34" s="14"/>
      <c r="W34" s="83">
        <v>1</v>
      </c>
      <c r="X34" s="80"/>
      <c r="Y34" s="68">
        <v>0</v>
      </c>
      <c r="Z34" s="68">
        <v>0</v>
      </c>
      <c r="AA34" s="69" t="str">
        <f>IF(Z34=0," ",Y34/Z34)</f>
        <v xml:space="preserve"> </v>
      </c>
      <c r="AB34" s="58">
        <f>+K34</f>
        <v>0</v>
      </c>
      <c r="AC34" s="58" t="str">
        <f>IF(Z34=0," ",AA34/AB34)</f>
        <v xml:space="preserve"> </v>
      </c>
      <c r="AD34" s="65" t="s">
        <v>2736</v>
      </c>
      <c r="AE34" s="68">
        <v>0</v>
      </c>
      <c r="AF34" s="68">
        <v>0</v>
      </c>
      <c r="AG34" s="69" t="str">
        <f>IF(AF34=0," ",AE34/AF34)</f>
        <v xml:space="preserve"> </v>
      </c>
      <c r="AH34" s="58">
        <f>+L34</f>
        <v>0</v>
      </c>
      <c r="AI34" s="58" t="str">
        <f>IF(AF34=0," ",AG34/AH34)</f>
        <v xml:space="preserve"> </v>
      </c>
      <c r="AJ34" s="65" t="s">
        <v>2736</v>
      </c>
      <c r="AK34" s="68">
        <v>0</v>
      </c>
      <c r="AL34" s="68">
        <v>0</v>
      </c>
      <c r="AM34" s="69" t="str">
        <f>IF(AL34=0," ",AK34/AL34)</f>
        <v xml:space="preserve"> </v>
      </c>
      <c r="AN34" s="58">
        <f>+M34</f>
        <v>0</v>
      </c>
      <c r="AO34" s="58" t="str">
        <f>IF(AL34=0," ",AM34/AN34)</f>
        <v xml:space="preserve"> </v>
      </c>
      <c r="AP34" s="65" t="s">
        <v>2736</v>
      </c>
      <c r="AQ34" s="68">
        <v>0</v>
      </c>
      <c r="AR34" s="68">
        <v>0</v>
      </c>
      <c r="AS34" s="69" t="str">
        <f>IF(AR34=0," ",AQ34/AR34)</f>
        <v xml:space="preserve"> </v>
      </c>
      <c r="AT34" s="58">
        <f>+N34</f>
        <v>0</v>
      </c>
      <c r="AU34" s="58"/>
      <c r="AV34" s="65" t="s">
        <v>2736</v>
      </c>
      <c r="AW34" s="68">
        <v>0</v>
      </c>
      <c r="AX34" s="68">
        <v>0</v>
      </c>
      <c r="AY34" s="69" t="str">
        <f>IF(AX34=0," ",AW34/AX34)</f>
        <v xml:space="preserve"> </v>
      </c>
      <c r="AZ34" s="58">
        <f>+T34</f>
        <v>1</v>
      </c>
      <c r="BA34" s="58" t="str">
        <f>IF(AX34=0," ",AY34/AZ34)</f>
        <v xml:space="preserve"> </v>
      </c>
      <c r="BB34" s="2457" t="s">
        <v>2736</v>
      </c>
      <c r="BC34" s="1444">
        <v>1</v>
      </c>
      <c r="BD34" s="68">
        <v>1</v>
      </c>
      <c r="BE34" s="1447">
        <f>IF(BD34=0," ",BC34/BD34)</f>
        <v>1</v>
      </c>
      <c r="BF34" s="1440">
        <v>1</v>
      </c>
      <c r="BG34" s="58">
        <f>IF(BD34=0," ",BE34/BF34)</f>
        <v>1</v>
      </c>
      <c r="BH34" s="65" t="s">
        <v>2815</v>
      </c>
      <c r="BI34" s="68">
        <v>0</v>
      </c>
      <c r="BJ34" s="68">
        <v>0</v>
      </c>
      <c r="BK34" s="69" t="str">
        <f>IF(BJ34=0," ",BI34/BJ34)</f>
        <v xml:space="preserve"> </v>
      </c>
      <c r="BL34" s="58">
        <f>+V34</f>
        <v>0</v>
      </c>
      <c r="BM34" s="58" t="str">
        <f>IF(BJ34=0," ",BK34/BL34)</f>
        <v xml:space="preserve"> </v>
      </c>
      <c r="BN34" s="317" t="s">
        <v>2736</v>
      </c>
      <c r="BO34" s="68">
        <v>0</v>
      </c>
      <c r="BP34" s="68">
        <v>0</v>
      </c>
      <c r="BQ34" s="69" t="str">
        <f>IF(BP34=0," ",BO34/BP34)</f>
        <v xml:space="preserve"> </v>
      </c>
      <c r="BR34" s="58">
        <f>+AB34</f>
        <v>0</v>
      </c>
      <c r="BS34" s="58" t="str">
        <f>IF(BP34=0," ",BQ34/BR34)</f>
        <v xml:space="preserve"> </v>
      </c>
      <c r="BT34" s="317" t="s">
        <v>2736</v>
      </c>
      <c r="BU34" s="68">
        <v>0</v>
      </c>
      <c r="BV34" s="68">
        <v>0</v>
      </c>
      <c r="BW34" s="69" t="str">
        <f>IF(BV34=0," ",BU34/BV34)</f>
        <v xml:space="preserve"> </v>
      </c>
      <c r="BX34" s="58">
        <f>+AH34</f>
        <v>0</v>
      </c>
      <c r="BY34" s="58" t="str">
        <f>IF(BV34=0," ",BW34/BX34)</f>
        <v xml:space="preserve"> </v>
      </c>
      <c r="BZ34" s="317" t="s">
        <v>2736</v>
      </c>
      <c r="CA34" s="68">
        <v>1</v>
      </c>
      <c r="CB34" s="68">
        <v>1</v>
      </c>
      <c r="CC34" s="69">
        <f>IF(CB34=0," ",CA34/CB34)</f>
        <v>1</v>
      </c>
      <c r="CD34" s="1434">
        <v>1</v>
      </c>
      <c r="CE34" s="58">
        <f>IF(CB34=0," ",CC34/CD34)</f>
        <v>1</v>
      </c>
      <c r="CF34" s="65" t="s">
        <v>566</v>
      </c>
      <c r="CG34" s="68">
        <v>0</v>
      </c>
      <c r="CH34" s="68">
        <v>0</v>
      </c>
      <c r="CI34" s="69" t="str">
        <f>IF(CH34=0," ",CG34/CH34)</f>
        <v xml:space="preserve"> </v>
      </c>
      <c r="CJ34" s="58">
        <f>+Z34</f>
        <v>0</v>
      </c>
      <c r="CK34" s="58" t="str">
        <f>IF(CH34=0," ",CI34/CJ34)</f>
        <v xml:space="preserve"> </v>
      </c>
      <c r="CL34" s="315" t="s">
        <v>2816</v>
      </c>
      <c r="CM34" s="21">
        <v>0</v>
      </c>
      <c r="CN34" s="21">
        <v>0</v>
      </c>
      <c r="CO34" s="22" t="str">
        <f>IF(CN34=0," ",CM34/CN34)</f>
        <v xml:space="preserve"> </v>
      </c>
      <c r="CP34" s="58">
        <f>+V34</f>
        <v>0</v>
      </c>
      <c r="CQ34" s="24" t="str">
        <f>IF(CN34=0," ",CO34/CP34)</f>
        <v xml:space="preserve"> </v>
      </c>
      <c r="CR34" s="317" t="s">
        <v>2736</v>
      </c>
      <c r="CS34" s="58">
        <v>1</v>
      </c>
      <c r="CT34" s="68">
        <v>1</v>
      </c>
      <c r="CU34" s="69">
        <f>IF(CT34=0," ",CS34/CT34)</f>
        <v>1</v>
      </c>
      <c r="CV34" s="58">
        <v>1</v>
      </c>
      <c r="CW34" s="58">
        <f>IF(CT34=0," ",CU34/CV34)</f>
        <v>1</v>
      </c>
      <c r="CX34" s="65" t="s">
        <v>2817</v>
      </c>
    </row>
    <row r="35" spans="1:102" s="126" customFormat="1">
      <c r="A35" s="1431"/>
      <c r="B35" s="2424"/>
      <c r="C35" s="2210"/>
      <c r="D35" s="2456"/>
      <c r="E35" s="2112"/>
      <c r="F35" s="2111"/>
      <c r="G35" s="2112"/>
      <c r="H35" s="2456"/>
      <c r="I35" s="2424"/>
      <c r="J35" s="1437" t="s">
        <v>556</v>
      </c>
      <c r="K35" s="7"/>
      <c r="L35" s="7"/>
      <c r="M35" s="12"/>
      <c r="N35" s="1438"/>
      <c r="O35" s="7"/>
      <c r="P35" s="1438">
        <v>1</v>
      </c>
      <c r="Q35" s="386"/>
      <c r="R35" s="1438"/>
      <c r="S35" s="14"/>
      <c r="T35" s="1438">
        <v>1</v>
      </c>
      <c r="U35" s="1438"/>
      <c r="V35" s="1438"/>
      <c r="W35" s="1433">
        <f>SUM(K35:V35)</f>
        <v>2</v>
      </c>
      <c r="X35" s="80"/>
      <c r="Y35" s="68"/>
      <c r="Z35" s="68"/>
      <c r="AA35" s="69"/>
      <c r="AB35" s="58"/>
      <c r="AC35" s="58"/>
      <c r="AD35" s="65"/>
      <c r="AE35" s="68"/>
      <c r="AF35" s="68"/>
      <c r="AG35" s="69"/>
      <c r="AH35" s="58"/>
      <c r="AI35" s="58"/>
      <c r="AJ35" s="65"/>
      <c r="AK35" s="68"/>
      <c r="AL35" s="68"/>
      <c r="AM35" s="69"/>
      <c r="AN35" s="58"/>
      <c r="AO35" s="58"/>
      <c r="AP35" s="65"/>
      <c r="AQ35" s="68"/>
      <c r="AR35" s="68"/>
      <c r="AS35" s="69"/>
      <c r="AT35" s="58"/>
      <c r="AU35" s="58"/>
      <c r="AV35" s="65"/>
      <c r="AW35" s="21"/>
      <c r="AX35" s="21"/>
      <c r="AY35" s="22" t="str">
        <f>IF(AX35=0," ",AW35/AX35)</f>
        <v xml:space="preserve"> </v>
      </c>
      <c r="AZ35" s="58"/>
      <c r="BA35" s="24" t="str">
        <f>IF(AX35=0," ",AY35/AZ35)</f>
        <v xml:space="preserve"> </v>
      </c>
      <c r="BB35" s="2458"/>
      <c r="BC35" s="68"/>
      <c r="BD35" s="68"/>
      <c r="BE35" s="69"/>
      <c r="BF35" s="58"/>
      <c r="BG35" s="58"/>
      <c r="BH35" s="65"/>
      <c r="BI35" s="68"/>
      <c r="BJ35" s="68"/>
      <c r="BK35" s="69"/>
      <c r="BL35" s="58"/>
      <c r="BM35" s="58"/>
      <c r="BN35" s="65"/>
      <c r="BO35" s="68"/>
      <c r="BP35" s="68"/>
      <c r="BQ35" s="69"/>
      <c r="BR35" s="58"/>
      <c r="BS35" s="58"/>
      <c r="BT35" s="65"/>
      <c r="BU35" s="68"/>
      <c r="BV35" s="68"/>
      <c r="BW35" s="69"/>
      <c r="BX35" s="58"/>
      <c r="BY35" s="58"/>
      <c r="BZ35" s="65"/>
      <c r="CA35" s="68"/>
      <c r="CB35" s="68"/>
      <c r="CC35" s="69"/>
      <c r="CD35" s="58"/>
      <c r="CE35" s="58"/>
      <c r="CF35" s="65"/>
      <c r="CG35" s="68"/>
      <c r="CH35" s="68"/>
      <c r="CI35" s="69"/>
      <c r="CJ35" s="58"/>
      <c r="CK35" s="58"/>
      <c r="CL35" s="65"/>
      <c r="CM35" s="68"/>
      <c r="CN35" s="68"/>
      <c r="CO35" s="69"/>
      <c r="CP35" s="58"/>
      <c r="CQ35" s="58"/>
      <c r="CR35" s="65"/>
      <c r="CS35" s="68"/>
      <c r="CT35" s="68"/>
      <c r="CU35" s="69"/>
      <c r="CV35" s="58"/>
      <c r="CW35" s="58"/>
      <c r="CX35" s="65"/>
    </row>
    <row r="36" spans="1:102" s="126" customFormat="1" ht="42.75" customHeight="1">
      <c r="A36" s="1431"/>
      <c r="B36" s="2423" t="s">
        <v>590</v>
      </c>
      <c r="C36" s="2209">
        <v>20</v>
      </c>
      <c r="D36" s="2455" t="s">
        <v>2818</v>
      </c>
      <c r="E36" s="2112" t="s">
        <v>559</v>
      </c>
      <c r="F36" s="2111" t="s">
        <v>560</v>
      </c>
      <c r="G36" s="2112" t="s">
        <v>53</v>
      </c>
      <c r="H36" s="2455" t="s">
        <v>2819</v>
      </c>
      <c r="I36" s="2423" t="s">
        <v>2820</v>
      </c>
      <c r="J36" s="8" t="s">
        <v>54</v>
      </c>
      <c r="K36" s="7"/>
      <c r="L36" s="7"/>
      <c r="M36" s="12"/>
      <c r="N36" s="14"/>
      <c r="O36" s="7"/>
      <c r="P36" s="14">
        <v>0.5</v>
      </c>
      <c r="Q36" s="386"/>
      <c r="R36" s="14"/>
      <c r="S36" s="14"/>
      <c r="T36" s="14">
        <v>1</v>
      </c>
      <c r="U36" s="14"/>
      <c r="V36" s="14"/>
      <c r="W36" s="83">
        <v>1</v>
      </c>
      <c r="X36" s="80"/>
      <c r="Y36" s="68">
        <v>0</v>
      </c>
      <c r="Z36" s="68">
        <v>0</v>
      </c>
      <c r="AA36" s="69" t="str">
        <f>IF(Z36=0," ",Y36/Z36)</f>
        <v xml:space="preserve"> </v>
      </c>
      <c r="AB36" s="58">
        <f>+K36</f>
        <v>0</v>
      </c>
      <c r="AC36" s="58" t="str">
        <f>IF(Z36=0," ",AA36/AB36)</f>
        <v xml:space="preserve"> </v>
      </c>
      <c r="AD36" s="65" t="s">
        <v>2736</v>
      </c>
      <c r="AE36" s="68">
        <v>0</v>
      </c>
      <c r="AF36" s="68">
        <v>0</v>
      </c>
      <c r="AG36" s="69" t="str">
        <f>IF(AF36=0," ",AE36/AF36)</f>
        <v xml:space="preserve"> </v>
      </c>
      <c r="AH36" s="58">
        <f>+L36</f>
        <v>0</v>
      </c>
      <c r="AI36" s="58" t="str">
        <f>IF(AF36=0," ",AG36/AH36)</f>
        <v xml:space="preserve"> </v>
      </c>
      <c r="AJ36" s="65" t="s">
        <v>2736</v>
      </c>
      <c r="AK36" s="68">
        <v>0</v>
      </c>
      <c r="AL36" s="68">
        <v>0</v>
      </c>
      <c r="AM36" s="69" t="str">
        <f>IF(AL36=0," ",AK36/AL36)</f>
        <v xml:space="preserve"> </v>
      </c>
      <c r="AN36" s="58">
        <f>+M36</f>
        <v>0</v>
      </c>
      <c r="AO36" s="58" t="str">
        <f>IF(AL36=0," ",AM36/AN36)</f>
        <v xml:space="preserve"> </v>
      </c>
      <c r="AP36" s="65" t="s">
        <v>2736</v>
      </c>
      <c r="AQ36" s="68">
        <v>0</v>
      </c>
      <c r="AR36" s="68">
        <v>0</v>
      </c>
      <c r="AS36" s="69" t="str">
        <f>IF(AR36=0," ",AQ36/AR36)</f>
        <v xml:space="preserve"> </v>
      </c>
      <c r="AT36" s="58">
        <f>+N36</f>
        <v>0</v>
      </c>
      <c r="AU36" s="58"/>
      <c r="AV36" s="65" t="s">
        <v>2736</v>
      </c>
      <c r="AW36" s="68">
        <v>0</v>
      </c>
      <c r="AX36" s="68">
        <v>0</v>
      </c>
      <c r="AY36" s="69" t="str">
        <f>IF(AX36=0," ",AW36/AX36)</f>
        <v xml:space="preserve"> </v>
      </c>
      <c r="AZ36" s="58">
        <f>+T36</f>
        <v>1</v>
      </c>
      <c r="BA36" s="58" t="str">
        <f>IF(AX36=0," ",AY36/AZ36)</f>
        <v xml:space="preserve"> </v>
      </c>
      <c r="BB36" s="2457" t="s">
        <v>2736</v>
      </c>
      <c r="BC36" s="68">
        <v>0</v>
      </c>
      <c r="BD36" s="68">
        <v>100</v>
      </c>
      <c r="BE36" s="69">
        <f>IF(BD36=0," ",BC36/BD36)</f>
        <v>0</v>
      </c>
      <c r="BF36" s="700">
        <f>+P36</f>
        <v>0.5</v>
      </c>
      <c r="BG36" s="58">
        <f>IF(BD36=0," ",BE36/BF36)</f>
        <v>0</v>
      </c>
      <c r="BH36" s="101" t="s">
        <v>2821</v>
      </c>
      <c r="BI36" s="68">
        <v>0</v>
      </c>
      <c r="BJ36" s="68">
        <v>0</v>
      </c>
      <c r="BK36" s="69" t="str">
        <f>IF(BJ36=0," ",BI36/BJ36)</f>
        <v xml:space="preserve"> </v>
      </c>
      <c r="BL36" s="58">
        <f>+V36</f>
        <v>0</v>
      </c>
      <c r="BM36" s="58" t="str">
        <f>IF(BJ36=0," ",BK36/BL36)</f>
        <v xml:space="preserve"> </v>
      </c>
      <c r="BN36" s="317" t="s">
        <v>2736</v>
      </c>
      <c r="BO36" s="68">
        <v>0</v>
      </c>
      <c r="BP36" s="68">
        <v>0</v>
      </c>
      <c r="BQ36" s="69" t="str">
        <f>IF(BP36=0," ",BO36/BP36)</f>
        <v xml:space="preserve"> </v>
      </c>
      <c r="BR36" s="58">
        <f>+AB36</f>
        <v>0</v>
      </c>
      <c r="BS36" s="58" t="str">
        <f>IF(BP36=0," ",BQ36/BR36)</f>
        <v xml:space="preserve"> </v>
      </c>
      <c r="BT36" s="317" t="s">
        <v>2822</v>
      </c>
      <c r="BU36" s="68">
        <v>0</v>
      </c>
      <c r="BV36" s="68">
        <v>0</v>
      </c>
      <c r="BW36" s="69" t="str">
        <f>IF(BV36=0," ",BU36/BV36)</f>
        <v xml:space="preserve"> </v>
      </c>
      <c r="BX36" s="58">
        <f>+AH36</f>
        <v>0</v>
      </c>
      <c r="BY36" s="58" t="str">
        <f>IF(BV36=0," ",BW36/BX36)</f>
        <v xml:space="preserve"> </v>
      </c>
      <c r="BZ36" s="317" t="s">
        <v>2736</v>
      </c>
      <c r="CA36" s="68">
        <v>0</v>
      </c>
      <c r="CB36" s="68">
        <v>1</v>
      </c>
      <c r="CC36" s="69">
        <f>IF(CB36=0," ",CA36/CB36)</f>
        <v>0</v>
      </c>
      <c r="CD36" s="58">
        <f>+T36</f>
        <v>1</v>
      </c>
      <c r="CE36" s="58">
        <f>IF(CB36=0," ",CC36/CD36)</f>
        <v>0</v>
      </c>
      <c r="CF36" s="101" t="s">
        <v>2823</v>
      </c>
      <c r="CG36" s="68">
        <v>0</v>
      </c>
      <c r="CH36" s="68">
        <v>0</v>
      </c>
      <c r="CI36" s="69" t="str">
        <f>IF(CH36=0," ",CG36/CH36)</f>
        <v xml:space="preserve"> </v>
      </c>
      <c r="CJ36" s="58">
        <f>+Z36</f>
        <v>0</v>
      </c>
      <c r="CK36" s="58" t="str">
        <f>IF(CH36=0," ",CI36/CJ36)</f>
        <v xml:space="preserve"> </v>
      </c>
      <c r="CL36" s="315" t="s">
        <v>702</v>
      </c>
      <c r="CM36" s="21">
        <v>1</v>
      </c>
      <c r="CN36" s="21">
        <v>1</v>
      </c>
      <c r="CO36" s="22">
        <f>IF(CN36=0," ",CM36/CN36)</f>
        <v>1</v>
      </c>
      <c r="CP36" s="58">
        <v>1</v>
      </c>
      <c r="CQ36" s="24">
        <f>IF(CN36=0," ",CO36/CP36)</f>
        <v>1</v>
      </c>
      <c r="CR36" s="317" t="s">
        <v>2824</v>
      </c>
      <c r="CS36" s="68">
        <f>+Y36+AE36+AK36+AQ36+AW36+BC36+BI36+BO36+BU36+CA36+CG36+CM36</f>
        <v>1</v>
      </c>
      <c r="CT36" s="68">
        <v>1</v>
      </c>
      <c r="CU36" s="1442">
        <f>IF(CT36=0," ",CS36/CT36)</f>
        <v>1</v>
      </c>
      <c r="CV36" s="1434">
        <v>2</v>
      </c>
      <c r="CW36" s="58">
        <f>IF(CT36=0," ",CU36/CV36)</f>
        <v>0.5</v>
      </c>
      <c r="CX36" s="65" t="s">
        <v>2825</v>
      </c>
    </row>
    <row r="37" spans="1:102" s="126" customFormat="1">
      <c r="A37" s="1431"/>
      <c r="B37" s="2424"/>
      <c r="C37" s="2210"/>
      <c r="D37" s="2456"/>
      <c r="E37" s="2112"/>
      <c r="F37" s="2111"/>
      <c r="G37" s="2112"/>
      <c r="H37" s="2456"/>
      <c r="I37" s="2424"/>
      <c r="J37" s="1437" t="s">
        <v>556</v>
      </c>
      <c r="K37" s="7"/>
      <c r="L37" s="7"/>
      <c r="M37" s="12"/>
      <c r="N37" s="1438"/>
      <c r="O37" s="7"/>
      <c r="P37" s="1438">
        <v>1</v>
      </c>
      <c r="Q37" s="386"/>
      <c r="R37" s="1438"/>
      <c r="S37" s="14"/>
      <c r="T37" s="1438">
        <v>1</v>
      </c>
      <c r="U37" s="1438"/>
      <c r="V37" s="1438"/>
      <c r="W37" s="1433">
        <f>SUM(K37:V37)</f>
        <v>2</v>
      </c>
      <c r="X37" s="80"/>
      <c r="Y37" s="68"/>
      <c r="Z37" s="68"/>
      <c r="AA37" s="69"/>
      <c r="AB37" s="58"/>
      <c r="AC37" s="58"/>
      <c r="AD37" s="65"/>
      <c r="AE37" s="68"/>
      <c r="AF37" s="68"/>
      <c r="AG37" s="69"/>
      <c r="AH37" s="58"/>
      <c r="AI37" s="58"/>
      <c r="AJ37" s="65"/>
      <c r="AK37" s="68"/>
      <c r="AL37" s="68"/>
      <c r="AM37" s="69"/>
      <c r="AN37" s="58"/>
      <c r="AO37" s="58"/>
      <c r="AP37" s="65"/>
      <c r="AQ37" s="68"/>
      <c r="AR37" s="68"/>
      <c r="AS37" s="69"/>
      <c r="AT37" s="58"/>
      <c r="AU37" s="58"/>
      <c r="AV37" s="65"/>
      <c r="AW37" s="21"/>
      <c r="AX37" s="21"/>
      <c r="AY37" s="22" t="str">
        <f>IF(AX37=0," ",AW37/AX37)</f>
        <v xml:space="preserve"> </v>
      </c>
      <c r="AZ37" s="58"/>
      <c r="BA37" s="24" t="str">
        <f>IF(AX37=0," ",AY37/AZ37)</f>
        <v xml:space="preserve"> </v>
      </c>
      <c r="BB37" s="2458"/>
      <c r="BC37" s="68"/>
      <c r="BD37" s="68"/>
      <c r="BE37" s="69"/>
      <c r="BF37" s="58"/>
      <c r="BG37" s="58"/>
      <c r="BH37" s="65"/>
      <c r="BI37" s="68"/>
      <c r="BJ37" s="68"/>
      <c r="BK37" s="69"/>
      <c r="BL37" s="58"/>
      <c r="BM37" s="58"/>
      <c r="BN37" s="65"/>
      <c r="BO37" s="68"/>
      <c r="BP37" s="68"/>
      <c r="BQ37" s="69"/>
      <c r="BR37" s="58"/>
      <c r="BS37" s="58"/>
      <c r="BT37" s="65"/>
      <c r="BU37" s="68"/>
      <c r="BV37" s="68"/>
      <c r="BW37" s="69"/>
      <c r="BX37" s="58"/>
      <c r="BY37" s="58"/>
      <c r="BZ37" s="65"/>
      <c r="CA37" s="68"/>
      <c r="CB37" s="68"/>
      <c r="CC37" s="69"/>
      <c r="CD37" s="58"/>
      <c r="CE37" s="58"/>
      <c r="CF37" s="65"/>
      <c r="CG37" s="68"/>
      <c r="CH37" s="68"/>
      <c r="CI37" s="69"/>
      <c r="CJ37" s="58"/>
      <c r="CK37" s="58"/>
      <c r="CL37" s="65"/>
      <c r="CM37" s="68"/>
      <c r="CN37" s="68"/>
      <c r="CO37" s="69"/>
      <c r="CP37" s="58"/>
      <c r="CQ37" s="58"/>
      <c r="CR37" s="65"/>
      <c r="CS37" s="68"/>
      <c r="CT37" s="68"/>
      <c r="CU37" s="69"/>
      <c r="CV37" s="58"/>
      <c r="CW37" s="58"/>
      <c r="CX37" s="65"/>
    </row>
    <row r="38" spans="1:102" s="1465" customFormat="1" ht="14.25" customHeight="1">
      <c r="A38" s="1452"/>
      <c r="B38" s="1453"/>
      <c r="C38" s="1454"/>
      <c r="D38" s="1455"/>
      <c r="E38" s="1455"/>
      <c r="F38" s="1454"/>
      <c r="G38" s="1454"/>
      <c r="H38" s="1455" t="s">
        <v>49</v>
      </c>
      <c r="I38" s="1454"/>
      <c r="J38" s="1454"/>
      <c r="K38" s="1456"/>
      <c r="L38" s="1456"/>
      <c r="M38" s="1457"/>
      <c r="N38" s="1456"/>
      <c r="O38" s="1456"/>
      <c r="P38" s="1458"/>
      <c r="Q38" s="1458"/>
      <c r="R38" s="1458"/>
      <c r="S38" s="1458"/>
      <c r="T38" s="1458"/>
      <c r="U38" s="83"/>
      <c r="V38" s="1459"/>
      <c r="W38" s="1458"/>
      <c r="X38" s="1454"/>
      <c r="Y38" s="1460"/>
      <c r="Z38" s="1460"/>
      <c r="AA38" s="1461"/>
      <c r="AB38" s="1462"/>
      <c r="AC38" s="1462"/>
      <c r="AD38" s="1463"/>
      <c r="AE38" s="1463"/>
      <c r="AF38" s="1460"/>
      <c r="AG38" s="1460"/>
      <c r="AH38" s="1461"/>
      <c r="AI38" s="1462"/>
      <c r="AJ38" s="1462"/>
      <c r="AK38" s="1463"/>
      <c r="AL38" s="1460"/>
      <c r="AM38" s="1460"/>
      <c r="AN38" s="1461"/>
      <c r="AO38" s="1462"/>
      <c r="AP38" s="1462"/>
      <c r="AQ38" s="1460"/>
      <c r="AR38" s="1460"/>
      <c r="AS38" s="1461"/>
      <c r="AT38" s="1462"/>
      <c r="AU38" s="1462"/>
      <c r="AV38" s="1464"/>
      <c r="AW38" s="1463"/>
      <c r="AX38" s="1460"/>
      <c r="AY38" s="1460"/>
      <c r="AZ38" s="1461"/>
      <c r="BA38" s="1462"/>
      <c r="BB38" s="1462"/>
      <c r="BC38" s="1460"/>
      <c r="BD38" s="1460"/>
      <c r="BE38" s="1461"/>
      <c r="BF38" s="1462"/>
      <c r="BG38" s="1462"/>
      <c r="BH38" s="1464"/>
      <c r="BI38" s="1463"/>
      <c r="BJ38" s="1460"/>
      <c r="BK38" s="1460"/>
      <c r="BL38" s="1461"/>
      <c r="BM38" s="1462"/>
      <c r="BN38" s="1462"/>
      <c r="BO38" s="1460"/>
      <c r="BP38" s="1460"/>
      <c r="BQ38" s="1461"/>
      <c r="BR38" s="1462"/>
      <c r="BS38" s="1462"/>
      <c r="BT38" s="1464"/>
      <c r="BU38" s="1463"/>
      <c r="BV38" s="1460"/>
      <c r="BW38" s="1460"/>
      <c r="BX38" s="1461"/>
      <c r="BY38" s="1462"/>
      <c r="BZ38" s="1462"/>
      <c r="CA38" s="1460"/>
      <c r="CB38" s="1460"/>
      <c r="CC38" s="1461"/>
      <c r="CD38" s="1462"/>
      <c r="CE38" s="1462"/>
      <c r="CF38" s="1464"/>
      <c r="CG38" s="1463"/>
      <c r="CH38" s="1460"/>
      <c r="CI38" s="1460"/>
      <c r="CJ38" s="1461"/>
      <c r="CK38" s="1462"/>
      <c r="CL38" s="1462"/>
      <c r="CM38" s="1460"/>
      <c r="CN38" s="1460"/>
      <c r="CO38" s="1461"/>
      <c r="CP38" s="1462"/>
      <c r="CQ38" s="1462"/>
      <c r="CR38" s="1464"/>
      <c r="CS38" s="1463"/>
      <c r="CT38" s="1460"/>
      <c r="CU38" s="1460"/>
      <c r="CV38" s="1461"/>
      <c r="CW38" s="1462"/>
      <c r="CX38" s="1462"/>
    </row>
    <row r="39" spans="1:102" s="126" customFormat="1" ht="45">
      <c r="A39" s="1431"/>
      <c r="B39" s="8" t="s">
        <v>155</v>
      </c>
      <c r="C39" s="8" t="s">
        <v>156</v>
      </c>
      <c r="D39" s="13" t="s">
        <v>157</v>
      </c>
      <c r="E39" s="13" t="s">
        <v>158</v>
      </c>
      <c r="F39" s="8" t="s">
        <v>251</v>
      </c>
      <c r="G39" s="8" t="s">
        <v>53</v>
      </c>
      <c r="H39" s="13" t="s">
        <v>160</v>
      </c>
      <c r="I39" s="8" t="s">
        <v>161</v>
      </c>
      <c r="J39" s="8" t="s">
        <v>54</v>
      </c>
      <c r="K39" s="2463" t="s">
        <v>2826</v>
      </c>
      <c r="L39" s="2464"/>
      <c r="M39" s="2464"/>
      <c r="N39" s="2464"/>
      <c r="O39" s="2464"/>
      <c r="P39" s="2464"/>
      <c r="Q39" s="2464"/>
      <c r="R39" s="2464"/>
      <c r="S39" s="2464"/>
      <c r="T39" s="2464"/>
      <c r="U39" s="2464"/>
      <c r="V39" s="2465"/>
      <c r="W39" s="81"/>
      <c r="X39" s="80" t="s">
        <v>259</v>
      </c>
      <c r="Y39" s="68"/>
      <c r="Z39" s="68"/>
      <c r="AA39" s="69" t="str">
        <f t="shared" ref="AA39:AA46" si="42">IF(Z39=0," ",Y39/Z39)</f>
        <v xml:space="preserve"> </v>
      </c>
      <c r="AB39" s="58"/>
      <c r="AC39" s="58" t="str">
        <f t="shared" ref="AC39:AC46" si="43">IF(Z39=0," ",AA39/AB39)</f>
        <v xml:space="preserve"> </v>
      </c>
      <c r="AD39" s="101" t="s">
        <v>2826</v>
      </c>
      <c r="AE39" s="68"/>
      <c r="AF39" s="68"/>
      <c r="AG39" s="69" t="str">
        <f t="shared" ref="AG39:AG46" si="44">IF(AF39=0," ",AE39/AF39)</f>
        <v xml:space="preserve"> </v>
      </c>
      <c r="AH39" s="58"/>
      <c r="AI39" s="58" t="str">
        <f t="shared" ref="AI39:AI46" si="45">IF(AF39=0," ",AG39/AH39)</f>
        <v xml:space="preserve"> </v>
      </c>
      <c r="AJ39" s="101" t="s">
        <v>2826</v>
      </c>
      <c r="AK39" s="68"/>
      <c r="AL39" s="68"/>
      <c r="AM39" s="69" t="str">
        <f t="shared" ref="AM39:AM46" si="46">IF(AL39=0," ",AK39/AL39)</f>
        <v xml:space="preserve"> </v>
      </c>
      <c r="AN39" s="58"/>
      <c r="AO39" s="58" t="str">
        <f t="shared" ref="AO39:AO46" si="47">IF(AL39=0," ",AM39/AN39)</f>
        <v xml:space="preserve"> </v>
      </c>
      <c r="AP39" s="101" t="s">
        <v>2826</v>
      </c>
      <c r="AQ39" s="68"/>
      <c r="AR39" s="68"/>
      <c r="AS39" s="69" t="str">
        <f t="shared" ref="AS39:AS46" si="48">IF(AR39=0," ",AQ39/AR39)</f>
        <v xml:space="preserve"> </v>
      </c>
      <c r="AT39" s="58"/>
      <c r="AU39" s="58" t="str">
        <f t="shared" ref="AU39:AU46" si="49">IF(AR39=0," ",AS39/AT39)</f>
        <v xml:space="preserve"> </v>
      </c>
      <c r="AV39" s="65"/>
      <c r="AW39" s="68"/>
      <c r="AX39" s="68"/>
      <c r="AY39" s="69" t="str">
        <f t="shared" ref="AY39:AY46" si="50">IF(AX39=0," ",AW39/AX39)</f>
        <v xml:space="preserve"> </v>
      </c>
      <c r="AZ39" s="58"/>
      <c r="BA39" s="58" t="str">
        <f t="shared" ref="BA39:BA46" si="51">IF(AX39=0," ",AY39/AZ39)</f>
        <v xml:space="preserve"> </v>
      </c>
      <c r="BB39" s="65" t="str">
        <f>+K39</f>
        <v>ESTE REPORTE ES REALIZADO POR LA DIRECCION TÉCNICA DE CONSTRUCCIONES</v>
      </c>
      <c r="BC39" s="68"/>
      <c r="BD39" s="68"/>
      <c r="BE39" s="69" t="str">
        <f t="shared" ref="BE39:BE46" si="52">IF(BD39=0," ",BC39/BD39)</f>
        <v xml:space="preserve"> </v>
      </c>
      <c r="BF39" s="58"/>
      <c r="BG39" s="58" t="str">
        <f t="shared" ref="BG39:BG46" si="53">IF(BD39=0," ",BE39/BF39)</f>
        <v xml:space="preserve"> </v>
      </c>
      <c r="BH39" s="315" t="s">
        <v>2826</v>
      </c>
      <c r="BI39" s="68"/>
      <c r="BJ39" s="68"/>
      <c r="BK39" s="69" t="str">
        <f t="shared" ref="BK39:BK46" si="54">IF(BJ39=0," ",BI39/BJ39)</f>
        <v xml:space="preserve"> </v>
      </c>
      <c r="BL39" s="58"/>
      <c r="BM39" s="58" t="str">
        <f t="shared" ref="BM39:BM46" si="55">IF(BJ39=0," ",BK39/BL39)</f>
        <v xml:space="preserve"> </v>
      </c>
      <c r="BN39" s="315" t="s">
        <v>2826</v>
      </c>
      <c r="BO39" s="68"/>
      <c r="BP39" s="68"/>
      <c r="BQ39" s="69" t="str">
        <f t="shared" ref="BQ39:BQ46" si="56">IF(BP39=0," ",BO39/BP39)</f>
        <v xml:space="preserve"> </v>
      </c>
      <c r="BR39" s="58"/>
      <c r="BS39" s="58" t="str">
        <f t="shared" ref="BS39:BS46" si="57">IF(BP39=0," ",BQ39/BR39)</f>
        <v xml:space="preserve"> </v>
      </c>
      <c r="BT39" s="315" t="s">
        <v>2826</v>
      </c>
      <c r="BU39" s="68"/>
      <c r="BV39" s="68"/>
      <c r="BW39" s="69" t="str">
        <f t="shared" ref="BW39:BW46" si="58">IF(BV39=0," ",BU39/BV39)</f>
        <v xml:space="preserve"> </v>
      </c>
      <c r="BX39" s="58"/>
      <c r="BY39" s="58" t="str">
        <f t="shared" ref="BY39:BY46" si="59">IF(BV39=0," ",BW39/BX39)</f>
        <v xml:space="preserve"> </v>
      </c>
      <c r="BZ39" s="315" t="s">
        <v>2826</v>
      </c>
      <c r="CA39" s="68"/>
      <c r="CB39" s="68"/>
      <c r="CC39" s="69" t="str">
        <f t="shared" ref="CC39:CC46" si="60">IF(CB39=0," ",CA39/CB39)</f>
        <v xml:space="preserve"> </v>
      </c>
      <c r="CD39" s="58"/>
      <c r="CE39" s="58" t="str">
        <f t="shared" ref="CE39:CE46" si="61">IF(CB39=0," ",CC39/CD39)</f>
        <v xml:space="preserve"> </v>
      </c>
      <c r="CF39" s="315" t="s">
        <v>2826</v>
      </c>
      <c r="CG39" s="68"/>
      <c r="CH39" s="68"/>
      <c r="CI39" s="69" t="str">
        <f t="shared" ref="CI39:CI46" si="62">IF(CH39=0," ",CG39/CH39)</f>
        <v xml:space="preserve"> </v>
      </c>
      <c r="CJ39" s="58"/>
      <c r="CK39" s="58" t="str">
        <f t="shared" ref="CK39:CK46" si="63">IF(CH39=0," ",CI39/CJ39)</f>
        <v xml:space="preserve"> </v>
      </c>
      <c r="CL39" s="315" t="s">
        <v>2826</v>
      </c>
      <c r="CM39" s="68"/>
      <c r="CN39" s="68"/>
      <c r="CO39" s="69" t="str">
        <f t="shared" ref="CO39:CO46" si="64">IF(CN39=0," ",CM39/CN39)</f>
        <v xml:space="preserve"> </v>
      </c>
      <c r="CP39" s="58"/>
      <c r="CQ39" s="58" t="str">
        <f t="shared" ref="CQ39:CQ46" si="65">IF(CN39=0," ",CO39/CP39)</f>
        <v xml:space="preserve"> </v>
      </c>
      <c r="CR39" s="315" t="s">
        <v>2826</v>
      </c>
      <c r="CS39" s="68"/>
      <c r="CT39" s="68"/>
      <c r="CU39" s="69" t="str">
        <f t="shared" ref="CU39:CU46" si="66">IF(CT39=0," ",CS39/CT39)</f>
        <v xml:space="preserve"> </v>
      </c>
      <c r="CV39" s="58"/>
      <c r="CW39" s="58" t="str">
        <f t="shared" ref="CW39:CW46" si="67">IF(CT39=0," ",CU39/CV39)</f>
        <v xml:space="preserve"> </v>
      </c>
      <c r="CX39" s="101" t="s">
        <v>2826</v>
      </c>
    </row>
    <row r="40" spans="1:102" ht="60.75" customHeight="1">
      <c r="A40" s="893"/>
      <c r="B40" s="8" t="s">
        <v>55</v>
      </c>
      <c r="C40" s="8" t="s">
        <v>89</v>
      </c>
      <c r="D40" s="8" t="s">
        <v>56</v>
      </c>
      <c r="E40" s="8" t="s">
        <v>57</v>
      </c>
      <c r="F40" s="403" t="s">
        <v>58</v>
      </c>
      <c r="G40" s="8" t="s">
        <v>53</v>
      </c>
      <c r="H40" s="403" t="s">
        <v>258</v>
      </c>
      <c r="I40" s="8" t="s">
        <v>60</v>
      </c>
      <c r="J40" s="135" t="s">
        <v>54</v>
      </c>
      <c r="K40" s="7"/>
      <c r="L40" s="7"/>
      <c r="M40" s="12">
        <v>1</v>
      </c>
      <c r="N40" s="7"/>
      <c r="O40" s="7"/>
      <c r="P40" s="12">
        <v>1</v>
      </c>
      <c r="Q40" s="12"/>
      <c r="R40" s="7"/>
      <c r="S40" s="12">
        <v>1</v>
      </c>
      <c r="T40" s="12"/>
      <c r="U40" s="7"/>
      <c r="V40" s="12">
        <v>1</v>
      </c>
      <c r="W40" s="1466">
        <v>1</v>
      </c>
      <c r="X40" s="636" t="s">
        <v>259</v>
      </c>
      <c r="Y40" s="21"/>
      <c r="Z40" s="21"/>
      <c r="AA40" s="22" t="str">
        <f t="shared" si="42"/>
        <v xml:space="preserve"> </v>
      </c>
      <c r="AB40" s="58"/>
      <c r="AC40" s="24" t="str">
        <f t="shared" si="43"/>
        <v xml:space="preserve"> </v>
      </c>
      <c r="AD40" s="1205" t="s">
        <v>2736</v>
      </c>
      <c r="AE40" s="21"/>
      <c r="AF40" s="21"/>
      <c r="AG40" s="22" t="str">
        <f t="shared" si="44"/>
        <v xml:space="preserve"> </v>
      </c>
      <c r="AH40" s="58"/>
      <c r="AI40" s="24" t="str">
        <f t="shared" si="45"/>
        <v xml:space="preserve"> </v>
      </c>
      <c r="AJ40" s="1205" t="s">
        <v>2736</v>
      </c>
      <c r="AK40" s="21">
        <v>0</v>
      </c>
      <c r="AL40" s="21">
        <v>1</v>
      </c>
      <c r="AM40" s="22">
        <f t="shared" si="46"/>
        <v>0</v>
      </c>
      <c r="AN40" s="58">
        <v>1</v>
      </c>
      <c r="AO40" s="24">
        <f t="shared" si="47"/>
        <v>0</v>
      </c>
      <c r="AP40" s="101" t="s">
        <v>2827</v>
      </c>
      <c r="AQ40" s="21"/>
      <c r="AR40" s="21"/>
      <c r="AS40" s="22" t="str">
        <f t="shared" si="48"/>
        <v xml:space="preserve"> </v>
      </c>
      <c r="AT40" s="58"/>
      <c r="AU40" s="24" t="str">
        <f t="shared" si="49"/>
        <v xml:space="preserve"> </v>
      </c>
      <c r="AV40" s="65" t="s">
        <v>2736</v>
      </c>
      <c r="AW40" s="21"/>
      <c r="AX40" s="21"/>
      <c r="AY40" s="22" t="str">
        <f t="shared" si="50"/>
        <v xml:space="preserve"> </v>
      </c>
      <c r="AZ40" s="58"/>
      <c r="BA40" s="24" t="str">
        <f t="shared" si="51"/>
        <v xml:space="preserve"> </v>
      </c>
      <c r="BB40" s="65" t="s">
        <v>2736</v>
      </c>
      <c r="BC40" s="68">
        <v>0</v>
      </c>
      <c r="BD40" s="68">
        <v>1</v>
      </c>
      <c r="BE40" s="1447">
        <f t="shared" si="52"/>
        <v>0</v>
      </c>
      <c r="BF40" s="1436">
        <f>+P40</f>
        <v>1</v>
      </c>
      <c r="BG40" s="24">
        <f t="shared" si="53"/>
        <v>0</v>
      </c>
      <c r="BH40" s="1345" t="s">
        <v>2828</v>
      </c>
      <c r="BI40" s="21"/>
      <c r="BJ40" s="21"/>
      <c r="BK40" s="22" t="str">
        <f t="shared" si="54"/>
        <v xml:space="preserve"> </v>
      </c>
      <c r="BL40" s="58"/>
      <c r="BM40" s="24" t="str">
        <f t="shared" si="55"/>
        <v xml:space="preserve"> </v>
      </c>
      <c r="BN40" s="1205" t="s">
        <v>2736</v>
      </c>
      <c r="BO40" s="21">
        <v>0</v>
      </c>
      <c r="BP40" s="21">
        <v>0</v>
      </c>
      <c r="BQ40" s="22" t="str">
        <f t="shared" si="56"/>
        <v xml:space="preserve"> </v>
      </c>
      <c r="BR40" s="58">
        <f>+AB40</f>
        <v>0</v>
      </c>
      <c r="BS40" s="24" t="str">
        <f t="shared" si="57"/>
        <v xml:space="preserve"> </v>
      </c>
      <c r="BT40" s="1432" t="s">
        <v>2736</v>
      </c>
      <c r="BU40" s="21">
        <v>0</v>
      </c>
      <c r="BV40" s="21">
        <v>1</v>
      </c>
      <c r="BW40" s="22">
        <f>IF(BV40=0," ",BU40/BV40)</f>
        <v>0</v>
      </c>
      <c r="BX40" s="58">
        <f>+S40</f>
        <v>1</v>
      </c>
      <c r="BY40" s="24">
        <f>IF(BV40=0," ",BW40/BX40)</f>
        <v>0</v>
      </c>
      <c r="BZ40" s="315" t="s">
        <v>2829</v>
      </c>
      <c r="CA40" s="21"/>
      <c r="CB40" s="21"/>
      <c r="CC40" s="22" t="str">
        <f t="shared" si="60"/>
        <v xml:space="preserve"> </v>
      </c>
      <c r="CD40" s="58"/>
      <c r="CE40" s="24" t="str">
        <f t="shared" si="61"/>
        <v xml:space="preserve"> </v>
      </c>
      <c r="CF40" s="25" t="s">
        <v>2736</v>
      </c>
      <c r="CG40" s="21"/>
      <c r="CH40" s="21"/>
      <c r="CI40" s="22" t="str">
        <f t="shared" si="62"/>
        <v xml:space="preserve"> </v>
      </c>
      <c r="CJ40" s="58"/>
      <c r="CK40" s="24" t="str">
        <f t="shared" si="63"/>
        <v xml:space="preserve"> </v>
      </c>
      <c r="CL40" s="1205" t="s">
        <v>2736</v>
      </c>
      <c r="CM40" s="68">
        <v>0</v>
      </c>
      <c r="CN40" s="68">
        <v>1</v>
      </c>
      <c r="CO40" s="69">
        <f>IF(CN40=0," ",CM40/CN40)</f>
        <v>0</v>
      </c>
      <c r="CP40" s="58">
        <f>+V40</f>
        <v>1</v>
      </c>
      <c r="CQ40" s="58">
        <f>IF(CN40=0," ",CO40/CP40)</f>
        <v>0</v>
      </c>
      <c r="CR40" s="315" t="s">
        <v>326</v>
      </c>
      <c r="CS40" s="68">
        <f>+Y40+AE40+AK40+AQ40+AW40+BC40+BI40+BO40+BU40+CA40+CG40+CM40</f>
        <v>0</v>
      </c>
      <c r="CT40" s="21">
        <v>100</v>
      </c>
      <c r="CU40" s="22">
        <f t="shared" si="66"/>
        <v>0</v>
      </c>
      <c r="CV40" s="700">
        <f>+W40</f>
        <v>1</v>
      </c>
      <c r="CW40" s="24">
        <f t="shared" si="67"/>
        <v>0</v>
      </c>
      <c r="CX40" s="315" t="s">
        <v>327</v>
      </c>
    </row>
    <row r="41" spans="1:102" s="126" customFormat="1" ht="70.5" customHeight="1">
      <c r="A41" s="1431"/>
      <c r="B41" s="8" t="s">
        <v>55</v>
      </c>
      <c r="C41" s="8" t="s">
        <v>88</v>
      </c>
      <c r="D41" s="8" t="s">
        <v>61</v>
      </c>
      <c r="E41" s="8" t="s">
        <v>57</v>
      </c>
      <c r="F41" s="403" t="s">
        <v>62</v>
      </c>
      <c r="G41" s="8" t="s">
        <v>53</v>
      </c>
      <c r="H41" s="8" t="s">
        <v>63</v>
      </c>
      <c r="I41" s="8" t="s">
        <v>64</v>
      </c>
      <c r="J41" s="135" t="s">
        <v>54</v>
      </c>
      <c r="K41" s="713"/>
      <c r="L41" s="714">
        <v>1</v>
      </c>
      <c r="M41" s="714"/>
      <c r="N41" s="714">
        <v>1</v>
      </c>
      <c r="O41" s="713"/>
      <c r="P41" s="60">
        <v>1</v>
      </c>
      <c r="Q41" s="715"/>
      <c r="R41" s="60">
        <v>1</v>
      </c>
      <c r="S41" s="715"/>
      <c r="T41" s="60">
        <v>1</v>
      </c>
      <c r="U41" s="716"/>
      <c r="V41" s="60">
        <v>1</v>
      </c>
      <c r="W41" s="1467">
        <v>1</v>
      </c>
      <c r="X41" s="1247" t="s">
        <v>259</v>
      </c>
      <c r="Y41" s="68"/>
      <c r="Z41" s="68"/>
      <c r="AA41" s="69" t="str">
        <f t="shared" si="42"/>
        <v xml:space="preserve"> </v>
      </c>
      <c r="AB41" s="58"/>
      <c r="AC41" s="58" t="str">
        <f t="shared" si="43"/>
        <v xml:space="preserve"> </v>
      </c>
      <c r="AD41" s="315" t="s">
        <v>2736</v>
      </c>
      <c r="AE41" s="68">
        <v>3</v>
      </c>
      <c r="AF41" s="68">
        <v>3</v>
      </c>
      <c r="AG41" s="69">
        <f t="shared" si="44"/>
        <v>1</v>
      </c>
      <c r="AH41" s="58">
        <v>1</v>
      </c>
      <c r="AI41" s="58">
        <f t="shared" si="45"/>
        <v>1</v>
      </c>
      <c r="AJ41" s="101" t="s">
        <v>2830</v>
      </c>
      <c r="AK41" s="68"/>
      <c r="AL41" s="68"/>
      <c r="AM41" s="69" t="str">
        <f t="shared" si="46"/>
        <v xml:space="preserve"> </v>
      </c>
      <c r="AN41" s="58"/>
      <c r="AO41" s="58" t="str">
        <f t="shared" si="47"/>
        <v xml:space="preserve"> </v>
      </c>
      <c r="AP41" s="315" t="s">
        <v>2736</v>
      </c>
      <c r="AQ41" s="58">
        <v>0</v>
      </c>
      <c r="AR41" s="68">
        <v>1</v>
      </c>
      <c r="AS41" s="69">
        <f t="shared" si="48"/>
        <v>0</v>
      </c>
      <c r="AT41" s="58">
        <f>+N41</f>
        <v>1</v>
      </c>
      <c r="AU41" s="58">
        <f t="shared" si="49"/>
        <v>0</v>
      </c>
      <c r="AV41" s="65" t="s">
        <v>2831</v>
      </c>
      <c r="AW41" s="68"/>
      <c r="AX41" s="68"/>
      <c r="AY41" s="69" t="str">
        <f t="shared" si="50"/>
        <v xml:space="preserve"> </v>
      </c>
      <c r="AZ41" s="58"/>
      <c r="BA41" s="58" t="str">
        <f t="shared" si="51"/>
        <v xml:space="preserve"> </v>
      </c>
      <c r="BB41" s="65" t="s">
        <v>2736</v>
      </c>
      <c r="BC41" s="68">
        <v>0</v>
      </c>
      <c r="BD41" s="68">
        <v>1</v>
      </c>
      <c r="BE41" s="1447">
        <f t="shared" si="52"/>
        <v>0</v>
      </c>
      <c r="BF41" s="1436">
        <f>+P41</f>
        <v>1</v>
      </c>
      <c r="BG41" s="58">
        <f t="shared" si="53"/>
        <v>0</v>
      </c>
      <c r="BH41" s="101" t="s">
        <v>2832</v>
      </c>
      <c r="BI41" s="68"/>
      <c r="BJ41" s="68"/>
      <c r="BK41" s="69" t="str">
        <f t="shared" si="54"/>
        <v xml:space="preserve"> </v>
      </c>
      <c r="BL41" s="58"/>
      <c r="BM41" s="58" t="str">
        <f t="shared" si="55"/>
        <v xml:space="preserve"> </v>
      </c>
      <c r="BN41" s="315" t="s">
        <v>2736</v>
      </c>
      <c r="BO41" s="68">
        <v>0</v>
      </c>
      <c r="BP41" s="68">
        <v>1</v>
      </c>
      <c r="BQ41" s="69">
        <f>IF(BP41=0," ",BO41/BP41)</f>
        <v>0</v>
      </c>
      <c r="BR41" s="58">
        <f>+R41</f>
        <v>1</v>
      </c>
      <c r="BS41" s="58">
        <f>IF(BP41=0," ",BQ41/BR41)</f>
        <v>0</v>
      </c>
      <c r="BT41" s="315" t="s">
        <v>2833</v>
      </c>
      <c r="BU41" s="68"/>
      <c r="BV41" s="68"/>
      <c r="BW41" s="69" t="str">
        <f t="shared" si="58"/>
        <v xml:space="preserve"> </v>
      </c>
      <c r="BX41" s="58"/>
      <c r="BY41" s="58" t="str">
        <f t="shared" si="59"/>
        <v xml:space="preserve"> </v>
      </c>
      <c r="BZ41" s="317" t="s">
        <v>2736</v>
      </c>
      <c r="CA41" s="68">
        <v>0</v>
      </c>
      <c r="CB41" s="68">
        <v>1</v>
      </c>
      <c r="CC41" s="69">
        <f>IF(CB41=0," ",CA41/CB41)</f>
        <v>0</v>
      </c>
      <c r="CD41" s="58">
        <f>+T41</f>
        <v>1</v>
      </c>
      <c r="CE41" s="58">
        <f>IF(CB41=0," ",CC41/CD41)</f>
        <v>0</v>
      </c>
      <c r="CF41" s="65" t="s">
        <v>2833</v>
      </c>
      <c r="CG41" s="68"/>
      <c r="CH41" s="68"/>
      <c r="CI41" s="69" t="str">
        <f t="shared" si="62"/>
        <v xml:space="preserve"> </v>
      </c>
      <c r="CJ41" s="58"/>
      <c r="CK41" s="58" t="str">
        <f t="shared" si="63"/>
        <v xml:space="preserve"> </v>
      </c>
      <c r="CL41" s="1205" t="s">
        <v>2736</v>
      </c>
      <c r="CM41" s="68">
        <v>0</v>
      </c>
      <c r="CN41" s="68">
        <v>1</v>
      </c>
      <c r="CO41" s="69">
        <f>IF(CN41=0," ",CM41/CN41)</f>
        <v>0</v>
      </c>
      <c r="CP41" s="58">
        <f>+AF41</f>
        <v>3</v>
      </c>
      <c r="CQ41" s="58">
        <f>IF(CN41=0," ",CO41/CP41)</f>
        <v>0</v>
      </c>
      <c r="CR41" s="65" t="s">
        <v>2834</v>
      </c>
      <c r="CS41" s="68">
        <f>+Y41+AE41+AK41+AQ41+AW41+BC41+BI41+BO41+BU41+CA41+CG41+CM41</f>
        <v>3</v>
      </c>
      <c r="CT41" s="21">
        <v>100</v>
      </c>
      <c r="CU41" s="22">
        <f>IF(CT41=0," ",CS41/CT41)</f>
        <v>0.03</v>
      </c>
      <c r="CV41" s="700">
        <f>+W41</f>
        <v>1</v>
      </c>
      <c r="CW41" s="58">
        <f t="shared" si="67"/>
        <v>0.03</v>
      </c>
      <c r="CX41" s="315" t="s">
        <v>2834</v>
      </c>
    </row>
    <row r="42" spans="1:102" s="126" customFormat="1" ht="57" customHeight="1">
      <c r="A42" s="1431"/>
      <c r="B42" s="391" t="s">
        <v>260</v>
      </c>
      <c r="C42" s="8" t="s">
        <v>261</v>
      </c>
      <c r="D42" s="391" t="s">
        <v>262</v>
      </c>
      <c r="E42" s="8" t="s">
        <v>263</v>
      </c>
      <c r="F42" s="391" t="s">
        <v>264</v>
      </c>
      <c r="G42" s="8" t="s">
        <v>98</v>
      </c>
      <c r="H42" s="391" t="s">
        <v>390</v>
      </c>
      <c r="I42" s="8" t="s">
        <v>267</v>
      </c>
      <c r="J42" s="8" t="s">
        <v>391</v>
      </c>
      <c r="K42" s="2463" t="s">
        <v>2826</v>
      </c>
      <c r="L42" s="2464"/>
      <c r="M42" s="2464"/>
      <c r="N42" s="2464"/>
      <c r="O42" s="2464"/>
      <c r="P42" s="2464"/>
      <c r="Q42" s="2464"/>
      <c r="R42" s="2464"/>
      <c r="S42" s="2464"/>
      <c r="T42" s="2464"/>
      <c r="U42" s="2464"/>
      <c r="V42" s="2465"/>
      <c r="W42" s="81"/>
      <c r="X42" s="1468" t="s">
        <v>2835</v>
      </c>
      <c r="Y42" s="68"/>
      <c r="Z42" s="68"/>
      <c r="AA42" s="69" t="str">
        <f t="shared" si="42"/>
        <v xml:space="preserve"> </v>
      </c>
      <c r="AB42" s="58"/>
      <c r="AC42" s="58" t="str">
        <f t="shared" si="43"/>
        <v xml:space="preserve"> </v>
      </c>
      <c r="AD42" s="101" t="str">
        <f>+K42</f>
        <v>ESTE REPORTE ES REALIZADO POR LA DIRECCION TÉCNICA DE CONSTRUCCIONES</v>
      </c>
      <c r="AE42" s="68"/>
      <c r="AF42" s="68"/>
      <c r="AG42" s="69" t="str">
        <f t="shared" si="44"/>
        <v xml:space="preserve"> </v>
      </c>
      <c r="AH42" s="58"/>
      <c r="AI42" s="58" t="str">
        <f t="shared" si="45"/>
        <v xml:space="preserve"> </v>
      </c>
      <c r="AJ42" s="101" t="s">
        <v>2826</v>
      </c>
      <c r="AK42" s="68"/>
      <c r="AL42" s="68"/>
      <c r="AM42" s="69" t="str">
        <f t="shared" si="46"/>
        <v xml:space="preserve"> </v>
      </c>
      <c r="AN42" s="58"/>
      <c r="AO42" s="58" t="str">
        <f t="shared" si="47"/>
        <v xml:space="preserve"> </v>
      </c>
      <c r="AP42" s="101" t="s">
        <v>2826</v>
      </c>
      <c r="AQ42" s="68"/>
      <c r="AR42" s="68"/>
      <c r="AS42" s="69" t="str">
        <f t="shared" si="48"/>
        <v xml:space="preserve"> </v>
      </c>
      <c r="AT42" s="58"/>
      <c r="AU42" s="58" t="str">
        <f t="shared" si="49"/>
        <v xml:space="preserve"> </v>
      </c>
      <c r="AV42" s="101" t="s">
        <v>2826</v>
      </c>
      <c r="AW42" s="68"/>
      <c r="AX42" s="68"/>
      <c r="AY42" s="69" t="str">
        <f t="shared" si="50"/>
        <v xml:space="preserve"> </v>
      </c>
      <c r="AZ42" s="58"/>
      <c r="BA42" s="58" t="str">
        <f t="shared" si="51"/>
        <v xml:space="preserve"> </v>
      </c>
      <c r="BB42" s="65" t="str">
        <f>+K42</f>
        <v>ESTE REPORTE ES REALIZADO POR LA DIRECCION TÉCNICA DE CONSTRUCCIONES</v>
      </c>
      <c r="BC42" s="68"/>
      <c r="BD42" s="68"/>
      <c r="BE42" s="69" t="str">
        <f t="shared" si="52"/>
        <v xml:space="preserve"> </v>
      </c>
      <c r="BF42" s="58"/>
      <c r="BG42" s="58" t="str">
        <f t="shared" si="53"/>
        <v xml:space="preserve"> </v>
      </c>
      <c r="BH42" s="315" t="s">
        <v>2826</v>
      </c>
      <c r="BI42" s="68"/>
      <c r="BJ42" s="68"/>
      <c r="BK42" s="69" t="str">
        <f t="shared" si="54"/>
        <v xml:space="preserve"> </v>
      </c>
      <c r="BL42" s="58"/>
      <c r="BM42" s="58" t="str">
        <f t="shared" si="55"/>
        <v xml:space="preserve"> </v>
      </c>
      <c r="BN42" s="315" t="s">
        <v>2826</v>
      </c>
      <c r="BO42" s="68"/>
      <c r="BP42" s="68"/>
      <c r="BQ42" s="69" t="str">
        <f t="shared" si="56"/>
        <v xml:space="preserve"> </v>
      </c>
      <c r="BR42" s="58"/>
      <c r="BS42" s="58" t="str">
        <f t="shared" si="57"/>
        <v xml:space="preserve"> </v>
      </c>
      <c r="BT42" s="315" t="s">
        <v>2826</v>
      </c>
      <c r="BU42" s="68"/>
      <c r="BV42" s="68"/>
      <c r="BW42" s="69" t="str">
        <f t="shared" si="58"/>
        <v xml:space="preserve"> </v>
      </c>
      <c r="BX42" s="58"/>
      <c r="BY42" s="58" t="str">
        <f t="shared" si="59"/>
        <v xml:space="preserve"> </v>
      </c>
      <c r="BZ42" s="315" t="s">
        <v>2826</v>
      </c>
      <c r="CA42" s="68"/>
      <c r="CB42" s="68"/>
      <c r="CC42" s="69" t="str">
        <f t="shared" si="60"/>
        <v xml:space="preserve"> </v>
      </c>
      <c r="CD42" s="58"/>
      <c r="CE42" s="58" t="str">
        <f t="shared" si="61"/>
        <v xml:space="preserve"> </v>
      </c>
      <c r="CF42" s="315" t="s">
        <v>2826</v>
      </c>
      <c r="CG42" s="68"/>
      <c r="CH42" s="68"/>
      <c r="CI42" s="69" t="str">
        <f t="shared" si="62"/>
        <v xml:space="preserve"> </v>
      </c>
      <c r="CJ42" s="58"/>
      <c r="CK42" s="58" t="str">
        <f t="shared" si="63"/>
        <v xml:space="preserve"> </v>
      </c>
      <c r="CL42" s="315" t="s">
        <v>2826</v>
      </c>
      <c r="CM42" s="68"/>
      <c r="CN42" s="68"/>
      <c r="CO42" s="69" t="str">
        <f t="shared" si="64"/>
        <v xml:space="preserve"> </v>
      </c>
      <c r="CP42" s="58"/>
      <c r="CQ42" s="58" t="str">
        <f t="shared" si="65"/>
        <v xml:space="preserve"> </v>
      </c>
      <c r="CR42" s="315" t="s">
        <v>2826</v>
      </c>
      <c r="CS42" s="68"/>
      <c r="CT42" s="68"/>
      <c r="CU42" s="69" t="str">
        <f t="shared" si="66"/>
        <v xml:space="preserve"> </v>
      </c>
      <c r="CV42" s="58"/>
      <c r="CW42" s="58" t="str">
        <f t="shared" si="67"/>
        <v xml:space="preserve"> </v>
      </c>
      <c r="CX42" s="101" t="s">
        <v>2826</v>
      </c>
    </row>
    <row r="43" spans="1:102" s="126" customFormat="1" ht="62.25" customHeight="1">
      <c r="A43" s="1431"/>
      <c r="B43" s="391" t="s">
        <v>260</v>
      </c>
      <c r="C43" s="8" t="s">
        <v>273</v>
      </c>
      <c r="D43" s="352" t="s">
        <v>274</v>
      </c>
      <c r="E43" s="8" t="s">
        <v>275</v>
      </c>
      <c r="F43" s="391" t="s">
        <v>276</v>
      </c>
      <c r="G43" s="8" t="s">
        <v>98</v>
      </c>
      <c r="H43" s="391" t="s">
        <v>394</v>
      </c>
      <c r="I43" s="8" t="s">
        <v>267</v>
      </c>
      <c r="J43" s="8" t="s">
        <v>391</v>
      </c>
      <c r="K43" s="2463" t="s">
        <v>2826</v>
      </c>
      <c r="L43" s="2464"/>
      <c r="M43" s="2464"/>
      <c r="N43" s="2464"/>
      <c r="O43" s="2464"/>
      <c r="P43" s="2464"/>
      <c r="Q43" s="2464"/>
      <c r="R43" s="2464"/>
      <c r="S43" s="2464"/>
      <c r="T43" s="2464"/>
      <c r="U43" s="2464"/>
      <c r="V43" s="2465"/>
      <c r="W43" s="81"/>
      <c r="X43" s="1468" t="s">
        <v>2292</v>
      </c>
      <c r="Y43" s="68"/>
      <c r="Z43" s="68"/>
      <c r="AA43" s="69" t="str">
        <f t="shared" si="42"/>
        <v xml:space="preserve"> </v>
      </c>
      <c r="AB43" s="58"/>
      <c r="AC43" s="58" t="str">
        <f t="shared" si="43"/>
        <v xml:space="preserve"> </v>
      </c>
      <c r="AD43" s="101" t="str">
        <f>+K43</f>
        <v>ESTE REPORTE ES REALIZADO POR LA DIRECCION TÉCNICA DE CONSTRUCCIONES</v>
      </c>
      <c r="AE43" s="68"/>
      <c r="AF43" s="68"/>
      <c r="AG43" s="69" t="str">
        <f t="shared" si="44"/>
        <v xml:space="preserve"> </v>
      </c>
      <c r="AH43" s="58"/>
      <c r="AI43" s="58" t="str">
        <f t="shared" si="45"/>
        <v xml:space="preserve"> </v>
      </c>
      <c r="AJ43" s="101" t="s">
        <v>2826</v>
      </c>
      <c r="AK43" s="68"/>
      <c r="AL43" s="68"/>
      <c r="AM43" s="69" t="str">
        <f t="shared" si="46"/>
        <v xml:space="preserve"> </v>
      </c>
      <c r="AN43" s="58"/>
      <c r="AO43" s="58" t="str">
        <f t="shared" si="47"/>
        <v xml:space="preserve"> </v>
      </c>
      <c r="AP43" s="101" t="s">
        <v>2826</v>
      </c>
      <c r="AQ43" s="68"/>
      <c r="AR43" s="68"/>
      <c r="AS43" s="69" t="str">
        <f t="shared" si="48"/>
        <v xml:space="preserve"> </v>
      </c>
      <c r="AT43" s="58"/>
      <c r="AU43" s="58" t="str">
        <f t="shared" si="49"/>
        <v xml:space="preserve"> </v>
      </c>
      <c r="AV43" s="101" t="s">
        <v>2826</v>
      </c>
      <c r="AW43" s="68"/>
      <c r="AX43" s="68"/>
      <c r="AY43" s="69" t="str">
        <f t="shared" si="50"/>
        <v xml:space="preserve"> </v>
      </c>
      <c r="AZ43" s="58"/>
      <c r="BA43" s="58" t="str">
        <f t="shared" si="51"/>
        <v xml:space="preserve"> </v>
      </c>
      <c r="BB43" s="65" t="str">
        <f>+K43</f>
        <v>ESTE REPORTE ES REALIZADO POR LA DIRECCION TÉCNICA DE CONSTRUCCIONES</v>
      </c>
      <c r="BC43" s="68"/>
      <c r="BD43" s="68"/>
      <c r="BE43" s="69" t="str">
        <f t="shared" si="52"/>
        <v xml:space="preserve"> </v>
      </c>
      <c r="BF43" s="58"/>
      <c r="BG43" s="58" t="str">
        <f t="shared" si="53"/>
        <v xml:space="preserve"> </v>
      </c>
      <c r="BH43" s="315" t="s">
        <v>2826</v>
      </c>
      <c r="BI43" s="68"/>
      <c r="BJ43" s="68"/>
      <c r="BK43" s="69" t="str">
        <f t="shared" si="54"/>
        <v xml:space="preserve"> </v>
      </c>
      <c r="BL43" s="58"/>
      <c r="BM43" s="58" t="str">
        <f t="shared" si="55"/>
        <v xml:space="preserve"> </v>
      </c>
      <c r="BN43" s="315" t="s">
        <v>2826</v>
      </c>
      <c r="BO43" s="68"/>
      <c r="BP43" s="68"/>
      <c r="BQ43" s="69" t="str">
        <f t="shared" si="56"/>
        <v xml:space="preserve"> </v>
      </c>
      <c r="BR43" s="58"/>
      <c r="BS43" s="58" t="str">
        <f t="shared" si="57"/>
        <v xml:space="preserve"> </v>
      </c>
      <c r="BT43" s="315" t="s">
        <v>2826</v>
      </c>
      <c r="BU43" s="68"/>
      <c r="BV43" s="68"/>
      <c r="BW43" s="69" t="str">
        <f t="shared" si="58"/>
        <v xml:space="preserve"> </v>
      </c>
      <c r="BX43" s="58"/>
      <c r="BY43" s="58" t="str">
        <f t="shared" si="59"/>
        <v xml:space="preserve"> </v>
      </c>
      <c r="BZ43" s="315" t="s">
        <v>2826</v>
      </c>
      <c r="CA43" s="68"/>
      <c r="CB43" s="68"/>
      <c r="CC43" s="69" t="str">
        <f t="shared" si="60"/>
        <v xml:space="preserve"> </v>
      </c>
      <c r="CD43" s="58"/>
      <c r="CE43" s="58" t="str">
        <f t="shared" si="61"/>
        <v xml:space="preserve"> </v>
      </c>
      <c r="CF43" s="315" t="s">
        <v>2826</v>
      </c>
      <c r="CG43" s="68"/>
      <c r="CH43" s="68"/>
      <c r="CI43" s="69" t="str">
        <f t="shared" si="62"/>
        <v xml:space="preserve"> </v>
      </c>
      <c r="CJ43" s="58"/>
      <c r="CK43" s="58" t="str">
        <f t="shared" si="63"/>
        <v xml:space="preserve"> </v>
      </c>
      <c r="CL43" s="315" t="s">
        <v>2826</v>
      </c>
      <c r="CM43" s="68"/>
      <c r="CN43" s="68"/>
      <c r="CO43" s="69" t="str">
        <f t="shared" si="64"/>
        <v xml:space="preserve"> </v>
      </c>
      <c r="CP43" s="58"/>
      <c r="CQ43" s="58" t="str">
        <f t="shared" si="65"/>
        <v xml:space="preserve"> </v>
      </c>
      <c r="CR43" s="315" t="s">
        <v>2826</v>
      </c>
      <c r="CS43" s="68"/>
      <c r="CT43" s="68"/>
      <c r="CU43" s="69" t="str">
        <f t="shared" si="66"/>
        <v xml:space="preserve"> </v>
      </c>
      <c r="CV43" s="58"/>
      <c r="CW43" s="58" t="str">
        <f t="shared" si="67"/>
        <v xml:space="preserve"> </v>
      </c>
      <c r="CX43" s="101" t="s">
        <v>2826</v>
      </c>
    </row>
    <row r="44" spans="1:102" s="126" customFormat="1" ht="47.25" customHeight="1">
      <c r="A44" s="1431"/>
      <c r="B44" s="391" t="s">
        <v>67</v>
      </c>
      <c r="C44" s="8" t="s">
        <v>90</v>
      </c>
      <c r="D44" s="8" t="s">
        <v>93</v>
      </c>
      <c r="E44" s="8" t="s">
        <v>68</v>
      </c>
      <c r="F44" s="8" t="s">
        <v>69</v>
      </c>
      <c r="G44" s="8" t="s">
        <v>53</v>
      </c>
      <c r="H44" s="8" t="s">
        <v>70</v>
      </c>
      <c r="I44" s="8" t="s">
        <v>71</v>
      </c>
      <c r="J44" s="8" t="s">
        <v>54</v>
      </c>
      <c r="K44" s="2463" t="s">
        <v>2826</v>
      </c>
      <c r="L44" s="2464"/>
      <c r="M44" s="2464"/>
      <c r="N44" s="2464"/>
      <c r="O44" s="2464"/>
      <c r="P44" s="2464"/>
      <c r="Q44" s="2464"/>
      <c r="R44" s="2464"/>
      <c r="S44" s="2464"/>
      <c r="T44" s="2464"/>
      <c r="U44" s="2464"/>
      <c r="V44" s="2465"/>
      <c r="W44" s="81"/>
      <c r="X44" s="1468" t="s">
        <v>72</v>
      </c>
      <c r="Y44" s="68"/>
      <c r="Z44" s="68"/>
      <c r="AA44" s="69" t="str">
        <f t="shared" si="42"/>
        <v xml:space="preserve"> </v>
      </c>
      <c r="AB44" s="58"/>
      <c r="AC44" s="58" t="str">
        <f t="shared" si="43"/>
        <v xml:space="preserve"> </v>
      </c>
      <c r="AD44" s="101" t="str">
        <f>+K44</f>
        <v>ESTE REPORTE ES REALIZADO POR LA DIRECCION TÉCNICA DE CONSTRUCCIONES</v>
      </c>
      <c r="AE44" s="68"/>
      <c r="AF44" s="68"/>
      <c r="AG44" s="69" t="str">
        <f t="shared" si="44"/>
        <v xml:space="preserve"> </v>
      </c>
      <c r="AH44" s="58"/>
      <c r="AI44" s="58" t="str">
        <f t="shared" si="45"/>
        <v xml:space="preserve"> </v>
      </c>
      <c r="AJ44" s="101" t="s">
        <v>2826</v>
      </c>
      <c r="AK44" s="68"/>
      <c r="AL44" s="68"/>
      <c r="AM44" s="69" t="str">
        <f t="shared" si="46"/>
        <v xml:space="preserve"> </v>
      </c>
      <c r="AN44" s="58"/>
      <c r="AO44" s="58" t="str">
        <f t="shared" si="47"/>
        <v xml:space="preserve"> </v>
      </c>
      <c r="AP44" s="101" t="s">
        <v>2826</v>
      </c>
      <c r="AQ44" s="68"/>
      <c r="AR44" s="68"/>
      <c r="AS44" s="69" t="str">
        <f t="shared" si="48"/>
        <v xml:space="preserve"> </v>
      </c>
      <c r="AT44" s="58"/>
      <c r="AU44" s="58" t="str">
        <f t="shared" si="49"/>
        <v xml:space="preserve"> </v>
      </c>
      <c r="AV44" s="101" t="s">
        <v>2826</v>
      </c>
      <c r="AW44" s="68"/>
      <c r="AX44" s="68"/>
      <c r="AY44" s="69" t="str">
        <f t="shared" si="50"/>
        <v xml:space="preserve"> </v>
      </c>
      <c r="AZ44" s="58"/>
      <c r="BA44" s="58" t="str">
        <f t="shared" si="51"/>
        <v xml:space="preserve"> </v>
      </c>
      <c r="BB44" s="65" t="str">
        <f>+K44</f>
        <v>ESTE REPORTE ES REALIZADO POR LA DIRECCION TÉCNICA DE CONSTRUCCIONES</v>
      </c>
      <c r="BC44" s="68"/>
      <c r="BD44" s="68"/>
      <c r="BE44" s="69" t="str">
        <f t="shared" si="52"/>
        <v xml:space="preserve"> </v>
      </c>
      <c r="BF44" s="58"/>
      <c r="BG44" s="58" t="str">
        <f t="shared" si="53"/>
        <v xml:space="preserve"> </v>
      </c>
      <c r="BH44" s="315" t="s">
        <v>2826</v>
      </c>
      <c r="BI44" s="68"/>
      <c r="BJ44" s="68"/>
      <c r="BK44" s="69" t="str">
        <f t="shared" si="54"/>
        <v xml:space="preserve"> </v>
      </c>
      <c r="BL44" s="58"/>
      <c r="BM44" s="58" t="str">
        <f t="shared" si="55"/>
        <v xml:space="preserve"> </v>
      </c>
      <c r="BN44" s="315" t="s">
        <v>2826</v>
      </c>
      <c r="BO44" s="68"/>
      <c r="BP44" s="68"/>
      <c r="BQ44" s="69" t="str">
        <f t="shared" si="56"/>
        <v xml:space="preserve"> </v>
      </c>
      <c r="BR44" s="58"/>
      <c r="BS44" s="58" t="str">
        <f t="shared" si="57"/>
        <v xml:space="preserve"> </v>
      </c>
      <c r="BT44" s="315" t="s">
        <v>2826</v>
      </c>
      <c r="BU44" s="68"/>
      <c r="BV44" s="68"/>
      <c r="BW44" s="69" t="str">
        <f t="shared" si="58"/>
        <v xml:space="preserve"> </v>
      </c>
      <c r="BX44" s="58"/>
      <c r="BY44" s="58" t="str">
        <f t="shared" si="59"/>
        <v xml:space="preserve"> </v>
      </c>
      <c r="BZ44" s="315" t="s">
        <v>2826</v>
      </c>
      <c r="CA44" s="68"/>
      <c r="CB44" s="68"/>
      <c r="CC44" s="69" t="str">
        <f t="shared" si="60"/>
        <v xml:space="preserve"> </v>
      </c>
      <c r="CD44" s="58"/>
      <c r="CE44" s="58" t="str">
        <f t="shared" si="61"/>
        <v xml:space="preserve"> </v>
      </c>
      <c r="CF44" s="315" t="s">
        <v>2826</v>
      </c>
      <c r="CG44" s="68"/>
      <c r="CH44" s="68"/>
      <c r="CI44" s="69" t="str">
        <f t="shared" si="62"/>
        <v xml:space="preserve"> </v>
      </c>
      <c r="CJ44" s="58"/>
      <c r="CK44" s="58" t="str">
        <f t="shared" si="63"/>
        <v xml:space="preserve"> </v>
      </c>
      <c r="CL44" s="315" t="s">
        <v>2826</v>
      </c>
      <c r="CM44" s="68"/>
      <c r="CN44" s="68"/>
      <c r="CO44" s="69" t="str">
        <f t="shared" si="64"/>
        <v xml:space="preserve"> </v>
      </c>
      <c r="CP44" s="58"/>
      <c r="CQ44" s="58" t="str">
        <f t="shared" si="65"/>
        <v xml:space="preserve"> </v>
      </c>
      <c r="CR44" s="315" t="s">
        <v>2826</v>
      </c>
      <c r="CS44" s="68"/>
      <c r="CT44" s="68"/>
      <c r="CU44" s="69" t="str">
        <f t="shared" si="66"/>
        <v xml:space="preserve"> </v>
      </c>
      <c r="CV44" s="58"/>
      <c r="CW44" s="58" t="str">
        <f t="shared" si="67"/>
        <v xml:space="preserve"> </v>
      </c>
      <c r="CX44" s="101" t="s">
        <v>2826</v>
      </c>
    </row>
    <row r="45" spans="1:102" s="126" customFormat="1" ht="48.75" customHeight="1">
      <c r="A45" s="1431"/>
      <c r="B45" s="391" t="s">
        <v>73</v>
      </c>
      <c r="C45" s="8" t="s">
        <v>91</v>
      </c>
      <c r="D45" s="8" t="s">
        <v>74</v>
      </c>
      <c r="E45" s="8" t="s">
        <v>75</v>
      </c>
      <c r="F45" s="8" t="s">
        <v>296</v>
      </c>
      <c r="G45" s="8" t="s">
        <v>53</v>
      </c>
      <c r="H45" s="8" t="s">
        <v>776</v>
      </c>
      <c r="I45" s="8" t="s">
        <v>78</v>
      </c>
      <c r="J45" s="8" t="s">
        <v>54</v>
      </c>
      <c r="K45" s="2463" t="s">
        <v>2826</v>
      </c>
      <c r="L45" s="2464"/>
      <c r="M45" s="2464"/>
      <c r="N45" s="2464"/>
      <c r="O45" s="2464"/>
      <c r="P45" s="2464"/>
      <c r="Q45" s="2464"/>
      <c r="R45" s="2464"/>
      <c r="S45" s="2464"/>
      <c r="T45" s="2464"/>
      <c r="U45" s="2464"/>
      <c r="V45" s="2465"/>
      <c r="W45" s="81"/>
      <c r="X45" s="1468" t="s">
        <v>80</v>
      </c>
      <c r="Y45" s="68"/>
      <c r="Z45" s="68"/>
      <c r="AA45" s="69" t="str">
        <f t="shared" si="42"/>
        <v xml:space="preserve"> </v>
      </c>
      <c r="AB45" s="58"/>
      <c r="AC45" s="58" t="str">
        <f t="shared" si="43"/>
        <v xml:space="preserve"> </v>
      </c>
      <c r="AD45" s="101" t="str">
        <f>+K45</f>
        <v>ESTE REPORTE ES REALIZADO POR LA DIRECCION TÉCNICA DE CONSTRUCCIONES</v>
      </c>
      <c r="AE45" s="68"/>
      <c r="AF45" s="68"/>
      <c r="AG45" s="69" t="str">
        <f t="shared" si="44"/>
        <v xml:space="preserve"> </v>
      </c>
      <c r="AH45" s="58"/>
      <c r="AI45" s="58" t="str">
        <f t="shared" si="45"/>
        <v xml:space="preserve"> </v>
      </c>
      <c r="AJ45" s="101" t="s">
        <v>2826</v>
      </c>
      <c r="AK45" s="68"/>
      <c r="AL45" s="68"/>
      <c r="AM45" s="69" t="str">
        <f t="shared" si="46"/>
        <v xml:space="preserve"> </v>
      </c>
      <c r="AN45" s="58"/>
      <c r="AO45" s="58" t="str">
        <f t="shared" si="47"/>
        <v xml:space="preserve"> </v>
      </c>
      <c r="AP45" s="101" t="s">
        <v>2826</v>
      </c>
      <c r="AQ45" s="68"/>
      <c r="AR45" s="68"/>
      <c r="AS45" s="69" t="str">
        <f t="shared" si="48"/>
        <v xml:space="preserve"> </v>
      </c>
      <c r="AT45" s="58"/>
      <c r="AU45" s="58" t="str">
        <f t="shared" si="49"/>
        <v xml:space="preserve"> </v>
      </c>
      <c r="AV45" s="101" t="s">
        <v>2826</v>
      </c>
      <c r="AW45" s="68"/>
      <c r="AX45" s="68"/>
      <c r="AY45" s="69" t="str">
        <f t="shared" si="50"/>
        <v xml:space="preserve"> </v>
      </c>
      <c r="AZ45" s="58"/>
      <c r="BA45" s="58" t="str">
        <f t="shared" si="51"/>
        <v xml:space="preserve"> </v>
      </c>
      <c r="BB45" s="65" t="str">
        <f>+K45</f>
        <v>ESTE REPORTE ES REALIZADO POR LA DIRECCION TÉCNICA DE CONSTRUCCIONES</v>
      </c>
      <c r="BC45" s="68"/>
      <c r="BD45" s="68"/>
      <c r="BE45" s="69" t="str">
        <f t="shared" si="52"/>
        <v xml:space="preserve"> </v>
      </c>
      <c r="BF45" s="58"/>
      <c r="BG45" s="58" t="str">
        <f t="shared" si="53"/>
        <v xml:space="preserve"> </v>
      </c>
      <c r="BH45" s="315" t="s">
        <v>2826</v>
      </c>
      <c r="BI45" s="68"/>
      <c r="BJ45" s="68"/>
      <c r="BK45" s="69" t="str">
        <f t="shared" si="54"/>
        <v xml:space="preserve"> </v>
      </c>
      <c r="BL45" s="58"/>
      <c r="BM45" s="58" t="str">
        <f t="shared" si="55"/>
        <v xml:space="preserve"> </v>
      </c>
      <c r="BN45" s="315" t="s">
        <v>2826</v>
      </c>
      <c r="BO45" s="68"/>
      <c r="BP45" s="68"/>
      <c r="BQ45" s="69" t="str">
        <f t="shared" si="56"/>
        <v xml:space="preserve"> </v>
      </c>
      <c r="BR45" s="58"/>
      <c r="BS45" s="58" t="str">
        <f t="shared" si="57"/>
        <v xml:space="preserve"> </v>
      </c>
      <c r="BT45" s="315" t="s">
        <v>2826</v>
      </c>
      <c r="BU45" s="68"/>
      <c r="BV45" s="68"/>
      <c r="BW45" s="69" t="str">
        <f t="shared" si="58"/>
        <v xml:space="preserve"> </v>
      </c>
      <c r="BX45" s="58"/>
      <c r="BY45" s="58" t="str">
        <f t="shared" si="59"/>
        <v xml:space="preserve"> </v>
      </c>
      <c r="BZ45" s="315" t="s">
        <v>2826</v>
      </c>
      <c r="CA45" s="68"/>
      <c r="CB45" s="68"/>
      <c r="CC45" s="69" t="str">
        <f t="shared" si="60"/>
        <v xml:space="preserve"> </v>
      </c>
      <c r="CD45" s="58"/>
      <c r="CE45" s="58" t="str">
        <f t="shared" si="61"/>
        <v xml:space="preserve"> </v>
      </c>
      <c r="CF45" s="315" t="s">
        <v>2826</v>
      </c>
      <c r="CG45" s="68"/>
      <c r="CH45" s="68"/>
      <c r="CI45" s="69" t="str">
        <f t="shared" si="62"/>
        <v xml:space="preserve"> </v>
      </c>
      <c r="CJ45" s="58"/>
      <c r="CK45" s="58" t="str">
        <f t="shared" si="63"/>
        <v xml:space="preserve"> </v>
      </c>
      <c r="CL45" s="315" t="s">
        <v>2826</v>
      </c>
      <c r="CM45" s="68"/>
      <c r="CN45" s="68"/>
      <c r="CO45" s="69" t="str">
        <f t="shared" si="64"/>
        <v xml:space="preserve"> </v>
      </c>
      <c r="CP45" s="58"/>
      <c r="CQ45" s="58" t="str">
        <f t="shared" si="65"/>
        <v xml:space="preserve"> </v>
      </c>
      <c r="CR45" s="315" t="s">
        <v>2826</v>
      </c>
      <c r="CS45" s="68"/>
      <c r="CT45" s="68"/>
      <c r="CU45" s="69" t="str">
        <f t="shared" si="66"/>
        <v xml:space="preserve"> </v>
      </c>
      <c r="CV45" s="58"/>
      <c r="CW45" s="58" t="str">
        <f t="shared" si="67"/>
        <v xml:space="preserve"> </v>
      </c>
      <c r="CX45" s="101" t="s">
        <v>2826</v>
      </c>
    </row>
    <row r="46" spans="1:102" s="126" customFormat="1" ht="90" customHeight="1">
      <c r="A46" s="1431"/>
      <c r="B46" s="391" t="s">
        <v>81</v>
      </c>
      <c r="C46" s="8" t="s">
        <v>92</v>
      </c>
      <c r="D46" s="13" t="s">
        <v>83</v>
      </c>
      <c r="E46" s="8" t="s">
        <v>84</v>
      </c>
      <c r="F46" s="403" t="s">
        <v>82</v>
      </c>
      <c r="G46" s="8" t="s">
        <v>98</v>
      </c>
      <c r="H46" s="8" t="s">
        <v>86</v>
      </c>
      <c r="I46" s="8" t="s">
        <v>85</v>
      </c>
      <c r="J46" s="8" t="s">
        <v>54</v>
      </c>
      <c r="K46" s="12"/>
      <c r="L46" s="12"/>
      <c r="M46" s="12">
        <v>1</v>
      </c>
      <c r="N46" s="12"/>
      <c r="O46" s="12"/>
      <c r="P46" s="12">
        <v>1</v>
      </c>
      <c r="Q46" s="12"/>
      <c r="R46" s="12"/>
      <c r="S46" s="12">
        <v>1</v>
      </c>
      <c r="T46" s="12"/>
      <c r="U46" s="12"/>
      <c r="V46" s="12">
        <v>1</v>
      </c>
      <c r="W46" s="82">
        <v>1</v>
      </c>
      <c r="X46" s="80" t="s">
        <v>259</v>
      </c>
      <c r="Y46" s="68"/>
      <c r="Z46" s="68"/>
      <c r="AA46" s="69" t="str">
        <f t="shared" si="42"/>
        <v xml:space="preserve"> </v>
      </c>
      <c r="AB46" s="58"/>
      <c r="AC46" s="58" t="str">
        <f t="shared" si="43"/>
        <v xml:space="preserve"> </v>
      </c>
      <c r="AD46" s="1205" t="s">
        <v>2736</v>
      </c>
      <c r="AE46" s="68"/>
      <c r="AF46" s="68"/>
      <c r="AG46" s="69" t="str">
        <f t="shared" si="44"/>
        <v xml:space="preserve"> </v>
      </c>
      <c r="AH46" s="58"/>
      <c r="AI46" s="58" t="str">
        <f t="shared" si="45"/>
        <v xml:space="preserve"> </v>
      </c>
      <c r="AJ46" s="1205" t="s">
        <v>2736</v>
      </c>
      <c r="AK46" s="68"/>
      <c r="AL46" s="68"/>
      <c r="AM46" s="69" t="str">
        <f t="shared" si="46"/>
        <v xml:space="preserve"> </v>
      </c>
      <c r="AN46" s="58"/>
      <c r="AO46" s="58" t="str">
        <f t="shared" si="47"/>
        <v xml:space="preserve"> </v>
      </c>
      <c r="AP46" s="101" t="s">
        <v>2836</v>
      </c>
      <c r="AQ46" s="68"/>
      <c r="AR46" s="68"/>
      <c r="AS46" s="69" t="str">
        <f t="shared" si="48"/>
        <v xml:space="preserve"> </v>
      </c>
      <c r="AT46" s="58"/>
      <c r="AU46" s="58" t="str">
        <f t="shared" si="49"/>
        <v xml:space="preserve"> </v>
      </c>
      <c r="AV46" s="1205" t="s">
        <v>2736</v>
      </c>
      <c r="AW46" s="68"/>
      <c r="AX46" s="68"/>
      <c r="AY46" s="69" t="str">
        <f t="shared" si="50"/>
        <v xml:space="preserve"> </v>
      </c>
      <c r="AZ46" s="58"/>
      <c r="BA46" s="58" t="str">
        <f t="shared" si="51"/>
        <v xml:space="preserve"> </v>
      </c>
      <c r="BB46" s="65" t="s">
        <v>2736</v>
      </c>
      <c r="BC46" s="68">
        <v>100</v>
      </c>
      <c r="BD46" s="68">
        <v>100</v>
      </c>
      <c r="BE46" s="1447">
        <f t="shared" si="52"/>
        <v>1</v>
      </c>
      <c r="BF46" s="1436">
        <f>+P46</f>
        <v>1</v>
      </c>
      <c r="BG46" s="24">
        <f t="shared" si="53"/>
        <v>1</v>
      </c>
      <c r="BH46" s="215" t="s">
        <v>2837</v>
      </c>
      <c r="BI46" s="68"/>
      <c r="BJ46" s="68"/>
      <c r="BK46" s="69" t="str">
        <f t="shared" si="54"/>
        <v xml:space="preserve"> </v>
      </c>
      <c r="BL46" s="58"/>
      <c r="BM46" s="58" t="str">
        <f t="shared" si="55"/>
        <v xml:space="preserve"> </v>
      </c>
      <c r="BN46" s="1205" t="s">
        <v>2736</v>
      </c>
      <c r="BO46" s="21">
        <v>0</v>
      </c>
      <c r="BP46" s="21">
        <v>0</v>
      </c>
      <c r="BQ46" s="22" t="str">
        <f t="shared" si="56"/>
        <v xml:space="preserve"> </v>
      </c>
      <c r="BR46" s="58">
        <f>+AB46</f>
        <v>0</v>
      </c>
      <c r="BS46" s="24" t="str">
        <f t="shared" si="57"/>
        <v xml:space="preserve"> </v>
      </c>
      <c r="BT46" s="1205" t="s">
        <v>2736</v>
      </c>
      <c r="BU46" s="68">
        <v>100</v>
      </c>
      <c r="BV46" s="68">
        <v>100</v>
      </c>
      <c r="BW46" s="1447">
        <f t="shared" si="58"/>
        <v>1</v>
      </c>
      <c r="BX46" s="1436">
        <f>+S46</f>
        <v>1</v>
      </c>
      <c r="BY46" s="24">
        <f t="shared" si="59"/>
        <v>1</v>
      </c>
      <c r="BZ46" s="215" t="s">
        <v>2837</v>
      </c>
      <c r="CA46" s="68"/>
      <c r="CB46" s="68"/>
      <c r="CC46" s="69" t="str">
        <f t="shared" si="60"/>
        <v xml:space="preserve"> </v>
      </c>
      <c r="CD46" s="58"/>
      <c r="CE46" s="58" t="str">
        <f t="shared" si="61"/>
        <v xml:space="preserve"> </v>
      </c>
      <c r="CF46" s="25" t="s">
        <v>2736</v>
      </c>
      <c r="CG46" s="68"/>
      <c r="CH46" s="68"/>
      <c r="CI46" s="69" t="str">
        <f t="shared" si="62"/>
        <v xml:space="preserve"> </v>
      </c>
      <c r="CJ46" s="58"/>
      <c r="CK46" s="58" t="str">
        <f t="shared" si="63"/>
        <v xml:space="preserve"> </v>
      </c>
      <c r="CL46" s="1205" t="s">
        <v>2736</v>
      </c>
      <c r="CM46" s="58">
        <v>0.93</v>
      </c>
      <c r="CN46" s="58">
        <v>1</v>
      </c>
      <c r="CO46" s="69">
        <f t="shared" si="64"/>
        <v>0.93</v>
      </c>
      <c r="CP46" s="58">
        <v>1</v>
      </c>
      <c r="CQ46" s="58">
        <f t="shared" si="65"/>
        <v>0.93</v>
      </c>
      <c r="CR46" s="315" t="s">
        <v>2838</v>
      </c>
      <c r="CS46" s="58">
        <v>0.97660000000000002</v>
      </c>
      <c r="CT46" s="568">
        <v>1</v>
      </c>
      <c r="CU46" s="22">
        <f t="shared" si="66"/>
        <v>0.97660000000000002</v>
      </c>
      <c r="CV46" s="700">
        <f>+W46</f>
        <v>1</v>
      </c>
      <c r="CW46" s="58">
        <f t="shared" si="67"/>
        <v>0.97660000000000002</v>
      </c>
      <c r="CX46" s="315" t="s">
        <v>2839</v>
      </c>
    </row>
    <row r="47" spans="1:102" ht="15.75" customHeight="1">
      <c r="A47" s="893"/>
      <c r="B47" s="1972" t="s">
        <v>17</v>
      </c>
      <c r="C47" s="1972"/>
      <c r="D47" s="1972"/>
      <c r="E47" s="1972"/>
      <c r="F47" s="5"/>
      <c r="G47" s="5"/>
      <c r="H47" s="5"/>
      <c r="I47" s="5"/>
      <c r="J47" s="5"/>
      <c r="K47" s="6"/>
      <c r="L47" s="6"/>
      <c r="M47" s="6"/>
      <c r="N47" s="6"/>
      <c r="O47" s="6"/>
      <c r="P47" s="6"/>
      <c r="Q47" s="6"/>
      <c r="R47" s="6"/>
      <c r="S47" s="6"/>
      <c r="T47" s="6"/>
      <c r="U47" s="6"/>
      <c r="V47" s="1469"/>
      <c r="W47" s="6"/>
    </row>
    <row r="48" spans="1:102">
      <c r="A48" s="893"/>
      <c r="B48" s="128"/>
      <c r="C48" s="679"/>
      <c r="D48" s="128"/>
      <c r="E48" s="128"/>
      <c r="F48" s="128"/>
      <c r="G48" s="128"/>
      <c r="H48" s="128"/>
      <c r="I48" s="128"/>
      <c r="J48" s="128"/>
      <c r="K48" s="128"/>
      <c r="L48" s="128"/>
      <c r="M48" s="129"/>
      <c r="N48" s="129"/>
      <c r="O48" s="129"/>
      <c r="P48" s="129"/>
      <c r="Q48" s="129"/>
      <c r="R48" s="129"/>
      <c r="S48" s="129"/>
      <c r="T48" s="128"/>
      <c r="U48" s="129"/>
      <c r="V48" s="1470"/>
      <c r="W48" s="128"/>
    </row>
    <row r="49" spans="1:91">
      <c r="A49" s="893"/>
      <c r="B49" s="128"/>
      <c r="C49" s="679"/>
      <c r="D49" s="128"/>
      <c r="E49" s="1971"/>
      <c r="F49" s="1971"/>
      <c r="G49" s="1971"/>
      <c r="H49" s="1971"/>
      <c r="I49" s="128"/>
      <c r="J49" s="128"/>
      <c r="K49" s="128"/>
      <c r="L49" s="128"/>
      <c r="M49" s="129"/>
      <c r="N49" s="129"/>
      <c r="O49" s="129"/>
      <c r="P49" s="129"/>
      <c r="Q49" s="129"/>
      <c r="R49" s="129"/>
      <c r="S49" s="129"/>
      <c r="T49" s="128"/>
      <c r="U49" s="129"/>
      <c r="V49" s="1470"/>
      <c r="W49" s="128"/>
    </row>
    <row r="50" spans="1:91">
      <c r="A50" s="893"/>
      <c r="B50" s="128"/>
      <c r="C50" s="679"/>
      <c r="D50" s="128"/>
      <c r="E50" s="1972" t="s">
        <v>2840</v>
      </c>
      <c r="F50" s="1972"/>
      <c r="G50" s="1972"/>
      <c r="H50" s="1972"/>
      <c r="I50" s="128"/>
      <c r="J50" s="128"/>
      <c r="K50" s="128"/>
      <c r="L50" s="128"/>
      <c r="M50" s="129"/>
      <c r="N50" s="129"/>
      <c r="O50" s="129"/>
      <c r="P50" s="129"/>
      <c r="Q50" s="129"/>
      <c r="R50" s="129"/>
      <c r="S50" s="129"/>
      <c r="T50" s="128"/>
      <c r="U50" s="129"/>
      <c r="V50" s="1470"/>
      <c r="W50" s="128"/>
    </row>
    <row r="51" spans="1:91" ht="26.25" customHeight="1">
      <c r="A51" s="893"/>
      <c r="B51" s="128"/>
      <c r="C51" s="679"/>
      <c r="D51" s="128"/>
      <c r="E51" s="1974" t="s">
        <v>2841</v>
      </c>
      <c r="F51" s="1974"/>
      <c r="G51" s="1974"/>
      <c r="H51" s="1974"/>
      <c r="I51" s="128"/>
      <c r="J51" s="128"/>
      <c r="K51" s="128"/>
      <c r="L51" s="128"/>
      <c r="M51" s="129"/>
      <c r="N51" s="129"/>
      <c r="O51" s="129"/>
      <c r="P51" s="129"/>
      <c r="Q51" s="129"/>
      <c r="R51" s="129"/>
      <c r="S51" s="129"/>
      <c r="T51" s="128"/>
      <c r="U51" s="129"/>
      <c r="V51" s="1470"/>
      <c r="W51" s="128"/>
      <c r="CM51" s="1471"/>
    </row>
    <row r="52" spans="1:91">
      <c r="A52" s="895"/>
      <c r="B52" s="752"/>
      <c r="C52" s="752"/>
      <c r="D52" s="752"/>
      <c r="E52" s="752"/>
      <c r="F52" s="752"/>
      <c r="G52" s="752"/>
      <c r="H52" s="752"/>
      <c r="I52" s="752"/>
      <c r="J52" s="752"/>
      <c r="K52" s="752"/>
      <c r="L52" s="752"/>
      <c r="M52" s="1472"/>
      <c r="N52" s="1472"/>
      <c r="O52" s="1472"/>
      <c r="P52" s="1472"/>
      <c r="Q52" s="1472"/>
      <c r="R52" s="1472"/>
      <c r="S52" s="1472"/>
      <c r="T52" s="752"/>
      <c r="U52" s="1472"/>
      <c r="V52" s="1473"/>
      <c r="W52" s="128"/>
    </row>
    <row r="53" spans="1:91" ht="19.5" customHeight="1">
      <c r="C53" s="15"/>
    </row>
    <row r="54" spans="1:91" ht="12.75" customHeight="1">
      <c r="C54" s="15"/>
    </row>
    <row r="55" spans="1:91" ht="12.75" customHeight="1">
      <c r="C55" s="15"/>
    </row>
    <row r="64" spans="1:91">
      <c r="F64" s="15" t="s">
        <v>332</v>
      </c>
    </row>
    <row r="71" spans="29:29">
      <c r="AC71" s="1471"/>
    </row>
    <row r="72" spans="29:29">
      <c r="AC72" s="1471"/>
    </row>
    <row r="73" spans="29:29">
      <c r="AC73" s="1471"/>
    </row>
    <row r="74" spans="29:29">
      <c r="AC74" s="1471"/>
    </row>
    <row r="75" spans="29:29">
      <c r="AC75" s="1471"/>
    </row>
    <row r="76" spans="29:29">
      <c r="AC76" s="1471"/>
    </row>
    <row r="77" spans="29:29">
      <c r="AC77" s="1471"/>
    </row>
    <row r="78" spans="29:29">
      <c r="AC78" s="1471"/>
    </row>
    <row r="79" spans="29:29">
      <c r="AC79" s="1471"/>
    </row>
    <row r="80" spans="29:29">
      <c r="AC80" s="1471"/>
    </row>
    <row r="81" spans="29:30">
      <c r="AC81" s="1471"/>
      <c r="AD81" s="1474"/>
    </row>
    <row r="82" spans="29:30">
      <c r="AC82" s="1471"/>
    </row>
    <row r="83" spans="29:30">
      <c r="AC83" s="1471"/>
    </row>
    <row r="84" spans="29:30">
      <c r="AC84" s="1471"/>
    </row>
    <row r="85" spans="29:30">
      <c r="AC85" s="1471"/>
    </row>
    <row r="86" spans="29:30">
      <c r="AC86" s="1471"/>
    </row>
    <row r="87" spans="29:30">
      <c r="AC87" s="1471"/>
    </row>
    <row r="88" spans="29:30">
      <c r="AC88" s="1471"/>
    </row>
    <row r="89" spans="29:30">
      <c r="AC89" s="1471"/>
    </row>
    <row r="90" spans="29:30">
      <c r="AC90" s="1471"/>
    </row>
    <row r="91" spans="29:30">
      <c r="AC91" s="1471"/>
    </row>
    <row r="92" spans="29:30">
      <c r="AC92" s="1471"/>
    </row>
    <row r="93" spans="29:30">
      <c r="AC93" s="1471"/>
    </row>
    <row r="94" spans="29:30">
      <c r="AC94" s="1471"/>
    </row>
    <row r="95" spans="29:30">
      <c r="AC95" s="1471"/>
    </row>
  </sheetData>
  <mergeCells count="159">
    <mergeCell ref="E49:H49"/>
    <mergeCell ref="E50:H50"/>
    <mergeCell ref="E51:H51"/>
    <mergeCell ref="K39:V39"/>
    <mergeCell ref="K42:V42"/>
    <mergeCell ref="K43:V43"/>
    <mergeCell ref="K44:V44"/>
    <mergeCell ref="K45:V45"/>
    <mergeCell ref="B47:E47"/>
    <mergeCell ref="BB34:BB35"/>
    <mergeCell ref="B36:B37"/>
    <mergeCell ref="C36:C37"/>
    <mergeCell ref="D36:D37"/>
    <mergeCell ref="E36:E37"/>
    <mergeCell ref="F36:F37"/>
    <mergeCell ref="G36:G37"/>
    <mergeCell ref="H36:H37"/>
    <mergeCell ref="I36:I37"/>
    <mergeCell ref="BB36:BB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BB20:BB21"/>
    <mergeCell ref="AV22:AV23"/>
    <mergeCell ref="CX22:CX23"/>
    <mergeCell ref="BH29:BH30"/>
    <mergeCell ref="CF29:CF30"/>
    <mergeCell ref="CX29:CX30"/>
    <mergeCell ref="BB18:BB19"/>
    <mergeCell ref="B20:B21"/>
    <mergeCell ref="C20:C21"/>
    <mergeCell ref="D20:D21"/>
    <mergeCell ref="E20:E21"/>
    <mergeCell ref="F20:F21"/>
    <mergeCell ref="G20:G21"/>
    <mergeCell ref="H20:H21"/>
    <mergeCell ref="I20:I21"/>
    <mergeCell ref="AV20:AV21"/>
    <mergeCell ref="I16:I17"/>
    <mergeCell ref="BB16:BB17"/>
    <mergeCell ref="B18:B19"/>
    <mergeCell ref="C18:C19"/>
    <mergeCell ref="D18:D19"/>
    <mergeCell ref="E18:E19"/>
    <mergeCell ref="F18:F19"/>
    <mergeCell ref="G18:G19"/>
    <mergeCell ref="H18:H19"/>
    <mergeCell ref="I18:I19"/>
    <mergeCell ref="AP14:AP15"/>
    <mergeCell ref="AV14:AV15"/>
    <mergeCell ref="BB14:BB15"/>
    <mergeCell ref="B16:B17"/>
    <mergeCell ref="C16:C17"/>
    <mergeCell ref="D16:D17"/>
    <mergeCell ref="E16:E17"/>
    <mergeCell ref="F16:F17"/>
    <mergeCell ref="G16:G17"/>
    <mergeCell ref="H16:H17"/>
    <mergeCell ref="BB12:BB13"/>
    <mergeCell ref="B14:B15"/>
    <mergeCell ref="C14:C15"/>
    <mergeCell ref="D14:D15"/>
    <mergeCell ref="E14:E15"/>
    <mergeCell ref="F14:F15"/>
    <mergeCell ref="G14:G15"/>
    <mergeCell ref="H14:H15"/>
    <mergeCell ref="I14:I15"/>
    <mergeCell ref="AJ14:AJ15"/>
    <mergeCell ref="BH10:BH11"/>
    <mergeCell ref="B12:B13"/>
    <mergeCell ref="C12:C13"/>
    <mergeCell ref="D12:D13"/>
    <mergeCell ref="E12:E13"/>
    <mergeCell ref="F12:F13"/>
    <mergeCell ref="G12:G13"/>
    <mergeCell ref="H12:H13"/>
    <mergeCell ref="I12:I13"/>
    <mergeCell ref="AV12:AV13"/>
    <mergeCell ref="H10:H11"/>
    <mergeCell ref="I10:I11"/>
    <mergeCell ref="AJ10:AJ11"/>
    <mergeCell ref="AP10:AP11"/>
    <mergeCell ref="AV10:AV11"/>
    <mergeCell ref="BB10:BB11"/>
    <mergeCell ref="B10:B11"/>
    <mergeCell ref="C10:C11"/>
    <mergeCell ref="D10:D11"/>
    <mergeCell ref="E10:E11"/>
    <mergeCell ref="F10:F11"/>
    <mergeCell ref="G10:G11"/>
    <mergeCell ref="G8:G9"/>
    <mergeCell ref="H8:H9"/>
    <mergeCell ref="I8:I9"/>
    <mergeCell ref="AD8:AD9"/>
    <mergeCell ref="AJ8:AJ9"/>
    <mergeCell ref="AP8:AP9"/>
    <mergeCell ref="BU6:BZ6"/>
    <mergeCell ref="CA6:CF6"/>
    <mergeCell ref="CG6:CL6"/>
    <mergeCell ref="CM6:CR6"/>
    <mergeCell ref="CS6:CX6"/>
    <mergeCell ref="B8:B9"/>
    <mergeCell ref="C8:C9"/>
    <mergeCell ref="D8:D9"/>
    <mergeCell ref="E8:E9"/>
    <mergeCell ref="F8:F9"/>
    <mergeCell ref="AK6:AP6"/>
    <mergeCell ref="AQ6:AV6"/>
    <mergeCell ref="AW6:BB6"/>
    <mergeCell ref="BC6:BH6"/>
    <mergeCell ref="BI6:BN6"/>
    <mergeCell ref="BO6:BT6"/>
    <mergeCell ref="H6:H7"/>
    <mergeCell ref="I6:I7"/>
    <mergeCell ref="J6:J7"/>
    <mergeCell ref="K6:V6"/>
    <mergeCell ref="Y6:AD6"/>
    <mergeCell ref="AE6:AJ6"/>
    <mergeCell ref="CA4:CF4"/>
    <mergeCell ref="CG4:CL4"/>
    <mergeCell ref="CM4:CR4"/>
    <mergeCell ref="CS4:CX4"/>
    <mergeCell ref="B6:B7"/>
    <mergeCell ref="C6:C7"/>
    <mergeCell ref="D6:D7"/>
    <mergeCell ref="E6:E7"/>
    <mergeCell ref="F6:F7"/>
    <mergeCell ref="G6:G7"/>
    <mergeCell ref="AQ4:AV4"/>
    <mergeCell ref="AW4:BB4"/>
    <mergeCell ref="BC4:BH4"/>
    <mergeCell ref="BI4:BN4"/>
    <mergeCell ref="BO4:BT4"/>
    <mergeCell ref="BU4:BZ4"/>
    <mergeCell ref="C4:J4"/>
    <mergeCell ref="K4:M4"/>
    <mergeCell ref="N4:V4"/>
    <mergeCell ref="Y4:AD4"/>
    <mergeCell ref="AE4:AJ4"/>
    <mergeCell ref="AK4:AP4"/>
    <mergeCell ref="B1:N1"/>
    <mergeCell ref="O1:R1"/>
    <mergeCell ref="S1:V2"/>
    <mergeCell ref="A2:B2"/>
    <mergeCell ref="D2:N2"/>
    <mergeCell ref="O2:R2"/>
  </mergeCells>
  <conditionalFormatting sqref="AC33 CW33 CQ33 CK33 CE33 BY33 BS33 BM33 BG33 BA33 AU33 AO33 AI33 CK28 BS23 AU26:AU27 AI23 AC10:AC11 CW11 CQ11 CK11 CE11 BY11 BS11 BM11 AU17 AO10 AC13 AC15 AC17 AC19 AC35 AI10:AI11 AI13 AI17 AI19 AI35 AO17 AO19 AO35 CW13 CW15 CW17 CW19 CW35 AU35 AU19 BG19 BG13 BG15 BG17 BG35 BM35 BM19 BM17 BM15 BM13 BS13 BS15 BS17 BS19 BS35 BY13 BY15 BY17 BY19 BY35 CE15 CE13 CE17 CE19 CE35 CK13 CK15 CK17 CK35 CK19 CQ13 CQ15 CQ17 CQ19 CQ35">
    <cfRule type="colorScale" priority="309">
      <colorScale>
        <cfvo type="num" val="0.69"/>
        <cfvo type="num" val="0.8"/>
        <cfvo type="num" val="0.9"/>
        <color rgb="FFF8696B"/>
        <color rgb="FFFFEB84"/>
        <color rgb="FF63BE7B"/>
      </colorScale>
    </cfRule>
  </conditionalFormatting>
  <conditionalFormatting sqref="AC38">
    <cfRule type="colorScale" priority="308">
      <colorScale>
        <cfvo type="num" val="0.69"/>
        <cfvo type="num" val="0.8"/>
        <cfvo type="num" val="0.9"/>
        <color rgb="FFF8696B"/>
        <color rgb="FFFFEB84"/>
        <color rgb="FF63BE7B"/>
      </colorScale>
    </cfRule>
  </conditionalFormatting>
  <conditionalFormatting sqref="AU38">
    <cfRule type="colorScale" priority="307">
      <colorScale>
        <cfvo type="num" val="0.69"/>
        <cfvo type="num" val="0.8"/>
        <cfvo type="num" val="0.9"/>
        <color rgb="FFF8696B"/>
        <color rgb="FFFFEB84"/>
        <color rgb="FF63BE7B"/>
      </colorScale>
    </cfRule>
  </conditionalFormatting>
  <conditionalFormatting sqref="BG38">
    <cfRule type="colorScale" priority="306">
      <colorScale>
        <cfvo type="num" val="0.69"/>
        <cfvo type="num" val="0.8"/>
        <cfvo type="num" val="0.9"/>
        <color rgb="FFF8696B"/>
        <color rgb="FFFFEB84"/>
        <color rgb="FF63BE7B"/>
      </colorScale>
    </cfRule>
  </conditionalFormatting>
  <conditionalFormatting sqref="BS38">
    <cfRule type="colorScale" priority="305">
      <colorScale>
        <cfvo type="num" val="0.69"/>
        <cfvo type="num" val="0.8"/>
        <cfvo type="num" val="0.9"/>
        <color rgb="FFF8696B"/>
        <color rgb="FFFFEB84"/>
        <color rgb="FF63BE7B"/>
      </colorScale>
    </cfRule>
  </conditionalFormatting>
  <conditionalFormatting sqref="CE38">
    <cfRule type="colorScale" priority="304">
      <colorScale>
        <cfvo type="num" val="0.69"/>
        <cfvo type="num" val="0.8"/>
        <cfvo type="num" val="0.9"/>
        <color rgb="FFF8696B"/>
        <color rgb="FFFFEB84"/>
        <color rgb="FF63BE7B"/>
      </colorScale>
    </cfRule>
  </conditionalFormatting>
  <conditionalFormatting sqref="CQ38">
    <cfRule type="colorScale" priority="303">
      <colorScale>
        <cfvo type="num" val="0.69"/>
        <cfvo type="num" val="0.8"/>
        <cfvo type="num" val="0.9"/>
        <color rgb="FFF8696B"/>
        <color rgb="FFFFEB84"/>
        <color rgb="FF63BE7B"/>
      </colorScale>
    </cfRule>
  </conditionalFormatting>
  <conditionalFormatting sqref="AJ38">
    <cfRule type="colorScale" priority="302">
      <colorScale>
        <cfvo type="num" val="0.69"/>
        <cfvo type="num" val="0.8"/>
        <cfvo type="num" val="0.9"/>
        <color rgb="FFF8696B"/>
        <color rgb="FFFFEB84"/>
        <color rgb="FF63BE7B"/>
      </colorScale>
    </cfRule>
  </conditionalFormatting>
  <conditionalFormatting sqref="AP38">
    <cfRule type="colorScale" priority="301">
      <colorScale>
        <cfvo type="num" val="0.69"/>
        <cfvo type="num" val="0.8"/>
        <cfvo type="num" val="0.9"/>
        <color rgb="FFF8696B"/>
        <color rgb="FFFFEB84"/>
        <color rgb="FF63BE7B"/>
      </colorScale>
    </cfRule>
  </conditionalFormatting>
  <conditionalFormatting sqref="BB38">
    <cfRule type="colorScale" priority="300">
      <colorScale>
        <cfvo type="num" val="0.69"/>
        <cfvo type="num" val="0.8"/>
        <cfvo type="num" val="0.9"/>
        <color rgb="FFF8696B"/>
        <color rgb="FFFFEB84"/>
        <color rgb="FF63BE7B"/>
      </colorScale>
    </cfRule>
  </conditionalFormatting>
  <conditionalFormatting sqref="BN38">
    <cfRule type="colorScale" priority="299">
      <colorScale>
        <cfvo type="num" val="0.69"/>
        <cfvo type="num" val="0.8"/>
        <cfvo type="num" val="0.9"/>
        <color rgb="FFF8696B"/>
        <color rgb="FFFFEB84"/>
        <color rgb="FF63BE7B"/>
      </colorScale>
    </cfRule>
  </conditionalFormatting>
  <conditionalFormatting sqref="BZ38">
    <cfRule type="colorScale" priority="298">
      <colorScale>
        <cfvo type="num" val="0.69"/>
        <cfvo type="num" val="0.8"/>
        <cfvo type="num" val="0.9"/>
        <color rgb="FFF8696B"/>
        <color rgb="FFFFEB84"/>
        <color rgb="FF63BE7B"/>
      </colorScale>
    </cfRule>
  </conditionalFormatting>
  <conditionalFormatting sqref="CL38">
    <cfRule type="colorScale" priority="297">
      <colorScale>
        <cfvo type="num" val="0.69"/>
        <cfvo type="num" val="0.8"/>
        <cfvo type="num" val="0.9"/>
        <color rgb="FFF8696B"/>
        <color rgb="FFFFEB84"/>
        <color rgb="FF63BE7B"/>
      </colorScale>
    </cfRule>
  </conditionalFormatting>
  <conditionalFormatting sqref="CX38">
    <cfRule type="colorScale" priority="296">
      <colorScale>
        <cfvo type="num" val="0.69"/>
        <cfvo type="num" val="0.8"/>
        <cfvo type="num" val="0.9"/>
        <color rgb="FFF8696B"/>
        <color rgb="FFFFEB84"/>
        <color rgb="FF63BE7B"/>
      </colorScale>
    </cfRule>
  </conditionalFormatting>
  <conditionalFormatting sqref="AC39:AC46">
    <cfRule type="colorScale" priority="295">
      <colorScale>
        <cfvo type="num" val="0.69"/>
        <cfvo type="num" val="0.8"/>
        <cfvo type="num" val="0.9"/>
        <color rgb="FFF8696B"/>
        <color rgb="FFFFEB84"/>
        <color rgb="FF63BE7B"/>
      </colorScale>
    </cfRule>
  </conditionalFormatting>
  <conditionalFormatting sqref="AI39:AI46">
    <cfRule type="colorScale" priority="294">
      <colorScale>
        <cfvo type="num" val="0.69"/>
        <cfvo type="num" val="0.8"/>
        <cfvo type="num" val="0.9"/>
        <color rgb="FFF8696B"/>
        <color rgb="FFFFEB84"/>
        <color rgb="FF63BE7B"/>
      </colorScale>
    </cfRule>
  </conditionalFormatting>
  <conditionalFormatting sqref="AO39:AO46">
    <cfRule type="colorScale" priority="293">
      <colorScale>
        <cfvo type="num" val="0.69"/>
        <cfvo type="num" val="0.8"/>
        <cfvo type="num" val="0.9"/>
        <color rgb="FFF8696B"/>
        <color rgb="FFFFEB84"/>
        <color rgb="FF63BE7B"/>
      </colorScale>
    </cfRule>
  </conditionalFormatting>
  <conditionalFormatting sqref="AU39:AU46">
    <cfRule type="colorScale" priority="292">
      <colorScale>
        <cfvo type="num" val="0.69"/>
        <cfvo type="num" val="0.8"/>
        <cfvo type="num" val="0.9"/>
        <color rgb="FFF8696B"/>
        <color rgb="FFFFEB84"/>
        <color rgb="FF63BE7B"/>
      </colorScale>
    </cfRule>
  </conditionalFormatting>
  <conditionalFormatting sqref="BA39:BA46">
    <cfRule type="colorScale" priority="291">
      <colorScale>
        <cfvo type="num" val="0.69"/>
        <cfvo type="num" val="0.8"/>
        <cfvo type="num" val="0.9"/>
        <color rgb="FFF8696B"/>
        <color rgb="FFFFEB84"/>
        <color rgb="FF63BE7B"/>
      </colorScale>
    </cfRule>
  </conditionalFormatting>
  <conditionalFormatting sqref="BG42:BG45">
    <cfRule type="colorScale" priority="290">
      <colorScale>
        <cfvo type="num" val="0.69"/>
        <cfvo type="num" val="0.8"/>
        <cfvo type="num" val="0.9"/>
        <color rgb="FFF8696B"/>
        <color rgb="FFFFEB84"/>
        <color rgb="FF63BE7B"/>
      </colorScale>
    </cfRule>
  </conditionalFormatting>
  <conditionalFormatting sqref="BM39:BM46">
    <cfRule type="colorScale" priority="289">
      <colorScale>
        <cfvo type="num" val="0.69"/>
        <cfvo type="num" val="0.8"/>
        <cfvo type="num" val="0.9"/>
        <color rgb="FFF8696B"/>
        <color rgb="FFFFEB84"/>
        <color rgb="FF63BE7B"/>
      </colorScale>
    </cfRule>
  </conditionalFormatting>
  <conditionalFormatting sqref="BY41:BY45 BY39">
    <cfRule type="colorScale" priority="288">
      <colorScale>
        <cfvo type="num" val="0.69"/>
        <cfvo type="num" val="0.8"/>
        <cfvo type="num" val="0.9"/>
        <color rgb="FFF8696B"/>
        <color rgb="FFFFEB84"/>
        <color rgb="FF63BE7B"/>
      </colorScale>
    </cfRule>
  </conditionalFormatting>
  <conditionalFormatting sqref="CE39:CE40 CE42:CE46">
    <cfRule type="colorScale" priority="287">
      <colorScale>
        <cfvo type="num" val="0.69"/>
        <cfvo type="num" val="0.8"/>
        <cfvo type="num" val="0.9"/>
        <color rgb="FFF8696B"/>
        <color rgb="FFFFEB84"/>
        <color rgb="FF63BE7B"/>
      </colorScale>
    </cfRule>
  </conditionalFormatting>
  <conditionalFormatting sqref="CK39:CK46">
    <cfRule type="colorScale" priority="286">
      <colorScale>
        <cfvo type="num" val="0.69"/>
        <cfvo type="num" val="0.8"/>
        <cfvo type="num" val="0.9"/>
        <color rgb="FFF8696B"/>
        <color rgb="FFFFEB84"/>
        <color rgb="FF63BE7B"/>
      </colorScale>
    </cfRule>
  </conditionalFormatting>
  <conditionalFormatting sqref="CQ42:CQ46 CQ39">
    <cfRule type="colorScale" priority="285">
      <colorScale>
        <cfvo type="num" val="0.69"/>
        <cfvo type="num" val="0.8"/>
        <cfvo type="num" val="0.9"/>
        <color rgb="FFF8696B"/>
        <color rgb="FFFFEB84"/>
        <color rgb="FF63BE7B"/>
      </colorScale>
    </cfRule>
  </conditionalFormatting>
  <conditionalFormatting sqref="CW39:CW46">
    <cfRule type="colorScale" priority="284">
      <colorScale>
        <cfvo type="num" val="0.69"/>
        <cfvo type="num" val="0.8"/>
        <cfvo type="num" val="0.9"/>
        <color rgb="FFF8696B"/>
        <color rgb="FFFFEB84"/>
        <color rgb="FF63BE7B"/>
      </colorScale>
    </cfRule>
  </conditionalFormatting>
  <conditionalFormatting sqref="CW8">
    <cfRule type="colorScale" priority="283">
      <colorScale>
        <cfvo type="num" val="0.69"/>
        <cfvo type="num" val="0.8"/>
        <cfvo type="num" val="0.9"/>
        <color rgb="FFF8696B"/>
        <color rgb="FFFFEB84"/>
        <color rgb="FF63BE7B"/>
      </colorScale>
    </cfRule>
  </conditionalFormatting>
  <conditionalFormatting sqref="AI9">
    <cfRule type="colorScale" priority="282">
      <colorScale>
        <cfvo type="num" val="0.69"/>
        <cfvo type="num" val="0.8"/>
        <cfvo type="num" val="0.9"/>
        <color rgb="FFF8696B"/>
        <color rgb="FFFFEB84"/>
        <color rgb="FF63BE7B"/>
      </colorScale>
    </cfRule>
  </conditionalFormatting>
  <conditionalFormatting sqref="AO9">
    <cfRule type="colorScale" priority="281">
      <colorScale>
        <cfvo type="num" val="0.69"/>
        <cfvo type="num" val="0.8"/>
        <cfvo type="num" val="0.9"/>
        <color rgb="FFF8696B"/>
        <color rgb="FFFFEB84"/>
        <color rgb="FF63BE7B"/>
      </colorScale>
    </cfRule>
  </conditionalFormatting>
  <conditionalFormatting sqref="BA9">
    <cfRule type="colorScale" priority="280">
      <colorScale>
        <cfvo type="num" val="0.69"/>
        <cfvo type="num" val="0.8"/>
        <cfvo type="num" val="0.9"/>
        <color rgb="FFF8696B"/>
        <color rgb="FFFFEB84"/>
        <color rgb="FF63BE7B"/>
      </colorScale>
    </cfRule>
  </conditionalFormatting>
  <conditionalFormatting sqref="BG9">
    <cfRule type="colorScale" priority="279">
      <colorScale>
        <cfvo type="num" val="0.69"/>
        <cfvo type="num" val="0.8"/>
        <cfvo type="num" val="0.9"/>
        <color rgb="FFF8696B"/>
        <color rgb="FFFFEB84"/>
        <color rgb="FF63BE7B"/>
      </colorScale>
    </cfRule>
  </conditionalFormatting>
  <conditionalFormatting sqref="BM9">
    <cfRule type="colorScale" priority="278">
      <colorScale>
        <cfvo type="num" val="0.69"/>
        <cfvo type="num" val="0.8"/>
        <cfvo type="num" val="0.9"/>
        <color rgb="FFF8696B"/>
        <color rgb="FFFFEB84"/>
        <color rgb="FF63BE7B"/>
      </colorScale>
    </cfRule>
  </conditionalFormatting>
  <conditionalFormatting sqref="BS9">
    <cfRule type="colorScale" priority="277">
      <colorScale>
        <cfvo type="num" val="0.69"/>
        <cfvo type="num" val="0.8"/>
        <cfvo type="num" val="0.9"/>
        <color rgb="FFF8696B"/>
        <color rgb="FFFFEB84"/>
        <color rgb="FF63BE7B"/>
      </colorScale>
    </cfRule>
  </conditionalFormatting>
  <conditionalFormatting sqref="BY9">
    <cfRule type="colorScale" priority="276">
      <colorScale>
        <cfvo type="num" val="0.69"/>
        <cfvo type="num" val="0.8"/>
        <cfvo type="num" val="0.9"/>
        <color rgb="FFF8696B"/>
        <color rgb="FFFFEB84"/>
        <color rgb="FF63BE7B"/>
      </colorScale>
    </cfRule>
  </conditionalFormatting>
  <conditionalFormatting sqref="CE9">
    <cfRule type="colorScale" priority="275">
      <colorScale>
        <cfvo type="num" val="0.69"/>
        <cfvo type="num" val="0.8"/>
        <cfvo type="num" val="0.9"/>
        <color rgb="FFF8696B"/>
        <color rgb="FFFFEB84"/>
        <color rgb="FF63BE7B"/>
      </colorScale>
    </cfRule>
  </conditionalFormatting>
  <conditionalFormatting sqref="CK9">
    <cfRule type="colorScale" priority="274">
      <colorScale>
        <cfvo type="num" val="0.69"/>
        <cfvo type="num" val="0.8"/>
        <cfvo type="num" val="0.9"/>
        <color rgb="FFF8696B"/>
        <color rgb="FFFFEB84"/>
        <color rgb="FF63BE7B"/>
      </colorScale>
    </cfRule>
  </conditionalFormatting>
  <conditionalFormatting sqref="CQ9">
    <cfRule type="colorScale" priority="273">
      <colorScale>
        <cfvo type="num" val="0.69"/>
        <cfvo type="num" val="0.8"/>
        <cfvo type="num" val="0.9"/>
        <color rgb="FFF8696B"/>
        <color rgb="FFFFEB84"/>
        <color rgb="FF63BE7B"/>
      </colorScale>
    </cfRule>
  </conditionalFormatting>
  <conditionalFormatting sqref="CW9">
    <cfRule type="colorScale" priority="272">
      <colorScale>
        <cfvo type="num" val="0.69"/>
        <cfvo type="num" val="0.8"/>
        <cfvo type="num" val="0.9"/>
        <color rgb="FFF8696B"/>
        <color rgb="FFFFEB84"/>
        <color rgb="FF63BE7B"/>
      </colorScale>
    </cfRule>
  </conditionalFormatting>
  <conditionalFormatting sqref="CK29">
    <cfRule type="colorScale" priority="271">
      <colorScale>
        <cfvo type="num" val="0.69"/>
        <cfvo type="num" val="0.8"/>
        <cfvo type="num" val="0.9"/>
        <color rgb="FFF8696B"/>
        <color rgb="FFFFEB84"/>
        <color rgb="FF63BE7B"/>
      </colorScale>
    </cfRule>
  </conditionalFormatting>
  <conditionalFormatting sqref="CK30">
    <cfRule type="colorScale" priority="270">
      <colorScale>
        <cfvo type="num" val="0.69"/>
        <cfvo type="num" val="0.8"/>
        <cfvo type="num" val="0.9"/>
        <color rgb="FFF8696B"/>
        <color rgb="FFFFEB84"/>
        <color rgb="FF63BE7B"/>
      </colorScale>
    </cfRule>
  </conditionalFormatting>
  <conditionalFormatting sqref="AI21 AO21 BG21 BM21 BS21 BY21 CE21 CK21 CQ21 CW21 AC21">
    <cfRule type="colorScale" priority="269">
      <colorScale>
        <cfvo type="num" val="0.69"/>
        <cfvo type="num" val="0.8"/>
        <cfvo type="num" val="0.9"/>
        <color rgb="FFF8696B"/>
        <color rgb="FFFFEB84"/>
        <color rgb="FF63BE7B"/>
      </colorScale>
    </cfRule>
  </conditionalFormatting>
  <conditionalFormatting sqref="AC37 CW37 CQ37 CK37 CE37 BY37 BS37 BM37 BG37 AU37 AO37 AI37">
    <cfRule type="colorScale" priority="268">
      <colorScale>
        <cfvo type="num" val="0.69"/>
        <cfvo type="num" val="0.8"/>
        <cfvo type="num" val="0.9"/>
        <color rgb="FFF8696B"/>
        <color rgb="FFFFEB84"/>
        <color rgb="FF63BE7B"/>
      </colorScale>
    </cfRule>
  </conditionalFormatting>
  <conditionalFormatting sqref="AC8">
    <cfRule type="colorScale" priority="267">
      <colorScale>
        <cfvo type="num" val="0.69"/>
        <cfvo type="num" val="0.8"/>
        <cfvo type="num" val="0.9"/>
        <color rgb="FFF8696B"/>
        <color rgb="FFFFEB84"/>
        <color rgb="FF63BE7B"/>
      </colorScale>
    </cfRule>
  </conditionalFormatting>
  <conditionalFormatting sqref="AC12">
    <cfRule type="colorScale" priority="266">
      <colorScale>
        <cfvo type="num" val="0.69"/>
        <cfvo type="num" val="0.8"/>
        <cfvo type="num" val="0.9"/>
        <color rgb="FFF8696B"/>
        <color rgb="FFFFEB84"/>
        <color rgb="FF63BE7B"/>
      </colorScale>
    </cfRule>
  </conditionalFormatting>
  <conditionalFormatting sqref="AC14">
    <cfRule type="colorScale" priority="265">
      <colorScale>
        <cfvo type="num" val="0.69"/>
        <cfvo type="num" val="0.8"/>
        <cfvo type="num" val="0.9"/>
        <color rgb="FFF8696B"/>
        <color rgb="FFFFEB84"/>
        <color rgb="FF63BE7B"/>
      </colorScale>
    </cfRule>
  </conditionalFormatting>
  <conditionalFormatting sqref="AC16">
    <cfRule type="colorScale" priority="264">
      <colorScale>
        <cfvo type="num" val="0.69"/>
        <cfvo type="num" val="0.8"/>
        <cfvo type="num" val="0.9"/>
        <color rgb="FFF8696B"/>
        <color rgb="FFFFEB84"/>
        <color rgb="FF63BE7B"/>
      </colorScale>
    </cfRule>
  </conditionalFormatting>
  <conditionalFormatting sqref="AC18">
    <cfRule type="colorScale" priority="263">
      <colorScale>
        <cfvo type="num" val="0.69"/>
        <cfvo type="num" val="0.8"/>
        <cfvo type="num" val="0.9"/>
        <color rgb="FFF8696B"/>
        <color rgb="FFFFEB84"/>
        <color rgb="FF63BE7B"/>
      </colorScale>
    </cfRule>
  </conditionalFormatting>
  <conditionalFormatting sqref="AC20">
    <cfRule type="colorScale" priority="262">
      <colorScale>
        <cfvo type="num" val="0.69"/>
        <cfvo type="num" val="0.8"/>
        <cfvo type="num" val="0.9"/>
        <color rgb="FFF8696B"/>
        <color rgb="FFFFEB84"/>
        <color rgb="FF63BE7B"/>
      </colorScale>
    </cfRule>
  </conditionalFormatting>
  <conditionalFormatting sqref="AC22">
    <cfRule type="colorScale" priority="261">
      <colorScale>
        <cfvo type="num" val="0.69"/>
        <cfvo type="num" val="0.8"/>
        <cfvo type="num" val="0.9"/>
        <color rgb="FFF8696B"/>
        <color rgb="FFFFEB84"/>
        <color rgb="FF63BE7B"/>
      </colorScale>
    </cfRule>
  </conditionalFormatting>
  <conditionalFormatting sqref="AC23">
    <cfRule type="colorScale" priority="260">
      <colorScale>
        <cfvo type="num" val="0.69"/>
        <cfvo type="num" val="0.8"/>
        <cfvo type="num" val="0.9"/>
        <color rgb="FFF8696B"/>
        <color rgb="FFFFEB84"/>
        <color rgb="FF63BE7B"/>
      </colorScale>
    </cfRule>
  </conditionalFormatting>
  <conditionalFormatting sqref="AC25">
    <cfRule type="colorScale" priority="259">
      <colorScale>
        <cfvo type="num" val="0.69"/>
        <cfvo type="num" val="0.8"/>
        <cfvo type="num" val="0.9"/>
        <color rgb="FFF8696B"/>
        <color rgb="FFFFEB84"/>
        <color rgb="FF63BE7B"/>
      </colorScale>
    </cfRule>
  </conditionalFormatting>
  <conditionalFormatting sqref="AC26">
    <cfRule type="colorScale" priority="258">
      <colorScale>
        <cfvo type="num" val="0.69"/>
        <cfvo type="num" val="0.8"/>
        <cfvo type="num" val="0.9"/>
        <color rgb="FFF8696B"/>
        <color rgb="FFFFEB84"/>
        <color rgb="FF63BE7B"/>
      </colorScale>
    </cfRule>
  </conditionalFormatting>
  <conditionalFormatting sqref="AC28">
    <cfRule type="colorScale" priority="257">
      <colorScale>
        <cfvo type="num" val="0.69"/>
        <cfvo type="num" val="0.8"/>
        <cfvo type="num" val="0.9"/>
        <color rgb="FFF8696B"/>
        <color rgb="FFFFEB84"/>
        <color rgb="FF63BE7B"/>
      </colorScale>
    </cfRule>
  </conditionalFormatting>
  <conditionalFormatting sqref="AC29">
    <cfRule type="colorScale" priority="256">
      <colorScale>
        <cfvo type="num" val="0.69"/>
        <cfvo type="num" val="0.8"/>
        <cfvo type="num" val="0.9"/>
        <color rgb="FFF8696B"/>
        <color rgb="FFFFEB84"/>
        <color rgb="FF63BE7B"/>
      </colorScale>
    </cfRule>
  </conditionalFormatting>
  <conditionalFormatting sqref="AC30">
    <cfRule type="colorScale" priority="255">
      <colorScale>
        <cfvo type="num" val="0.69"/>
        <cfvo type="num" val="0.8"/>
        <cfvo type="num" val="0.9"/>
        <color rgb="FFF8696B"/>
        <color rgb="FFFFEB84"/>
        <color rgb="FF63BE7B"/>
      </colorScale>
    </cfRule>
  </conditionalFormatting>
  <conditionalFormatting sqref="AC31">
    <cfRule type="colorScale" priority="254">
      <colorScale>
        <cfvo type="num" val="0.69"/>
        <cfvo type="num" val="0.8"/>
        <cfvo type="num" val="0.9"/>
        <color rgb="FFF8696B"/>
        <color rgb="FFFFEB84"/>
        <color rgb="FF63BE7B"/>
      </colorScale>
    </cfRule>
  </conditionalFormatting>
  <conditionalFormatting sqref="AC32">
    <cfRule type="colorScale" priority="253">
      <colorScale>
        <cfvo type="num" val="0.69"/>
        <cfvo type="num" val="0.8"/>
        <cfvo type="num" val="0.9"/>
        <color rgb="FFF8696B"/>
        <color rgb="FFFFEB84"/>
        <color rgb="FF63BE7B"/>
      </colorScale>
    </cfRule>
  </conditionalFormatting>
  <conditionalFormatting sqref="AC34">
    <cfRule type="colorScale" priority="252">
      <colorScale>
        <cfvo type="num" val="0.69"/>
        <cfvo type="num" val="0.8"/>
        <cfvo type="num" val="0.9"/>
        <color rgb="FFF8696B"/>
        <color rgb="FFFFEB84"/>
        <color rgb="FF63BE7B"/>
      </colorScale>
    </cfRule>
  </conditionalFormatting>
  <conditionalFormatting sqref="AC36">
    <cfRule type="colorScale" priority="251">
      <colorScale>
        <cfvo type="num" val="0.69"/>
        <cfvo type="num" val="0.8"/>
        <cfvo type="num" val="0.9"/>
        <color rgb="FFF8696B"/>
        <color rgb="FFFFEB84"/>
        <color rgb="FF63BE7B"/>
      </colorScale>
    </cfRule>
  </conditionalFormatting>
  <conditionalFormatting sqref="AC24">
    <cfRule type="colorScale" priority="250">
      <colorScale>
        <cfvo type="num" val="0.69"/>
        <cfvo type="num" val="0.8"/>
        <cfvo type="num" val="0.9"/>
        <color rgb="FFF8696B"/>
        <color rgb="FFFFEB84"/>
        <color rgb="FF63BE7B"/>
      </colorScale>
    </cfRule>
  </conditionalFormatting>
  <conditionalFormatting sqref="AC27">
    <cfRule type="colorScale" priority="249">
      <colorScale>
        <cfvo type="num" val="0.69"/>
        <cfvo type="num" val="0.8"/>
        <cfvo type="num" val="0.9"/>
        <color rgb="FFF8696B"/>
        <color rgb="FFFFEB84"/>
        <color rgb="FF63BE7B"/>
      </colorScale>
    </cfRule>
  </conditionalFormatting>
  <conditionalFormatting sqref="AI8">
    <cfRule type="colorScale" priority="248">
      <colorScale>
        <cfvo type="num" val="0.69"/>
        <cfvo type="num" val="0.8"/>
        <cfvo type="num" val="0.9"/>
        <color rgb="FFF8696B"/>
        <color rgb="FFFFEB84"/>
        <color rgb="FF63BE7B"/>
      </colorScale>
    </cfRule>
  </conditionalFormatting>
  <conditionalFormatting sqref="AI12">
    <cfRule type="colorScale" priority="247">
      <colorScale>
        <cfvo type="num" val="0.69"/>
        <cfvo type="num" val="0.8"/>
        <cfvo type="num" val="0.9"/>
        <color rgb="FFF8696B"/>
        <color rgb="FFFFEB84"/>
        <color rgb="FF63BE7B"/>
      </colorScale>
    </cfRule>
  </conditionalFormatting>
  <conditionalFormatting sqref="AI14:AI15">
    <cfRule type="colorScale" priority="246">
      <colorScale>
        <cfvo type="num" val="0.69"/>
        <cfvo type="num" val="0.8"/>
        <cfvo type="num" val="0.9"/>
        <color rgb="FFF8696B"/>
        <color rgb="FFFFEB84"/>
        <color rgb="FF63BE7B"/>
      </colorScale>
    </cfRule>
  </conditionalFormatting>
  <conditionalFormatting sqref="AI16">
    <cfRule type="colorScale" priority="245">
      <colorScale>
        <cfvo type="num" val="0.69"/>
        <cfvo type="num" val="0.8"/>
        <cfvo type="num" val="0.9"/>
        <color rgb="FFF8696B"/>
        <color rgb="FFFFEB84"/>
        <color rgb="FF63BE7B"/>
      </colorScale>
    </cfRule>
  </conditionalFormatting>
  <conditionalFormatting sqref="AI20">
    <cfRule type="colorScale" priority="244">
      <colorScale>
        <cfvo type="num" val="0.69"/>
        <cfvo type="num" val="0.8"/>
        <cfvo type="num" val="0.9"/>
        <color rgb="FFF8696B"/>
        <color rgb="FFFFEB84"/>
        <color rgb="FF63BE7B"/>
      </colorScale>
    </cfRule>
  </conditionalFormatting>
  <conditionalFormatting sqref="AI18">
    <cfRule type="colorScale" priority="243">
      <colorScale>
        <cfvo type="num" val="0.69"/>
        <cfvo type="num" val="0.8"/>
        <cfvo type="num" val="0.9"/>
        <color rgb="FFF8696B"/>
        <color rgb="FFFFEB84"/>
        <color rgb="FF63BE7B"/>
      </colorScale>
    </cfRule>
  </conditionalFormatting>
  <conditionalFormatting sqref="AI22">
    <cfRule type="colorScale" priority="242">
      <colorScale>
        <cfvo type="num" val="0.69"/>
        <cfvo type="num" val="0.8"/>
        <cfvo type="num" val="0.9"/>
        <color rgb="FFF8696B"/>
        <color rgb="FFFFEB84"/>
        <color rgb="FF63BE7B"/>
      </colorScale>
    </cfRule>
  </conditionalFormatting>
  <conditionalFormatting sqref="AI24">
    <cfRule type="colorScale" priority="241">
      <colorScale>
        <cfvo type="num" val="0.69"/>
        <cfvo type="num" val="0.8"/>
        <cfvo type="num" val="0.9"/>
        <color rgb="FFF8696B"/>
        <color rgb="FFFFEB84"/>
        <color rgb="FF63BE7B"/>
      </colorScale>
    </cfRule>
  </conditionalFormatting>
  <conditionalFormatting sqref="AI25">
    <cfRule type="colorScale" priority="240">
      <colorScale>
        <cfvo type="num" val="0.69"/>
        <cfvo type="num" val="0.8"/>
        <cfvo type="num" val="0.9"/>
        <color rgb="FFF8696B"/>
        <color rgb="FFFFEB84"/>
        <color rgb="FF63BE7B"/>
      </colorScale>
    </cfRule>
  </conditionalFormatting>
  <conditionalFormatting sqref="AI26:AI27">
    <cfRule type="colorScale" priority="239">
      <colorScale>
        <cfvo type="num" val="0.69"/>
        <cfvo type="num" val="0.8"/>
        <cfvo type="num" val="0.9"/>
        <color rgb="FFF8696B"/>
        <color rgb="FFFFEB84"/>
        <color rgb="FF63BE7B"/>
      </colorScale>
    </cfRule>
  </conditionalFormatting>
  <conditionalFormatting sqref="AI28">
    <cfRule type="colorScale" priority="238">
      <colorScale>
        <cfvo type="num" val="0.69"/>
        <cfvo type="num" val="0.8"/>
        <cfvo type="num" val="0.9"/>
        <color rgb="FFF8696B"/>
        <color rgb="FFFFEB84"/>
        <color rgb="FF63BE7B"/>
      </colorScale>
    </cfRule>
  </conditionalFormatting>
  <conditionalFormatting sqref="AI29">
    <cfRule type="colorScale" priority="237">
      <colorScale>
        <cfvo type="num" val="0.69"/>
        <cfvo type="num" val="0.8"/>
        <cfvo type="num" val="0.9"/>
        <color rgb="FFF8696B"/>
        <color rgb="FFFFEB84"/>
        <color rgb="FF63BE7B"/>
      </colorScale>
    </cfRule>
  </conditionalFormatting>
  <conditionalFormatting sqref="AI30">
    <cfRule type="colorScale" priority="236">
      <colorScale>
        <cfvo type="num" val="0.69"/>
        <cfvo type="num" val="0.8"/>
        <cfvo type="num" val="0.9"/>
        <color rgb="FFF8696B"/>
        <color rgb="FFFFEB84"/>
        <color rgb="FF63BE7B"/>
      </colorScale>
    </cfRule>
  </conditionalFormatting>
  <conditionalFormatting sqref="AI31">
    <cfRule type="colorScale" priority="235">
      <colorScale>
        <cfvo type="num" val="0.69"/>
        <cfvo type="num" val="0.8"/>
        <cfvo type="num" val="0.9"/>
        <color rgb="FFF8696B"/>
        <color rgb="FFFFEB84"/>
        <color rgb="FF63BE7B"/>
      </colorScale>
    </cfRule>
  </conditionalFormatting>
  <conditionalFormatting sqref="AI32">
    <cfRule type="colorScale" priority="234">
      <colorScale>
        <cfvo type="num" val="0.69"/>
        <cfvo type="num" val="0.8"/>
        <cfvo type="num" val="0.9"/>
        <color rgb="FFF8696B"/>
        <color rgb="FFFFEB84"/>
        <color rgb="FF63BE7B"/>
      </colorScale>
    </cfRule>
  </conditionalFormatting>
  <conditionalFormatting sqref="AI34">
    <cfRule type="colorScale" priority="233">
      <colorScale>
        <cfvo type="num" val="0.69"/>
        <cfvo type="num" val="0.8"/>
        <cfvo type="num" val="0.9"/>
        <color rgb="FFF8696B"/>
        <color rgb="FFFFEB84"/>
        <color rgb="FF63BE7B"/>
      </colorScale>
    </cfRule>
  </conditionalFormatting>
  <conditionalFormatting sqref="AI36">
    <cfRule type="colorScale" priority="232">
      <colorScale>
        <cfvo type="num" val="0.69"/>
        <cfvo type="num" val="0.8"/>
        <cfvo type="num" val="0.9"/>
        <color rgb="FFF8696B"/>
        <color rgb="FFFFEB84"/>
        <color rgb="FF63BE7B"/>
      </colorScale>
    </cfRule>
  </conditionalFormatting>
  <conditionalFormatting sqref="AO8">
    <cfRule type="colorScale" priority="231">
      <colorScale>
        <cfvo type="num" val="0.69"/>
        <cfvo type="num" val="0.8"/>
        <cfvo type="num" val="0.9"/>
        <color rgb="FFF8696B"/>
        <color rgb="FFFFEB84"/>
        <color rgb="FF63BE7B"/>
      </colorScale>
    </cfRule>
  </conditionalFormatting>
  <conditionalFormatting sqref="AO11">
    <cfRule type="colorScale" priority="230">
      <colorScale>
        <cfvo type="num" val="0.69"/>
        <cfvo type="num" val="0.8"/>
        <cfvo type="num" val="0.9"/>
        <color rgb="FFF8696B"/>
        <color rgb="FFFFEB84"/>
        <color rgb="FF63BE7B"/>
      </colorScale>
    </cfRule>
  </conditionalFormatting>
  <conditionalFormatting sqref="AO12:AO15">
    <cfRule type="colorScale" priority="229">
      <colorScale>
        <cfvo type="num" val="0.69"/>
        <cfvo type="num" val="0.8"/>
        <cfvo type="num" val="0.9"/>
        <color rgb="FFF8696B"/>
        <color rgb="FFFFEB84"/>
        <color rgb="FF63BE7B"/>
      </colorScale>
    </cfRule>
  </conditionalFormatting>
  <conditionalFormatting sqref="AO16">
    <cfRule type="colorScale" priority="228">
      <colorScale>
        <cfvo type="num" val="0.69"/>
        <cfvo type="num" val="0.8"/>
        <cfvo type="num" val="0.9"/>
        <color rgb="FFF8696B"/>
        <color rgb="FFFFEB84"/>
        <color rgb="FF63BE7B"/>
      </colorScale>
    </cfRule>
  </conditionalFormatting>
  <conditionalFormatting sqref="AO18">
    <cfRule type="colorScale" priority="227">
      <colorScale>
        <cfvo type="num" val="0.69"/>
        <cfvo type="num" val="0.8"/>
        <cfvo type="num" val="0.9"/>
        <color rgb="FFF8696B"/>
        <color rgb="FFFFEB84"/>
        <color rgb="FF63BE7B"/>
      </colorScale>
    </cfRule>
  </conditionalFormatting>
  <conditionalFormatting sqref="AO20">
    <cfRule type="colorScale" priority="226">
      <colorScale>
        <cfvo type="num" val="0.69"/>
        <cfvo type="num" val="0.8"/>
        <cfvo type="num" val="0.9"/>
        <color rgb="FFF8696B"/>
        <color rgb="FFFFEB84"/>
        <color rgb="FF63BE7B"/>
      </colorScale>
    </cfRule>
  </conditionalFormatting>
  <conditionalFormatting sqref="AO22">
    <cfRule type="colorScale" priority="225">
      <colorScale>
        <cfvo type="num" val="0.69"/>
        <cfvo type="num" val="0.8"/>
        <cfvo type="num" val="0.9"/>
        <color rgb="FFF8696B"/>
        <color rgb="FFFFEB84"/>
        <color rgb="FF63BE7B"/>
      </colorScale>
    </cfRule>
  </conditionalFormatting>
  <conditionalFormatting sqref="AO23">
    <cfRule type="colorScale" priority="224">
      <colorScale>
        <cfvo type="num" val="0.69"/>
        <cfvo type="num" val="0.8"/>
        <cfvo type="num" val="0.9"/>
        <color rgb="FFF8696B"/>
        <color rgb="FFFFEB84"/>
        <color rgb="FF63BE7B"/>
      </colorScale>
    </cfRule>
  </conditionalFormatting>
  <conditionalFormatting sqref="AO24">
    <cfRule type="colorScale" priority="223">
      <colorScale>
        <cfvo type="num" val="0.69"/>
        <cfvo type="num" val="0.8"/>
        <cfvo type="num" val="0.9"/>
        <color rgb="FFF8696B"/>
        <color rgb="FFFFEB84"/>
        <color rgb="FF63BE7B"/>
      </colorScale>
    </cfRule>
  </conditionalFormatting>
  <conditionalFormatting sqref="AO25">
    <cfRule type="colorScale" priority="222">
      <colorScale>
        <cfvo type="num" val="0.69"/>
        <cfvo type="num" val="0.8"/>
        <cfvo type="num" val="0.9"/>
        <color rgb="FFF8696B"/>
        <color rgb="FFFFEB84"/>
        <color rgb="FF63BE7B"/>
      </colorScale>
    </cfRule>
  </conditionalFormatting>
  <conditionalFormatting sqref="AO26">
    <cfRule type="colorScale" priority="221">
      <colorScale>
        <cfvo type="num" val="0.69"/>
        <cfvo type="num" val="0.8"/>
        <cfvo type="num" val="0.9"/>
        <color rgb="FFF8696B"/>
        <color rgb="FFFFEB84"/>
        <color rgb="FF63BE7B"/>
      </colorScale>
    </cfRule>
  </conditionalFormatting>
  <conditionalFormatting sqref="AO27">
    <cfRule type="colorScale" priority="220">
      <colorScale>
        <cfvo type="num" val="0.69"/>
        <cfvo type="num" val="0.8"/>
        <cfvo type="num" val="0.9"/>
        <color rgb="FFF8696B"/>
        <color rgb="FFFFEB84"/>
        <color rgb="FF63BE7B"/>
      </colorScale>
    </cfRule>
  </conditionalFormatting>
  <conditionalFormatting sqref="AO28">
    <cfRule type="colorScale" priority="219">
      <colorScale>
        <cfvo type="num" val="0.69"/>
        <cfvo type="num" val="0.8"/>
        <cfvo type="num" val="0.9"/>
        <color rgb="FFF8696B"/>
        <color rgb="FFFFEB84"/>
        <color rgb="FF63BE7B"/>
      </colorScale>
    </cfRule>
  </conditionalFormatting>
  <conditionalFormatting sqref="AO29">
    <cfRule type="colorScale" priority="218">
      <colorScale>
        <cfvo type="num" val="0.69"/>
        <cfvo type="num" val="0.8"/>
        <cfvo type="num" val="0.9"/>
        <color rgb="FFF8696B"/>
        <color rgb="FFFFEB84"/>
        <color rgb="FF63BE7B"/>
      </colorScale>
    </cfRule>
  </conditionalFormatting>
  <conditionalFormatting sqref="AO30">
    <cfRule type="colorScale" priority="217">
      <colorScale>
        <cfvo type="num" val="0.69"/>
        <cfvo type="num" val="0.8"/>
        <cfvo type="num" val="0.9"/>
        <color rgb="FFF8696B"/>
        <color rgb="FFFFEB84"/>
        <color rgb="FF63BE7B"/>
      </colorScale>
    </cfRule>
  </conditionalFormatting>
  <conditionalFormatting sqref="AO31:AO32">
    <cfRule type="colorScale" priority="216">
      <colorScale>
        <cfvo type="num" val="0.69"/>
        <cfvo type="num" val="0.8"/>
        <cfvo type="num" val="0.9"/>
        <color rgb="FFF8696B"/>
        <color rgb="FFFFEB84"/>
        <color rgb="FF63BE7B"/>
      </colorScale>
    </cfRule>
  </conditionalFormatting>
  <conditionalFormatting sqref="AO34">
    <cfRule type="colorScale" priority="215">
      <colorScale>
        <cfvo type="num" val="0.69"/>
        <cfvo type="num" val="0.8"/>
        <cfvo type="num" val="0.9"/>
        <color rgb="FFF8696B"/>
        <color rgb="FFFFEB84"/>
        <color rgb="FF63BE7B"/>
      </colorScale>
    </cfRule>
  </conditionalFormatting>
  <conditionalFormatting sqref="AO36">
    <cfRule type="colorScale" priority="214">
      <colorScale>
        <cfvo type="num" val="0.69"/>
        <cfvo type="num" val="0.8"/>
        <cfvo type="num" val="0.9"/>
        <color rgb="FFF8696B"/>
        <color rgb="FFFFEB84"/>
        <color rgb="FF63BE7B"/>
      </colorScale>
    </cfRule>
  </conditionalFormatting>
  <conditionalFormatting sqref="CW10">
    <cfRule type="colorScale" priority="213">
      <colorScale>
        <cfvo type="num" val="0.69"/>
        <cfvo type="num" val="0.8"/>
        <cfvo type="num" val="0.9"/>
        <color rgb="FFF8696B"/>
        <color rgb="FFFFEB84"/>
        <color rgb="FF63BE7B"/>
      </colorScale>
    </cfRule>
  </conditionalFormatting>
  <conditionalFormatting sqref="CW12">
    <cfRule type="colorScale" priority="212">
      <colorScale>
        <cfvo type="num" val="0.69"/>
        <cfvo type="num" val="0.8"/>
        <cfvo type="num" val="0.9"/>
        <color rgb="FFF8696B"/>
        <color rgb="FFFFEB84"/>
        <color rgb="FF63BE7B"/>
      </colorScale>
    </cfRule>
  </conditionalFormatting>
  <conditionalFormatting sqref="CW14">
    <cfRule type="colorScale" priority="211">
      <colorScale>
        <cfvo type="num" val="0.69"/>
        <cfvo type="num" val="0.8"/>
        <cfvo type="num" val="0.9"/>
        <color rgb="FFF8696B"/>
        <color rgb="FFFFEB84"/>
        <color rgb="FF63BE7B"/>
      </colorScale>
    </cfRule>
  </conditionalFormatting>
  <conditionalFormatting sqref="CW16">
    <cfRule type="colorScale" priority="210">
      <colorScale>
        <cfvo type="num" val="0.69"/>
        <cfvo type="num" val="0.8"/>
        <cfvo type="num" val="0.9"/>
        <color rgb="FFF8696B"/>
        <color rgb="FFFFEB84"/>
        <color rgb="FF63BE7B"/>
      </colorScale>
    </cfRule>
  </conditionalFormatting>
  <conditionalFormatting sqref="CW18">
    <cfRule type="colorScale" priority="209">
      <colorScale>
        <cfvo type="num" val="0.69"/>
        <cfvo type="num" val="0.8"/>
        <cfvo type="num" val="0.9"/>
        <color rgb="FFF8696B"/>
        <color rgb="FFFFEB84"/>
        <color rgb="FF63BE7B"/>
      </colorScale>
    </cfRule>
  </conditionalFormatting>
  <conditionalFormatting sqref="CW20">
    <cfRule type="colorScale" priority="208">
      <colorScale>
        <cfvo type="num" val="0.69"/>
        <cfvo type="num" val="0.8"/>
        <cfvo type="num" val="0.9"/>
        <color rgb="FFF8696B"/>
        <color rgb="FFFFEB84"/>
        <color rgb="FF63BE7B"/>
      </colorScale>
    </cfRule>
  </conditionalFormatting>
  <conditionalFormatting sqref="CW22:CW32">
    <cfRule type="colorScale" priority="207">
      <colorScale>
        <cfvo type="num" val="0.69"/>
        <cfvo type="num" val="0.8"/>
        <cfvo type="num" val="0.9"/>
        <color rgb="FFF8696B"/>
        <color rgb="FFFFEB84"/>
        <color rgb="FF63BE7B"/>
      </colorScale>
    </cfRule>
  </conditionalFormatting>
  <conditionalFormatting sqref="CW34">
    <cfRule type="colorScale" priority="206">
      <colorScale>
        <cfvo type="num" val="0.69"/>
        <cfvo type="num" val="0.8"/>
        <cfvo type="num" val="0.9"/>
        <color rgb="FFF8696B"/>
        <color rgb="FFFFEB84"/>
        <color rgb="FF63BE7B"/>
      </colorScale>
    </cfRule>
  </conditionalFormatting>
  <conditionalFormatting sqref="CW36">
    <cfRule type="colorScale" priority="205">
      <colorScale>
        <cfvo type="num" val="0.69"/>
        <cfvo type="num" val="0.8"/>
        <cfvo type="num" val="0.9"/>
        <color rgb="FFF8696B"/>
        <color rgb="FFFFEB84"/>
        <color rgb="FF63BE7B"/>
      </colorScale>
    </cfRule>
  </conditionalFormatting>
  <conditionalFormatting sqref="AU9">
    <cfRule type="colorScale" priority="204">
      <colorScale>
        <cfvo type="num" val="0.69"/>
        <cfvo type="num" val="0.8"/>
        <cfvo type="num" val="0.9"/>
        <color rgb="FFF8696B"/>
        <color rgb="FFFFEB84"/>
        <color rgb="FF63BE7B"/>
      </colorScale>
    </cfRule>
  </conditionalFormatting>
  <conditionalFormatting sqref="AU8">
    <cfRule type="colorScale" priority="203">
      <colorScale>
        <cfvo type="num" val="0.69"/>
        <cfvo type="num" val="0.8"/>
        <cfvo type="num" val="0.9"/>
        <color rgb="FFF8696B"/>
        <color rgb="FFFFEB84"/>
        <color rgb="FF63BE7B"/>
      </colorScale>
    </cfRule>
  </conditionalFormatting>
  <conditionalFormatting sqref="AU11">
    <cfRule type="colorScale" priority="202">
      <colorScale>
        <cfvo type="num" val="0.69"/>
        <cfvo type="num" val="0.8"/>
        <cfvo type="num" val="0.9"/>
        <color rgb="FFF8696B"/>
        <color rgb="FFFFEB84"/>
        <color rgb="FF63BE7B"/>
      </colorScale>
    </cfRule>
  </conditionalFormatting>
  <conditionalFormatting sqref="AU10">
    <cfRule type="colorScale" priority="201">
      <colorScale>
        <cfvo type="num" val="0.69"/>
        <cfvo type="num" val="0.8"/>
        <cfvo type="num" val="0.9"/>
        <color rgb="FFF8696B"/>
        <color rgb="FFFFEB84"/>
        <color rgb="FF63BE7B"/>
      </colorScale>
    </cfRule>
  </conditionalFormatting>
  <conditionalFormatting sqref="AU13">
    <cfRule type="colorScale" priority="200">
      <colorScale>
        <cfvo type="num" val="0.69"/>
        <cfvo type="num" val="0.8"/>
        <cfvo type="num" val="0.9"/>
        <color rgb="FFF8696B"/>
        <color rgb="FFFFEB84"/>
        <color rgb="FF63BE7B"/>
      </colorScale>
    </cfRule>
  </conditionalFormatting>
  <conditionalFormatting sqref="AU12">
    <cfRule type="colorScale" priority="199">
      <colorScale>
        <cfvo type="num" val="0.69"/>
        <cfvo type="num" val="0.8"/>
        <cfvo type="num" val="0.9"/>
        <color rgb="FFF8696B"/>
        <color rgb="FFFFEB84"/>
        <color rgb="FF63BE7B"/>
      </colorScale>
    </cfRule>
  </conditionalFormatting>
  <conditionalFormatting sqref="AU15">
    <cfRule type="colorScale" priority="198">
      <colorScale>
        <cfvo type="num" val="0.69"/>
        <cfvo type="num" val="0.8"/>
        <cfvo type="num" val="0.9"/>
        <color rgb="FFF8696B"/>
        <color rgb="FFFFEB84"/>
        <color rgb="FF63BE7B"/>
      </colorScale>
    </cfRule>
  </conditionalFormatting>
  <conditionalFormatting sqref="AU14">
    <cfRule type="colorScale" priority="197">
      <colorScale>
        <cfvo type="num" val="0.69"/>
        <cfvo type="num" val="0.8"/>
        <cfvo type="num" val="0.9"/>
        <color rgb="FFF8696B"/>
        <color rgb="FFFFEB84"/>
        <color rgb="FF63BE7B"/>
      </colorScale>
    </cfRule>
  </conditionalFormatting>
  <conditionalFormatting sqref="AU21">
    <cfRule type="colorScale" priority="196">
      <colorScale>
        <cfvo type="num" val="0.69"/>
        <cfvo type="num" val="0.8"/>
        <cfvo type="num" val="0.9"/>
        <color rgb="FFF8696B"/>
        <color rgb="FFFFEB84"/>
        <color rgb="FF63BE7B"/>
      </colorScale>
    </cfRule>
  </conditionalFormatting>
  <conditionalFormatting sqref="AU20">
    <cfRule type="colorScale" priority="195">
      <colorScale>
        <cfvo type="num" val="0.69"/>
        <cfvo type="num" val="0.8"/>
        <cfvo type="num" val="0.9"/>
        <color rgb="FFF8696B"/>
        <color rgb="FFFFEB84"/>
        <color rgb="FF63BE7B"/>
      </colorScale>
    </cfRule>
  </conditionalFormatting>
  <conditionalFormatting sqref="AU23">
    <cfRule type="colorScale" priority="194">
      <colorScale>
        <cfvo type="num" val="0.69"/>
        <cfvo type="num" val="0.8"/>
        <cfvo type="num" val="0.9"/>
        <color rgb="FFF8696B"/>
        <color rgb="FFFFEB84"/>
        <color rgb="FF63BE7B"/>
      </colorScale>
    </cfRule>
  </conditionalFormatting>
  <conditionalFormatting sqref="AU22">
    <cfRule type="colorScale" priority="193">
      <colorScale>
        <cfvo type="num" val="0.69"/>
        <cfvo type="num" val="0.8"/>
        <cfvo type="num" val="0.9"/>
        <color rgb="FFF8696B"/>
        <color rgb="FFFFEB84"/>
        <color rgb="FF63BE7B"/>
      </colorScale>
    </cfRule>
  </conditionalFormatting>
  <conditionalFormatting sqref="AU28">
    <cfRule type="colorScale" priority="192">
      <colorScale>
        <cfvo type="num" val="0.69"/>
        <cfvo type="num" val="0.8"/>
        <cfvo type="num" val="0.9"/>
        <color rgb="FFF8696B"/>
        <color rgb="FFFFEB84"/>
        <color rgb="FF63BE7B"/>
      </colorScale>
    </cfRule>
  </conditionalFormatting>
  <conditionalFormatting sqref="AU29">
    <cfRule type="colorScale" priority="191">
      <colorScale>
        <cfvo type="num" val="0.69"/>
        <cfvo type="num" val="0.8"/>
        <cfvo type="num" val="0.9"/>
        <color rgb="FFF8696B"/>
        <color rgb="FFFFEB84"/>
        <color rgb="FF63BE7B"/>
      </colorScale>
    </cfRule>
  </conditionalFormatting>
  <conditionalFormatting sqref="AU30">
    <cfRule type="colorScale" priority="190">
      <colorScale>
        <cfvo type="num" val="0.69"/>
        <cfvo type="num" val="0.8"/>
        <cfvo type="num" val="0.9"/>
        <color rgb="FFF8696B"/>
        <color rgb="FFFFEB84"/>
        <color rgb="FF63BE7B"/>
      </colorScale>
    </cfRule>
  </conditionalFormatting>
  <conditionalFormatting sqref="AU31">
    <cfRule type="colorScale" priority="189">
      <colorScale>
        <cfvo type="num" val="0.69"/>
        <cfvo type="num" val="0.8"/>
        <cfvo type="num" val="0.9"/>
        <color rgb="FFF8696B"/>
        <color rgb="FFFFEB84"/>
        <color rgb="FF63BE7B"/>
      </colorScale>
    </cfRule>
  </conditionalFormatting>
  <conditionalFormatting sqref="AU32">
    <cfRule type="colorScale" priority="188">
      <colorScale>
        <cfvo type="num" val="0.69"/>
        <cfvo type="num" val="0.8"/>
        <cfvo type="num" val="0.9"/>
        <color rgb="FFF8696B"/>
        <color rgb="FFFFEB84"/>
        <color rgb="FF63BE7B"/>
      </colorScale>
    </cfRule>
  </conditionalFormatting>
  <conditionalFormatting sqref="AU34">
    <cfRule type="colorScale" priority="187">
      <colorScale>
        <cfvo type="num" val="0.69"/>
        <cfvo type="num" val="0.8"/>
        <cfvo type="num" val="0.9"/>
        <color rgb="FFF8696B"/>
        <color rgb="FFFFEB84"/>
        <color rgb="FF63BE7B"/>
      </colorScale>
    </cfRule>
  </conditionalFormatting>
  <conditionalFormatting sqref="AU36">
    <cfRule type="colorScale" priority="186">
      <colorScale>
        <cfvo type="num" val="0.69"/>
        <cfvo type="num" val="0.8"/>
        <cfvo type="num" val="0.9"/>
        <color rgb="FFF8696B"/>
        <color rgb="FFFFEB84"/>
        <color rgb="FF63BE7B"/>
      </colorScale>
    </cfRule>
  </conditionalFormatting>
  <conditionalFormatting sqref="AU16">
    <cfRule type="colorScale" priority="185">
      <colorScale>
        <cfvo type="num" val="0.69"/>
        <cfvo type="num" val="0.8"/>
        <cfvo type="num" val="0.9"/>
        <color rgb="FFF8696B"/>
        <color rgb="FFFFEB84"/>
        <color rgb="FF63BE7B"/>
      </colorScale>
    </cfRule>
  </conditionalFormatting>
  <conditionalFormatting sqref="AU18">
    <cfRule type="colorScale" priority="184">
      <colorScale>
        <cfvo type="num" val="0.69"/>
        <cfvo type="num" val="0.8"/>
        <cfvo type="num" val="0.9"/>
        <color rgb="FFF8696B"/>
        <color rgb="FFFFEB84"/>
        <color rgb="FF63BE7B"/>
      </colorScale>
    </cfRule>
  </conditionalFormatting>
  <conditionalFormatting sqref="AU25">
    <cfRule type="colorScale" priority="183">
      <colorScale>
        <cfvo type="num" val="0.69"/>
        <cfvo type="num" val="0.8"/>
        <cfvo type="num" val="0.9"/>
        <color rgb="FFF8696B"/>
        <color rgb="FFFFEB84"/>
        <color rgb="FF63BE7B"/>
      </colorScale>
    </cfRule>
  </conditionalFormatting>
  <conditionalFormatting sqref="AU24">
    <cfRule type="colorScale" priority="182">
      <colorScale>
        <cfvo type="num" val="0.69"/>
        <cfvo type="num" val="0.8"/>
        <cfvo type="num" val="0.9"/>
        <color rgb="FFF8696B"/>
        <color rgb="FFFFEB84"/>
        <color rgb="FF63BE7B"/>
      </colorScale>
    </cfRule>
  </conditionalFormatting>
  <conditionalFormatting sqref="BA8">
    <cfRule type="colorScale" priority="181">
      <colorScale>
        <cfvo type="num" val="0.69"/>
        <cfvo type="num" val="0.8"/>
        <cfvo type="num" val="0.9"/>
        <color rgb="FFF8696B"/>
        <color rgb="FFFFEB84"/>
        <color rgb="FF63BE7B"/>
      </colorScale>
    </cfRule>
  </conditionalFormatting>
  <conditionalFormatting sqref="BA11">
    <cfRule type="colorScale" priority="180">
      <colorScale>
        <cfvo type="num" val="0.69"/>
        <cfvo type="num" val="0.8"/>
        <cfvo type="num" val="0.9"/>
        <color rgb="FFF8696B"/>
        <color rgb="FFFFEB84"/>
        <color rgb="FF63BE7B"/>
      </colorScale>
    </cfRule>
  </conditionalFormatting>
  <conditionalFormatting sqref="BA10">
    <cfRule type="colorScale" priority="179">
      <colorScale>
        <cfvo type="num" val="0.69"/>
        <cfvo type="num" val="0.8"/>
        <cfvo type="num" val="0.9"/>
        <color rgb="FFF8696B"/>
        <color rgb="FFFFEB84"/>
        <color rgb="FF63BE7B"/>
      </colorScale>
    </cfRule>
  </conditionalFormatting>
  <conditionalFormatting sqref="BA13">
    <cfRule type="colorScale" priority="178">
      <colorScale>
        <cfvo type="num" val="0.69"/>
        <cfvo type="num" val="0.8"/>
        <cfvo type="num" val="0.9"/>
        <color rgb="FFF8696B"/>
        <color rgb="FFFFEB84"/>
        <color rgb="FF63BE7B"/>
      </colorScale>
    </cfRule>
  </conditionalFormatting>
  <conditionalFormatting sqref="BA12">
    <cfRule type="colorScale" priority="177">
      <colorScale>
        <cfvo type="num" val="0.69"/>
        <cfvo type="num" val="0.8"/>
        <cfvo type="num" val="0.9"/>
        <color rgb="FFF8696B"/>
        <color rgb="FFFFEB84"/>
        <color rgb="FF63BE7B"/>
      </colorScale>
    </cfRule>
  </conditionalFormatting>
  <conditionalFormatting sqref="BA15">
    <cfRule type="colorScale" priority="176">
      <colorScale>
        <cfvo type="num" val="0.69"/>
        <cfvo type="num" val="0.8"/>
        <cfvo type="num" val="0.9"/>
        <color rgb="FFF8696B"/>
        <color rgb="FFFFEB84"/>
        <color rgb="FF63BE7B"/>
      </colorScale>
    </cfRule>
  </conditionalFormatting>
  <conditionalFormatting sqref="BA14">
    <cfRule type="colorScale" priority="175">
      <colorScale>
        <cfvo type="num" val="0.69"/>
        <cfvo type="num" val="0.8"/>
        <cfvo type="num" val="0.9"/>
        <color rgb="FFF8696B"/>
        <color rgb="FFFFEB84"/>
        <color rgb="FF63BE7B"/>
      </colorScale>
    </cfRule>
  </conditionalFormatting>
  <conditionalFormatting sqref="BA17">
    <cfRule type="colorScale" priority="174">
      <colorScale>
        <cfvo type="num" val="0.69"/>
        <cfvo type="num" val="0.8"/>
        <cfvo type="num" val="0.9"/>
        <color rgb="FFF8696B"/>
        <color rgb="FFFFEB84"/>
        <color rgb="FF63BE7B"/>
      </colorScale>
    </cfRule>
  </conditionalFormatting>
  <conditionalFormatting sqref="BA16">
    <cfRule type="colorScale" priority="173">
      <colorScale>
        <cfvo type="num" val="0.69"/>
        <cfvo type="num" val="0.8"/>
        <cfvo type="num" val="0.9"/>
        <color rgb="FFF8696B"/>
        <color rgb="FFFFEB84"/>
        <color rgb="FF63BE7B"/>
      </colorScale>
    </cfRule>
  </conditionalFormatting>
  <conditionalFormatting sqref="BA19">
    <cfRule type="colorScale" priority="172">
      <colorScale>
        <cfvo type="num" val="0.69"/>
        <cfvo type="num" val="0.8"/>
        <cfvo type="num" val="0.9"/>
        <color rgb="FFF8696B"/>
        <color rgb="FFFFEB84"/>
        <color rgb="FF63BE7B"/>
      </colorScale>
    </cfRule>
  </conditionalFormatting>
  <conditionalFormatting sqref="BA18">
    <cfRule type="colorScale" priority="171">
      <colorScale>
        <cfvo type="num" val="0.69"/>
        <cfvo type="num" val="0.8"/>
        <cfvo type="num" val="0.9"/>
        <color rgb="FFF8696B"/>
        <color rgb="FFFFEB84"/>
        <color rgb="FF63BE7B"/>
      </colorScale>
    </cfRule>
  </conditionalFormatting>
  <conditionalFormatting sqref="BA21">
    <cfRule type="colorScale" priority="170">
      <colorScale>
        <cfvo type="num" val="0.69"/>
        <cfvo type="num" val="0.8"/>
        <cfvo type="num" val="0.9"/>
        <color rgb="FFF8696B"/>
        <color rgb="FFFFEB84"/>
        <color rgb="FF63BE7B"/>
      </colorScale>
    </cfRule>
  </conditionalFormatting>
  <conditionalFormatting sqref="BA20">
    <cfRule type="colorScale" priority="169">
      <colorScale>
        <cfvo type="num" val="0.69"/>
        <cfvo type="num" val="0.8"/>
        <cfvo type="num" val="0.9"/>
        <color rgb="FFF8696B"/>
        <color rgb="FFFFEB84"/>
        <color rgb="FF63BE7B"/>
      </colorScale>
    </cfRule>
  </conditionalFormatting>
  <conditionalFormatting sqref="BA23">
    <cfRule type="colorScale" priority="168">
      <colorScale>
        <cfvo type="num" val="0.69"/>
        <cfvo type="num" val="0.8"/>
        <cfvo type="num" val="0.9"/>
        <color rgb="FFF8696B"/>
        <color rgb="FFFFEB84"/>
        <color rgb="FF63BE7B"/>
      </colorScale>
    </cfRule>
  </conditionalFormatting>
  <conditionalFormatting sqref="BA22">
    <cfRule type="colorScale" priority="167">
      <colorScale>
        <cfvo type="num" val="0.69"/>
        <cfvo type="num" val="0.8"/>
        <cfvo type="num" val="0.9"/>
        <color rgb="FFF8696B"/>
        <color rgb="FFFFEB84"/>
        <color rgb="FF63BE7B"/>
      </colorScale>
    </cfRule>
  </conditionalFormatting>
  <conditionalFormatting sqref="BA26">
    <cfRule type="colorScale" priority="166">
      <colorScale>
        <cfvo type="num" val="0.69"/>
        <cfvo type="num" val="0.8"/>
        <cfvo type="num" val="0.9"/>
        <color rgb="FFF8696B"/>
        <color rgb="FFFFEB84"/>
        <color rgb="FF63BE7B"/>
      </colorScale>
    </cfRule>
  </conditionalFormatting>
  <conditionalFormatting sqref="BA27">
    <cfRule type="colorScale" priority="165">
      <colorScale>
        <cfvo type="num" val="0.69"/>
        <cfvo type="num" val="0.8"/>
        <cfvo type="num" val="0.9"/>
        <color rgb="FFF8696B"/>
        <color rgb="FFFFEB84"/>
        <color rgb="FF63BE7B"/>
      </colorScale>
    </cfRule>
  </conditionalFormatting>
  <conditionalFormatting sqref="BA29">
    <cfRule type="colorScale" priority="164">
      <colorScale>
        <cfvo type="num" val="0.69"/>
        <cfvo type="num" val="0.8"/>
        <cfvo type="num" val="0.9"/>
        <color rgb="FFF8696B"/>
        <color rgb="FFFFEB84"/>
        <color rgb="FF63BE7B"/>
      </colorScale>
    </cfRule>
  </conditionalFormatting>
  <conditionalFormatting sqref="BA30">
    <cfRule type="colorScale" priority="163">
      <colorScale>
        <cfvo type="num" val="0.69"/>
        <cfvo type="num" val="0.8"/>
        <cfvo type="num" val="0.9"/>
        <color rgb="FFF8696B"/>
        <color rgb="FFFFEB84"/>
        <color rgb="FF63BE7B"/>
      </colorScale>
    </cfRule>
  </conditionalFormatting>
  <conditionalFormatting sqref="BA31">
    <cfRule type="colorScale" priority="162">
      <colorScale>
        <cfvo type="num" val="0.69"/>
        <cfvo type="num" val="0.8"/>
        <cfvo type="num" val="0.9"/>
        <color rgb="FFF8696B"/>
        <color rgb="FFFFEB84"/>
        <color rgb="FF63BE7B"/>
      </colorScale>
    </cfRule>
  </conditionalFormatting>
  <conditionalFormatting sqref="BA32">
    <cfRule type="colorScale" priority="161">
      <colorScale>
        <cfvo type="num" val="0.69"/>
        <cfvo type="num" val="0.8"/>
        <cfvo type="num" val="0.9"/>
        <color rgb="FFF8696B"/>
        <color rgb="FFFFEB84"/>
        <color rgb="FF63BE7B"/>
      </colorScale>
    </cfRule>
  </conditionalFormatting>
  <conditionalFormatting sqref="BA35">
    <cfRule type="colorScale" priority="160">
      <colorScale>
        <cfvo type="num" val="0.69"/>
        <cfvo type="num" val="0.8"/>
        <cfvo type="num" val="0.9"/>
        <color rgb="FFF8696B"/>
        <color rgb="FFFFEB84"/>
        <color rgb="FF63BE7B"/>
      </colorScale>
    </cfRule>
  </conditionalFormatting>
  <conditionalFormatting sqref="BA34">
    <cfRule type="colorScale" priority="159">
      <colorScale>
        <cfvo type="num" val="0.69"/>
        <cfvo type="num" val="0.8"/>
        <cfvo type="num" val="0.9"/>
        <color rgb="FFF8696B"/>
        <color rgb="FFFFEB84"/>
        <color rgb="FF63BE7B"/>
      </colorScale>
    </cfRule>
  </conditionalFormatting>
  <conditionalFormatting sqref="BA37">
    <cfRule type="colorScale" priority="158">
      <colorScale>
        <cfvo type="num" val="0.69"/>
        <cfvo type="num" val="0.8"/>
        <cfvo type="num" val="0.9"/>
        <color rgb="FFF8696B"/>
        <color rgb="FFFFEB84"/>
        <color rgb="FF63BE7B"/>
      </colorScale>
    </cfRule>
  </conditionalFormatting>
  <conditionalFormatting sqref="BA36">
    <cfRule type="colorScale" priority="157">
      <colorScale>
        <cfvo type="num" val="0.69"/>
        <cfvo type="num" val="0.8"/>
        <cfvo type="num" val="0.9"/>
        <color rgb="FFF8696B"/>
        <color rgb="FFFFEB84"/>
        <color rgb="FF63BE7B"/>
      </colorScale>
    </cfRule>
  </conditionalFormatting>
  <conditionalFormatting sqref="BA25">
    <cfRule type="colorScale" priority="156">
      <colorScale>
        <cfvo type="num" val="0.69"/>
        <cfvo type="num" val="0.8"/>
        <cfvo type="num" val="0.9"/>
        <color rgb="FFF8696B"/>
        <color rgb="FFFFEB84"/>
        <color rgb="FF63BE7B"/>
      </colorScale>
    </cfRule>
  </conditionalFormatting>
  <conditionalFormatting sqref="BA28">
    <cfRule type="colorScale" priority="155">
      <colorScale>
        <cfvo type="num" val="0.69"/>
        <cfvo type="num" val="0.8"/>
        <cfvo type="num" val="0.9"/>
        <color rgb="FFF8696B"/>
        <color rgb="FFFFEB84"/>
        <color rgb="FF63BE7B"/>
      </colorScale>
    </cfRule>
  </conditionalFormatting>
  <conditionalFormatting sqref="BA24">
    <cfRule type="colorScale" priority="154">
      <colorScale>
        <cfvo type="num" val="0.69"/>
        <cfvo type="num" val="0.8"/>
        <cfvo type="num" val="0.9"/>
        <color rgb="FFF8696B"/>
        <color rgb="FFFFEB84"/>
        <color rgb="FF63BE7B"/>
      </colorScale>
    </cfRule>
  </conditionalFormatting>
  <conditionalFormatting sqref="BG18">
    <cfRule type="colorScale" priority="153">
      <colorScale>
        <cfvo type="num" val="0.69"/>
        <cfvo type="num" val="0.8"/>
        <cfvo type="num" val="0.9"/>
        <color rgb="FFF8696B"/>
        <color rgb="FFFFEB84"/>
        <color rgb="FF63BE7B"/>
      </colorScale>
    </cfRule>
  </conditionalFormatting>
  <conditionalFormatting sqref="BG8">
    <cfRule type="colorScale" priority="152">
      <colorScale>
        <cfvo type="num" val="0.69"/>
        <cfvo type="num" val="0.8"/>
        <cfvo type="num" val="0.9"/>
        <color rgb="FFF8696B"/>
        <color rgb="FFFFEB84"/>
        <color rgb="FF63BE7B"/>
      </colorScale>
    </cfRule>
  </conditionalFormatting>
  <conditionalFormatting sqref="BG12">
    <cfRule type="colorScale" priority="151">
      <colorScale>
        <cfvo type="num" val="0.69"/>
        <cfvo type="num" val="0.8"/>
        <cfvo type="num" val="0.9"/>
        <color rgb="FFF8696B"/>
        <color rgb="FFFFEB84"/>
        <color rgb="FF63BE7B"/>
      </colorScale>
    </cfRule>
  </conditionalFormatting>
  <conditionalFormatting sqref="BG14">
    <cfRule type="colorScale" priority="150">
      <colorScale>
        <cfvo type="num" val="0.69"/>
        <cfvo type="num" val="0.8"/>
        <cfvo type="num" val="0.9"/>
        <color rgb="FFF8696B"/>
        <color rgb="FFFFEB84"/>
        <color rgb="FF63BE7B"/>
      </colorScale>
    </cfRule>
  </conditionalFormatting>
  <conditionalFormatting sqref="BG16">
    <cfRule type="colorScale" priority="149">
      <colorScale>
        <cfvo type="num" val="0.69"/>
        <cfvo type="num" val="0.8"/>
        <cfvo type="num" val="0.9"/>
        <color rgb="FFF8696B"/>
        <color rgb="FFFFEB84"/>
        <color rgb="FF63BE7B"/>
      </colorScale>
    </cfRule>
  </conditionalFormatting>
  <conditionalFormatting sqref="BG20">
    <cfRule type="colorScale" priority="148">
      <colorScale>
        <cfvo type="num" val="0.69"/>
        <cfvo type="num" val="0.8"/>
        <cfvo type="num" val="0.9"/>
        <color rgb="FFF8696B"/>
        <color rgb="FFFFEB84"/>
        <color rgb="FF63BE7B"/>
      </colorScale>
    </cfRule>
  </conditionalFormatting>
  <conditionalFormatting sqref="BG22">
    <cfRule type="colorScale" priority="147">
      <colorScale>
        <cfvo type="num" val="0.69"/>
        <cfvo type="num" val="0.8"/>
        <cfvo type="num" val="0.9"/>
        <color rgb="FFF8696B"/>
        <color rgb="FFFFEB84"/>
        <color rgb="FF63BE7B"/>
      </colorScale>
    </cfRule>
  </conditionalFormatting>
  <conditionalFormatting sqref="BG23">
    <cfRule type="colorScale" priority="146">
      <colorScale>
        <cfvo type="num" val="0.69"/>
        <cfvo type="num" val="0.8"/>
        <cfvo type="num" val="0.9"/>
        <color rgb="FFF8696B"/>
        <color rgb="FFFFEB84"/>
        <color rgb="FF63BE7B"/>
      </colorScale>
    </cfRule>
  </conditionalFormatting>
  <conditionalFormatting sqref="BG25">
    <cfRule type="colorScale" priority="145">
      <colorScale>
        <cfvo type="num" val="0.69"/>
        <cfvo type="num" val="0.8"/>
        <cfvo type="num" val="0.9"/>
        <color rgb="FFF8696B"/>
        <color rgb="FFFFEB84"/>
        <color rgb="FF63BE7B"/>
      </colorScale>
    </cfRule>
  </conditionalFormatting>
  <conditionalFormatting sqref="BG26">
    <cfRule type="colorScale" priority="144">
      <colorScale>
        <cfvo type="num" val="0.69"/>
        <cfvo type="num" val="0.8"/>
        <cfvo type="num" val="0.9"/>
        <color rgb="FFF8696B"/>
        <color rgb="FFFFEB84"/>
        <color rgb="FF63BE7B"/>
      </colorScale>
    </cfRule>
  </conditionalFormatting>
  <conditionalFormatting sqref="BG27">
    <cfRule type="colorScale" priority="143">
      <colorScale>
        <cfvo type="num" val="0.69"/>
        <cfvo type="num" val="0.8"/>
        <cfvo type="num" val="0.9"/>
        <color rgb="FFF8696B"/>
        <color rgb="FFFFEB84"/>
        <color rgb="FF63BE7B"/>
      </colorScale>
    </cfRule>
  </conditionalFormatting>
  <conditionalFormatting sqref="BG28">
    <cfRule type="colorScale" priority="142">
      <colorScale>
        <cfvo type="num" val="0.69"/>
        <cfvo type="num" val="0.8"/>
        <cfvo type="num" val="0.9"/>
        <color rgb="FFF8696B"/>
        <color rgb="FFFFEB84"/>
        <color rgb="FF63BE7B"/>
      </colorScale>
    </cfRule>
  </conditionalFormatting>
  <conditionalFormatting sqref="BG29">
    <cfRule type="colorScale" priority="141">
      <colorScale>
        <cfvo type="num" val="0.69"/>
        <cfvo type="num" val="0.8"/>
        <cfvo type="num" val="0.9"/>
        <color rgb="FFF8696B"/>
        <color rgb="FFFFEB84"/>
        <color rgb="FF63BE7B"/>
      </colorScale>
    </cfRule>
  </conditionalFormatting>
  <conditionalFormatting sqref="BG30">
    <cfRule type="colorScale" priority="140">
      <colorScale>
        <cfvo type="num" val="0.69"/>
        <cfvo type="num" val="0.8"/>
        <cfvo type="num" val="0.9"/>
        <color rgb="FFF8696B"/>
        <color rgb="FFFFEB84"/>
        <color rgb="FF63BE7B"/>
      </colorScale>
    </cfRule>
  </conditionalFormatting>
  <conditionalFormatting sqref="BG31">
    <cfRule type="colorScale" priority="139">
      <colorScale>
        <cfvo type="num" val="0.69"/>
        <cfvo type="num" val="0.8"/>
        <cfvo type="num" val="0.9"/>
        <color rgb="FFF8696B"/>
        <color rgb="FFFFEB84"/>
        <color rgb="FF63BE7B"/>
      </colorScale>
    </cfRule>
  </conditionalFormatting>
  <conditionalFormatting sqref="BG32">
    <cfRule type="colorScale" priority="138">
      <colorScale>
        <cfvo type="num" val="0.69"/>
        <cfvo type="num" val="0.8"/>
        <cfvo type="num" val="0.9"/>
        <color rgb="FFF8696B"/>
        <color rgb="FFFFEB84"/>
        <color rgb="FF63BE7B"/>
      </colorScale>
    </cfRule>
  </conditionalFormatting>
  <conditionalFormatting sqref="BG39">
    <cfRule type="colorScale" priority="137">
      <colorScale>
        <cfvo type="num" val="0.69"/>
        <cfvo type="num" val="0.8"/>
        <cfvo type="num" val="0.9"/>
        <color rgb="FFF8696B"/>
        <color rgb="FFFFEB84"/>
        <color rgb="FF63BE7B"/>
      </colorScale>
    </cfRule>
  </conditionalFormatting>
  <conditionalFormatting sqref="BG46">
    <cfRule type="colorScale" priority="136">
      <colorScale>
        <cfvo type="num" val="0.69"/>
        <cfvo type="num" val="0.8"/>
        <cfvo type="num" val="0.9"/>
        <color rgb="FFF8696B"/>
        <color rgb="FFFFEB84"/>
        <color rgb="FF63BE7B"/>
      </colorScale>
    </cfRule>
  </conditionalFormatting>
  <conditionalFormatting sqref="BG41">
    <cfRule type="colorScale" priority="135">
      <colorScale>
        <cfvo type="num" val="0.69"/>
        <cfvo type="num" val="0.8"/>
        <cfvo type="num" val="0.9"/>
        <color rgb="FFF8696B"/>
        <color rgb="FFFFEB84"/>
        <color rgb="FF63BE7B"/>
      </colorScale>
    </cfRule>
  </conditionalFormatting>
  <conditionalFormatting sqref="BG40">
    <cfRule type="colorScale" priority="134">
      <colorScale>
        <cfvo type="num" val="0.69"/>
        <cfvo type="num" val="0.8"/>
        <cfvo type="num" val="0.9"/>
        <color rgb="FFF8696B"/>
        <color rgb="FFFFEB84"/>
        <color rgb="FF63BE7B"/>
      </colorScale>
    </cfRule>
  </conditionalFormatting>
  <conditionalFormatting sqref="BG34">
    <cfRule type="colorScale" priority="133">
      <colorScale>
        <cfvo type="num" val="0.69"/>
        <cfvo type="num" val="0.8"/>
        <cfvo type="num" val="0.9"/>
        <color rgb="FFF8696B"/>
        <color rgb="FFFFEB84"/>
        <color rgb="FF63BE7B"/>
      </colorScale>
    </cfRule>
  </conditionalFormatting>
  <conditionalFormatting sqref="BG24">
    <cfRule type="colorScale" priority="132">
      <colorScale>
        <cfvo type="num" val="0.69"/>
        <cfvo type="num" val="0.8"/>
        <cfvo type="num" val="0.9"/>
        <color rgb="FFF8696B"/>
        <color rgb="FFFFEB84"/>
        <color rgb="FF63BE7B"/>
      </colorScale>
    </cfRule>
  </conditionalFormatting>
  <conditionalFormatting sqref="AC9">
    <cfRule type="colorScale" priority="131">
      <colorScale>
        <cfvo type="num" val="0.69"/>
        <cfvo type="num" val="0.8"/>
        <cfvo type="num" val="0.9"/>
        <color rgb="FFF8696B"/>
        <color rgb="FFFFEB84"/>
        <color rgb="FF63BE7B"/>
      </colorScale>
    </cfRule>
  </conditionalFormatting>
  <conditionalFormatting sqref="BG36">
    <cfRule type="colorScale" priority="130">
      <colorScale>
        <cfvo type="num" val="0.69"/>
        <cfvo type="num" val="0.8"/>
        <cfvo type="num" val="0.9"/>
        <color rgb="FFF8696B"/>
        <color rgb="FFFFEB84"/>
        <color rgb="FF63BE7B"/>
      </colorScale>
    </cfRule>
  </conditionalFormatting>
  <conditionalFormatting sqref="BG11">
    <cfRule type="colorScale" priority="129">
      <colorScale>
        <cfvo type="num" val="0.69"/>
        <cfvo type="num" val="0.8"/>
        <cfvo type="num" val="0.9"/>
        <color rgb="FFF8696B"/>
        <color rgb="FFFFEB84"/>
        <color rgb="FF63BE7B"/>
      </colorScale>
    </cfRule>
  </conditionalFormatting>
  <conditionalFormatting sqref="BG10">
    <cfRule type="colorScale" priority="128">
      <colorScale>
        <cfvo type="num" val="0.69"/>
        <cfvo type="num" val="0.8"/>
        <cfvo type="num" val="0.9"/>
        <color rgb="FFF8696B"/>
        <color rgb="FFFFEB84"/>
        <color rgb="FF63BE7B"/>
      </colorScale>
    </cfRule>
  </conditionalFormatting>
  <conditionalFormatting sqref="BM24">
    <cfRule type="colorScale" priority="127">
      <colorScale>
        <cfvo type="num" val="0.69"/>
        <cfvo type="num" val="0.8"/>
        <cfvo type="num" val="0.9"/>
        <color rgb="FFF8696B"/>
        <color rgb="FFFFEB84"/>
        <color rgb="FF63BE7B"/>
      </colorScale>
    </cfRule>
  </conditionalFormatting>
  <conditionalFormatting sqref="BM20">
    <cfRule type="colorScale" priority="126">
      <colorScale>
        <cfvo type="num" val="0.69"/>
        <cfvo type="num" val="0.8"/>
        <cfvo type="num" val="0.9"/>
        <color rgb="FFF8696B"/>
        <color rgb="FFFFEB84"/>
        <color rgb="FF63BE7B"/>
      </colorScale>
    </cfRule>
  </conditionalFormatting>
  <conditionalFormatting sqref="BM22">
    <cfRule type="colorScale" priority="125">
      <colorScale>
        <cfvo type="num" val="0.69"/>
        <cfvo type="num" val="0.8"/>
        <cfvo type="num" val="0.9"/>
        <color rgb="FFF8696B"/>
        <color rgb="FFFFEB84"/>
        <color rgb="FF63BE7B"/>
      </colorScale>
    </cfRule>
  </conditionalFormatting>
  <conditionalFormatting sqref="BM23">
    <cfRule type="colorScale" priority="124">
      <colorScale>
        <cfvo type="num" val="0.69"/>
        <cfvo type="num" val="0.8"/>
        <cfvo type="num" val="0.9"/>
        <color rgb="FFF8696B"/>
        <color rgb="FFFFEB84"/>
        <color rgb="FF63BE7B"/>
      </colorScale>
    </cfRule>
  </conditionalFormatting>
  <conditionalFormatting sqref="BM25">
    <cfRule type="colorScale" priority="123">
      <colorScale>
        <cfvo type="num" val="0.69"/>
        <cfvo type="num" val="0.8"/>
        <cfvo type="num" val="0.9"/>
        <color rgb="FFF8696B"/>
        <color rgb="FFFFEB84"/>
        <color rgb="FF63BE7B"/>
      </colorScale>
    </cfRule>
  </conditionalFormatting>
  <conditionalFormatting sqref="BM26">
    <cfRule type="colorScale" priority="122">
      <colorScale>
        <cfvo type="num" val="0.69"/>
        <cfvo type="num" val="0.8"/>
        <cfvo type="num" val="0.9"/>
        <color rgb="FFF8696B"/>
        <color rgb="FFFFEB84"/>
        <color rgb="FF63BE7B"/>
      </colorScale>
    </cfRule>
  </conditionalFormatting>
  <conditionalFormatting sqref="BM27">
    <cfRule type="colorScale" priority="121">
      <colorScale>
        <cfvo type="num" val="0.69"/>
        <cfvo type="num" val="0.8"/>
        <cfvo type="num" val="0.9"/>
        <color rgb="FFF8696B"/>
        <color rgb="FFFFEB84"/>
        <color rgb="FF63BE7B"/>
      </colorScale>
    </cfRule>
  </conditionalFormatting>
  <conditionalFormatting sqref="BM28">
    <cfRule type="colorScale" priority="120">
      <colorScale>
        <cfvo type="num" val="0.69"/>
        <cfvo type="num" val="0.8"/>
        <cfvo type="num" val="0.9"/>
        <color rgb="FFF8696B"/>
        <color rgb="FFFFEB84"/>
        <color rgb="FF63BE7B"/>
      </colorScale>
    </cfRule>
  </conditionalFormatting>
  <conditionalFormatting sqref="BM29">
    <cfRule type="colorScale" priority="119">
      <colorScale>
        <cfvo type="num" val="0.69"/>
        <cfvo type="num" val="0.8"/>
        <cfvo type="num" val="0.9"/>
        <color rgb="FFF8696B"/>
        <color rgb="FFFFEB84"/>
        <color rgb="FF63BE7B"/>
      </colorScale>
    </cfRule>
  </conditionalFormatting>
  <conditionalFormatting sqref="BM30">
    <cfRule type="colorScale" priority="118">
      <colorScale>
        <cfvo type="num" val="0.69"/>
        <cfvo type="num" val="0.8"/>
        <cfvo type="num" val="0.9"/>
        <color rgb="FFF8696B"/>
        <color rgb="FFFFEB84"/>
        <color rgb="FF63BE7B"/>
      </colorScale>
    </cfRule>
  </conditionalFormatting>
  <conditionalFormatting sqref="BM31">
    <cfRule type="colorScale" priority="117">
      <colorScale>
        <cfvo type="num" val="0.69"/>
        <cfvo type="num" val="0.8"/>
        <cfvo type="num" val="0.9"/>
        <color rgb="FFF8696B"/>
        <color rgb="FFFFEB84"/>
        <color rgb="FF63BE7B"/>
      </colorScale>
    </cfRule>
  </conditionalFormatting>
  <conditionalFormatting sqref="BM32">
    <cfRule type="colorScale" priority="116">
      <colorScale>
        <cfvo type="num" val="0.69"/>
        <cfvo type="num" val="0.8"/>
        <cfvo type="num" val="0.9"/>
        <color rgb="FFF8696B"/>
        <color rgb="FFFFEB84"/>
        <color rgb="FF63BE7B"/>
      </colorScale>
    </cfRule>
  </conditionalFormatting>
  <conditionalFormatting sqref="BM34">
    <cfRule type="colorScale" priority="115">
      <colorScale>
        <cfvo type="num" val="0.69"/>
        <cfvo type="num" val="0.8"/>
        <cfvo type="num" val="0.9"/>
        <color rgb="FFF8696B"/>
        <color rgb="FFFFEB84"/>
        <color rgb="FF63BE7B"/>
      </colorScale>
    </cfRule>
  </conditionalFormatting>
  <conditionalFormatting sqref="BM36">
    <cfRule type="colorScale" priority="114">
      <colorScale>
        <cfvo type="num" val="0.69"/>
        <cfvo type="num" val="0.8"/>
        <cfvo type="num" val="0.9"/>
        <color rgb="FFF8696B"/>
        <color rgb="FFFFEB84"/>
        <color rgb="FF63BE7B"/>
      </colorScale>
    </cfRule>
  </conditionalFormatting>
  <conditionalFormatting sqref="BM18">
    <cfRule type="colorScale" priority="113">
      <colorScale>
        <cfvo type="num" val="0.69"/>
        <cfvo type="num" val="0.8"/>
        <cfvo type="num" val="0.9"/>
        <color rgb="FFF8696B"/>
        <color rgb="FFFFEB84"/>
        <color rgb="FF63BE7B"/>
      </colorScale>
    </cfRule>
  </conditionalFormatting>
  <conditionalFormatting sqref="BM16">
    <cfRule type="colorScale" priority="112">
      <colorScale>
        <cfvo type="num" val="0.69"/>
        <cfvo type="num" val="0.8"/>
        <cfvo type="num" val="0.9"/>
        <color rgb="FFF8696B"/>
        <color rgb="FFFFEB84"/>
        <color rgb="FF63BE7B"/>
      </colorScale>
    </cfRule>
  </conditionalFormatting>
  <conditionalFormatting sqref="BM14">
    <cfRule type="colorScale" priority="111">
      <colorScale>
        <cfvo type="num" val="0.69"/>
        <cfvo type="num" val="0.8"/>
        <cfvo type="num" val="0.9"/>
        <color rgb="FFF8696B"/>
        <color rgb="FFFFEB84"/>
        <color rgb="FF63BE7B"/>
      </colorScale>
    </cfRule>
  </conditionalFormatting>
  <conditionalFormatting sqref="BM12">
    <cfRule type="colorScale" priority="110">
      <colorScale>
        <cfvo type="num" val="0.69"/>
        <cfvo type="num" val="0.8"/>
        <cfvo type="num" val="0.9"/>
        <color rgb="FFF8696B"/>
        <color rgb="FFFFEB84"/>
        <color rgb="FF63BE7B"/>
      </colorScale>
    </cfRule>
  </conditionalFormatting>
  <conditionalFormatting sqref="BM10">
    <cfRule type="colorScale" priority="109">
      <colorScale>
        <cfvo type="num" val="0.69"/>
        <cfvo type="num" val="0.8"/>
        <cfvo type="num" val="0.9"/>
        <color rgb="FFF8696B"/>
        <color rgb="FFFFEB84"/>
        <color rgb="FF63BE7B"/>
      </colorScale>
    </cfRule>
  </conditionalFormatting>
  <conditionalFormatting sqref="BM8">
    <cfRule type="colorScale" priority="108">
      <colorScale>
        <cfvo type="num" val="0.69"/>
        <cfvo type="num" val="0.8"/>
        <cfvo type="num" val="0.9"/>
        <color rgb="FFF8696B"/>
        <color rgb="FFFFEB84"/>
        <color rgb="FF63BE7B"/>
      </colorScale>
    </cfRule>
  </conditionalFormatting>
  <conditionalFormatting sqref="BS8">
    <cfRule type="colorScale" priority="107">
      <colorScale>
        <cfvo type="num" val="0.69"/>
        <cfvo type="num" val="0.8"/>
        <cfvo type="num" val="0.9"/>
        <color rgb="FFF8696B"/>
        <color rgb="FFFFEB84"/>
        <color rgb="FF63BE7B"/>
      </colorScale>
    </cfRule>
  </conditionalFormatting>
  <conditionalFormatting sqref="BS10">
    <cfRule type="colorScale" priority="106">
      <colorScale>
        <cfvo type="num" val="0.69"/>
        <cfvo type="num" val="0.8"/>
        <cfvo type="num" val="0.9"/>
        <color rgb="FFF8696B"/>
        <color rgb="FFFFEB84"/>
        <color rgb="FF63BE7B"/>
      </colorScale>
    </cfRule>
  </conditionalFormatting>
  <conditionalFormatting sqref="BS12">
    <cfRule type="colorScale" priority="105">
      <colorScale>
        <cfvo type="num" val="0.69"/>
        <cfvo type="num" val="0.8"/>
        <cfvo type="num" val="0.9"/>
        <color rgb="FFF8696B"/>
        <color rgb="FFFFEB84"/>
        <color rgb="FF63BE7B"/>
      </colorScale>
    </cfRule>
  </conditionalFormatting>
  <conditionalFormatting sqref="BS14">
    <cfRule type="colorScale" priority="104">
      <colorScale>
        <cfvo type="num" val="0.69"/>
        <cfvo type="num" val="0.8"/>
        <cfvo type="num" val="0.9"/>
        <color rgb="FFF8696B"/>
        <color rgb="FFFFEB84"/>
        <color rgb="FF63BE7B"/>
      </colorScale>
    </cfRule>
  </conditionalFormatting>
  <conditionalFormatting sqref="BS16">
    <cfRule type="colorScale" priority="103">
      <colorScale>
        <cfvo type="num" val="0.69"/>
        <cfvo type="num" val="0.8"/>
        <cfvo type="num" val="0.9"/>
        <color rgb="FFF8696B"/>
        <color rgb="FFFFEB84"/>
        <color rgb="FF63BE7B"/>
      </colorScale>
    </cfRule>
  </conditionalFormatting>
  <conditionalFormatting sqref="BS18">
    <cfRule type="colorScale" priority="102">
      <colorScale>
        <cfvo type="num" val="0.69"/>
        <cfvo type="num" val="0.8"/>
        <cfvo type="num" val="0.9"/>
        <color rgb="FFF8696B"/>
        <color rgb="FFFFEB84"/>
        <color rgb="FF63BE7B"/>
      </colorScale>
    </cfRule>
  </conditionalFormatting>
  <conditionalFormatting sqref="BS20">
    <cfRule type="colorScale" priority="101">
      <colorScale>
        <cfvo type="num" val="0.69"/>
        <cfvo type="num" val="0.8"/>
        <cfvo type="num" val="0.9"/>
        <color rgb="FFF8696B"/>
        <color rgb="FFFFEB84"/>
        <color rgb="FF63BE7B"/>
      </colorScale>
    </cfRule>
  </conditionalFormatting>
  <conditionalFormatting sqref="BS22">
    <cfRule type="colorScale" priority="100">
      <colorScale>
        <cfvo type="num" val="0.69"/>
        <cfvo type="num" val="0.8"/>
        <cfvo type="num" val="0.9"/>
        <color rgb="FFF8696B"/>
        <color rgb="FFFFEB84"/>
        <color rgb="FF63BE7B"/>
      </colorScale>
    </cfRule>
  </conditionalFormatting>
  <conditionalFormatting sqref="BS26">
    <cfRule type="colorScale" priority="99">
      <colorScale>
        <cfvo type="num" val="0.69"/>
        <cfvo type="num" val="0.8"/>
        <cfvo type="num" val="0.9"/>
        <color rgb="FFF8696B"/>
        <color rgb="FFFFEB84"/>
        <color rgb="FF63BE7B"/>
      </colorScale>
    </cfRule>
  </conditionalFormatting>
  <conditionalFormatting sqref="BS27">
    <cfRule type="colorScale" priority="98">
      <colorScale>
        <cfvo type="num" val="0.69"/>
        <cfvo type="num" val="0.8"/>
        <cfvo type="num" val="0.9"/>
        <color rgb="FFF8696B"/>
        <color rgb="FFFFEB84"/>
        <color rgb="FF63BE7B"/>
      </colorScale>
    </cfRule>
  </conditionalFormatting>
  <conditionalFormatting sqref="BS28">
    <cfRule type="colorScale" priority="97">
      <colorScale>
        <cfvo type="num" val="0.69"/>
        <cfvo type="num" val="0.8"/>
        <cfvo type="num" val="0.9"/>
        <color rgb="FFF8696B"/>
        <color rgb="FFFFEB84"/>
        <color rgb="FF63BE7B"/>
      </colorScale>
    </cfRule>
  </conditionalFormatting>
  <conditionalFormatting sqref="BS29">
    <cfRule type="colorScale" priority="96">
      <colorScale>
        <cfvo type="num" val="0.69"/>
        <cfvo type="num" val="0.8"/>
        <cfvo type="num" val="0.9"/>
        <color rgb="FFF8696B"/>
        <color rgb="FFFFEB84"/>
        <color rgb="FF63BE7B"/>
      </colorScale>
    </cfRule>
  </conditionalFormatting>
  <conditionalFormatting sqref="BS30">
    <cfRule type="colorScale" priority="95">
      <colorScale>
        <cfvo type="num" val="0.69"/>
        <cfvo type="num" val="0.8"/>
        <cfvo type="num" val="0.9"/>
        <color rgb="FFF8696B"/>
        <color rgb="FFFFEB84"/>
        <color rgb="FF63BE7B"/>
      </colorScale>
    </cfRule>
  </conditionalFormatting>
  <conditionalFormatting sqref="BS31">
    <cfRule type="colorScale" priority="94">
      <colorScale>
        <cfvo type="num" val="0.69"/>
        <cfvo type="num" val="0.8"/>
        <cfvo type="num" val="0.9"/>
        <color rgb="FFF8696B"/>
        <color rgb="FFFFEB84"/>
        <color rgb="FF63BE7B"/>
      </colorScale>
    </cfRule>
  </conditionalFormatting>
  <conditionalFormatting sqref="BS32">
    <cfRule type="colorScale" priority="93">
      <colorScale>
        <cfvo type="num" val="0.69"/>
        <cfvo type="num" val="0.8"/>
        <cfvo type="num" val="0.9"/>
        <color rgb="FFF8696B"/>
        <color rgb="FFFFEB84"/>
        <color rgb="FF63BE7B"/>
      </colorScale>
    </cfRule>
  </conditionalFormatting>
  <conditionalFormatting sqref="BS34">
    <cfRule type="colorScale" priority="92">
      <colorScale>
        <cfvo type="num" val="0.69"/>
        <cfvo type="num" val="0.8"/>
        <cfvo type="num" val="0.9"/>
        <color rgb="FFF8696B"/>
        <color rgb="FFFFEB84"/>
        <color rgb="FF63BE7B"/>
      </colorScale>
    </cfRule>
  </conditionalFormatting>
  <conditionalFormatting sqref="BS36">
    <cfRule type="colorScale" priority="91">
      <colorScale>
        <cfvo type="num" val="0.69"/>
        <cfvo type="num" val="0.8"/>
        <cfvo type="num" val="0.9"/>
        <color rgb="FFF8696B"/>
        <color rgb="FFFFEB84"/>
        <color rgb="FF63BE7B"/>
      </colorScale>
    </cfRule>
  </conditionalFormatting>
  <conditionalFormatting sqref="BS39">
    <cfRule type="colorScale" priority="90">
      <colorScale>
        <cfvo type="num" val="0.69"/>
        <cfvo type="num" val="0.8"/>
        <cfvo type="num" val="0.9"/>
        <color rgb="FFF8696B"/>
        <color rgb="FFFFEB84"/>
        <color rgb="FF63BE7B"/>
      </colorScale>
    </cfRule>
  </conditionalFormatting>
  <conditionalFormatting sqref="BS42">
    <cfRule type="colorScale" priority="89">
      <colorScale>
        <cfvo type="num" val="0.69"/>
        <cfvo type="num" val="0.8"/>
        <cfvo type="num" val="0.9"/>
        <color rgb="FFF8696B"/>
        <color rgb="FFFFEB84"/>
        <color rgb="FF63BE7B"/>
      </colorScale>
    </cfRule>
  </conditionalFormatting>
  <conditionalFormatting sqref="BS43">
    <cfRule type="colorScale" priority="88">
      <colorScale>
        <cfvo type="num" val="0.69"/>
        <cfvo type="num" val="0.8"/>
        <cfvo type="num" val="0.9"/>
        <color rgb="FFF8696B"/>
        <color rgb="FFFFEB84"/>
        <color rgb="FF63BE7B"/>
      </colorScale>
    </cfRule>
  </conditionalFormatting>
  <conditionalFormatting sqref="BS44">
    <cfRule type="colorScale" priority="87">
      <colorScale>
        <cfvo type="num" val="0.69"/>
        <cfvo type="num" val="0.8"/>
        <cfvo type="num" val="0.9"/>
        <color rgb="FFF8696B"/>
        <color rgb="FFFFEB84"/>
        <color rgb="FF63BE7B"/>
      </colorScale>
    </cfRule>
  </conditionalFormatting>
  <conditionalFormatting sqref="BS45">
    <cfRule type="colorScale" priority="86">
      <colorScale>
        <cfvo type="num" val="0.69"/>
        <cfvo type="num" val="0.8"/>
        <cfvo type="num" val="0.9"/>
        <color rgb="FFF8696B"/>
        <color rgb="FFFFEB84"/>
        <color rgb="FF63BE7B"/>
      </colorScale>
    </cfRule>
  </conditionalFormatting>
  <conditionalFormatting sqref="BS46">
    <cfRule type="colorScale" priority="85">
      <colorScale>
        <cfvo type="num" val="0.69"/>
        <cfvo type="num" val="0.8"/>
        <cfvo type="num" val="0.9"/>
        <color rgb="FFF8696B"/>
        <color rgb="FFFFEB84"/>
        <color rgb="FF63BE7B"/>
      </colorScale>
    </cfRule>
  </conditionalFormatting>
  <conditionalFormatting sqref="BS40">
    <cfRule type="colorScale" priority="84">
      <colorScale>
        <cfvo type="num" val="0.69"/>
        <cfvo type="num" val="0.8"/>
        <cfvo type="num" val="0.9"/>
        <color rgb="FFF8696B"/>
        <color rgb="FFFFEB84"/>
        <color rgb="FF63BE7B"/>
      </colorScale>
    </cfRule>
  </conditionalFormatting>
  <conditionalFormatting sqref="BS41">
    <cfRule type="colorScale" priority="83">
      <colorScale>
        <cfvo type="num" val="0.69"/>
        <cfvo type="num" val="0.8"/>
        <cfvo type="num" val="0.9"/>
        <color rgb="FFF8696B"/>
        <color rgb="FFFFEB84"/>
        <color rgb="FF63BE7B"/>
      </colorScale>
    </cfRule>
  </conditionalFormatting>
  <conditionalFormatting sqref="BS25">
    <cfRule type="colorScale" priority="82">
      <colorScale>
        <cfvo type="num" val="0.69"/>
        <cfvo type="num" val="0.8"/>
        <cfvo type="num" val="0.9"/>
        <color rgb="FFF8696B"/>
        <color rgb="FFFFEB84"/>
        <color rgb="FF63BE7B"/>
      </colorScale>
    </cfRule>
  </conditionalFormatting>
  <conditionalFormatting sqref="BS24">
    <cfRule type="colorScale" priority="81">
      <colorScale>
        <cfvo type="num" val="0.69"/>
        <cfvo type="num" val="0.8"/>
        <cfvo type="num" val="0.9"/>
        <color rgb="FFF8696B"/>
        <color rgb="FFFFEB84"/>
        <color rgb="FF63BE7B"/>
      </colorScale>
    </cfRule>
  </conditionalFormatting>
  <conditionalFormatting sqref="BY8">
    <cfRule type="colorScale" priority="80">
      <colorScale>
        <cfvo type="num" val="0.69"/>
        <cfvo type="num" val="0.8"/>
        <cfvo type="num" val="0.9"/>
        <color rgb="FFF8696B"/>
        <color rgb="FFFFEB84"/>
        <color rgb="FF63BE7B"/>
      </colorScale>
    </cfRule>
  </conditionalFormatting>
  <conditionalFormatting sqref="BY24:BY25">
    <cfRule type="colorScale" priority="79">
      <colorScale>
        <cfvo type="num" val="0.69"/>
        <cfvo type="num" val="0.8"/>
        <cfvo type="num" val="0.9"/>
        <color rgb="FFF8696B"/>
        <color rgb="FFFFEB84"/>
        <color rgb="FF63BE7B"/>
      </colorScale>
    </cfRule>
  </conditionalFormatting>
  <conditionalFormatting sqref="BY10">
    <cfRule type="colorScale" priority="78">
      <colorScale>
        <cfvo type="num" val="0.69"/>
        <cfvo type="num" val="0.8"/>
        <cfvo type="num" val="0.9"/>
        <color rgb="FFF8696B"/>
        <color rgb="FFFFEB84"/>
        <color rgb="FF63BE7B"/>
      </colorScale>
    </cfRule>
  </conditionalFormatting>
  <conditionalFormatting sqref="BY12">
    <cfRule type="colorScale" priority="77">
      <colorScale>
        <cfvo type="num" val="0.69"/>
        <cfvo type="num" val="0.8"/>
        <cfvo type="num" val="0.9"/>
        <color rgb="FFF8696B"/>
        <color rgb="FFFFEB84"/>
        <color rgb="FF63BE7B"/>
      </colorScale>
    </cfRule>
  </conditionalFormatting>
  <conditionalFormatting sqref="BY14">
    <cfRule type="colorScale" priority="76">
      <colorScale>
        <cfvo type="num" val="0.69"/>
        <cfvo type="num" val="0.8"/>
        <cfvo type="num" val="0.9"/>
        <color rgb="FFF8696B"/>
        <color rgb="FFFFEB84"/>
        <color rgb="FF63BE7B"/>
      </colorScale>
    </cfRule>
  </conditionalFormatting>
  <conditionalFormatting sqref="BY16">
    <cfRule type="colorScale" priority="75">
      <colorScale>
        <cfvo type="num" val="0.69"/>
        <cfvo type="num" val="0.8"/>
        <cfvo type="num" val="0.9"/>
        <color rgb="FFF8696B"/>
        <color rgb="FFFFEB84"/>
        <color rgb="FF63BE7B"/>
      </colorScale>
    </cfRule>
  </conditionalFormatting>
  <conditionalFormatting sqref="BY18">
    <cfRule type="colorScale" priority="74">
      <colorScale>
        <cfvo type="num" val="0.69"/>
        <cfvo type="num" val="0.8"/>
        <cfvo type="num" val="0.9"/>
        <color rgb="FFF8696B"/>
        <color rgb="FFFFEB84"/>
        <color rgb="FF63BE7B"/>
      </colorScale>
    </cfRule>
  </conditionalFormatting>
  <conditionalFormatting sqref="BY20">
    <cfRule type="colorScale" priority="73">
      <colorScale>
        <cfvo type="num" val="0.69"/>
        <cfvo type="num" val="0.8"/>
        <cfvo type="num" val="0.9"/>
        <color rgb="FFF8696B"/>
        <color rgb="FFFFEB84"/>
        <color rgb="FF63BE7B"/>
      </colorScale>
    </cfRule>
  </conditionalFormatting>
  <conditionalFormatting sqref="BY22">
    <cfRule type="colorScale" priority="72">
      <colorScale>
        <cfvo type="num" val="0.69"/>
        <cfvo type="num" val="0.8"/>
        <cfvo type="num" val="0.9"/>
        <color rgb="FFF8696B"/>
        <color rgb="FFFFEB84"/>
        <color rgb="FF63BE7B"/>
      </colorScale>
    </cfRule>
  </conditionalFormatting>
  <conditionalFormatting sqref="BY23">
    <cfRule type="colorScale" priority="71">
      <colorScale>
        <cfvo type="num" val="0.69"/>
        <cfvo type="num" val="0.8"/>
        <cfvo type="num" val="0.9"/>
        <color rgb="FFF8696B"/>
        <color rgb="FFFFEB84"/>
        <color rgb="FF63BE7B"/>
      </colorScale>
    </cfRule>
  </conditionalFormatting>
  <conditionalFormatting sqref="BY26">
    <cfRule type="colorScale" priority="70">
      <colorScale>
        <cfvo type="num" val="0.69"/>
        <cfvo type="num" val="0.8"/>
        <cfvo type="num" val="0.9"/>
        <color rgb="FFF8696B"/>
        <color rgb="FFFFEB84"/>
        <color rgb="FF63BE7B"/>
      </colorScale>
    </cfRule>
  </conditionalFormatting>
  <conditionalFormatting sqref="BY27">
    <cfRule type="colorScale" priority="69">
      <colorScale>
        <cfvo type="num" val="0.69"/>
        <cfvo type="num" val="0.8"/>
        <cfvo type="num" val="0.9"/>
        <color rgb="FFF8696B"/>
        <color rgb="FFFFEB84"/>
        <color rgb="FF63BE7B"/>
      </colorScale>
    </cfRule>
  </conditionalFormatting>
  <conditionalFormatting sqref="BY28">
    <cfRule type="colorScale" priority="68">
      <colorScale>
        <cfvo type="num" val="0.69"/>
        <cfvo type="num" val="0.8"/>
        <cfvo type="num" val="0.9"/>
        <color rgb="FFF8696B"/>
        <color rgb="FFFFEB84"/>
        <color rgb="FF63BE7B"/>
      </colorScale>
    </cfRule>
  </conditionalFormatting>
  <conditionalFormatting sqref="BY29">
    <cfRule type="colorScale" priority="67">
      <colorScale>
        <cfvo type="num" val="0.69"/>
        <cfvo type="num" val="0.8"/>
        <cfvo type="num" val="0.9"/>
        <color rgb="FFF8696B"/>
        <color rgb="FFFFEB84"/>
        <color rgb="FF63BE7B"/>
      </colorScale>
    </cfRule>
  </conditionalFormatting>
  <conditionalFormatting sqref="BY30">
    <cfRule type="colorScale" priority="66">
      <colorScale>
        <cfvo type="num" val="0.69"/>
        <cfvo type="num" val="0.8"/>
        <cfvo type="num" val="0.9"/>
        <color rgb="FFF8696B"/>
        <color rgb="FFFFEB84"/>
        <color rgb="FF63BE7B"/>
      </colorScale>
    </cfRule>
  </conditionalFormatting>
  <conditionalFormatting sqref="BY31">
    <cfRule type="colorScale" priority="65">
      <colorScale>
        <cfvo type="num" val="0.69"/>
        <cfvo type="num" val="0.8"/>
        <cfvo type="num" val="0.9"/>
        <color rgb="FFF8696B"/>
        <color rgb="FFFFEB84"/>
        <color rgb="FF63BE7B"/>
      </colorScale>
    </cfRule>
  </conditionalFormatting>
  <conditionalFormatting sqref="BY32">
    <cfRule type="colorScale" priority="64">
      <colorScale>
        <cfvo type="num" val="0.69"/>
        <cfvo type="num" val="0.8"/>
        <cfvo type="num" val="0.9"/>
        <color rgb="FFF8696B"/>
        <color rgb="FFFFEB84"/>
        <color rgb="FF63BE7B"/>
      </colorScale>
    </cfRule>
  </conditionalFormatting>
  <conditionalFormatting sqref="BY34">
    <cfRule type="colorScale" priority="63">
      <colorScale>
        <cfvo type="num" val="0.69"/>
        <cfvo type="num" val="0.8"/>
        <cfvo type="num" val="0.9"/>
        <color rgb="FFF8696B"/>
        <color rgb="FFFFEB84"/>
        <color rgb="FF63BE7B"/>
      </colorScale>
    </cfRule>
  </conditionalFormatting>
  <conditionalFormatting sqref="BY36">
    <cfRule type="colorScale" priority="62">
      <colorScale>
        <cfvo type="num" val="0.69"/>
        <cfvo type="num" val="0.8"/>
        <cfvo type="num" val="0.9"/>
        <color rgb="FFF8696B"/>
        <color rgb="FFFFEB84"/>
        <color rgb="FF63BE7B"/>
      </colorScale>
    </cfRule>
  </conditionalFormatting>
  <conditionalFormatting sqref="BY40">
    <cfRule type="colorScale" priority="61">
      <colorScale>
        <cfvo type="num" val="0.69"/>
        <cfvo type="num" val="0.8"/>
        <cfvo type="num" val="0.9"/>
        <color rgb="FFF8696B"/>
        <color rgb="FFFFEB84"/>
        <color rgb="FF63BE7B"/>
      </colorScale>
    </cfRule>
  </conditionalFormatting>
  <conditionalFormatting sqref="BY46">
    <cfRule type="colorScale" priority="60">
      <colorScale>
        <cfvo type="num" val="0.69"/>
        <cfvo type="num" val="0.8"/>
        <cfvo type="num" val="0.9"/>
        <color rgb="FFF8696B"/>
        <color rgb="FFFFEB84"/>
        <color rgb="FF63BE7B"/>
      </colorScale>
    </cfRule>
  </conditionalFormatting>
  <conditionalFormatting sqref="CE8">
    <cfRule type="colorScale" priority="59">
      <colorScale>
        <cfvo type="num" val="0.69"/>
        <cfvo type="num" val="0.8"/>
        <cfvo type="num" val="0.9"/>
        <color rgb="FFF8696B"/>
        <color rgb="FFFFEB84"/>
        <color rgb="FF63BE7B"/>
      </colorScale>
    </cfRule>
  </conditionalFormatting>
  <conditionalFormatting sqref="CE14">
    <cfRule type="colorScale" priority="58">
      <colorScale>
        <cfvo type="num" val="0.69"/>
        <cfvo type="num" val="0.8"/>
        <cfvo type="num" val="0.9"/>
        <color rgb="FFF8696B"/>
        <color rgb="FFFFEB84"/>
        <color rgb="FF63BE7B"/>
      </colorScale>
    </cfRule>
  </conditionalFormatting>
  <conditionalFormatting sqref="CE22">
    <cfRule type="colorScale" priority="57">
      <colorScale>
        <cfvo type="num" val="0.69"/>
        <cfvo type="num" val="0.8"/>
        <cfvo type="num" val="0.9"/>
        <color rgb="FFF8696B"/>
        <color rgb="FFFFEB84"/>
        <color rgb="FF63BE7B"/>
      </colorScale>
    </cfRule>
  </conditionalFormatting>
  <conditionalFormatting sqref="CE23">
    <cfRule type="colorScale" priority="56">
      <colorScale>
        <cfvo type="num" val="0.69"/>
        <cfvo type="num" val="0.8"/>
        <cfvo type="num" val="0.9"/>
        <color rgb="FFF8696B"/>
        <color rgb="FFFFEB84"/>
        <color rgb="FF63BE7B"/>
      </colorScale>
    </cfRule>
  </conditionalFormatting>
  <conditionalFormatting sqref="CE27">
    <cfRule type="colorScale" priority="55">
      <colorScale>
        <cfvo type="num" val="0.69"/>
        <cfvo type="num" val="0.8"/>
        <cfvo type="num" val="0.9"/>
        <color rgb="FFF8696B"/>
        <color rgb="FFFFEB84"/>
        <color rgb="FF63BE7B"/>
      </colorScale>
    </cfRule>
  </conditionalFormatting>
  <conditionalFormatting sqref="CE26">
    <cfRule type="colorScale" priority="54">
      <colorScale>
        <cfvo type="num" val="0.69"/>
        <cfvo type="num" val="0.8"/>
        <cfvo type="num" val="0.9"/>
        <color rgb="FFF8696B"/>
        <color rgb="FFFFEB84"/>
        <color rgb="FF63BE7B"/>
      </colorScale>
    </cfRule>
  </conditionalFormatting>
  <conditionalFormatting sqref="CE31">
    <cfRule type="colorScale" priority="53">
      <colorScale>
        <cfvo type="num" val="0.69"/>
        <cfvo type="num" val="0.8"/>
        <cfvo type="num" val="0.9"/>
        <color rgb="FFF8696B"/>
        <color rgb="FFFFEB84"/>
        <color rgb="FF63BE7B"/>
      </colorScale>
    </cfRule>
  </conditionalFormatting>
  <conditionalFormatting sqref="CE10">
    <cfRule type="colorScale" priority="52">
      <colorScale>
        <cfvo type="num" val="0.69"/>
        <cfvo type="num" val="0.8"/>
        <cfvo type="num" val="0.9"/>
        <color rgb="FFF8696B"/>
        <color rgb="FFFFEB84"/>
        <color rgb="FF63BE7B"/>
      </colorScale>
    </cfRule>
  </conditionalFormatting>
  <conditionalFormatting sqref="CE24">
    <cfRule type="colorScale" priority="51">
      <colorScale>
        <cfvo type="num" val="0.69"/>
        <cfvo type="num" val="0.8"/>
        <cfvo type="num" val="0.9"/>
        <color rgb="FFF8696B"/>
        <color rgb="FFFFEB84"/>
        <color rgb="FF63BE7B"/>
      </colorScale>
    </cfRule>
  </conditionalFormatting>
  <conditionalFormatting sqref="CE12">
    <cfRule type="colorScale" priority="50">
      <colorScale>
        <cfvo type="num" val="0.69"/>
        <cfvo type="num" val="0.8"/>
        <cfvo type="num" val="0.9"/>
        <color rgb="FFF8696B"/>
        <color rgb="FFFFEB84"/>
        <color rgb="FF63BE7B"/>
      </colorScale>
    </cfRule>
  </conditionalFormatting>
  <conditionalFormatting sqref="CE32">
    <cfRule type="colorScale" priority="49">
      <colorScale>
        <cfvo type="num" val="0.69"/>
        <cfvo type="num" val="0.8"/>
        <cfvo type="num" val="0.9"/>
        <color rgb="FFF8696B"/>
        <color rgb="FFFFEB84"/>
        <color rgb="FF63BE7B"/>
      </colorScale>
    </cfRule>
  </conditionalFormatting>
  <conditionalFormatting sqref="CE41">
    <cfRule type="colorScale" priority="48">
      <colorScale>
        <cfvo type="num" val="0.69"/>
        <cfvo type="num" val="0.8"/>
        <cfvo type="num" val="0.9"/>
        <color rgb="FFF8696B"/>
        <color rgb="FFFFEB84"/>
        <color rgb="FF63BE7B"/>
      </colorScale>
    </cfRule>
  </conditionalFormatting>
  <conditionalFormatting sqref="CE16">
    <cfRule type="colorScale" priority="47">
      <colorScale>
        <cfvo type="num" val="0.69"/>
        <cfvo type="num" val="0.8"/>
        <cfvo type="num" val="0.9"/>
        <color rgb="FFF8696B"/>
        <color rgb="FFFFEB84"/>
        <color rgb="FF63BE7B"/>
      </colorScale>
    </cfRule>
  </conditionalFormatting>
  <conditionalFormatting sqref="CE36">
    <cfRule type="colorScale" priority="46">
      <colorScale>
        <cfvo type="num" val="0.69"/>
        <cfvo type="num" val="0.8"/>
        <cfvo type="num" val="0.9"/>
        <color rgb="FFF8696B"/>
        <color rgb="FFFFEB84"/>
        <color rgb="FF63BE7B"/>
      </colorScale>
    </cfRule>
  </conditionalFormatting>
  <conditionalFormatting sqref="CE18">
    <cfRule type="colorScale" priority="45">
      <colorScale>
        <cfvo type="num" val="0.69"/>
        <cfvo type="num" val="0.8"/>
        <cfvo type="num" val="0.9"/>
        <color rgb="FFF8696B"/>
        <color rgb="FFFFEB84"/>
        <color rgb="FF63BE7B"/>
      </colorScale>
    </cfRule>
  </conditionalFormatting>
  <conditionalFormatting sqref="CE20">
    <cfRule type="colorScale" priority="44">
      <colorScale>
        <cfvo type="num" val="0.69"/>
        <cfvo type="num" val="0.8"/>
        <cfvo type="num" val="0.9"/>
        <color rgb="FFF8696B"/>
        <color rgb="FFFFEB84"/>
        <color rgb="FF63BE7B"/>
      </colorScale>
    </cfRule>
  </conditionalFormatting>
  <conditionalFormatting sqref="CE28">
    <cfRule type="colorScale" priority="43">
      <colorScale>
        <cfvo type="num" val="0.69"/>
        <cfvo type="num" val="0.8"/>
        <cfvo type="num" val="0.9"/>
        <color rgb="FFF8696B"/>
        <color rgb="FFFFEB84"/>
        <color rgb="FF63BE7B"/>
      </colorScale>
    </cfRule>
  </conditionalFormatting>
  <conditionalFormatting sqref="CE29">
    <cfRule type="colorScale" priority="42">
      <colorScale>
        <cfvo type="num" val="0.69"/>
        <cfvo type="num" val="0.8"/>
        <cfvo type="num" val="0.9"/>
        <color rgb="FFF8696B"/>
        <color rgb="FFFFEB84"/>
        <color rgb="FF63BE7B"/>
      </colorScale>
    </cfRule>
  </conditionalFormatting>
  <conditionalFormatting sqref="CE30">
    <cfRule type="colorScale" priority="41">
      <colorScale>
        <cfvo type="num" val="0.69"/>
        <cfvo type="num" val="0.8"/>
        <cfvo type="num" val="0.9"/>
        <color rgb="FFF8696B"/>
        <color rgb="FFFFEB84"/>
        <color rgb="FF63BE7B"/>
      </colorScale>
    </cfRule>
  </conditionalFormatting>
  <conditionalFormatting sqref="CE25">
    <cfRule type="colorScale" priority="40">
      <colorScale>
        <cfvo type="num" val="0.69"/>
        <cfvo type="num" val="0.8"/>
        <cfvo type="num" val="0.9"/>
        <color rgb="FFF8696B"/>
        <color rgb="FFFFEB84"/>
        <color rgb="FF63BE7B"/>
      </colorScale>
    </cfRule>
  </conditionalFormatting>
  <conditionalFormatting sqref="CE34">
    <cfRule type="colorScale" priority="39">
      <colorScale>
        <cfvo type="num" val="0.69"/>
        <cfvo type="num" val="0.8"/>
        <cfvo type="num" val="0.9"/>
        <color rgb="FFF8696B"/>
        <color rgb="FFFFEB84"/>
        <color rgb="FF63BE7B"/>
      </colorScale>
    </cfRule>
  </conditionalFormatting>
  <conditionalFormatting sqref="CK8">
    <cfRule type="colorScale" priority="38">
      <colorScale>
        <cfvo type="num" val="0.69"/>
        <cfvo type="num" val="0.8"/>
        <cfvo type="num" val="0.9"/>
        <color rgb="FFF8696B"/>
        <color rgb="FFFFEB84"/>
        <color rgb="FF63BE7B"/>
      </colorScale>
    </cfRule>
  </conditionalFormatting>
  <conditionalFormatting sqref="CK10">
    <cfRule type="colorScale" priority="37">
      <colorScale>
        <cfvo type="num" val="0.69"/>
        <cfvo type="num" val="0.8"/>
        <cfvo type="num" val="0.9"/>
        <color rgb="FFF8696B"/>
        <color rgb="FFFFEB84"/>
        <color rgb="FF63BE7B"/>
      </colorScale>
    </cfRule>
  </conditionalFormatting>
  <conditionalFormatting sqref="CK12">
    <cfRule type="colorScale" priority="36">
      <colorScale>
        <cfvo type="num" val="0.69"/>
        <cfvo type="num" val="0.8"/>
        <cfvo type="num" val="0.9"/>
        <color rgb="FFF8696B"/>
        <color rgb="FFFFEB84"/>
        <color rgb="FF63BE7B"/>
      </colorScale>
    </cfRule>
  </conditionalFormatting>
  <conditionalFormatting sqref="CK14">
    <cfRule type="colorScale" priority="35">
      <colorScale>
        <cfvo type="num" val="0.69"/>
        <cfvo type="num" val="0.8"/>
        <cfvo type="num" val="0.9"/>
        <color rgb="FFF8696B"/>
        <color rgb="FFFFEB84"/>
        <color rgb="FF63BE7B"/>
      </colorScale>
    </cfRule>
  </conditionalFormatting>
  <conditionalFormatting sqref="CK22">
    <cfRule type="colorScale" priority="34">
      <colorScale>
        <cfvo type="num" val="0.69"/>
        <cfvo type="num" val="0.8"/>
        <cfvo type="num" val="0.9"/>
        <color rgb="FFF8696B"/>
        <color rgb="FFFFEB84"/>
        <color rgb="FF63BE7B"/>
      </colorScale>
    </cfRule>
  </conditionalFormatting>
  <conditionalFormatting sqref="CK23">
    <cfRule type="colorScale" priority="33">
      <colorScale>
        <cfvo type="num" val="0.69"/>
        <cfvo type="num" val="0.8"/>
        <cfvo type="num" val="0.9"/>
        <color rgb="FFF8696B"/>
        <color rgb="FFFFEB84"/>
        <color rgb="FF63BE7B"/>
      </colorScale>
    </cfRule>
  </conditionalFormatting>
  <conditionalFormatting sqref="CK24">
    <cfRule type="colorScale" priority="32">
      <colorScale>
        <cfvo type="num" val="0.69"/>
        <cfvo type="num" val="0.8"/>
        <cfvo type="num" val="0.9"/>
        <color rgb="FFF8696B"/>
        <color rgb="FFFFEB84"/>
        <color rgb="FF63BE7B"/>
      </colorScale>
    </cfRule>
  </conditionalFormatting>
  <conditionalFormatting sqref="CK26">
    <cfRule type="colorScale" priority="31">
      <colorScale>
        <cfvo type="num" val="0.69"/>
        <cfvo type="num" val="0.8"/>
        <cfvo type="num" val="0.9"/>
        <color rgb="FFF8696B"/>
        <color rgb="FFFFEB84"/>
        <color rgb="FF63BE7B"/>
      </colorScale>
    </cfRule>
  </conditionalFormatting>
  <conditionalFormatting sqref="CK27">
    <cfRule type="colorScale" priority="30">
      <colorScale>
        <cfvo type="num" val="0.69"/>
        <cfvo type="num" val="0.8"/>
        <cfvo type="num" val="0.9"/>
        <color rgb="FFF8696B"/>
        <color rgb="FFFFEB84"/>
        <color rgb="FF63BE7B"/>
      </colorScale>
    </cfRule>
  </conditionalFormatting>
  <conditionalFormatting sqref="CK31">
    <cfRule type="colorScale" priority="29">
      <colorScale>
        <cfvo type="num" val="0.69"/>
        <cfvo type="num" val="0.8"/>
        <cfvo type="num" val="0.9"/>
        <color rgb="FFF8696B"/>
        <color rgb="FFFFEB84"/>
        <color rgb="FF63BE7B"/>
      </colorScale>
    </cfRule>
  </conditionalFormatting>
  <conditionalFormatting sqref="CK32">
    <cfRule type="colorScale" priority="28">
      <colorScale>
        <cfvo type="num" val="0.69"/>
        <cfvo type="num" val="0.8"/>
        <cfvo type="num" val="0.9"/>
        <color rgb="FFF8696B"/>
        <color rgb="FFFFEB84"/>
        <color rgb="FF63BE7B"/>
      </colorScale>
    </cfRule>
  </conditionalFormatting>
  <conditionalFormatting sqref="CK34">
    <cfRule type="colorScale" priority="27">
      <colorScale>
        <cfvo type="num" val="0.69"/>
        <cfvo type="num" val="0.8"/>
        <cfvo type="num" val="0.9"/>
        <color rgb="FFF8696B"/>
        <color rgb="FFFFEB84"/>
        <color rgb="FF63BE7B"/>
      </colorScale>
    </cfRule>
  </conditionalFormatting>
  <conditionalFormatting sqref="CK36">
    <cfRule type="colorScale" priority="26">
      <colorScale>
        <cfvo type="num" val="0.69"/>
        <cfvo type="num" val="0.8"/>
        <cfvo type="num" val="0.9"/>
        <color rgb="FFF8696B"/>
        <color rgb="FFFFEB84"/>
        <color rgb="FF63BE7B"/>
      </colorScale>
    </cfRule>
  </conditionalFormatting>
  <conditionalFormatting sqref="CK20">
    <cfRule type="colorScale" priority="25">
      <colorScale>
        <cfvo type="num" val="0.69"/>
        <cfvo type="num" val="0.8"/>
        <cfvo type="num" val="0.9"/>
        <color rgb="FFF8696B"/>
        <color rgb="FFFFEB84"/>
        <color rgb="FF63BE7B"/>
      </colorScale>
    </cfRule>
  </conditionalFormatting>
  <conditionalFormatting sqref="CK18">
    <cfRule type="colorScale" priority="24">
      <colorScale>
        <cfvo type="num" val="0.69"/>
        <cfvo type="num" val="0.8"/>
        <cfvo type="num" val="0.9"/>
        <color rgb="FFF8696B"/>
        <color rgb="FFFFEB84"/>
        <color rgb="FF63BE7B"/>
      </colorScale>
    </cfRule>
  </conditionalFormatting>
  <conditionalFormatting sqref="CK25">
    <cfRule type="colorScale" priority="23">
      <colorScale>
        <cfvo type="num" val="0.69"/>
        <cfvo type="num" val="0.8"/>
        <cfvo type="num" val="0.9"/>
        <color rgb="FFF8696B"/>
        <color rgb="FFFFEB84"/>
        <color rgb="FF63BE7B"/>
      </colorScale>
    </cfRule>
  </conditionalFormatting>
  <conditionalFormatting sqref="CK16">
    <cfRule type="colorScale" priority="22">
      <colorScale>
        <cfvo type="num" val="0.69"/>
        <cfvo type="num" val="0.8"/>
        <cfvo type="num" val="0.9"/>
        <color rgb="FFF8696B"/>
        <color rgb="FFFFEB84"/>
        <color rgb="FF63BE7B"/>
      </colorScale>
    </cfRule>
  </conditionalFormatting>
  <conditionalFormatting sqref="CQ8">
    <cfRule type="colorScale" priority="21">
      <colorScale>
        <cfvo type="num" val="0.69"/>
        <cfvo type="num" val="0.8"/>
        <cfvo type="num" val="0.9"/>
        <color rgb="FFF8696B"/>
        <color rgb="FFFFEB84"/>
        <color rgb="FF63BE7B"/>
      </colorScale>
    </cfRule>
  </conditionalFormatting>
  <conditionalFormatting sqref="CQ10">
    <cfRule type="colorScale" priority="20">
      <colorScale>
        <cfvo type="num" val="0.69"/>
        <cfvo type="num" val="0.8"/>
        <cfvo type="num" val="0.9"/>
        <color rgb="FFF8696B"/>
        <color rgb="FFFFEB84"/>
        <color rgb="FF63BE7B"/>
      </colorScale>
    </cfRule>
  </conditionalFormatting>
  <conditionalFormatting sqref="CQ12">
    <cfRule type="colorScale" priority="19">
      <colorScale>
        <cfvo type="num" val="0.69"/>
        <cfvo type="num" val="0.8"/>
        <cfvo type="num" val="0.9"/>
        <color rgb="FFF8696B"/>
        <color rgb="FFFFEB84"/>
        <color rgb="FF63BE7B"/>
      </colorScale>
    </cfRule>
  </conditionalFormatting>
  <conditionalFormatting sqref="CQ14">
    <cfRule type="colorScale" priority="18">
      <colorScale>
        <cfvo type="num" val="0.69"/>
        <cfvo type="num" val="0.8"/>
        <cfvo type="num" val="0.9"/>
        <color rgb="FFF8696B"/>
        <color rgb="FFFFEB84"/>
        <color rgb="FF63BE7B"/>
      </colorScale>
    </cfRule>
  </conditionalFormatting>
  <conditionalFormatting sqref="CQ16">
    <cfRule type="colorScale" priority="17">
      <colorScale>
        <cfvo type="num" val="0.69"/>
        <cfvo type="num" val="0.8"/>
        <cfvo type="num" val="0.9"/>
        <color rgb="FFF8696B"/>
        <color rgb="FFFFEB84"/>
        <color rgb="FF63BE7B"/>
      </colorScale>
    </cfRule>
  </conditionalFormatting>
  <conditionalFormatting sqref="CQ18">
    <cfRule type="colorScale" priority="16">
      <colorScale>
        <cfvo type="num" val="0.69"/>
        <cfvo type="num" val="0.8"/>
        <cfvo type="num" val="0.9"/>
        <color rgb="FFF8696B"/>
        <color rgb="FFFFEB84"/>
        <color rgb="FF63BE7B"/>
      </colorScale>
    </cfRule>
  </conditionalFormatting>
  <conditionalFormatting sqref="CQ20">
    <cfRule type="colorScale" priority="15">
      <colorScale>
        <cfvo type="num" val="0.69"/>
        <cfvo type="num" val="0.8"/>
        <cfvo type="num" val="0.9"/>
        <color rgb="FFF8696B"/>
        <color rgb="FFFFEB84"/>
        <color rgb="FF63BE7B"/>
      </colorScale>
    </cfRule>
  </conditionalFormatting>
  <conditionalFormatting sqref="CQ24">
    <cfRule type="colorScale" priority="14">
      <colorScale>
        <cfvo type="num" val="0.69"/>
        <cfvo type="num" val="0.8"/>
        <cfvo type="num" val="0.9"/>
        <color rgb="FFF8696B"/>
        <color rgb="FFFFEB84"/>
        <color rgb="FF63BE7B"/>
      </colorScale>
    </cfRule>
  </conditionalFormatting>
  <conditionalFormatting sqref="CQ25">
    <cfRule type="colorScale" priority="13">
      <colorScale>
        <cfvo type="num" val="0.69"/>
        <cfvo type="num" val="0.8"/>
        <cfvo type="num" val="0.9"/>
        <color rgb="FFF8696B"/>
        <color rgb="FFFFEB84"/>
        <color rgb="FF63BE7B"/>
      </colorScale>
    </cfRule>
  </conditionalFormatting>
  <conditionalFormatting sqref="CQ28">
    <cfRule type="colorScale" priority="12">
      <colorScale>
        <cfvo type="num" val="0.69"/>
        <cfvo type="num" val="0.8"/>
        <cfvo type="num" val="0.9"/>
        <color rgb="FFF8696B"/>
        <color rgb="FFFFEB84"/>
        <color rgb="FF63BE7B"/>
      </colorScale>
    </cfRule>
  </conditionalFormatting>
  <conditionalFormatting sqref="CQ29">
    <cfRule type="colorScale" priority="11">
      <colorScale>
        <cfvo type="num" val="0.69"/>
        <cfvo type="num" val="0.8"/>
        <cfvo type="num" val="0.9"/>
        <color rgb="FFF8696B"/>
        <color rgb="FFFFEB84"/>
        <color rgb="FF63BE7B"/>
      </colorScale>
    </cfRule>
  </conditionalFormatting>
  <conditionalFormatting sqref="CQ30">
    <cfRule type="colorScale" priority="10">
      <colorScale>
        <cfvo type="num" val="0.69"/>
        <cfvo type="num" val="0.8"/>
        <cfvo type="num" val="0.9"/>
        <color rgb="FFF8696B"/>
        <color rgb="FFFFEB84"/>
        <color rgb="FF63BE7B"/>
      </colorScale>
    </cfRule>
  </conditionalFormatting>
  <conditionalFormatting sqref="CQ31">
    <cfRule type="colorScale" priority="9">
      <colorScale>
        <cfvo type="num" val="0.69"/>
        <cfvo type="num" val="0.8"/>
        <cfvo type="num" val="0.9"/>
        <color rgb="FFF8696B"/>
        <color rgb="FFFFEB84"/>
        <color rgb="FF63BE7B"/>
      </colorScale>
    </cfRule>
  </conditionalFormatting>
  <conditionalFormatting sqref="CQ32">
    <cfRule type="colorScale" priority="8">
      <colorScale>
        <cfvo type="num" val="0.69"/>
        <cfvo type="num" val="0.8"/>
        <cfvo type="num" val="0.9"/>
        <color rgb="FFF8696B"/>
        <color rgb="FFFFEB84"/>
        <color rgb="FF63BE7B"/>
      </colorScale>
    </cfRule>
  </conditionalFormatting>
  <conditionalFormatting sqref="CQ34">
    <cfRule type="colorScale" priority="7">
      <colorScale>
        <cfvo type="num" val="0.69"/>
        <cfvo type="num" val="0.8"/>
        <cfvo type="num" val="0.9"/>
        <color rgb="FFF8696B"/>
        <color rgb="FFFFEB84"/>
        <color rgb="FF63BE7B"/>
      </colorScale>
    </cfRule>
  </conditionalFormatting>
  <conditionalFormatting sqref="CQ36">
    <cfRule type="colorScale" priority="6">
      <colorScale>
        <cfvo type="num" val="0.69"/>
        <cfvo type="num" val="0.8"/>
        <cfvo type="num" val="0.9"/>
        <color rgb="FFF8696B"/>
        <color rgb="FFFFEB84"/>
        <color rgb="FF63BE7B"/>
      </colorScale>
    </cfRule>
  </conditionalFormatting>
  <conditionalFormatting sqref="CQ26">
    <cfRule type="colorScale" priority="5">
      <colorScale>
        <cfvo type="num" val="0.69"/>
        <cfvo type="num" val="0.8"/>
        <cfvo type="num" val="0.9"/>
        <color rgb="FFF8696B"/>
        <color rgb="FFFFEB84"/>
        <color rgb="FF63BE7B"/>
      </colorScale>
    </cfRule>
  </conditionalFormatting>
  <conditionalFormatting sqref="CQ27">
    <cfRule type="colorScale" priority="4">
      <colorScale>
        <cfvo type="num" val="0.69"/>
        <cfvo type="num" val="0.8"/>
        <cfvo type="num" val="0.9"/>
        <color rgb="FFF8696B"/>
        <color rgb="FFFFEB84"/>
        <color rgb="FF63BE7B"/>
      </colorScale>
    </cfRule>
  </conditionalFormatting>
  <conditionalFormatting sqref="CQ22">
    <cfRule type="colorScale" priority="3">
      <colorScale>
        <cfvo type="num" val="0.69"/>
        <cfvo type="num" val="0.8"/>
        <cfvo type="num" val="0.9"/>
        <color rgb="FFF8696B"/>
        <color rgb="FFFFEB84"/>
        <color rgb="FF63BE7B"/>
      </colorScale>
    </cfRule>
  </conditionalFormatting>
  <conditionalFormatting sqref="CQ23">
    <cfRule type="colorScale" priority="2">
      <colorScale>
        <cfvo type="num" val="0.69"/>
        <cfvo type="num" val="0.8"/>
        <cfvo type="num" val="0.9"/>
        <color rgb="FFF8696B"/>
        <color rgb="FFFFEB84"/>
        <color rgb="FF63BE7B"/>
      </colorScale>
    </cfRule>
  </conditionalFormatting>
  <conditionalFormatting sqref="CQ40:CQ41">
    <cfRule type="colorScale" priority="1">
      <colorScale>
        <cfvo type="num" val="0.69"/>
        <cfvo type="num" val="0.8"/>
        <cfvo type="num" val="0.9"/>
        <color rgb="FFF8696B"/>
        <color rgb="FFFFEB84"/>
        <color rgb="FF63BE7B"/>
      </colorScale>
    </cfRule>
  </conditionalFormatting>
  <printOptions horizontalCentered="1"/>
  <pageMargins left="0.19685039370078741" right="0.19685039370078741" top="0.78740157480314965" bottom="0.19685039370078741" header="0.31496062992125984" footer="0.31496062992125984"/>
  <pageSetup paperSize="190" scale="45" fitToHeight="0" orientation="landscape" r:id="rId1"/>
  <headerFooter alignWithMargins="0"/>
  <rowBreaks count="1" manualBreakCount="1">
    <brk id="30" max="101" man="1"/>
  </rowBreaks>
  <colBreaks count="1" manualBreakCount="1">
    <brk id="89" max="51"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pageSetUpPr fitToPage="1"/>
  </sheetPr>
  <dimension ref="A1:DU71"/>
  <sheetViews>
    <sheetView showGridLines="0" view="pageBreakPreview" zoomScale="25" zoomScaleNormal="100" zoomScaleSheetLayoutView="25" workbookViewId="0"/>
  </sheetViews>
  <sheetFormatPr baseColWidth="10" defaultColWidth="17.42578125" defaultRowHeight="33"/>
  <cols>
    <col min="1" max="1" width="17.42578125" style="1487" customWidth="1"/>
    <col min="2" max="2" width="11.42578125" style="1487" customWidth="1"/>
    <col min="3" max="3" width="84.85546875" style="1493" customWidth="1"/>
    <col min="4" max="4" width="16" style="1487" customWidth="1"/>
    <col min="5" max="5" width="92.7109375" style="1487" customWidth="1"/>
    <col min="6" max="6" width="30.7109375" style="1487" customWidth="1"/>
    <col min="7" max="7" width="59.5703125" style="1487" customWidth="1"/>
    <col min="8" max="8" width="29.28515625" style="1487" customWidth="1"/>
    <col min="9" max="9" width="60.5703125" style="1487" customWidth="1"/>
    <col min="10" max="10" width="42.7109375" style="1487" customWidth="1"/>
    <col min="11" max="11" width="23.7109375" style="1487" customWidth="1"/>
    <col min="12" max="13" width="18.7109375" style="1487" customWidth="1"/>
    <col min="14" max="14" width="18.85546875" style="1487" customWidth="1"/>
    <col min="15" max="15" width="21" style="1487" customWidth="1"/>
    <col min="16" max="16" width="18.7109375" style="1487" customWidth="1"/>
    <col min="17" max="17" width="21.140625" style="910" customWidth="1"/>
    <col min="18" max="18" width="20.5703125" style="1487" customWidth="1"/>
    <col min="19" max="19" width="18.7109375" style="1494" customWidth="1"/>
    <col min="20" max="20" width="18.42578125" style="1487" customWidth="1"/>
    <col min="21" max="21" width="18.7109375" style="1487" customWidth="1"/>
    <col min="22" max="22" width="23" style="1487" customWidth="1"/>
    <col min="23" max="23" width="15.5703125" style="1487" customWidth="1"/>
    <col min="24" max="24" width="27.85546875" style="1485" hidden="1" customWidth="1"/>
    <col min="25" max="29" width="27.85546875" style="1486" hidden="1" customWidth="1"/>
    <col min="30" max="59" width="27.85546875" style="1487" hidden="1" customWidth="1"/>
    <col min="60" max="60" width="27.85546875" style="1488" hidden="1" customWidth="1"/>
    <col min="61" max="65" width="27.85546875" style="1489" hidden="1" customWidth="1"/>
    <col min="66" max="69" width="27.85546875" style="1487" hidden="1" customWidth="1"/>
    <col min="70" max="70" width="27.85546875" style="1490" hidden="1" customWidth="1"/>
    <col min="71" max="76" width="27.85546875" style="1487" hidden="1" customWidth="1"/>
    <col min="77" max="77" width="27.85546875" style="1491" hidden="1" customWidth="1"/>
    <col min="78" max="78" width="25" style="1487" hidden="1" customWidth="1"/>
    <col min="79" max="79" width="21.7109375" style="1487" hidden="1" customWidth="1"/>
    <col min="80" max="80" width="25" style="1487" hidden="1" customWidth="1"/>
    <col min="81" max="81" width="25.28515625" style="1487" hidden="1" customWidth="1"/>
    <col min="82" max="82" width="27.7109375" style="1487" hidden="1" customWidth="1"/>
    <col min="83" max="83" width="102.42578125" style="1487" hidden="1" customWidth="1"/>
    <col min="84" max="84" width="29.42578125" style="1492" hidden="1" customWidth="1"/>
    <col min="85" max="85" width="24.85546875" style="1487" hidden="1" customWidth="1"/>
    <col min="86" max="86" width="32.85546875" style="1487" hidden="1" customWidth="1"/>
    <col min="87" max="87" width="25.42578125" style="1487" hidden="1" customWidth="1"/>
    <col min="88" max="88" width="1.140625" style="1487" hidden="1" customWidth="1"/>
    <col min="89" max="89" width="102.85546875" style="1487" hidden="1" customWidth="1"/>
    <col min="90" max="90" width="29.42578125" style="1487" hidden="1" customWidth="1"/>
    <col min="91" max="91" width="24.85546875" style="1487" hidden="1" customWidth="1"/>
    <col min="92" max="92" width="27.7109375" style="1487" hidden="1" customWidth="1"/>
    <col min="93" max="93" width="25.42578125" style="1487" hidden="1" customWidth="1"/>
    <col min="94" max="94" width="35.7109375" style="1487" hidden="1" customWidth="1"/>
    <col min="95" max="95" width="111" style="910" hidden="1" customWidth="1"/>
    <col min="96" max="96" width="23.28515625" style="1487" hidden="1" customWidth="1"/>
    <col min="97" max="97" width="24.85546875" style="1487" hidden="1" customWidth="1"/>
    <col min="98" max="98" width="22.7109375" style="1487" hidden="1" customWidth="1"/>
    <col min="99" max="100" width="25.42578125" style="1487" hidden="1" customWidth="1"/>
    <col min="101" max="101" width="129.7109375" style="910" hidden="1" customWidth="1"/>
    <col min="102" max="102" width="22.7109375" style="1487" customWidth="1"/>
    <col min="103" max="103" width="20.140625" style="1487" customWidth="1"/>
    <col min="104" max="104" width="23" style="1487" customWidth="1"/>
    <col min="105" max="105" width="27" style="1487" customWidth="1"/>
    <col min="106" max="106" width="24.140625" style="1487" customWidth="1"/>
    <col min="107" max="107" width="255.140625" style="1487" customWidth="1"/>
    <col min="108" max="108" width="22.7109375" style="1487" hidden="1" customWidth="1"/>
    <col min="109" max="109" width="20.140625" style="1487" hidden="1" customWidth="1"/>
    <col min="110" max="110" width="31.5703125" style="1487" hidden="1" customWidth="1"/>
    <col min="111" max="111" width="29.85546875" style="1487" hidden="1" customWidth="1"/>
    <col min="112" max="112" width="24.42578125" style="1487" hidden="1" customWidth="1"/>
    <col min="113" max="113" width="107.28515625" style="1487" hidden="1" customWidth="1"/>
    <col min="114" max="114" width="24.28515625" style="1487" customWidth="1"/>
    <col min="115" max="115" width="26.5703125" style="1487" customWidth="1"/>
    <col min="116" max="117" width="30" style="1487" customWidth="1"/>
    <col min="118" max="118" width="60.28515625" style="1487" customWidth="1"/>
    <col min="119" max="119" width="122.5703125" style="1487" customWidth="1"/>
    <col min="120" max="16384" width="17.42578125" style="1487"/>
  </cols>
  <sheetData>
    <row r="1" spans="2:119" s="1478" customFormat="1" ht="84" customHeight="1">
      <c r="B1" s="1475"/>
      <c r="C1" s="2466" t="s">
        <v>2842</v>
      </c>
      <c r="D1" s="2467"/>
      <c r="E1" s="2467"/>
      <c r="F1" s="2467"/>
      <c r="G1" s="2467"/>
      <c r="H1" s="2467"/>
      <c r="I1" s="2467"/>
      <c r="J1" s="2467"/>
      <c r="K1" s="2467"/>
      <c r="L1" s="2467"/>
      <c r="M1" s="2467"/>
      <c r="N1" s="2467"/>
      <c r="O1" s="2468"/>
      <c r="P1" s="2469"/>
      <c r="Q1" s="2470"/>
      <c r="R1" s="2470"/>
      <c r="S1" s="2470"/>
      <c r="T1" s="2471"/>
      <c r="U1" s="2471"/>
      <c r="V1" s="2471"/>
      <c r="W1" s="2471"/>
      <c r="X1" s="1476"/>
      <c r="Y1" s="1477"/>
      <c r="Z1" s="1477"/>
      <c r="AA1" s="1477"/>
      <c r="AB1" s="1477"/>
      <c r="AC1" s="1477"/>
      <c r="BH1" s="1479"/>
      <c r="BI1" s="1480"/>
      <c r="BJ1" s="1480"/>
      <c r="BK1" s="1480"/>
      <c r="BL1" s="1480"/>
      <c r="BM1" s="1480"/>
      <c r="BR1" s="1481"/>
      <c r="BY1" s="1482"/>
      <c r="CF1" s="1483"/>
      <c r="CL1" s="1483"/>
      <c r="CR1" s="1483"/>
    </row>
    <row r="2" spans="2:119" ht="67.5" customHeight="1">
      <c r="B2" s="1484"/>
      <c r="C2" s="2472" t="s">
        <v>2843</v>
      </c>
      <c r="D2" s="2473"/>
      <c r="E2" s="2474" t="s">
        <v>1700</v>
      </c>
      <c r="F2" s="2474"/>
      <c r="G2" s="2474"/>
      <c r="H2" s="2474"/>
      <c r="I2" s="2474"/>
      <c r="J2" s="2474"/>
      <c r="K2" s="2474"/>
      <c r="L2" s="2474"/>
      <c r="M2" s="2474"/>
      <c r="N2" s="2474"/>
      <c r="O2" s="2475"/>
      <c r="P2" s="2476" t="s">
        <v>1701</v>
      </c>
      <c r="Q2" s="2476"/>
      <c r="R2" s="2476"/>
      <c r="S2" s="2476"/>
      <c r="T2" s="2471"/>
      <c r="U2" s="2471"/>
      <c r="V2" s="2471"/>
      <c r="W2" s="2471"/>
      <c r="CL2" s="1492"/>
      <c r="CQ2" s="1487"/>
      <c r="CR2" s="1492"/>
      <c r="CW2" s="1487"/>
    </row>
    <row r="3" spans="2:119" ht="5.25" customHeight="1">
      <c r="CL3" s="1492"/>
      <c r="CQ3" s="1487"/>
      <c r="CR3" s="1492"/>
      <c r="CW3" s="1487"/>
    </row>
    <row r="4" spans="2:119" ht="74.45" customHeight="1">
      <c r="C4" s="1495" t="s">
        <v>18</v>
      </c>
      <c r="D4" s="2476" t="s">
        <v>2844</v>
      </c>
      <c r="E4" s="2476"/>
      <c r="F4" s="2476"/>
      <c r="G4" s="2476"/>
      <c r="H4" s="2476"/>
      <c r="I4" s="2476"/>
      <c r="J4" s="2476"/>
      <c r="K4" s="2476"/>
      <c r="L4" s="2477" t="s">
        <v>21</v>
      </c>
      <c r="M4" s="2477"/>
      <c r="N4" s="2477"/>
      <c r="O4" s="2472">
        <v>2014</v>
      </c>
      <c r="P4" s="2478"/>
      <c r="Q4" s="2478"/>
      <c r="R4" s="2478"/>
      <c r="S4" s="2478"/>
      <c r="T4" s="2478"/>
      <c r="U4" s="2478"/>
      <c r="V4" s="2478"/>
      <c r="W4" s="2473"/>
      <c r="X4" s="2479" t="s">
        <v>29</v>
      </c>
      <c r="Y4" s="2479"/>
      <c r="Z4" s="2479"/>
      <c r="AA4" s="2479"/>
      <c r="AB4" s="2479"/>
      <c r="AC4" s="2480"/>
      <c r="CL4" s="1492"/>
      <c r="CQ4" s="1487"/>
      <c r="CR4" s="1492"/>
      <c r="CW4" s="1487"/>
    </row>
    <row r="5" spans="2:119" ht="43.5" customHeight="1">
      <c r="B5" s="1484"/>
      <c r="D5" s="1496"/>
      <c r="E5" s="1484"/>
      <c r="F5" s="1484"/>
      <c r="G5" s="1484"/>
      <c r="H5" s="1484"/>
      <c r="I5" s="1484"/>
      <c r="J5" s="1484"/>
      <c r="K5" s="1484"/>
      <c r="L5" s="1484"/>
      <c r="M5" s="1484"/>
      <c r="N5" s="1484"/>
      <c r="O5" s="1484"/>
      <c r="P5" s="1484"/>
      <c r="Q5" s="911" t="s">
        <v>332</v>
      </c>
      <c r="R5" s="1484"/>
      <c r="S5" s="1497"/>
      <c r="T5" s="1484"/>
      <c r="U5" s="1484"/>
      <c r="V5" s="1484"/>
      <c r="W5" s="1484"/>
      <c r="CL5" s="1492"/>
      <c r="CQ5" s="1487"/>
      <c r="CR5" s="1492"/>
      <c r="CW5" s="1487"/>
    </row>
    <row r="6" spans="2:119" ht="97.5" customHeight="1">
      <c r="C6" s="2481" t="s">
        <v>26</v>
      </c>
      <c r="D6" s="2482" t="s">
        <v>10</v>
      </c>
      <c r="E6" s="2481" t="s">
        <v>23</v>
      </c>
      <c r="F6" s="2481" t="s">
        <v>19</v>
      </c>
      <c r="G6" s="2481" t="s">
        <v>11</v>
      </c>
      <c r="H6" s="2481" t="s">
        <v>15</v>
      </c>
      <c r="I6" s="2481" t="s">
        <v>12</v>
      </c>
      <c r="J6" s="2481" t="s">
        <v>20</v>
      </c>
      <c r="K6" s="2484" t="s">
        <v>16</v>
      </c>
      <c r="L6" s="2484" t="s">
        <v>24</v>
      </c>
      <c r="M6" s="2484"/>
      <c r="N6" s="2484"/>
      <c r="O6" s="2484"/>
      <c r="P6" s="2484"/>
      <c r="Q6" s="2484"/>
      <c r="R6" s="2484"/>
      <c r="S6" s="2484"/>
      <c r="T6" s="2484"/>
      <c r="U6" s="2484"/>
      <c r="V6" s="2484"/>
      <c r="W6" s="2484"/>
      <c r="X6" s="2485" t="s">
        <v>37</v>
      </c>
      <c r="Y6" s="2486"/>
      <c r="Z6" s="2486"/>
      <c r="AA6" s="2486"/>
      <c r="AB6" s="2486"/>
      <c r="AC6" s="2486"/>
      <c r="AD6" s="2487" t="s">
        <v>38</v>
      </c>
      <c r="AE6" s="2488"/>
      <c r="AF6" s="2488"/>
      <c r="AG6" s="2488"/>
      <c r="AH6" s="2488"/>
      <c r="AI6" s="2488"/>
      <c r="AJ6" s="2489" t="s">
        <v>39</v>
      </c>
      <c r="AK6" s="2490"/>
      <c r="AL6" s="2490"/>
      <c r="AM6" s="2490"/>
      <c r="AN6" s="2490"/>
      <c r="AO6" s="2490"/>
      <c r="AP6" s="2487" t="s">
        <v>38</v>
      </c>
      <c r="AQ6" s="2488"/>
      <c r="AR6" s="2488"/>
      <c r="AS6" s="2488"/>
      <c r="AT6" s="2488"/>
      <c r="AU6" s="2488"/>
      <c r="AV6" s="2489" t="s">
        <v>39</v>
      </c>
      <c r="AW6" s="2490"/>
      <c r="AX6" s="2490"/>
      <c r="AY6" s="2490"/>
      <c r="AZ6" s="2490"/>
      <c r="BA6" s="2490"/>
      <c r="BB6" s="2491" t="s">
        <v>40</v>
      </c>
      <c r="BC6" s="2492"/>
      <c r="BD6" s="2492"/>
      <c r="BE6" s="2492"/>
      <c r="BF6" s="2492"/>
      <c r="BG6" s="2492"/>
      <c r="BH6" s="2493" t="s">
        <v>41</v>
      </c>
      <c r="BI6" s="2494"/>
      <c r="BJ6" s="2494"/>
      <c r="BK6" s="2494"/>
      <c r="BL6" s="2494"/>
      <c r="BM6" s="2494"/>
      <c r="BN6" s="2493" t="s">
        <v>42</v>
      </c>
      <c r="BO6" s="2494"/>
      <c r="BP6" s="2494"/>
      <c r="BQ6" s="2494"/>
      <c r="BR6" s="2494"/>
      <c r="BS6" s="2494"/>
      <c r="BT6" s="2493" t="s">
        <v>43</v>
      </c>
      <c r="BU6" s="2494"/>
      <c r="BV6" s="2494"/>
      <c r="BW6" s="2494"/>
      <c r="BX6" s="2494"/>
      <c r="BY6" s="2494"/>
      <c r="BZ6" s="2493" t="s">
        <v>44</v>
      </c>
      <c r="CA6" s="2494"/>
      <c r="CB6" s="2494"/>
      <c r="CC6" s="2494"/>
      <c r="CD6" s="2494"/>
      <c r="CE6" s="2494"/>
      <c r="CF6" s="2493" t="s">
        <v>45</v>
      </c>
      <c r="CG6" s="2494"/>
      <c r="CH6" s="2494"/>
      <c r="CI6" s="2494"/>
      <c r="CJ6" s="2494"/>
      <c r="CK6" s="2494"/>
      <c r="CL6" s="2493" t="s">
        <v>46</v>
      </c>
      <c r="CM6" s="2494"/>
      <c r="CN6" s="2494"/>
      <c r="CO6" s="2494"/>
      <c r="CP6" s="2494"/>
      <c r="CQ6" s="2494"/>
      <c r="CR6" s="2493" t="s">
        <v>47</v>
      </c>
      <c r="CS6" s="2494"/>
      <c r="CT6" s="2494"/>
      <c r="CU6" s="2494"/>
      <c r="CV6" s="2494"/>
      <c r="CW6" s="2494"/>
      <c r="CX6" s="2493" t="s">
        <v>2845</v>
      </c>
      <c r="CY6" s="2494"/>
      <c r="CZ6" s="2494"/>
      <c r="DA6" s="2494"/>
      <c r="DB6" s="2494"/>
      <c r="DC6" s="2494"/>
      <c r="DD6" s="2493" t="s">
        <v>2846</v>
      </c>
      <c r="DE6" s="2494"/>
      <c r="DF6" s="2494"/>
      <c r="DG6" s="2494"/>
      <c r="DH6" s="2494"/>
      <c r="DI6" s="2494"/>
      <c r="DJ6" s="2495" t="s">
        <v>2846</v>
      </c>
      <c r="DK6" s="2496"/>
      <c r="DL6" s="2496"/>
      <c r="DM6" s="2496"/>
      <c r="DN6" s="2496"/>
      <c r="DO6" s="2493"/>
    </row>
    <row r="7" spans="2:119" ht="161.25" customHeight="1">
      <c r="C7" s="2481"/>
      <c r="D7" s="2482"/>
      <c r="E7" s="2481"/>
      <c r="F7" s="2481"/>
      <c r="G7" s="2481"/>
      <c r="H7" s="2481"/>
      <c r="I7" s="2483"/>
      <c r="J7" s="2481"/>
      <c r="K7" s="2484"/>
      <c r="L7" s="1498" t="s">
        <v>13</v>
      </c>
      <c r="M7" s="1498" t="s">
        <v>0</v>
      </c>
      <c r="N7" s="1498" t="s">
        <v>1</v>
      </c>
      <c r="O7" s="1498" t="s">
        <v>14</v>
      </c>
      <c r="P7" s="1498" t="s">
        <v>2</v>
      </c>
      <c r="Q7" s="1498" t="s">
        <v>3</v>
      </c>
      <c r="R7" s="1498" t="s">
        <v>4</v>
      </c>
      <c r="S7" s="1498" t="s">
        <v>5</v>
      </c>
      <c r="T7" s="1498" t="s">
        <v>6</v>
      </c>
      <c r="U7" s="1498" t="s">
        <v>7</v>
      </c>
      <c r="V7" s="1498" t="s">
        <v>8</v>
      </c>
      <c r="W7" s="1498" t="s">
        <v>9</v>
      </c>
      <c r="X7" s="1499" t="s">
        <v>31</v>
      </c>
      <c r="Y7" s="921" t="s">
        <v>32</v>
      </c>
      <c r="Z7" s="921" t="s">
        <v>33</v>
      </c>
      <c r="AA7" s="921" t="s">
        <v>34</v>
      </c>
      <c r="AB7" s="921" t="s">
        <v>35</v>
      </c>
      <c r="AC7" s="921" t="s">
        <v>36</v>
      </c>
      <c r="AD7" s="1499" t="s">
        <v>31</v>
      </c>
      <c r="AE7" s="921" t="s">
        <v>32</v>
      </c>
      <c r="AF7" s="921" t="s">
        <v>33</v>
      </c>
      <c r="AG7" s="921" t="s">
        <v>34</v>
      </c>
      <c r="AH7" s="921" t="s">
        <v>35</v>
      </c>
      <c r="AI7" s="921" t="s">
        <v>36</v>
      </c>
      <c r="AJ7" s="1499" t="s">
        <v>31</v>
      </c>
      <c r="AK7" s="921" t="s">
        <v>32</v>
      </c>
      <c r="AL7" s="921" t="s">
        <v>33</v>
      </c>
      <c r="AM7" s="921" t="s">
        <v>34</v>
      </c>
      <c r="AN7" s="921" t="s">
        <v>35</v>
      </c>
      <c r="AO7" s="921" t="s">
        <v>36</v>
      </c>
      <c r="AP7" s="1499" t="s">
        <v>31</v>
      </c>
      <c r="AQ7" s="921" t="s">
        <v>32</v>
      </c>
      <c r="AR7" s="921" t="s">
        <v>33</v>
      </c>
      <c r="AS7" s="921" t="s">
        <v>34</v>
      </c>
      <c r="AT7" s="921" t="s">
        <v>35</v>
      </c>
      <c r="AU7" s="921" t="s">
        <v>36</v>
      </c>
      <c r="AV7" s="1499" t="s">
        <v>31</v>
      </c>
      <c r="AW7" s="921" t="s">
        <v>32</v>
      </c>
      <c r="AX7" s="921" t="s">
        <v>33</v>
      </c>
      <c r="AY7" s="921" t="s">
        <v>34</v>
      </c>
      <c r="AZ7" s="921" t="s">
        <v>35</v>
      </c>
      <c r="BA7" s="921" t="s">
        <v>36</v>
      </c>
      <c r="BB7" s="1499" t="s">
        <v>31</v>
      </c>
      <c r="BC7" s="921" t="s">
        <v>32</v>
      </c>
      <c r="BD7" s="921" t="s">
        <v>33</v>
      </c>
      <c r="BE7" s="921" t="s">
        <v>34</v>
      </c>
      <c r="BF7" s="921" t="s">
        <v>35</v>
      </c>
      <c r="BG7" s="921" t="s">
        <v>36</v>
      </c>
      <c r="BH7" s="1500" t="s">
        <v>31</v>
      </c>
      <c r="BI7" s="1501" t="s">
        <v>32</v>
      </c>
      <c r="BJ7" s="1501" t="s">
        <v>33</v>
      </c>
      <c r="BK7" s="1501" t="s">
        <v>34</v>
      </c>
      <c r="BL7" s="1501" t="s">
        <v>35</v>
      </c>
      <c r="BM7" s="1501" t="s">
        <v>36</v>
      </c>
      <c r="BN7" s="1500" t="s">
        <v>31</v>
      </c>
      <c r="BO7" s="1501" t="s">
        <v>32</v>
      </c>
      <c r="BP7" s="1501" t="s">
        <v>33</v>
      </c>
      <c r="BQ7" s="1501" t="s">
        <v>34</v>
      </c>
      <c r="BR7" s="1501" t="s">
        <v>35</v>
      </c>
      <c r="BS7" s="1501" t="s">
        <v>36</v>
      </c>
      <c r="BT7" s="1500" t="s">
        <v>31</v>
      </c>
      <c r="BU7" s="1501" t="s">
        <v>32</v>
      </c>
      <c r="BV7" s="1501" t="s">
        <v>33</v>
      </c>
      <c r="BW7" s="1501" t="s">
        <v>34</v>
      </c>
      <c r="BX7" s="1501" t="s">
        <v>35</v>
      </c>
      <c r="BY7" s="1502" t="s">
        <v>36</v>
      </c>
      <c r="BZ7" s="1500" t="s">
        <v>31</v>
      </c>
      <c r="CA7" s="1501" t="s">
        <v>32</v>
      </c>
      <c r="CB7" s="1501" t="s">
        <v>33</v>
      </c>
      <c r="CC7" s="1501" t="s">
        <v>34</v>
      </c>
      <c r="CD7" s="1501" t="s">
        <v>35</v>
      </c>
      <c r="CE7" s="1502" t="s">
        <v>36</v>
      </c>
      <c r="CF7" s="1503" t="s">
        <v>31</v>
      </c>
      <c r="CG7" s="1501" t="s">
        <v>32</v>
      </c>
      <c r="CH7" s="1501" t="s">
        <v>33</v>
      </c>
      <c r="CI7" s="1501" t="s">
        <v>34</v>
      </c>
      <c r="CJ7" s="1501" t="s">
        <v>35</v>
      </c>
      <c r="CK7" s="1502" t="s">
        <v>36</v>
      </c>
      <c r="CL7" s="1503" t="s">
        <v>31</v>
      </c>
      <c r="CM7" s="1501" t="s">
        <v>32</v>
      </c>
      <c r="CN7" s="1501" t="s">
        <v>33</v>
      </c>
      <c r="CO7" s="1501" t="s">
        <v>34</v>
      </c>
      <c r="CP7" s="1501" t="s">
        <v>35</v>
      </c>
      <c r="CQ7" s="1502" t="s">
        <v>36</v>
      </c>
      <c r="CR7" s="1503" t="s">
        <v>31</v>
      </c>
      <c r="CS7" s="1501" t="s">
        <v>32</v>
      </c>
      <c r="CT7" s="1501" t="s">
        <v>33</v>
      </c>
      <c r="CU7" s="1501" t="s">
        <v>34</v>
      </c>
      <c r="CV7" s="1501" t="s">
        <v>35</v>
      </c>
      <c r="CW7" s="1502" t="s">
        <v>36</v>
      </c>
      <c r="CX7" s="1503" t="s">
        <v>31</v>
      </c>
      <c r="CY7" s="1501" t="s">
        <v>32</v>
      </c>
      <c r="CZ7" s="1501" t="s">
        <v>33</v>
      </c>
      <c r="DA7" s="1501" t="s">
        <v>34</v>
      </c>
      <c r="DB7" s="1501" t="s">
        <v>35</v>
      </c>
      <c r="DC7" s="1502" t="s">
        <v>36</v>
      </c>
      <c r="DD7" s="1503" t="s">
        <v>31</v>
      </c>
      <c r="DE7" s="1501" t="s">
        <v>32</v>
      </c>
      <c r="DF7" s="1501" t="s">
        <v>33</v>
      </c>
      <c r="DG7" s="1501" t="s">
        <v>34</v>
      </c>
      <c r="DH7" s="1501" t="s">
        <v>35</v>
      </c>
      <c r="DI7" s="1502" t="s">
        <v>36</v>
      </c>
      <c r="DJ7" s="1503" t="s">
        <v>31</v>
      </c>
      <c r="DK7" s="1501" t="s">
        <v>32</v>
      </c>
      <c r="DL7" s="1501" t="s">
        <v>33</v>
      </c>
      <c r="DM7" s="1501" t="s">
        <v>34</v>
      </c>
      <c r="DN7" s="1501" t="s">
        <v>35</v>
      </c>
      <c r="DO7" s="1502" t="s">
        <v>36</v>
      </c>
    </row>
    <row r="8" spans="2:119" s="910" customFormat="1" ht="204.75" customHeight="1">
      <c r="C8" s="2497" t="s">
        <v>416</v>
      </c>
      <c r="D8" s="2500">
        <v>1</v>
      </c>
      <c r="E8" s="2497" t="s">
        <v>2847</v>
      </c>
      <c r="F8" s="2497" t="s">
        <v>418</v>
      </c>
      <c r="G8" s="2503" t="s">
        <v>419</v>
      </c>
      <c r="H8" s="2506" t="s">
        <v>53</v>
      </c>
      <c r="I8" s="2503" t="s">
        <v>420</v>
      </c>
      <c r="J8" s="2503" t="s">
        <v>437</v>
      </c>
      <c r="K8" s="2507" t="s">
        <v>54</v>
      </c>
      <c r="L8" s="1505">
        <f>+L10/(SUM($L10:$W10))</f>
        <v>0.125</v>
      </c>
      <c r="M8" s="1505">
        <f>+M10/(SUM($L10:$W10))+L8</f>
        <v>0.5</v>
      </c>
      <c r="N8" s="1505">
        <f t="shared" ref="N8:W8" si="0">+N10/(SUM($L10:$W10))+M8</f>
        <v>0.875</v>
      </c>
      <c r="O8" s="1506">
        <f t="shared" si="0"/>
        <v>0.875</v>
      </c>
      <c r="P8" s="1506">
        <f t="shared" si="0"/>
        <v>0.875</v>
      </c>
      <c r="Q8" s="1506">
        <v>0.01</v>
      </c>
      <c r="R8" s="1506">
        <f t="shared" si="0"/>
        <v>0.01</v>
      </c>
      <c r="S8" s="1507"/>
      <c r="T8" s="1506">
        <f t="shared" si="0"/>
        <v>0</v>
      </c>
      <c r="U8" s="1507">
        <v>0.125</v>
      </c>
      <c r="V8" s="1505"/>
      <c r="W8" s="1506">
        <f t="shared" si="0"/>
        <v>0</v>
      </c>
      <c r="X8" s="2509">
        <v>1</v>
      </c>
      <c r="Y8" s="2509">
        <v>1</v>
      </c>
      <c r="Z8" s="2512">
        <v>1</v>
      </c>
      <c r="AA8" s="2515">
        <v>1</v>
      </c>
      <c r="AB8" s="2518">
        <f>X8/Y8</f>
        <v>1</v>
      </c>
      <c r="AC8" s="2521" t="s">
        <v>2848</v>
      </c>
      <c r="AD8" s="2509">
        <v>3</v>
      </c>
      <c r="AE8" s="2509">
        <v>3</v>
      </c>
      <c r="AF8" s="2512">
        <v>3</v>
      </c>
      <c r="AG8" s="2515">
        <v>3</v>
      </c>
      <c r="AH8" s="2518">
        <f>AF8/AG8</f>
        <v>1</v>
      </c>
      <c r="AI8" s="2521" t="s">
        <v>2849</v>
      </c>
      <c r="AJ8" s="2509">
        <v>3</v>
      </c>
      <c r="AK8" s="2509">
        <v>3</v>
      </c>
      <c r="AL8" s="2512">
        <v>3</v>
      </c>
      <c r="AM8" s="2515">
        <v>3</v>
      </c>
      <c r="AN8" s="2518">
        <f>AL8/AM8</f>
        <v>1</v>
      </c>
      <c r="AO8" s="2521" t="s">
        <v>2850</v>
      </c>
      <c r="AP8" s="2509">
        <v>3</v>
      </c>
      <c r="AQ8" s="2509">
        <v>3</v>
      </c>
      <c r="AR8" s="2512">
        <v>3</v>
      </c>
      <c r="AS8" s="2515">
        <v>3</v>
      </c>
      <c r="AT8" s="2518">
        <f>AR8/AS8</f>
        <v>1</v>
      </c>
      <c r="AU8" s="2521" t="s">
        <v>2851</v>
      </c>
      <c r="AV8" s="2509">
        <v>3</v>
      </c>
      <c r="AW8" s="2509">
        <v>3</v>
      </c>
      <c r="AX8" s="2512">
        <v>3</v>
      </c>
      <c r="AY8" s="2515">
        <v>3</v>
      </c>
      <c r="AZ8" s="2518">
        <f>AX8/AY8</f>
        <v>1</v>
      </c>
      <c r="BA8" s="2521" t="s">
        <v>2852</v>
      </c>
      <c r="BB8" s="2509" t="s">
        <v>423</v>
      </c>
      <c r="BC8" s="2509" t="s">
        <v>423</v>
      </c>
      <c r="BD8" s="2512" t="s">
        <v>423</v>
      </c>
      <c r="BE8" s="2515" t="s">
        <v>423</v>
      </c>
      <c r="BF8" s="2518" t="s">
        <v>423</v>
      </c>
      <c r="BG8" s="2521" t="s">
        <v>2853</v>
      </c>
      <c r="BH8" s="2509" t="s">
        <v>423</v>
      </c>
      <c r="BI8" s="2509" t="s">
        <v>423</v>
      </c>
      <c r="BJ8" s="2512" t="s">
        <v>423</v>
      </c>
      <c r="BK8" s="2515" t="s">
        <v>423</v>
      </c>
      <c r="BL8" s="2518" t="s">
        <v>423</v>
      </c>
      <c r="BM8" s="2521" t="s">
        <v>2853</v>
      </c>
      <c r="BN8" s="2509" t="s">
        <v>423</v>
      </c>
      <c r="BO8" s="2509" t="s">
        <v>423</v>
      </c>
      <c r="BP8" s="2518" t="s">
        <v>423</v>
      </c>
      <c r="BQ8" s="2524" t="s">
        <v>423</v>
      </c>
      <c r="BR8" s="2527" t="s">
        <v>423</v>
      </c>
      <c r="BS8" s="2521" t="s">
        <v>476</v>
      </c>
      <c r="BT8" s="2509">
        <v>1</v>
      </c>
      <c r="BU8" s="2509" t="s">
        <v>325</v>
      </c>
      <c r="BV8" s="2509" t="s">
        <v>325</v>
      </c>
      <c r="BW8" s="2509" t="s">
        <v>325</v>
      </c>
      <c r="BX8" s="2509" t="s">
        <v>325</v>
      </c>
      <c r="BY8" s="2521" t="s">
        <v>476</v>
      </c>
      <c r="BZ8" s="2509" t="s">
        <v>423</v>
      </c>
      <c r="CA8" s="2509" t="s">
        <v>325</v>
      </c>
      <c r="CB8" s="2509" t="s">
        <v>325</v>
      </c>
      <c r="CC8" s="2509" t="s">
        <v>325</v>
      </c>
      <c r="CD8" s="2509" t="s">
        <v>325</v>
      </c>
      <c r="CE8" s="2530" t="s">
        <v>476</v>
      </c>
      <c r="CF8" s="2533" t="s">
        <v>423</v>
      </c>
      <c r="CG8" s="2509" t="s">
        <v>423</v>
      </c>
      <c r="CH8" s="2524" t="s">
        <v>423</v>
      </c>
      <c r="CI8" s="2524" t="s">
        <v>423</v>
      </c>
      <c r="CJ8" s="2536" t="s">
        <v>423</v>
      </c>
      <c r="CK8" s="2530" t="s">
        <v>476</v>
      </c>
      <c r="CL8" s="2533">
        <v>1</v>
      </c>
      <c r="CM8" s="2509">
        <v>1</v>
      </c>
      <c r="CN8" s="2539">
        <v>1</v>
      </c>
      <c r="CO8" s="2539">
        <v>1</v>
      </c>
      <c r="CP8" s="2542">
        <v>1</v>
      </c>
      <c r="CQ8" s="2545" t="s">
        <v>427</v>
      </c>
      <c r="CR8" s="2533" t="s">
        <v>423</v>
      </c>
      <c r="CS8" s="2533" t="s">
        <v>423</v>
      </c>
      <c r="CT8" s="2533" t="s">
        <v>423</v>
      </c>
      <c r="CU8" s="2533" t="s">
        <v>423</v>
      </c>
      <c r="CV8" s="2533" t="s">
        <v>423</v>
      </c>
      <c r="CW8" s="2545" t="s">
        <v>428</v>
      </c>
      <c r="CX8" s="2533" t="s">
        <v>423</v>
      </c>
      <c r="CY8" s="2533" t="s">
        <v>423</v>
      </c>
      <c r="CZ8" s="2533" t="s">
        <v>423</v>
      </c>
      <c r="DA8" s="2533" t="s">
        <v>423</v>
      </c>
      <c r="DB8" s="2533" t="s">
        <v>423</v>
      </c>
      <c r="DC8" s="2545" t="s">
        <v>2854</v>
      </c>
      <c r="DD8" s="2509">
        <v>8</v>
      </c>
      <c r="DE8" s="2509">
        <v>8</v>
      </c>
      <c r="DF8" s="2509">
        <v>8</v>
      </c>
      <c r="DG8" s="2509">
        <v>8</v>
      </c>
      <c r="DH8" s="2527">
        <f>DF8/DG8</f>
        <v>1</v>
      </c>
      <c r="DI8" s="2545" t="s">
        <v>2855</v>
      </c>
      <c r="DJ8" s="2509">
        <v>8</v>
      </c>
      <c r="DK8" s="2509">
        <v>8</v>
      </c>
      <c r="DL8" s="2509">
        <v>8</v>
      </c>
      <c r="DM8" s="2509">
        <v>8</v>
      </c>
      <c r="DN8" s="2527">
        <f>DL8/DM8</f>
        <v>1</v>
      </c>
      <c r="DO8" s="2548" t="s">
        <v>2855</v>
      </c>
    </row>
    <row r="9" spans="2:119" s="910" customFormat="1" ht="0.75" customHeight="1">
      <c r="C9" s="2498"/>
      <c r="D9" s="2501"/>
      <c r="E9" s="2498"/>
      <c r="F9" s="2498"/>
      <c r="G9" s="2504"/>
      <c r="H9" s="2506"/>
      <c r="I9" s="2504"/>
      <c r="J9" s="2504"/>
      <c r="K9" s="2508"/>
      <c r="L9" s="1505" t="s">
        <v>2856</v>
      </c>
      <c r="M9" s="1505" t="s">
        <v>2857</v>
      </c>
      <c r="N9" s="1515" t="s">
        <v>2858</v>
      </c>
      <c r="O9" s="1516"/>
      <c r="P9" s="1516"/>
      <c r="Q9" s="1516"/>
      <c r="R9" s="1505"/>
      <c r="S9" s="1517"/>
      <c r="T9" s="1516"/>
      <c r="U9" s="1516"/>
      <c r="V9" s="1515"/>
      <c r="W9" s="1516"/>
      <c r="X9" s="2510"/>
      <c r="Y9" s="2510"/>
      <c r="Z9" s="2513"/>
      <c r="AA9" s="2516"/>
      <c r="AB9" s="2519"/>
      <c r="AC9" s="2522"/>
      <c r="AD9" s="2510"/>
      <c r="AE9" s="2510"/>
      <c r="AF9" s="2513"/>
      <c r="AG9" s="2516"/>
      <c r="AH9" s="2519"/>
      <c r="AI9" s="2522"/>
      <c r="AJ9" s="2510"/>
      <c r="AK9" s="2510"/>
      <c r="AL9" s="2513"/>
      <c r="AM9" s="2516"/>
      <c r="AN9" s="2519"/>
      <c r="AO9" s="2522"/>
      <c r="AP9" s="2510"/>
      <c r="AQ9" s="2510"/>
      <c r="AR9" s="2513"/>
      <c r="AS9" s="2516"/>
      <c r="AT9" s="2519"/>
      <c r="AU9" s="2522"/>
      <c r="AV9" s="2510"/>
      <c r="AW9" s="2510"/>
      <c r="AX9" s="2513"/>
      <c r="AY9" s="2516"/>
      <c r="AZ9" s="2519"/>
      <c r="BA9" s="2522"/>
      <c r="BB9" s="2510"/>
      <c r="BC9" s="2510"/>
      <c r="BD9" s="2513"/>
      <c r="BE9" s="2516"/>
      <c r="BF9" s="2519"/>
      <c r="BG9" s="2522"/>
      <c r="BH9" s="2510"/>
      <c r="BI9" s="2510"/>
      <c r="BJ9" s="2513"/>
      <c r="BK9" s="2516"/>
      <c r="BL9" s="2519"/>
      <c r="BM9" s="2522"/>
      <c r="BN9" s="2510"/>
      <c r="BO9" s="2510"/>
      <c r="BP9" s="2519"/>
      <c r="BQ9" s="2525"/>
      <c r="BR9" s="2528"/>
      <c r="BS9" s="2522"/>
      <c r="BT9" s="2510"/>
      <c r="BU9" s="2510"/>
      <c r="BV9" s="2510"/>
      <c r="BW9" s="2510"/>
      <c r="BX9" s="2510"/>
      <c r="BY9" s="2522"/>
      <c r="BZ9" s="2510"/>
      <c r="CA9" s="2510"/>
      <c r="CB9" s="2510"/>
      <c r="CC9" s="2510"/>
      <c r="CD9" s="2510"/>
      <c r="CE9" s="2531"/>
      <c r="CF9" s="2534"/>
      <c r="CG9" s="2510"/>
      <c r="CH9" s="2525"/>
      <c r="CI9" s="2525"/>
      <c r="CJ9" s="2537"/>
      <c r="CK9" s="2531"/>
      <c r="CL9" s="2534"/>
      <c r="CM9" s="2510"/>
      <c r="CN9" s="2540"/>
      <c r="CO9" s="2540"/>
      <c r="CP9" s="2543"/>
      <c r="CQ9" s="2546"/>
      <c r="CR9" s="2534"/>
      <c r="CS9" s="2534"/>
      <c r="CT9" s="2534"/>
      <c r="CU9" s="2534"/>
      <c r="CV9" s="2534"/>
      <c r="CW9" s="2546"/>
      <c r="CX9" s="2534"/>
      <c r="CY9" s="2534"/>
      <c r="CZ9" s="2534"/>
      <c r="DA9" s="2534"/>
      <c r="DB9" s="2534"/>
      <c r="DC9" s="2546"/>
      <c r="DD9" s="2510"/>
      <c r="DE9" s="2510"/>
      <c r="DF9" s="2510"/>
      <c r="DG9" s="2510"/>
      <c r="DH9" s="2528"/>
      <c r="DI9" s="2546"/>
      <c r="DJ9" s="2510"/>
      <c r="DK9" s="2510"/>
      <c r="DL9" s="2510"/>
      <c r="DM9" s="2510"/>
      <c r="DN9" s="2528"/>
      <c r="DO9" s="2549"/>
    </row>
    <row r="10" spans="2:119" s="910" customFormat="1" ht="36.75" customHeight="1">
      <c r="C10" s="2499"/>
      <c r="D10" s="2502"/>
      <c r="E10" s="2499"/>
      <c r="F10" s="2499"/>
      <c r="G10" s="2505"/>
      <c r="H10" s="2506"/>
      <c r="I10" s="2505"/>
      <c r="J10" s="2505"/>
      <c r="K10" s="1518" t="s">
        <v>435</v>
      </c>
      <c r="L10" s="1519">
        <v>1</v>
      </c>
      <c r="M10" s="1519">
        <v>3</v>
      </c>
      <c r="N10" s="1519">
        <v>3</v>
      </c>
      <c r="O10" s="1520"/>
      <c r="P10" s="1520"/>
      <c r="Q10" s="1520"/>
      <c r="R10" s="1520"/>
      <c r="S10" s="1521"/>
      <c r="T10" s="1520"/>
      <c r="U10" s="1520">
        <v>1</v>
      </c>
      <c r="V10" s="1519"/>
      <c r="W10" s="1520"/>
      <c r="X10" s="2511"/>
      <c r="Y10" s="2511"/>
      <c r="Z10" s="2514"/>
      <c r="AA10" s="2517"/>
      <c r="AB10" s="2520"/>
      <c r="AC10" s="2523"/>
      <c r="AD10" s="2511"/>
      <c r="AE10" s="2511"/>
      <c r="AF10" s="2514"/>
      <c r="AG10" s="2517"/>
      <c r="AH10" s="2520"/>
      <c r="AI10" s="2523"/>
      <c r="AJ10" s="2511"/>
      <c r="AK10" s="2511"/>
      <c r="AL10" s="2514"/>
      <c r="AM10" s="2517"/>
      <c r="AN10" s="2520"/>
      <c r="AO10" s="2523"/>
      <c r="AP10" s="2511"/>
      <c r="AQ10" s="2511"/>
      <c r="AR10" s="2514"/>
      <c r="AS10" s="2517"/>
      <c r="AT10" s="2520"/>
      <c r="AU10" s="2523"/>
      <c r="AV10" s="2511"/>
      <c r="AW10" s="2511"/>
      <c r="AX10" s="2514"/>
      <c r="AY10" s="2517"/>
      <c r="AZ10" s="2520"/>
      <c r="BA10" s="2523"/>
      <c r="BB10" s="2511"/>
      <c r="BC10" s="2511"/>
      <c r="BD10" s="2514"/>
      <c r="BE10" s="2517"/>
      <c r="BF10" s="2520"/>
      <c r="BG10" s="2523"/>
      <c r="BH10" s="2511"/>
      <c r="BI10" s="2511"/>
      <c r="BJ10" s="2514"/>
      <c r="BK10" s="2517"/>
      <c r="BL10" s="2520"/>
      <c r="BM10" s="2523"/>
      <c r="BN10" s="2511"/>
      <c r="BO10" s="2511"/>
      <c r="BP10" s="2520"/>
      <c r="BQ10" s="2526"/>
      <c r="BR10" s="2529"/>
      <c r="BS10" s="2523"/>
      <c r="BT10" s="2511"/>
      <c r="BU10" s="2511"/>
      <c r="BV10" s="2511"/>
      <c r="BW10" s="2511"/>
      <c r="BX10" s="2511"/>
      <c r="BY10" s="2523"/>
      <c r="BZ10" s="2511"/>
      <c r="CA10" s="2511"/>
      <c r="CB10" s="2511"/>
      <c r="CC10" s="2511"/>
      <c r="CD10" s="2511"/>
      <c r="CE10" s="2532"/>
      <c r="CF10" s="2535"/>
      <c r="CG10" s="2511"/>
      <c r="CH10" s="2526"/>
      <c r="CI10" s="2526"/>
      <c r="CJ10" s="2538"/>
      <c r="CK10" s="2532"/>
      <c r="CL10" s="2535"/>
      <c r="CM10" s="2511"/>
      <c r="CN10" s="2541"/>
      <c r="CO10" s="2541"/>
      <c r="CP10" s="2544"/>
      <c r="CQ10" s="2547"/>
      <c r="CR10" s="2535"/>
      <c r="CS10" s="2535"/>
      <c r="CT10" s="2535"/>
      <c r="CU10" s="2535"/>
      <c r="CV10" s="2535"/>
      <c r="CW10" s="2547"/>
      <c r="CX10" s="2535"/>
      <c r="CY10" s="2535"/>
      <c r="CZ10" s="2535"/>
      <c r="DA10" s="2535"/>
      <c r="DB10" s="2535"/>
      <c r="DC10" s="2547"/>
      <c r="DD10" s="2511"/>
      <c r="DE10" s="2511"/>
      <c r="DF10" s="2511"/>
      <c r="DG10" s="2511"/>
      <c r="DH10" s="2529"/>
      <c r="DI10" s="2547"/>
      <c r="DJ10" s="2511"/>
      <c r="DK10" s="2511"/>
      <c r="DL10" s="2511"/>
      <c r="DM10" s="2511"/>
      <c r="DN10" s="2529"/>
      <c r="DO10" s="2550"/>
    </row>
    <row r="11" spans="2:119" s="910" customFormat="1" ht="218.25" customHeight="1">
      <c r="C11" s="2497" t="s">
        <v>416</v>
      </c>
      <c r="D11" s="1514">
        <v>2</v>
      </c>
      <c r="E11" s="2497" t="s">
        <v>2859</v>
      </c>
      <c r="F11" s="2497" t="s">
        <v>418</v>
      </c>
      <c r="G11" s="2503" t="s">
        <v>419</v>
      </c>
      <c r="H11" s="2506" t="s">
        <v>53</v>
      </c>
      <c r="I11" s="2503" t="s">
        <v>420</v>
      </c>
      <c r="J11" s="2503" t="s">
        <v>437</v>
      </c>
      <c r="K11" s="1518"/>
      <c r="L11" s="1506">
        <f>+L13/(SUM($L13:$W13))</f>
        <v>0</v>
      </c>
      <c r="M11" s="1506">
        <f>+M13/(SUM($L13:$W13))+L11</f>
        <v>0</v>
      </c>
      <c r="N11" s="1506">
        <f>+N13/(SUM($L13:$W13))+M11</f>
        <v>0</v>
      </c>
      <c r="O11" s="1506"/>
      <c r="P11" s="1506"/>
      <c r="Q11" s="1506"/>
      <c r="R11" s="1506"/>
      <c r="S11" s="1507"/>
      <c r="T11" s="1507"/>
      <c r="U11" s="1523">
        <v>9.0999999999999998E-2</v>
      </c>
      <c r="V11" s="1517">
        <f>+U11*8</f>
        <v>0.72799999999999998</v>
      </c>
      <c r="W11" s="1517">
        <v>1</v>
      </c>
      <c r="X11" s="2509" t="s">
        <v>423</v>
      </c>
      <c r="Y11" s="2509" t="s">
        <v>423</v>
      </c>
      <c r="Z11" s="2527" t="s">
        <v>423</v>
      </c>
      <c r="AA11" s="2524" t="s">
        <v>423</v>
      </c>
      <c r="AB11" s="2518" t="s">
        <v>423</v>
      </c>
      <c r="AC11" s="2521" t="s">
        <v>476</v>
      </c>
      <c r="AD11" s="2509" t="s">
        <v>423</v>
      </c>
      <c r="AE11" s="2509" t="s">
        <v>423</v>
      </c>
      <c r="AF11" s="2527" t="s">
        <v>423</v>
      </c>
      <c r="AG11" s="2524" t="s">
        <v>423</v>
      </c>
      <c r="AH11" s="2518" t="s">
        <v>423</v>
      </c>
      <c r="AI11" s="2521" t="s">
        <v>476</v>
      </c>
      <c r="AJ11" s="2509" t="s">
        <v>423</v>
      </c>
      <c r="AK11" s="2509" t="s">
        <v>423</v>
      </c>
      <c r="AL11" s="2527" t="s">
        <v>423</v>
      </c>
      <c r="AM11" s="2524" t="s">
        <v>423</v>
      </c>
      <c r="AN11" s="2518" t="s">
        <v>423</v>
      </c>
      <c r="AO11" s="2521" t="s">
        <v>476</v>
      </c>
      <c r="AP11" s="2509" t="s">
        <v>423</v>
      </c>
      <c r="AQ11" s="2509" t="s">
        <v>423</v>
      </c>
      <c r="AR11" s="2527" t="s">
        <v>423</v>
      </c>
      <c r="AS11" s="2524" t="s">
        <v>423</v>
      </c>
      <c r="AT11" s="2518" t="s">
        <v>423</v>
      </c>
      <c r="AU11" s="2521" t="s">
        <v>476</v>
      </c>
      <c r="AV11" s="2509" t="s">
        <v>423</v>
      </c>
      <c r="AW11" s="2509" t="s">
        <v>423</v>
      </c>
      <c r="AX11" s="2527" t="s">
        <v>423</v>
      </c>
      <c r="AY11" s="2524" t="s">
        <v>423</v>
      </c>
      <c r="AZ11" s="2518" t="s">
        <v>423</v>
      </c>
      <c r="BA11" s="2521" t="s">
        <v>476</v>
      </c>
      <c r="BB11" s="2509" t="s">
        <v>423</v>
      </c>
      <c r="BC11" s="2509" t="s">
        <v>423</v>
      </c>
      <c r="BD11" s="2527" t="s">
        <v>423</v>
      </c>
      <c r="BE11" s="2524" t="s">
        <v>423</v>
      </c>
      <c r="BF11" s="2518" t="s">
        <v>423</v>
      </c>
      <c r="BG11" s="2521" t="s">
        <v>476</v>
      </c>
      <c r="BH11" s="2509" t="s">
        <v>423</v>
      </c>
      <c r="BI11" s="2509" t="s">
        <v>423</v>
      </c>
      <c r="BJ11" s="2527" t="s">
        <v>423</v>
      </c>
      <c r="BK11" s="2524" t="s">
        <v>423</v>
      </c>
      <c r="BL11" s="2518" t="s">
        <v>423</v>
      </c>
      <c r="BM11" s="2521" t="s">
        <v>476</v>
      </c>
      <c r="BN11" s="2509" t="s">
        <v>423</v>
      </c>
      <c r="BO11" s="2509" t="s">
        <v>423</v>
      </c>
      <c r="BP11" s="2518" t="s">
        <v>423</v>
      </c>
      <c r="BQ11" s="2524" t="s">
        <v>423</v>
      </c>
      <c r="BR11" s="2527" t="s">
        <v>423</v>
      </c>
      <c r="BS11" s="2521" t="s">
        <v>476</v>
      </c>
      <c r="BT11" s="2509" t="s">
        <v>423</v>
      </c>
      <c r="BU11" s="2509" t="s">
        <v>325</v>
      </c>
      <c r="BV11" s="2509" t="s">
        <v>325</v>
      </c>
      <c r="BW11" s="2509" t="s">
        <v>325</v>
      </c>
      <c r="BX11" s="2509" t="s">
        <v>325</v>
      </c>
      <c r="BY11" s="2521" t="s">
        <v>476</v>
      </c>
      <c r="BZ11" s="2509">
        <v>0</v>
      </c>
      <c r="CA11" s="2509">
        <v>1</v>
      </c>
      <c r="CB11" s="2551">
        <f>IF(CA11=0," ",BZ11/CA11)</f>
        <v>0</v>
      </c>
      <c r="CC11" s="2509">
        <f>+S13</f>
        <v>0</v>
      </c>
      <c r="CD11" s="2527" t="e">
        <f>CB11/CC11</f>
        <v>#DIV/0!</v>
      </c>
      <c r="CE11" s="2530" t="s">
        <v>2860</v>
      </c>
      <c r="CF11" s="2533" t="s">
        <v>423</v>
      </c>
      <c r="CG11" s="2509" t="s">
        <v>423</v>
      </c>
      <c r="CH11" s="2524" t="s">
        <v>423</v>
      </c>
      <c r="CI11" s="2524" t="s">
        <v>423</v>
      </c>
      <c r="CJ11" s="2536" t="s">
        <v>423</v>
      </c>
      <c r="CK11" s="2530" t="s">
        <v>476</v>
      </c>
      <c r="CL11" s="2533">
        <v>1</v>
      </c>
      <c r="CM11" s="2509">
        <v>2</v>
      </c>
      <c r="CN11" s="2554">
        <v>1</v>
      </c>
      <c r="CO11" s="2509">
        <f>+U13</f>
        <v>1</v>
      </c>
      <c r="CP11" s="2527">
        <f>CN11/CO11</f>
        <v>1</v>
      </c>
      <c r="CQ11" s="2545" t="s">
        <v>441</v>
      </c>
      <c r="CR11" s="2533">
        <v>1</v>
      </c>
      <c r="CS11" s="2509">
        <v>2</v>
      </c>
      <c r="CT11" s="2554">
        <v>6</v>
      </c>
      <c r="CU11" s="2509">
        <f>V13</f>
        <v>6</v>
      </c>
      <c r="CV11" s="2527">
        <f>CT11/CU11</f>
        <v>1</v>
      </c>
      <c r="CW11" s="2545" t="s">
        <v>442</v>
      </c>
      <c r="CX11" s="2509">
        <v>3</v>
      </c>
      <c r="CY11" s="2509">
        <v>3</v>
      </c>
      <c r="CZ11" s="2557">
        <v>3</v>
      </c>
      <c r="DA11" s="2509">
        <f>W13</f>
        <v>3</v>
      </c>
      <c r="DB11" s="2527">
        <f>CZ11/DA11</f>
        <v>1</v>
      </c>
      <c r="DC11" s="2545" t="s">
        <v>2861</v>
      </c>
      <c r="DD11" s="2509">
        <v>10</v>
      </c>
      <c r="DE11" s="2509">
        <v>10</v>
      </c>
      <c r="DF11" s="2557">
        <v>10</v>
      </c>
      <c r="DG11" s="2509">
        <v>10</v>
      </c>
      <c r="DH11" s="2527">
        <f>DF11/DG11</f>
        <v>1</v>
      </c>
      <c r="DI11" s="2545" t="s">
        <v>2862</v>
      </c>
      <c r="DJ11" s="2509">
        <v>10</v>
      </c>
      <c r="DK11" s="2509">
        <v>10</v>
      </c>
      <c r="DL11" s="2557">
        <v>10</v>
      </c>
      <c r="DM11" s="2509">
        <v>10</v>
      </c>
      <c r="DN11" s="2527">
        <f>DL11/DM11</f>
        <v>1</v>
      </c>
      <c r="DO11" s="2548" t="s">
        <v>2862</v>
      </c>
    </row>
    <row r="12" spans="2:119" s="910" customFormat="1" ht="25.5" hidden="1" customHeight="1">
      <c r="C12" s="2498"/>
      <c r="D12" s="1514"/>
      <c r="E12" s="2498"/>
      <c r="F12" s="2498"/>
      <c r="G12" s="2504"/>
      <c r="H12" s="2506"/>
      <c r="I12" s="2504"/>
      <c r="J12" s="2504"/>
      <c r="K12" s="1518"/>
      <c r="L12" s="1519"/>
      <c r="M12" s="1519"/>
      <c r="N12" s="1519"/>
      <c r="O12" s="1520"/>
      <c r="P12" s="1520"/>
      <c r="Q12" s="1520" t="s">
        <v>2863</v>
      </c>
      <c r="R12" s="1520"/>
      <c r="S12" s="1521"/>
      <c r="T12" s="1520" t="s">
        <v>2864</v>
      </c>
      <c r="U12" s="1520"/>
      <c r="V12" s="1520" t="s">
        <v>2864</v>
      </c>
      <c r="W12" s="1520" t="s">
        <v>2865</v>
      </c>
      <c r="X12" s="2510"/>
      <c r="Y12" s="2510"/>
      <c r="Z12" s="2528"/>
      <c r="AA12" s="2525"/>
      <c r="AB12" s="2519"/>
      <c r="AC12" s="2522"/>
      <c r="AD12" s="2510"/>
      <c r="AE12" s="2510"/>
      <c r="AF12" s="2528"/>
      <c r="AG12" s="2525"/>
      <c r="AH12" s="2519"/>
      <c r="AI12" s="2522"/>
      <c r="AJ12" s="2510"/>
      <c r="AK12" s="2510"/>
      <c r="AL12" s="2528"/>
      <c r="AM12" s="2525"/>
      <c r="AN12" s="2519"/>
      <c r="AO12" s="2522"/>
      <c r="AP12" s="2510"/>
      <c r="AQ12" s="2510"/>
      <c r="AR12" s="2528"/>
      <c r="AS12" s="2525"/>
      <c r="AT12" s="2519"/>
      <c r="AU12" s="2522"/>
      <c r="AV12" s="2510"/>
      <c r="AW12" s="2510"/>
      <c r="AX12" s="2528"/>
      <c r="AY12" s="2525"/>
      <c r="AZ12" s="2519"/>
      <c r="BA12" s="2522"/>
      <c r="BB12" s="2510"/>
      <c r="BC12" s="2510"/>
      <c r="BD12" s="2528"/>
      <c r="BE12" s="2525"/>
      <c r="BF12" s="2519"/>
      <c r="BG12" s="2522"/>
      <c r="BH12" s="2510"/>
      <c r="BI12" s="2510"/>
      <c r="BJ12" s="2528"/>
      <c r="BK12" s="2525"/>
      <c r="BL12" s="2519"/>
      <c r="BM12" s="2522"/>
      <c r="BN12" s="2510"/>
      <c r="BO12" s="2510"/>
      <c r="BP12" s="2519"/>
      <c r="BQ12" s="2525"/>
      <c r="BR12" s="2528"/>
      <c r="BS12" s="2522"/>
      <c r="BT12" s="2510"/>
      <c r="BU12" s="2510"/>
      <c r="BV12" s="2510"/>
      <c r="BW12" s="2510"/>
      <c r="BX12" s="2510"/>
      <c r="BY12" s="2522"/>
      <c r="BZ12" s="2510"/>
      <c r="CA12" s="2510"/>
      <c r="CB12" s="2552" t="str">
        <f t="shared" ref="CB12:CB19" si="1">IF(CA12=0," ",BZ12/CA12)</f>
        <v xml:space="preserve"> </v>
      </c>
      <c r="CC12" s="2510"/>
      <c r="CD12" s="2528"/>
      <c r="CE12" s="2531"/>
      <c r="CF12" s="2534"/>
      <c r="CG12" s="2510"/>
      <c r="CH12" s="2525"/>
      <c r="CI12" s="2525"/>
      <c r="CJ12" s="2537"/>
      <c r="CK12" s="2531"/>
      <c r="CL12" s="2534"/>
      <c r="CM12" s="2510"/>
      <c r="CN12" s="2555"/>
      <c r="CO12" s="2510"/>
      <c r="CP12" s="2528"/>
      <c r="CQ12" s="2546"/>
      <c r="CR12" s="2534"/>
      <c r="CS12" s="2510"/>
      <c r="CT12" s="2555"/>
      <c r="CU12" s="2510"/>
      <c r="CV12" s="2528"/>
      <c r="CW12" s="2546"/>
      <c r="CX12" s="2510"/>
      <c r="CY12" s="2510"/>
      <c r="CZ12" s="2558"/>
      <c r="DA12" s="2510"/>
      <c r="DB12" s="2528"/>
      <c r="DC12" s="2546"/>
      <c r="DD12" s="2510"/>
      <c r="DE12" s="2510"/>
      <c r="DF12" s="2558"/>
      <c r="DG12" s="2510"/>
      <c r="DH12" s="2528"/>
      <c r="DI12" s="2546"/>
      <c r="DJ12" s="2510"/>
      <c r="DK12" s="2510"/>
      <c r="DL12" s="2558"/>
      <c r="DM12" s="2510"/>
      <c r="DN12" s="2528"/>
      <c r="DO12" s="2549"/>
    </row>
    <row r="13" spans="2:119" s="910" customFormat="1" ht="52.5" customHeight="1">
      <c r="C13" s="2499"/>
      <c r="D13" s="1514"/>
      <c r="E13" s="2499"/>
      <c r="F13" s="2499"/>
      <c r="G13" s="2505"/>
      <c r="H13" s="2506"/>
      <c r="I13" s="2505"/>
      <c r="J13" s="2505"/>
      <c r="K13" s="1518"/>
      <c r="L13" s="1519"/>
      <c r="M13" s="1519"/>
      <c r="N13" s="1519"/>
      <c r="O13" s="1520"/>
      <c r="P13" s="1520"/>
      <c r="Q13" s="1520"/>
      <c r="R13" s="1520"/>
      <c r="S13" s="1521"/>
      <c r="T13" s="1520"/>
      <c r="U13" s="1524">
        <v>1</v>
      </c>
      <c r="V13" s="1524">
        <v>6</v>
      </c>
      <c r="W13" s="1524">
        <v>3</v>
      </c>
      <c r="X13" s="2511"/>
      <c r="Y13" s="2511"/>
      <c r="Z13" s="2529"/>
      <c r="AA13" s="2526"/>
      <c r="AB13" s="2520"/>
      <c r="AC13" s="2523"/>
      <c r="AD13" s="2511"/>
      <c r="AE13" s="2511"/>
      <c r="AF13" s="2529"/>
      <c r="AG13" s="2526"/>
      <c r="AH13" s="2520"/>
      <c r="AI13" s="2523"/>
      <c r="AJ13" s="2511"/>
      <c r="AK13" s="2511"/>
      <c r="AL13" s="2529"/>
      <c r="AM13" s="2526"/>
      <c r="AN13" s="2520"/>
      <c r="AO13" s="2523"/>
      <c r="AP13" s="2511"/>
      <c r="AQ13" s="2511"/>
      <c r="AR13" s="2529"/>
      <c r="AS13" s="2526"/>
      <c r="AT13" s="2520"/>
      <c r="AU13" s="2523"/>
      <c r="AV13" s="2511"/>
      <c r="AW13" s="2511"/>
      <c r="AX13" s="2529"/>
      <c r="AY13" s="2526"/>
      <c r="AZ13" s="2520"/>
      <c r="BA13" s="2523"/>
      <c r="BB13" s="2511"/>
      <c r="BC13" s="2511"/>
      <c r="BD13" s="2529"/>
      <c r="BE13" s="2526"/>
      <c r="BF13" s="2520"/>
      <c r="BG13" s="2523"/>
      <c r="BH13" s="2511"/>
      <c r="BI13" s="2511"/>
      <c r="BJ13" s="2529"/>
      <c r="BK13" s="2526"/>
      <c r="BL13" s="2520"/>
      <c r="BM13" s="2523"/>
      <c r="BN13" s="2511"/>
      <c r="BO13" s="2511"/>
      <c r="BP13" s="2520"/>
      <c r="BQ13" s="2526"/>
      <c r="BR13" s="2529"/>
      <c r="BS13" s="2523"/>
      <c r="BT13" s="2511"/>
      <c r="BU13" s="2511"/>
      <c r="BV13" s="2511"/>
      <c r="BW13" s="2511"/>
      <c r="BX13" s="2511"/>
      <c r="BY13" s="2523"/>
      <c r="BZ13" s="2511"/>
      <c r="CA13" s="2511"/>
      <c r="CB13" s="2553" t="str">
        <f t="shared" si="1"/>
        <v xml:space="preserve"> </v>
      </c>
      <c r="CC13" s="2511"/>
      <c r="CD13" s="2529"/>
      <c r="CE13" s="2532"/>
      <c r="CF13" s="2535"/>
      <c r="CG13" s="2511"/>
      <c r="CH13" s="2526"/>
      <c r="CI13" s="2526"/>
      <c r="CJ13" s="2538"/>
      <c r="CK13" s="2532"/>
      <c r="CL13" s="2535"/>
      <c r="CM13" s="2511"/>
      <c r="CN13" s="2556"/>
      <c r="CO13" s="2511"/>
      <c r="CP13" s="2529"/>
      <c r="CQ13" s="2547"/>
      <c r="CR13" s="2535"/>
      <c r="CS13" s="2511"/>
      <c r="CT13" s="2556"/>
      <c r="CU13" s="2511"/>
      <c r="CV13" s="2529"/>
      <c r="CW13" s="2547"/>
      <c r="CX13" s="2511"/>
      <c r="CY13" s="2511"/>
      <c r="CZ13" s="2559"/>
      <c r="DA13" s="2511"/>
      <c r="DB13" s="2529"/>
      <c r="DC13" s="2547"/>
      <c r="DD13" s="2511"/>
      <c r="DE13" s="2511"/>
      <c r="DF13" s="2559"/>
      <c r="DG13" s="2511"/>
      <c r="DH13" s="2529"/>
      <c r="DI13" s="2547"/>
      <c r="DJ13" s="2511"/>
      <c r="DK13" s="2511"/>
      <c r="DL13" s="2559"/>
      <c r="DM13" s="2511"/>
      <c r="DN13" s="2529"/>
      <c r="DO13" s="2550"/>
    </row>
    <row r="14" spans="2:119" s="910" customFormat="1" ht="258.75" customHeight="1">
      <c r="C14" s="2497" t="s">
        <v>416</v>
      </c>
      <c r="D14" s="2500">
        <v>3</v>
      </c>
      <c r="E14" s="2497" t="s">
        <v>2866</v>
      </c>
      <c r="F14" s="2497" t="s">
        <v>448</v>
      </c>
      <c r="G14" s="2503" t="s">
        <v>449</v>
      </c>
      <c r="H14" s="2506" t="s">
        <v>53</v>
      </c>
      <c r="I14" s="2503" t="s">
        <v>2739</v>
      </c>
      <c r="J14" s="2503" t="s">
        <v>451</v>
      </c>
      <c r="K14" s="1518" t="s">
        <v>54</v>
      </c>
      <c r="L14" s="1506">
        <f>+L16/(SUM($L16:$W16))</f>
        <v>0</v>
      </c>
      <c r="M14" s="1505">
        <f>+M16/(SUM($L16:$W16))+L14</f>
        <v>0.3</v>
      </c>
      <c r="N14" s="1505">
        <f t="shared" ref="N14:W14" si="2">+N16/(SUM($L16:$W16))+M14</f>
        <v>0.4</v>
      </c>
      <c r="O14" s="1505">
        <f t="shared" si="2"/>
        <v>0.60000000000000009</v>
      </c>
      <c r="P14" s="1505">
        <f t="shared" si="2"/>
        <v>0.70000000000000007</v>
      </c>
      <c r="Q14" s="1505">
        <f t="shared" si="2"/>
        <v>0.8</v>
      </c>
      <c r="R14" s="1505">
        <f t="shared" si="2"/>
        <v>1</v>
      </c>
      <c r="S14" s="1507"/>
      <c r="T14" s="1506">
        <f t="shared" si="2"/>
        <v>0</v>
      </c>
      <c r="U14" s="1506">
        <f t="shared" si="2"/>
        <v>0</v>
      </c>
      <c r="V14" s="1506">
        <f t="shared" si="2"/>
        <v>0</v>
      </c>
      <c r="W14" s="1506">
        <f t="shared" si="2"/>
        <v>0</v>
      </c>
      <c r="X14" s="2509" t="s">
        <v>423</v>
      </c>
      <c r="Y14" s="2509" t="s">
        <v>423</v>
      </c>
      <c r="Z14" s="2527" t="s">
        <v>423</v>
      </c>
      <c r="AA14" s="2524" t="s">
        <v>423</v>
      </c>
      <c r="AB14" s="2518" t="s">
        <v>423</v>
      </c>
      <c r="AC14" s="2521" t="s">
        <v>476</v>
      </c>
      <c r="AD14" s="2509">
        <v>3</v>
      </c>
      <c r="AE14" s="2509">
        <v>3</v>
      </c>
      <c r="AF14" s="2512">
        <v>3</v>
      </c>
      <c r="AG14" s="2560">
        <v>3</v>
      </c>
      <c r="AH14" s="2518">
        <f>AF14/AG14</f>
        <v>1</v>
      </c>
      <c r="AI14" s="2521" t="s">
        <v>2867</v>
      </c>
      <c r="AJ14" s="2509">
        <v>1</v>
      </c>
      <c r="AK14" s="2509">
        <v>1</v>
      </c>
      <c r="AL14" s="2512">
        <v>1</v>
      </c>
      <c r="AM14" s="2560">
        <v>1</v>
      </c>
      <c r="AN14" s="2518">
        <f>AL14/AM14</f>
        <v>1</v>
      </c>
      <c r="AO14" s="2521" t="s">
        <v>2868</v>
      </c>
      <c r="AP14" s="2509">
        <v>3</v>
      </c>
      <c r="AQ14" s="2509">
        <v>3</v>
      </c>
      <c r="AR14" s="2512">
        <v>3</v>
      </c>
      <c r="AS14" s="2560">
        <v>3</v>
      </c>
      <c r="AT14" s="2518">
        <f>AR14/AS14</f>
        <v>1</v>
      </c>
      <c r="AU14" s="2521" t="s">
        <v>2869</v>
      </c>
      <c r="AV14" s="2509">
        <v>1</v>
      </c>
      <c r="AW14" s="2509">
        <v>1</v>
      </c>
      <c r="AX14" s="2512">
        <v>1</v>
      </c>
      <c r="AY14" s="2560">
        <v>1</v>
      </c>
      <c r="AZ14" s="2518">
        <f>AX14/AY14</f>
        <v>1</v>
      </c>
      <c r="BA14" s="2521" t="s">
        <v>2870</v>
      </c>
      <c r="BB14" s="2509">
        <v>2</v>
      </c>
      <c r="BC14" s="2509">
        <v>2</v>
      </c>
      <c r="BD14" s="2512">
        <v>2</v>
      </c>
      <c r="BE14" s="2560">
        <v>2</v>
      </c>
      <c r="BF14" s="2518">
        <f>BD14/BE14</f>
        <v>1</v>
      </c>
      <c r="BG14" s="2521" t="s">
        <v>2871</v>
      </c>
      <c r="BH14" s="2509">
        <v>1</v>
      </c>
      <c r="BI14" s="2509">
        <v>1</v>
      </c>
      <c r="BJ14" s="2512">
        <v>1</v>
      </c>
      <c r="BK14" s="2560">
        <v>1</v>
      </c>
      <c r="BL14" s="2518">
        <f>BJ14/BK14</f>
        <v>1</v>
      </c>
      <c r="BM14" s="2521" t="s">
        <v>454</v>
      </c>
      <c r="BN14" s="2509">
        <v>1</v>
      </c>
      <c r="BO14" s="2509">
        <v>1</v>
      </c>
      <c r="BP14" s="2563">
        <v>1</v>
      </c>
      <c r="BQ14" s="2515">
        <v>1</v>
      </c>
      <c r="BR14" s="2527">
        <f>BP14/BQ14</f>
        <v>1</v>
      </c>
      <c r="BS14" s="2521" t="s">
        <v>2872</v>
      </c>
      <c r="BT14" s="2551">
        <v>0.33</v>
      </c>
      <c r="BU14" s="2551">
        <v>1</v>
      </c>
      <c r="BV14" s="2563">
        <v>1</v>
      </c>
      <c r="BW14" s="2515">
        <v>3</v>
      </c>
      <c r="BX14" s="2527">
        <f>BV14/BW14</f>
        <v>0.33333333333333331</v>
      </c>
      <c r="BY14" s="2521" t="s">
        <v>2873</v>
      </c>
      <c r="BZ14" s="1508">
        <v>33</v>
      </c>
      <c r="CA14" s="2509">
        <v>100</v>
      </c>
      <c r="CB14" s="2551">
        <f>IF(CA14=0," ",BZ14/CA14)</f>
        <v>0.33</v>
      </c>
      <c r="CC14" s="2551">
        <v>0.33</v>
      </c>
      <c r="CD14" s="2527">
        <f>CB14/CC14</f>
        <v>1</v>
      </c>
      <c r="CE14" s="2530" t="s">
        <v>2874</v>
      </c>
      <c r="CF14" s="2533" t="s">
        <v>423</v>
      </c>
      <c r="CG14" s="2509" t="s">
        <v>423</v>
      </c>
      <c r="CH14" s="2524" t="s">
        <v>423</v>
      </c>
      <c r="CI14" s="2524" t="s">
        <v>423</v>
      </c>
      <c r="CJ14" s="2536" t="s">
        <v>423</v>
      </c>
      <c r="CK14" s="2530" t="s">
        <v>476</v>
      </c>
      <c r="CL14" s="2533" t="s">
        <v>423</v>
      </c>
      <c r="CM14" s="2509" t="s">
        <v>423</v>
      </c>
      <c r="CN14" s="2524" t="s">
        <v>423</v>
      </c>
      <c r="CO14" s="2524" t="s">
        <v>423</v>
      </c>
      <c r="CP14" s="2536" t="s">
        <v>423</v>
      </c>
      <c r="CQ14" s="2545" t="s">
        <v>476</v>
      </c>
      <c r="CR14" s="2533" t="s">
        <v>423</v>
      </c>
      <c r="CS14" s="2509" t="s">
        <v>423</v>
      </c>
      <c r="CT14" s="2524" t="s">
        <v>423</v>
      </c>
      <c r="CU14" s="2524" t="s">
        <v>423</v>
      </c>
      <c r="CV14" s="2536" t="s">
        <v>423</v>
      </c>
      <c r="CW14" s="2545" t="s">
        <v>460</v>
      </c>
      <c r="CX14" s="2533" t="s">
        <v>423</v>
      </c>
      <c r="CY14" s="2509" t="s">
        <v>423</v>
      </c>
      <c r="CZ14" s="2524" t="s">
        <v>423</v>
      </c>
      <c r="DA14" s="2524" t="s">
        <v>423</v>
      </c>
      <c r="DB14" s="2536" t="s">
        <v>423</v>
      </c>
      <c r="DC14" s="2545" t="s">
        <v>2854</v>
      </c>
      <c r="DD14" s="2509">
        <v>10</v>
      </c>
      <c r="DE14" s="2509">
        <v>10</v>
      </c>
      <c r="DF14" s="2566">
        <v>10</v>
      </c>
      <c r="DG14" s="2566">
        <v>10</v>
      </c>
      <c r="DH14" s="2527">
        <f>DF14/DG14</f>
        <v>1</v>
      </c>
      <c r="DI14" s="2545" t="s">
        <v>2875</v>
      </c>
      <c r="DJ14" s="2509">
        <v>10</v>
      </c>
      <c r="DK14" s="2509">
        <v>10</v>
      </c>
      <c r="DL14" s="2566">
        <v>10</v>
      </c>
      <c r="DM14" s="2566">
        <v>10</v>
      </c>
      <c r="DN14" s="2527">
        <f>DL14/DM14</f>
        <v>1</v>
      </c>
      <c r="DO14" s="2548" t="s">
        <v>2875</v>
      </c>
    </row>
    <row r="15" spans="2:119" s="910" customFormat="1" ht="14.25" hidden="1" customHeight="1">
      <c r="C15" s="2498"/>
      <c r="D15" s="2501"/>
      <c r="E15" s="2498"/>
      <c r="F15" s="2498"/>
      <c r="G15" s="2504"/>
      <c r="H15" s="2506"/>
      <c r="I15" s="2504"/>
      <c r="J15" s="2504"/>
      <c r="K15" s="1518"/>
      <c r="L15" s="1505"/>
      <c r="M15" s="1505" t="s">
        <v>2876</v>
      </c>
      <c r="N15" s="1505" t="s">
        <v>2877</v>
      </c>
      <c r="O15" s="1505" t="s">
        <v>2878</v>
      </c>
      <c r="P15" s="1505" t="s">
        <v>2879</v>
      </c>
      <c r="Q15" s="1505" t="s">
        <v>2880</v>
      </c>
      <c r="R15" s="1505" t="s">
        <v>2881</v>
      </c>
      <c r="S15" s="1507"/>
      <c r="T15" s="1505"/>
      <c r="U15" s="1505"/>
      <c r="V15" s="1505"/>
      <c r="W15" s="1505"/>
      <c r="X15" s="2510"/>
      <c r="Y15" s="2510"/>
      <c r="Z15" s="2528"/>
      <c r="AA15" s="2525"/>
      <c r="AB15" s="2519"/>
      <c r="AC15" s="2522"/>
      <c r="AD15" s="2510"/>
      <c r="AE15" s="2510"/>
      <c r="AF15" s="2513"/>
      <c r="AG15" s="2561"/>
      <c r="AH15" s="2519"/>
      <c r="AI15" s="2522"/>
      <c r="AJ15" s="2510"/>
      <c r="AK15" s="2510"/>
      <c r="AL15" s="2513"/>
      <c r="AM15" s="2561"/>
      <c r="AN15" s="2519"/>
      <c r="AO15" s="2522"/>
      <c r="AP15" s="2510"/>
      <c r="AQ15" s="2510"/>
      <c r="AR15" s="2513"/>
      <c r="AS15" s="2561"/>
      <c r="AT15" s="2519"/>
      <c r="AU15" s="2522"/>
      <c r="AV15" s="2510"/>
      <c r="AW15" s="2510"/>
      <c r="AX15" s="2513"/>
      <c r="AY15" s="2561"/>
      <c r="AZ15" s="2519"/>
      <c r="BA15" s="2522"/>
      <c r="BB15" s="2510"/>
      <c r="BC15" s="2510"/>
      <c r="BD15" s="2513"/>
      <c r="BE15" s="2561"/>
      <c r="BF15" s="2519"/>
      <c r="BG15" s="2522"/>
      <c r="BH15" s="2510"/>
      <c r="BI15" s="2510"/>
      <c r="BJ15" s="2513"/>
      <c r="BK15" s="2561"/>
      <c r="BL15" s="2519"/>
      <c r="BM15" s="2522"/>
      <c r="BN15" s="2510"/>
      <c r="BO15" s="2510"/>
      <c r="BP15" s="2564"/>
      <c r="BQ15" s="2516"/>
      <c r="BR15" s="2528"/>
      <c r="BS15" s="2522"/>
      <c r="BT15" s="2552"/>
      <c r="BU15" s="2552"/>
      <c r="BV15" s="2564"/>
      <c r="BW15" s="2516"/>
      <c r="BX15" s="2528"/>
      <c r="BY15" s="2522"/>
      <c r="BZ15" s="1525"/>
      <c r="CA15" s="2510"/>
      <c r="CB15" s="2552" t="str">
        <f t="shared" si="1"/>
        <v xml:space="preserve"> </v>
      </c>
      <c r="CC15" s="2552"/>
      <c r="CD15" s="2528"/>
      <c r="CE15" s="2531"/>
      <c r="CF15" s="2534"/>
      <c r="CG15" s="2510"/>
      <c r="CH15" s="2525"/>
      <c r="CI15" s="2525"/>
      <c r="CJ15" s="2537"/>
      <c r="CK15" s="2531"/>
      <c r="CL15" s="2534"/>
      <c r="CM15" s="2510"/>
      <c r="CN15" s="2525"/>
      <c r="CO15" s="2525"/>
      <c r="CP15" s="2537"/>
      <c r="CQ15" s="2546"/>
      <c r="CR15" s="2534"/>
      <c r="CS15" s="2510"/>
      <c r="CT15" s="2525"/>
      <c r="CU15" s="2525"/>
      <c r="CV15" s="2537"/>
      <c r="CW15" s="2546"/>
      <c r="CX15" s="2534"/>
      <c r="CY15" s="2510"/>
      <c r="CZ15" s="2525"/>
      <c r="DA15" s="2525"/>
      <c r="DB15" s="2537"/>
      <c r="DC15" s="2546"/>
      <c r="DD15" s="2510"/>
      <c r="DE15" s="2510"/>
      <c r="DF15" s="2567"/>
      <c r="DG15" s="2567"/>
      <c r="DH15" s="2528"/>
      <c r="DI15" s="2546"/>
      <c r="DJ15" s="2510"/>
      <c r="DK15" s="2510"/>
      <c r="DL15" s="2567"/>
      <c r="DM15" s="2567"/>
      <c r="DN15" s="2528"/>
      <c r="DO15" s="2549"/>
    </row>
    <row r="16" spans="2:119" s="910" customFormat="1" ht="56.25" customHeight="1">
      <c r="C16" s="2499"/>
      <c r="D16" s="2502"/>
      <c r="E16" s="2499"/>
      <c r="F16" s="2499"/>
      <c r="G16" s="2505"/>
      <c r="H16" s="2506"/>
      <c r="I16" s="2505"/>
      <c r="J16" s="2505"/>
      <c r="K16" s="1518" t="s">
        <v>435</v>
      </c>
      <c r="L16" s="1519"/>
      <c r="M16" s="1519">
        <v>3</v>
      </c>
      <c r="N16" s="1519">
        <v>1</v>
      </c>
      <c r="O16" s="1519">
        <v>2</v>
      </c>
      <c r="P16" s="1519">
        <v>1</v>
      </c>
      <c r="Q16" s="1519">
        <v>1</v>
      </c>
      <c r="R16" s="1519">
        <v>2</v>
      </c>
      <c r="S16" s="1526"/>
      <c r="T16" s="1519"/>
      <c r="U16" s="1519"/>
      <c r="V16" s="1519"/>
      <c r="W16" s="1519"/>
      <c r="X16" s="2511"/>
      <c r="Y16" s="2511"/>
      <c r="Z16" s="2529"/>
      <c r="AA16" s="2526"/>
      <c r="AB16" s="2520"/>
      <c r="AC16" s="2523"/>
      <c r="AD16" s="2511"/>
      <c r="AE16" s="2511"/>
      <c r="AF16" s="2514"/>
      <c r="AG16" s="2562"/>
      <c r="AH16" s="2520"/>
      <c r="AI16" s="2523"/>
      <c r="AJ16" s="2511"/>
      <c r="AK16" s="2511"/>
      <c r="AL16" s="2514"/>
      <c r="AM16" s="2562"/>
      <c r="AN16" s="2520"/>
      <c r="AO16" s="2523"/>
      <c r="AP16" s="2511"/>
      <c r="AQ16" s="2511"/>
      <c r="AR16" s="2514"/>
      <c r="AS16" s="2562"/>
      <c r="AT16" s="2520"/>
      <c r="AU16" s="2523"/>
      <c r="AV16" s="2511"/>
      <c r="AW16" s="2511"/>
      <c r="AX16" s="2514"/>
      <c r="AY16" s="2562"/>
      <c r="AZ16" s="2520"/>
      <c r="BA16" s="2523"/>
      <c r="BB16" s="2511"/>
      <c r="BC16" s="2511"/>
      <c r="BD16" s="2514"/>
      <c r="BE16" s="2562"/>
      <c r="BF16" s="2520"/>
      <c r="BG16" s="2523"/>
      <c r="BH16" s="2511"/>
      <c r="BI16" s="2511"/>
      <c r="BJ16" s="2514"/>
      <c r="BK16" s="2562"/>
      <c r="BL16" s="2520"/>
      <c r="BM16" s="2523"/>
      <c r="BN16" s="2511"/>
      <c r="BO16" s="2511"/>
      <c r="BP16" s="2565"/>
      <c r="BQ16" s="2517"/>
      <c r="BR16" s="2529"/>
      <c r="BS16" s="2523"/>
      <c r="BT16" s="2553"/>
      <c r="BU16" s="2553"/>
      <c r="BV16" s="2565"/>
      <c r="BW16" s="2517"/>
      <c r="BX16" s="2529"/>
      <c r="BY16" s="2523"/>
      <c r="BZ16" s="1527"/>
      <c r="CA16" s="2511"/>
      <c r="CB16" s="2553" t="str">
        <f t="shared" si="1"/>
        <v xml:space="preserve"> </v>
      </c>
      <c r="CC16" s="2553"/>
      <c r="CD16" s="2529"/>
      <c r="CE16" s="2532"/>
      <c r="CF16" s="2535"/>
      <c r="CG16" s="2511"/>
      <c r="CH16" s="2526"/>
      <c r="CI16" s="2526"/>
      <c r="CJ16" s="2538"/>
      <c r="CK16" s="2532"/>
      <c r="CL16" s="2535"/>
      <c r="CM16" s="2511"/>
      <c r="CN16" s="2526"/>
      <c r="CO16" s="2526"/>
      <c r="CP16" s="2538"/>
      <c r="CQ16" s="2547"/>
      <c r="CR16" s="2535"/>
      <c r="CS16" s="2511"/>
      <c r="CT16" s="2526"/>
      <c r="CU16" s="2526"/>
      <c r="CV16" s="2538"/>
      <c r="CW16" s="2547"/>
      <c r="CX16" s="2535"/>
      <c r="CY16" s="2511"/>
      <c r="CZ16" s="2526"/>
      <c r="DA16" s="2526"/>
      <c r="DB16" s="2538"/>
      <c r="DC16" s="2547"/>
      <c r="DD16" s="2511"/>
      <c r="DE16" s="2511"/>
      <c r="DF16" s="2568"/>
      <c r="DG16" s="2568"/>
      <c r="DH16" s="2529"/>
      <c r="DI16" s="2547"/>
      <c r="DJ16" s="2511"/>
      <c r="DK16" s="2511"/>
      <c r="DL16" s="2568"/>
      <c r="DM16" s="2568"/>
      <c r="DN16" s="2529"/>
      <c r="DO16" s="2550"/>
    </row>
    <row r="17" spans="3:119" s="910" customFormat="1" ht="255" customHeight="1">
      <c r="C17" s="2497" t="s">
        <v>416</v>
      </c>
      <c r="D17" s="2500">
        <v>4</v>
      </c>
      <c r="E17" s="2497" t="s">
        <v>2882</v>
      </c>
      <c r="F17" s="2497" t="s">
        <v>472</v>
      </c>
      <c r="G17" s="2503" t="s">
        <v>473</v>
      </c>
      <c r="H17" s="2506" t="s">
        <v>53</v>
      </c>
      <c r="I17" s="2503" t="s">
        <v>474</v>
      </c>
      <c r="J17" s="2503" t="s">
        <v>2753</v>
      </c>
      <c r="K17" s="1518" t="s">
        <v>54</v>
      </c>
      <c r="L17" s="1506">
        <f>+L19/(SUM($L19:$W19))</f>
        <v>0</v>
      </c>
      <c r="M17" s="1506">
        <f>+M19/(SUM($L19:$W19))+L17</f>
        <v>0</v>
      </c>
      <c r="N17" s="1506">
        <f t="shared" ref="N17:U17" si="3">+N19/(SUM($L19:$W19))+M17</f>
        <v>0</v>
      </c>
      <c r="O17" s="1505">
        <f t="shared" si="3"/>
        <v>0.14285714285714285</v>
      </c>
      <c r="P17" s="1506">
        <f t="shared" si="3"/>
        <v>0.14285714285714285</v>
      </c>
      <c r="Q17" s="1505">
        <f t="shared" si="3"/>
        <v>0.5714285714285714</v>
      </c>
      <c r="R17" s="1506">
        <f t="shared" si="3"/>
        <v>0.5714285714285714</v>
      </c>
      <c r="S17" s="1507">
        <f t="shared" si="3"/>
        <v>0.8571428571428571</v>
      </c>
      <c r="T17" s="1506">
        <f t="shared" si="3"/>
        <v>0.8571428571428571</v>
      </c>
      <c r="U17" s="1506">
        <f t="shared" si="3"/>
        <v>0.8571428571428571</v>
      </c>
      <c r="V17" s="1516">
        <f>+V19/(SUM($L19:$V19))+U17</f>
        <v>1</v>
      </c>
      <c r="W17" s="1516"/>
      <c r="X17" s="2509" t="s">
        <v>423</v>
      </c>
      <c r="Y17" s="2509" t="s">
        <v>423</v>
      </c>
      <c r="Z17" s="2527" t="s">
        <v>423</v>
      </c>
      <c r="AA17" s="2524" t="s">
        <v>423</v>
      </c>
      <c r="AB17" s="2518" t="s">
        <v>423</v>
      </c>
      <c r="AC17" s="2521" t="s">
        <v>476</v>
      </c>
      <c r="AD17" s="2509" t="s">
        <v>423</v>
      </c>
      <c r="AE17" s="2509" t="s">
        <v>423</v>
      </c>
      <c r="AF17" s="2527" t="s">
        <v>423</v>
      </c>
      <c r="AG17" s="2524" t="s">
        <v>423</v>
      </c>
      <c r="AH17" s="2518" t="s">
        <v>423</v>
      </c>
      <c r="AI17" s="2521" t="s">
        <v>476</v>
      </c>
      <c r="AJ17" s="2509" t="s">
        <v>423</v>
      </c>
      <c r="AK17" s="2509" t="s">
        <v>423</v>
      </c>
      <c r="AL17" s="2527" t="s">
        <v>423</v>
      </c>
      <c r="AM17" s="2524" t="s">
        <v>423</v>
      </c>
      <c r="AN17" s="2518" t="s">
        <v>423</v>
      </c>
      <c r="AO17" s="2521" t="s">
        <v>476</v>
      </c>
      <c r="AP17" s="2509" t="s">
        <v>423</v>
      </c>
      <c r="AQ17" s="2509" t="s">
        <v>423</v>
      </c>
      <c r="AR17" s="2527" t="s">
        <v>423</v>
      </c>
      <c r="AS17" s="2524" t="s">
        <v>423</v>
      </c>
      <c r="AT17" s="2518" t="s">
        <v>423</v>
      </c>
      <c r="AU17" s="2521" t="s">
        <v>476</v>
      </c>
      <c r="AV17" s="2509" t="s">
        <v>423</v>
      </c>
      <c r="AW17" s="2509" t="s">
        <v>423</v>
      </c>
      <c r="AX17" s="2527" t="s">
        <v>423</v>
      </c>
      <c r="AY17" s="2524" t="s">
        <v>423</v>
      </c>
      <c r="AZ17" s="2518" t="s">
        <v>423</v>
      </c>
      <c r="BA17" s="2521" t="s">
        <v>476</v>
      </c>
      <c r="BB17" s="2509">
        <v>1</v>
      </c>
      <c r="BC17" s="2509">
        <v>1</v>
      </c>
      <c r="BD17" s="2512">
        <v>1</v>
      </c>
      <c r="BE17" s="2560">
        <v>1</v>
      </c>
      <c r="BF17" s="2518">
        <f>BD17/BE17</f>
        <v>1</v>
      </c>
      <c r="BG17" s="2521" t="s">
        <v>2883</v>
      </c>
      <c r="BH17" s="2509" t="s">
        <v>423</v>
      </c>
      <c r="BI17" s="2509" t="s">
        <v>423</v>
      </c>
      <c r="BJ17" s="2527" t="s">
        <v>423</v>
      </c>
      <c r="BK17" s="2524" t="s">
        <v>423</v>
      </c>
      <c r="BL17" s="2518" t="s">
        <v>423</v>
      </c>
      <c r="BM17" s="2521" t="s">
        <v>476</v>
      </c>
      <c r="BN17" s="2509">
        <v>2</v>
      </c>
      <c r="BO17" s="2509">
        <v>3</v>
      </c>
      <c r="BP17" s="2509">
        <v>2</v>
      </c>
      <c r="BQ17" s="2509">
        <v>3</v>
      </c>
      <c r="BR17" s="2527">
        <f>BP17/BQ17</f>
        <v>0.66666666666666663</v>
      </c>
      <c r="BS17" s="2521" t="s">
        <v>2884</v>
      </c>
      <c r="BT17" s="2509" t="s">
        <v>423</v>
      </c>
      <c r="BU17" s="2509" t="s">
        <v>325</v>
      </c>
      <c r="BV17" s="2509" t="s">
        <v>325</v>
      </c>
      <c r="BW17" s="2509" t="s">
        <v>325</v>
      </c>
      <c r="BX17" s="2509" t="s">
        <v>325</v>
      </c>
      <c r="BY17" s="2521" t="s">
        <v>476</v>
      </c>
      <c r="BZ17" s="2509">
        <v>0</v>
      </c>
      <c r="CA17" s="2509">
        <v>1</v>
      </c>
      <c r="CB17" s="2551">
        <f>IF(CA17=0," ",BZ17/CA17)</f>
        <v>0</v>
      </c>
      <c r="CC17" s="2509">
        <f>+S19</f>
        <v>2</v>
      </c>
      <c r="CD17" s="2527">
        <f>CB17/CC17</f>
        <v>0</v>
      </c>
      <c r="CE17" s="2530" t="s">
        <v>2885</v>
      </c>
      <c r="CF17" s="2533">
        <v>1</v>
      </c>
      <c r="CG17" s="2509">
        <v>1</v>
      </c>
      <c r="CH17" s="2551">
        <f t="shared" ref="CH17:CH22" si="4">IF(CG17=0," ",CF17/CG17)</f>
        <v>1</v>
      </c>
      <c r="CI17" s="2509">
        <f>+T19</f>
        <v>0</v>
      </c>
      <c r="CJ17" s="2527">
        <v>1</v>
      </c>
      <c r="CK17" s="2545" t="s">
        <v>2886</v>
      </c>
      <c r="CL17" s="2533">
        <v>1</v>
      </c>
      <c r="CM17" s="2509">
        <v>1</v>
      </c>
      <c r="CN17" s="2551">
        <v>0.01</v>
      </c>
      <c r="CO17" s="2509">
        <f>+Z19</f>
        <v>0</v>
      </c>
      <c r="CP17" s="2527">
        <v>1</v>
      </c>
      <c r="CQ17" s="2545" t="s">
        <v>480</v>
      </c>
      <c r="CR17" s="2533">
        <v>1</v>
      </c>
      <c r="CS17" s="2533" t="s">
        <v>423</v>
      </c>
      <c r="CT17" s="2554">
        <v>1</v>
      </c>
      <c r="CU17" s="2509">
        <f>V19</f>
        <v>1</v>
      </c>
      <c r="CV17" s="2527">
        <f>CT17/CU17</f>
        <v>1</v>
      </c>
      <c r="CW17" s="2545" t="s">
        <v>2887</v>
      </c>
      <c r="CX17" s="2533" t="s">
        <v>423</v>
      </c>
      <c r="CY17" s="2509" t="s">
        <v>423</v>
      </c>
      <c r="CZ17" s="2524" t="s">
        <v>423</v>
      </c>
      <c r="DA17" s="2524" t="s">
        <v>423</v>
      </c>
      <c r="DB17" s="2536" t="s">
        <v>423</v>
      </c>
      <c r="DC17" s="2545" t="s">
        <v>2854</v>
      </c>
      <c r="DD17" s="2509">
        <v>7</v>
      </c>
      <c r="DE17" s="2509">
        <v>7</v>
      </c>
      <c r="DF17" s="2557">
        <v>7</v>
      </c>
      <c r="DG17" s="2509">
        <v>7</v>
      </c>
      <c r="DH17" s="2527">
        <f>DF17/DG17</f>
        <v>1</v>
      </c>
      <c r="DI17" s="2545" t="s">
        <v>2888</v>
      </c>
      <c r="DJ17" s="2509">
        <v>7</v>
      </c>
      <c r="DK17" s="2509">
        <v>7</v>
      </c>
      <c r="DL17" s="2557">
        <v>7</v>
      </c>
      <c r="DM17" s="2509">
        <v>7</v>
      </c>
      <c r="DN17" s="2527">
        <f>DL17/DM17</f>
        <v>1</v>
      </c>
      <c r="DO17" s="2548" t="s">
        <v>2888</v>
      </c>
    </row>
    <row r="18" spans="3:119" s="910" customFormat="1" ht="360" hidden="1" customHeight="1">
      <c r="C18" s="2498"/>
      <c r="D18" s="2501"/>
      <c r="E18" s="2498"/>
      <c r="F18" s="2498"/>
      <c r="G18" s="2504"/>
      <c r="H18" s="2506"/>
      <c r="I18" s="2504"/>
      <c r="J18" s="2504"/>
      <c r="K18" s="1518"/>
      <c r="L18" s="1523"/>
      <c r="M18" s="1523"/>
      <c r="N18" s="1523"/>
      <c r="O18" s="1523" t="s">
        <v>484</v>
      </c>
      <c r="P18" s="1523"/>
      <c r="Q18" s="1523" t="s">
        <v>2889</v>
      </c>
      <c r="R18" s="1523"/>
      <c r="S18" s="1528" t="s">
        <v>2890</v>
      </c>
      <c r="T18" s="1523"/>
      <c r="U18" s="1523"/>
      <c r="V18" s="1523"/>
      <c r="W18" s="1523" t="s">
        <v>2891</v>
      </c>
      <c r="X18" s="2510"/>
      <c r="Y18" s="2510"/>
      <c r="Z18" s="2528"/>
      <c r="AA18" s="2525"/>
      <c r="AB18" s="2519"/>
      <c r="AC18" s="2522"/>
      <c r="AD18" s="2510"/>
      <c r="AE18" s="2510"/>
      <c r="AF18" s="2528"/>
      <c r="AG18" s="2525"/>
      <c r="AH18" s="2519"/>
      <c r="AI18" s="2522"/>
      <c r="AJ18" s="2510"/>
      <c r="AK18" s="2510"/>
      <c r="AL18" s="2528"/>
      <c r="AM18" s="2525"/>
      <c r="AN18" s="2519"/>
      <c r="AO18" s="2522"/>
      <c r="AP18" s="2510"/>
      <c r="AQ18" s="2510"/>
      <c r="AR18" s="2528"/>
      <c r="AS18" s="2525"/>
      <c r="AT18" s="2519"/>
      <c r="AU18" s="2522"/>
      <c r="AV18" s="2510"/>
      <c r="AW18" s="2510"/>
      <c r="AX18" s="2528"/>
      <c r="AY18" s="2525"/>
      <c r="AZ18" s="2519"/>
      <c r="BA18" s="2522"/>
      <c r="BB18" s="2510"/>
      <c r="BC18" s="2510"/>
      <c r="BD18" s="2513"/>
      <c r="BE18" s="2561"/>
      <c r="BF18" s="2519"/>
      <c r="BG18" s="2522"/>
      <c r="BH18" s="2510"/>
      <c r="BI18" s="2510"/>
      <c r="BJ18" s="2528"/>
      <c r="BK18" s="2525"/>
      <c r="BL18" s="2519"/>
      <c r="BM18" s="2522"/>
      <c r="BN18" s="2510"/>
      <c r="BO18" s="2510"/>
      <c r="BP18" s="2510"/>
      <c r="BQ18" s="2510"/>
      <c r="BR18" s="2528"/>
      <c r="BS18" s="2522"/>
      <c r="BT18" s="2510"/>
      <c r="BU18" s="2510"/>
      <c r="BV18" s="2510"/>
      <c r="BW18" s="2510"/>
      <c r="BX18" s="2510"/>
      <c r="BY18" s="2522"/>
      <c r="BZ18" s="2510"/>
      <c r="CA18" s="2510"/>
      <c r="CB18" s="2552" t="str">
        <f t="shared" si="1"/>
        <v xml:space="preserve"> </v>
      </c>
      <c r="CC18" s="2510"/>
      <c r="CD18" s="2528"/>
      <c r="CE18" s="2531"/>
      <c r="CF18" s="2534"/>
      <c r="CG18" s="2510"/>
      <c r="CH18" s="2552" t="str">
        <f t="shared" si="4"/>
        <v xml:space="preserve"> </v>
      </c>
      <c r="CI18" s="2510"/>
      <c r="CJ18" s="2528"/>
      <c r="CK18" s="2546"/>
      <c r="CL18" s="2534"/>
      <c r="CM18" s="2510"/>
      <c r="CN18" s="2552"/>
      <c r="CO18" s="2510"/>
      <c r="CP18" s="2528"/>
      <c r="CQ18" s="2546"/>
      <c r="CR18" s="2534"/>
      <c r="CS18" s="2534"/>
      <c r="CT18" s="2555"/>
      <c r="CU18" s="2510"/>
      <c r="CV18" s="2528"/>
      <c r="CW18" s="2546"/>
      <c r="CX18" s="2534"/>
      <c r="CY18" s="2510"/>
      <c r="CZ18" s="2525"/>
      <c r="DA18" s="2525"/>
      <c r="DB18" s="2537"/>
      <c r="DC18" s="2546"/>
      <c r="DD18" s="2510"/>
      <c r="DE18" s="2510"/>
      <c r="DF18" s="2558"/>
      <c r="DG18" s="2510"/>
      <c r="DH18" s="2528"/>
      <c r="DI18" s="2546"/>
      <c r="DJ18" s="2510"/>
      <c r="DK18" s="2510"/>
      <c r="DL18" s="2558"/>
      <c r="DM18" s="2510"/>
      <c r="DN18" s="2528"/>
      <c r="DO18" s="2549"/>
    </row>
    <row r="19" spans="3:119" s="910" customFormat="1" ht="51" customHeight="1">
      <c r="C19" s="2499"/>
      <c r="D19" s="2502"/>
      <c r="E19" s="2499"/>
      <c r="F19" s="2499"/>
      <c r="G19" s="2505"/>
      <c r="H19" s="2506"/>
      <c r="I19" s="2505"/>
      <c r="J19" s="2505"/>
      <c r="K19" s="1518" t="s">
        <v>435</v>
      </c>
      <c r="L19" s="1519"/>
      <c r="M19" s="1519"/>
      <c r="N19" s="1519"/>
      <c r="O19" s="1519">
        <v>1</v>
      </c>
      <c r="P19" s="1519"/>
      <c r="Q19" s="1519">
        <v>3</v>
      </c>
      <c r="R19" s="1519"/>
      <c r="S19" s="1526">
        <v>2</v>
      </c>
      <c r="T19" s="1519"/>
      <c r="U19" s="1519"/>
      <c r="V19" s="1519">
        <v>1</v>
      </c>
      <c r="W19" s="1519"/>
      <c r="X19" s="2511"/>
      <c r="Y19" s="2511"/>
      <c r="Z19" s="2529"/>
      <c r="AA19" s="2526"/>
      <c r="AB19" s="2520"/>
      <c r="AC19" s="2523"/>
      <c r="AD19" s="2511"/>
      <c r="AE19" s="2511"/>
      <c r="AF19" s="2529"/>
      <c r="AG19" s="2526"/>
      <c r="AH19" s="2520"/>
      <c r="AI19" s="2523"/>
      <c r="AJ19" s="2511"/>
      <c r="AK19" s="2511"/>
      <c r="AL19" s="2529"/>
      <c r="AM19" s="2526"/>
      <c r="AN19" s="2520"/>
      <c r="AO19" s="2523"/>
      <c r="AP19" s="2511"/>
      <c r="AQ19" s="2511"/>
      <c r="AR19" s="2529"/>
      <c r="AS19" s="2526"/>
      <c r="AT19" s="2520"/>
      <c r="AU19" s="2523"/>
      <c r="AV19" s="2511"/>
      <c r="AW19" s="2511"/>
      <c r="AX19" s="2529"/>
      <c r="AY19" s="2526"/>
      <c r="AZ19" s="2520"/>
      <c r="BA19" s="2523"/>
      <c r="BB19" s="2511"/>
      <c r="BC19" s="2511"/>
      <c r="BD19" s="2514"/>
      <c r="BE19" s="2562"/>
      <c r="BF19" s="2520"/>
      <c r="BG19" s="2523"/>
      <c r="BH19" s="2511"/>
      <c r="BI19" s="2511"/>
      <c r="BJ19" s="2529"/>
      <c r="BK19" s="2526"/>
      <c r="BL19" s="2520"/>
      <c r="BM19" s="2523"/>
      <c r="BN19" s="2511"/>
      <c r="BO19" s="2511"/>
      <c r="BP19" s="2511"/>
      <c r="BQ19" s="2511"/>
      <c r="BR19" s="2529"/>
      <c r="BS19" s="2523"/>
      <c r="BT19" s="2511"/>
      <c r="BU19" s="2511"/>
      <c r="BV19" s="2511"/>
      <c r="BW19" s="2511"/>
      <c r="BX19" s="2511"/>
      <c r="BY19" s="2523"/>
      <c r="BZ19" s="2511"/>
      <c r="CA19" s="2511"/>
      <c r="CB19" s="2553" t="str">
        <f t="shared" si="1"/>
        <v xml:space="preserve"> </v>
      </c>
      <c r="CC19" s="2511"/>
      <c r="CD19" s="2529"/>
      <c r="CE19" s="2532"/>
      <c r="CF19" s="2535"/>
      <c r="CG19" s="2511"/>
      <c r="CH19" s="2553" t="str">
        <f t="shared" si="4"/>
        <v xml:space="preserve"> </v>
      </c>
      <c r="CI19" s="2511"/>
      <c r="CJ19" s="2529"/>
      <c r="CK19" s="2547"/>
      <c r="CL19" s="2535"/>
      <c r="CM19" s="2511"/>
      <c r="CN19" s="2553"/>
      <c r="CO19" s="2511"/>
      <c r="CP19" s="2529"/>
      <c r="CQ19" s="2547"/>
      <c r="CR19" s="2535"/>
      <c r="CS19" s="2535"/>
      <c r="CT19" s="2556"/>
      <c r="CU19" s="2511"/>
      <c r="CV19" s="2529"/>
      <c r="CW19" s="2547"/>
      <c r="CX19" s="2535"/>
      <c r="CY19" s="2511"/>
      <c r="CZ19" s="2526"/>
      <c r="DA19" s="2526"/>
      <c r="DB19" s="2538"/>
      <c r="DC19" s="2547"/>
      <c r="DD19" s="2511"/>
      <c r="DE19" s="2511"/>
      <c r="DF19" s="2559"/>
      <c r="DG19" s="2511"/>
      <c r="DH19" s="2529"/>
      <c r="DI19" s="2547"/>
      <c r="DJ19" s="2511"/>
      <c r="DK19" s="2511"/>
      <c r="DL19" s="2559"/>
      <c r="DM19" s="2511"/>
      <c r="DN19" s="2529"/>
      <c r="DO19" s="2550"/>
    </row>
    <row r="20" spans="3:119" s="910" customFormat="1" ht="277.89999999999998" customHeight="1">
      <c r="C20" s="2497" t="s">
        <v>416</v>
      </c>
      <c r="D20" s="2500">
        <v>5</v>
      </c>
      <c r="E20" s="2497" t="s">
        <v>2892</v>
      </c>
      <c r="F20" s="2497" t="s">
        <v>489</v>
      </c>
      <c r="G20" s="2503" t="s">
        <v>490</v>
      </c>
      <c r="H20" s="2506" t="s">
        <v>53</v>
      </c>
      <c r="I20" s="2503" t="s">
        <v>491</v>
      </c>
      <c r="J20" s="2503" t="s">
        <v>2759</v>
      </c>
      <c r="K20" s="1518" t="s">
        <v>54</v>
      </c>
      <c r="L20" s="1506">
        <f>+L22/(SUM($L22:$W22))</f>
        <v>0</v>
      </c>
      <c r="M20" s="1506">
        <f>+M22/(SUM($L22:$W22))+L20</f>
        <v>0</v>
      </c>
      <c r="N20" s="1506">
        <f t="shared" ref="N20:W20" si="5">+N22/(SUM($L22:$W22))+M20</f>
        <v>0</v>
      </c>
      <c r="O20" s="1506">
        <f t="shared" si="5"/>
        <v>0</v>
      </c>
      <c r="P20" s="1505">
        <f t="shared" si="5"/>
        <v>0.25</v>
      </c>
      <c r="Q20" s="1505">
        <f t="shared" si="5"/>
        <v>0.375</v>
      </c>
      <c r="R20" s="1505">
        <f t="shared" si="5"/>
        <v>0.75</v>
      </c>
      <c r="S20" s="1507">
        <f t="shared" si="5"/>
        <v>0.75</v>
      </c>
      <c r="T20" s="1516">
        <f t="shared" si="5"/>
        <v>1</v>
      </c>
      <c r="U20" s="1506">
        <f t="shared" si="5"/>
        <v>1</v>
      </c>
      <c r="V20" s="1506">
        <f t="shared" si="5"/>
        <v>1</v>
      </c>
      <c r="W20" s="1506">
        <f t="shared" si="5"/>
        <v>1</v>
      </c>
      <c r="X20" s="2509" t="s">
        <v>423</v>
      </c>
      <c r="Y20" s="2509" t="s">
        <v>423</v>
      </c>
      <c r="Z20" s="2527" t="s">
        <v>423</v>
      </c>
      <c r="AA20" s="2524" t="s">
        <v>423</v>
      </c>
      <c r="AB20" s="2518" t="s">
        <v>423</v>
      </c>
      <c r="AC20" s="2521" t="s">
        <v>476</v>
      </c>
      <c r="AD20" s="2509" t="s">
        <v>423</v>
      </c>
      <c r="AE20" s="2509" t="s">
        <v>423</v>
      </c>
      <c r="AF20" s="2527" t="s">
        <v>423</v>
      </c>
      <c r="AG20" s="2524" t="s">
        <v>423</v>
      </c>
      <c r="AH20" s="2518" t="s">
        <v>423</v>
      </c>
      <c r="AI20" s="2521" t="s">
        <v>476</v>
      </c>
      <c r="AJ20" s="2509" t="s">
        <v>423</v>
      </c>
      <c r="AK20" s="2509" t="s">
        <v>423</v>
      </c>
      <c r="AL20" s="2527" t="s">
        <v>423</v>
      </c>
      <c r="AM20" s="2524" t="s">
        <v>423</v>
      </c>
      <c r="AN20" s="2518" t="s">
        <v>423</v>
      </c>
      <c r="AO20" s="2521" t="s">
        <v>476</v>
      </c>
      <c r="AP20" s="2509" t="s">
        <v>423</v>
      </c>
      <c r="AQ20" s="2509" t="s">
        <v>423</v>
      </c>
      <c r="AR20" s="2527" t="s">
        <v>423</v>
      </c>
      <c r="AS20" s="2524" t="s">
        <v>423</v>
      </c>
      <c r="AT20" s="2518" t="s">
        <v>423</v>
      </c>
      <c r="AU20" s="2521" t="s">
        <v>476</v>
      </c>
      <c r="AV20" s="2509" t="s">
        <v>423</v>
      </c>
      <c r="AW20" s="2509" t="s">
        <v>423</v>
      </c>
      <c r="AX20" s="2527" t="s">
        <v>423</v>
      </c>
      <c r="AY20" s="2524" t="s">
        <v>423</v>
      </c>
      <c r="AZ20" s="2518" t="s">
        <v>423</v>
      </c>
      <c r="BA20" s="2521" t="s">
        <v>476</v>
      </c>
      <c r="BB20" s="2509" t="s">
        <v>423</v>
      </c>
      <c r="BC20" s="2509" t="s">
        <v>423</v>
      </c>
      <c r="BD20" s="2527" t="s">
        <v>423</v>
      </c>
      <c r="BE20" s="2524" t="s">
        <v>423</v>
      </c>
      <c r="BF20" s="2518" t="s">
        <v>423</v>
      </c>
      <c r="BG20" s="2521" t="s">
        <v>476</v>
      </c>
      <c r="BH20" s="2509">
        <v>0</v>
      </c>
      <c r="BI20" s="2509">
        <v>2</v>
      </c>
      <c r="BJ20" s="2569">
        <v>0</v>
      </c>
      <c r="BK20" s="2560">
        <v>2</v>
      </c>
      <c r="BL20" s="2518">
        <f>BJ20/BK20</f>
        <v>0</v>
      </c>
      <c r="BM20" s="2521" t="s">
        <v>494</v>
      </c>
      <c r="BN20" s="2509">
        <v>1</v>
      </c>
      <c r="BO20" s="2509">
        <v>1</v>
      </c>
      <c r="BP20" s="2572">
        <v>1</v>
      </c>
      <c r="BQ20" s="2515">
        <v>1</v>
      </c>
      <c r="BR20" s="2527">
        <f>BP20/BQ20</f>
        <v>1</v>
      </c>
      <c r="BS20" s="2521" t="s">
        <v>2893</v>
      </c>
      <c r="BT20" s="2551">
        <v>0.33</v>
      </c>
      <c r="BU20" s="2551">
        <v>1</v>
      </c>
      <c r="BV20" s="2563">
        <v>1</v>
      </c>
      <c r="BW20" s="2515">
        <v>3</v>
      </c>
      <c r="BX20" s="2527">
        <f>BV20/BW20</f>
        <v>0.33333333333333331</v>
      </c>
      <c r="BY20" s="2521" t="s">
        <v>2894</v>
      </c>
      <c r="BZ20" s="2509" t="s">
        <v>423</v>
      </c>
      <c r="CA20" s="2509" t="s">
        <v>325</v>
      </c>
      <c r="CB20" s="2509" t="s">
        <v>325</v>
      </c>
      <c r="CC20" s="2509" t="s">
        <v>325</v>
      </c>
      <c r="CD20" s="2509" t="s">
        <v>325</v>
      </c>
      <c r="CE20" s="2530" t="s">
        <v>476</v>
      </c>
      <c r="CF20" s="2533">
        <v>1</v>
      </c>
      <c r="CG20" s="2509" t="s">
        <v>325</v>
      </c>
      <c r="CH20" s="2575">
        <v>1</v>
      </c>
      <c r="CI20" s="2509">
        <f>+T22</f>
        <v>2</v>
      </c>
      <c r="CJ20" s="2527">
        <f>+CH20/CI20</f>
        <v>0.5</v>
      </c>
      <c r="CK20" s="2545" t="s">
        <v>2895</v>
      </c>
      <c r="CL20" s="2533">
        <v>1</v>
      </c>
      <c r="CM20" s="2509">
        <v>1</v>
      </c>
      <c r="CN20" s="2575">
        <v>4</v>
      </c>
      <c r="CO20" s="2509">
        <f>+Z22</f>
        <v>0</v>
      </c>
      <c r="CP20" s="2527">
        <v>1</v>
      </c>
      <c r="CQ20" s="2578" t="s">
        <v>2896</v>
      </c>
      <c r="CR20" s="2533" t="s">
        <v>423</v>
      </c>
      <c r="CS20" s="2533" t="s">
        <v>423</v>
      </c>
      <c r="CT20" s="2533" t="s">
        <v>423</v>
      </c>
      <c r="CU20" s="2533" t="s">
        <v>423</v>
      </c>
      <c r="CV20" s="2533" t="s">
        <v>423</v>
      </c>
      <c r="CW20" s="2545" t="s">
        <v>428</v>
      </c>
      <c r="CX20" s="2509">
        <v>0</v>
      </c>
      <c r="CY20" s="2509">
        <v>8</v>
      </c>
      <c r="CZ20" s="2509">
        <v>1</v>
      </c>
      <c r="DA20" s="2509">
        <v>0</v>
      </c>
      <c r="DB20" s="2581">
        <v>1</v>
      </c>
      <c r="DC20" s="2545" t="s">
        <v>2897</v>
      </c>
      <c r="DD20" s="2509">
        <v>8</v>
      </c>
      <c r="DE20" s="2509">
        <v>8</v>
      </c>
      <c r="DF20" s="2509">
        <v>8</v>
      </c>
      <c r="DG20" s="2509">
        <v>8</v>
      </c>
      <c r="DH20" s="2527">
        <f>DF20/DG20</f>
        <v>1</v>
      </c>
      <c r="DI20" s="2545" t="s">
        <v>2898</v>
      </c>
      <c r="DJ20" s="2509">
        <v>8</v>
      </c>
      <c r="DK20" s="2509">
        <v>8</v>
      </c>
      <c r="DL20" s="2509">
        <v>8</v>
      </c>
      <c r="DM20" s="2509">
        <v>8</v>
      </c>
      <c r="DN20" s="2527">
        <f>DL20/DM20</f>
        <v>1</v>
      </c>
      <c r="DO20" s="2548" t="s">
        <v>2899</v>
      </c>
    </row>
    <row r="21" spans="3:119" s="910" customFormat="1" ht="2.25" customHeight="1">
      <c r="C21" s="2498"/>
      <c r="D21" s="2501"/>
      <c r="E21" s="2498"/>
      <c r="F21" s="2498"/>
      <c r="G21" s="2504"/>
      <c r="H21" s="2506"/>
      <c r="I21" s="2504"/>
      <c r="J21" s="2504"/>
      <c r="K21" s="1518" t="s">
        <v>2900</v>
      </c>
      <c r="L21" s="1523"/>
      <c r="M21" s="1523"/>
      <c r="N21" s="1523"/>
      <c r="O21" s="1523"/>
      <c r="P21" s="1523" t="s">
        <v>2901</v>
      </c>
      <c r="Q21" s="1523" t="s">
        <v>2902</v>
      </c>
      <c r="R21" s="1523" t="s">
        <v>2903</v>
      </c>
      <c r="S21" s="1528"/>
      <c r="T21" s="1523" t="s">
        <v>2904</v>
      </c>
      <c r="U21" s="1523"/>
      <c r="V21" s="1523"/>
      <c r="W21" s="1523"/>
      <c r="X21" s="2510"/>
      <c r="Y21" s="2510"/>
      <c r="Z21" s="2528"/>
      <c r="AA21" s="2525"/>
      <c r="AB21" s="2519"/>
      <c r="AC21" s="2522"/>
      <c r="AD21" s="2510"/>
      <c r="AE21" s="2510"/>
      <c r="AF21" s="2528"/>
      <c r="AG21" s="2525"/>
      <c r="AH21" s="2519"/>
      <c r="AI21" s="2522"/>
      <c r="AJ21" s="2510"/>
      <c r="AK21" s="2510"/>
      <c r="AL21" s="2528"/>
      <c r="AM21" s="2525"/>
      <c r="AN21" s="2519"/>
      <c r="AO21" s="2522"/>
      <c r="AP21" s="2510"/>
      <c r="AQ21" s="2510"/>
      <c r="AR21" s="2528"/>
      <c r="AS21" s="2525"/>
      <c r="AT21" s="2519"/>
      <c r="AU21" s="2522"/>
      <c r="AV21" s="2510"/>
      <c r="AW21" s="2510"/>
      <c r="AX21" s="2528"/>
      <c r="AY21" s="2525"/>
      <c r="AZ21" s="2519"/>
      <c r="BA21" s="2522"/>
      <c r="BB21" s="2510"/>
      <c r="BC21" s="2510"/>
      <c r="BD21" s="2528"/>
      <c r="BE21" s="2525"/>
      <c r="BF21" s="2519"/>
      <c r="BG21" s="2522"/>
      <c r="BH21" s="2510"/>
      <c r="BI21" s="2510"/>
      <c r="BJ21" s="2570"/>
      <c r="BK21" s="2561"/>
      <c r="BL21" s="2519"/>
      <c r="BM21" s="2522"/>
      <c r="BN21" s="2510"/>
      <c r="BO21" s="2510"/>
      <c r="BP21" s="2573"/>
      <c r="BQ21" s="2516"/>
      <c r="BR21" s="2528"/>
      <c r="BS21" s="2522"/>
      <c r="BT21" s="2552"/>
      <c r="BU21" s="2552"/>
      <c r="BV21" s="2564"/>
      <c r="BW21" s="2516"/>
      <c r="BX21" s="2528"/>
      <c r="BY21" s="2522"/>
      <c r="BZ21" s="2510"/>
      <c r="CA21" s="2510"/>
      <c r="CB21" s="2510"/>
      <c r="CC21" s="2510"/>
      <c r="CD21" s="2510"/>
      <c r="CE21" s="2531"/>
      <c r="CF21" s="2534"/>
      <c r="CG21" s="2510"/>
      <c r="CH21" s="2576" t="str">
        <f t="shared" si="4"/>
        <v xml:space="preserve"> </v>
      </c>
      <c r="CI21" s="2510"/>
      <c r="CJ21" s="2528"/>
      <c r="CK21" s="2546"/>
      <c r="CL21" s="2534"/>
      <c r="CM21" s="2510"/>
      <c r="CN21" s="2576"/>
      <c r="CO21" s="2510"/>
      <c r="CP21" s="2528"/>
      <c r="CQ21" s="2579"/>
      <c r="CR21" s="2534"/>
      <c r="CS21" s="2534"/>
      <c r="CT21" s="2534"/>
      <c r="CU21" s="2534"/>
      <c r="CV21" s="2534"/>
      <c r="CW21" s="2546"/>
      <c r="CX21" s="2510"/>
      <c r="CY21" s="2510"/>
      <c r="CZ21" s="2510"/>
      <c r="DA21" s="2510"/>
      <c r="DB21" s="2582"/>
      <c r="DC21" s="2546"/>
      <c r="DD21" s="2510"/>
      <c r="DE21" s="2510"/>
      <c r="DF21" s="2510"/>
      <c r="DG21" s="2510"/>
      <c r="DH21" s="2528"/>
      <c r="DI21" s="2546"/>
      <c r="DJ21" s="2510"/>
      <c r="DK21" s="2510"/>
      <c r="DL21" s="2510"/>
      <c r="DM21" s="2510"/>
      <c r="DN21" s="2528"/>
      <c r="DO21" s="2549"/>
    </row>
    <row r="22" spans="3:119" s="910" customFormat="1" ht="54" customHeight="1">
      <c r="C22" s="2499"/>
      <c r="D22" s="2502"/>
      <c r="E22" s="2499"/>
      <c r="F22" s="2499"/>
      <c r="G22" s="2505"/>
      <c r="H22" s="2506"/>
      <c r="I22" s="2505"/>
      <c r="J22" s="2505"/>
      <c r="K22" s="1518" t="s">
        <v>435</v>
      </c>
      <c r="L22" s="1519"/>
      <c r="M22" s="1519"/>
      <c r="N22" s="1519"/>
      <c r="O22" s="1519"/>
      <c r="P22" s="1519">
        <v>2</v>
      </c>
      <c r="Q22" s="1519">
        <v>1</v>
      </c>
      <c r="R22" s="1519">
        <v>3</v>
      </c>
      <c r="S22" s="1526"/>
      <c r="T22" s="1519">
        <v>2</v>
      </c>
      <c r="U22" s="1519"/>
      <c r="V22" s="1519"/>
      <c r="W22" s="1519"/>
      <c r="X22" s="2511"/>
      <c r="Y22" s="2511"/>
      <c r="Z22" s="2529"/>
      <c r="AA22" s="2526"/>
      <c r="AB22" s="2520"/>
      <c r="AC22" s="2523"/>
      <c r="AD22" s="2511"/>
      <c r="AE22" s="2511"/>
      <c r="AF22" s="2529"/>
      <c r="AG22" s="2526"/>
      <c r="AH22" s="2520"/>
      <c r="AI22" s="2523"/>
      <c r="AJ22" s="2511"/>
      <c r="AK22" s="2511"/>
      <c r="AL22" s="2529"/>
      <c r="AM22" s="2526"/>
      <c r="AN22" s="2520"/>
      <c r="AO22" s="2523"/>
      <c r="AP22" s="2511"/>
      <c r="AQ22" s="2511"/>
      <c r="AR22" s="2529"/>
      <c r="AS22" s="2526"/>
      <c r="AT22" s="2520"/>
      <c r="AU22" s="2523"/>
      <c r="AV22" s="2511"/>
      <c r="AW22" s="2511"/>
      <c r="AX22" s="2529"/>
      <c r="AY22" s="2526"/>
      <c r="AZ22" s="2520"/>
      <c r="BA22" s="2523"/>
      <c r="BB22" s="2511"/>
      <c r="BC22" s="2511"/>
      <c r="BD22" s="2529"/>
      <c r="BE22" s="2526"/>
      <c r="BF22" s="2520"/>
      <c r="BG22" s="2523"/>
      <c r="BH22" s="2511"/>
      <c r="BI22" s="2511"/>
      <c r="BJ22" s="2571"/>
      <c r="BK22" s="2562"/>
      <c r="BL22" s="2520"/>
      <c r="BM22" s="2523"/>
      <c r="BN22" s="2511"/>
      <c r="BO22" s="2511"/>
      <c r="BP22" s="2574"/>
      <c r="BQ22" s="2517"/>
      <c r="BR22" s="2529"/>
      <c r="BS22" s="2523"/>
      <c r="BT22" s="2553"/>
      <c r="BU22" s="2553"/>
      <c r="BV22" s="2565"/>
      <c r="BW22" s="2517"/>
      <c r="BX22" s="2529"/>
      <c r="BY22" s="2523"/>
      <c r="BZ22" s="2511"/>
      <c r="CA22" s="2511"/>
      <c r="CB22" s="2511"/>
      <c r="CC22" s="2511"/>
      <c r="CD22" s="2511"/>
      <c r="CE22" s="2532"/>
      <c r="CF22" s="2535"/>
      <c r="CG22" s="2511"/>
      <c r="CH22" s="2577" t="str">
        <f t="shared" si="4"/>
        <v xml:space="preserve"> </v>
      </c>
      <c r="CI22" s="2511"/>
      <c r="CJ22" s="2529"/>
      <c r="CK22" s="2547"/>
      <c r="CL22" s="2535"/>
      <c r="CM22" s="2511"/>
      <c r="CN22" s="2577"/>
      <c r="CO22" s="2511"/>
      <c r="CP22" s="2529"/>
      <c r="CQ22" s="2580"/>
      <c r="CR22" s="2535"/>
      <c r="CS22" s="2535"/>
      <c r="CT22" s="2535"/>
      <c r="CU22" s="2535"/>
      <c r="CV22" s="2535"/>
      <c r="CW22" s="2547"/>
      <c r="CX22" s="2511"/>
      <c r="CY22" s="2511"/>
      <c r="CZ22" s="2511"/>
      <c r="DA22" s="2511"/>
      <c r="DB22" s="2583"/>
      <c r="DC22" s="2547"/>
      <c r="DD22" s="2511"/>
      <c r="DE22" s="2511"/>
      <c r="DF22" s="2511"/>
      <c r="DG22" s="2511"/>
      <c r="DH22" s="2529"/>
      <c r="DI22" s="2547"/>
      <c r="DJ22" s="2511"/>
      <c r="DK22" s="2511"/>
      <c r="DL22" s="2511"/>
      <c r="DM22" s="2511"/>
      <c r="DN22" s="2529"/>
      <c r="DO22" s="2550"/>
    </row>
    <row r="23" spans="3:119" s="910" customFormat="1" ht="291.75" customHeight="1">
      <c r="C23" s="2497" t="s">
        <v>416</v>
      </c>
      <c r="D23" s="2500">
        <v>6</v>
      </c>
      <c r="E23" s="2497" t="s">
        <v>2905</v>
      </c>
      <c r="F23" s="2497" t="s">
        <v>508</v>
      </c>
      <c r="G23" s="2503" t="s">
        <v>509</v>
      </c>
      <c r="H23" s="2506" t="s">
        <v>53</v>
      </c>
      <c r="I23" s="2503" t="s">
        <v>510</v>
      </c>
      <c r="J23" s="2503" t="s">
        <v>2766</v>
      </c>
      <c r="K23" s="1518" t="s">
        <v>512</v>
      </c>
      <c r="L23" s="1506"/>
      <c r="M23" s="1505"/>
      <c r="N23" s="1506"/>
      <c r="O23" s="1505"/>
      <c r="P23" s="1505"/>
      <c r="Q23" s="1505"/>
      <c r="R23" s="1505"/>
      <c r="S23" s="1507"/>
      <c r="T23" s="1505"/>
      <c r="U23" s="1506">
        <f>+V25/(SUM($L25:$W25))+T23</f>
        <v>1</v>
      </c>
      <c r="V23" s="1516">
        <f>+W25/(SUM($L25:$W25))+U23</f>
        <v>1</v>
      </c>
      <c r="W23" s="1506">
        <f>+X25/(SUM($L25:$W25))+V23</f>
        <v>1</v>
      </c>
      <c r="X23" s="2509" t="s">
        <v>423</v>
      </c>
      <c r="Y23" s="2509" t="s">
        <v>423</v>
      </c>
      <c r="Z23" s="2527" t="s">
        <v>423</v>
      </c>
      <c r="AA23" s="2524" t="s">
        <v>423</v>
      </c>
      <c r="AB23" s="2518" t="s">
        <v>423</v>
      </c>
      <c r="AC23" s="2521" t="s">
        <v>476</v>
      </c>
      <c r="AD23" s="2509" t="s">
        <v>423</v>
      </c>
      <c r="AE23" s="2509" t="s">
        <v>423</v>
      </c>
      <c r="AF23" s="2527" t="s">
        <v>423</v>
      </c>
      <c r="AG23" s="2524" t="s">
        <v>423</v>
      </c>
      <c r="AH23" s="2518" t="s">
        <v>423</v>
      </c>
      <c r="AI23" s="2521" t="s">
        <v>476</v>
      </c>
      <c r="AJ23" s="2509" t="s">
        <v>423</v>
      </c>
      <c r="AK23" s="2509" t="s">
        <v>423</v>
      </c>
      <c r="AL23" s="2527" t="s">
        <v>423</v>
      </c>
      <c r="AM23" s="2524" t="s">
        <v>423</v>
      </c>
      <c r="AN23" s="2518" t="s">
        <v>423</v>
      </c>
      <c r="AO23" s="2521" t="s">
        <v>476</v>
      </c>
      <c r="AP23" s="2509" t="s">
        <v>423</v>
      </c>
      <c r="AQ23" s="2509" t="s">
        <v>423</v>
      </c>
      <c r="AR23" s="2527" t="s">
        <v>423</v>
      </c>
      <c r="AS23" s="2524" t="s">
        <v>423</v>
      </c>
      <c r="AT23" s="2518" t="s">
        <v>423</v>
      </c>
      <c r="AU23" s="2521" t="s">
        <v>476</v>
      </c>
      <c r="AV23" s="2509" t="s">
        <v>423</v>
      </c>
      <c r="AW23" s="2509" t="s">
        <v>423</v>
      </c>
      <c r="AX23" s="2527" t="s">
        <v>423</v>
      </c>
      <c r="AY23" s="2524" t="s">
        <v>423</v>
      </c>
      <c r="AZ23" s="2518" t="s">
        <v>423</v>
      </c>
      <c r="BA23" s="2521" t="s">
        <v>476</v>
      </c>
      <c r="BB23" s="2509" t="s">
        <v>423</v>
      </c>
      <c r="BC23" s="2509" t="s">
        <v>423</v>
      </c>
      <c r="BD23" s="2527" t="s">
        <v>423</v>
      </c>
      <c r="BE23" s="2524" t="s">
        <v>423</v>
      </c>
      <c r="BF23" s="2518" t="s">
        <v>423</v>
      </c>
      <c r="BG23" s="2521" t="s">
        <v>476</v>
      </c>
      <c r="BH23" s="2509" t="s">
        <v>423</v>
      </c>
      <c r="BI23" s="2509" t="s">
        <v>423</v>
      </c>
      <c r="BJ23" s="2527" t="s">
        <v>423</v>
      </c>
      <c r="BK23" s="2524" t="s">
        <v>423</v>
      </c>
      <c r="BL23" s="2518" t="s">
        <v>423</v>
      </c>
      <c r="BM23" s="2521" t="s">
        <v>476</v>
      </c>
      <c r="BN23" s="2509" t="s">
        <v>423</v>
      </c>
      <c r="BO23" s="2509" t="s">
        <v>423</v>
      </c>
      <c r="BP23" s="2518" t="s">
        <v>423</v>
      </c>
      <c r="BQ23" s="2524" t="s">
        <v>423</v>
      </c>
      <c r="BR23" s="2527" t="s">
        <v>423</v>
      </c>
      <c r="BS23" s="2521" t="s">
        <v>476</v>
      </c>
      <c r="BT23" s="2509" t="s">
        <v>423</v>
      </c>
      <c r="BU23" s="2509" t="s">
        <v>423</v>
      </c>
      <c r="BV23" s="2518" t="s">
        <v>423</v>
      </c>
      <c r="BW23" s="2524" t="s">
        <v>423</v>
      </c>
      <c r="BX23" s="2527" t="s">
        <v>423</v>
      </c>
      <c r="BY23" s="2521" t="s">
        <v>476</v>
      </c>
      <c r="BZ23" s="2509" t="s">
        <v>423</v>
      </c>
      <c r="CA23" s="2509" t="s">
        <v>423</v>
      </c>
      <c r="CB23" s="2524" t="s">
        <v>423</v>
      </c>
      <c r="CC23" s="2524" t="s">
        <v>423</v>
      </c>
      <c r="CD23" s="2536" t="s">
        <v>423</v>
      </c>
      <c r="CE23" s="2530" t="s">
        <v>476</v>
      </c>
      <c r="CF23" s="2533" t="s">
        <v>423</v>
      </c>
      <c r="CG23" s="2509" t="s">
        <v>423</v>
      </c>
      <c r="CH23" s="2524" t="s">
        <v>423</v>
      </c>
      <c r="CI23" s="2524" t="s">
        <v>423</v>
      </c>
      <c r="CJ23" s="2536" t="s">
        <v>423</v>
      </c>
      <c r="CK23" s="2530" t="s">
        <v>476</v>
      </c>
      <c r="CL23" s="2533">
        <v>0</v>
      </c>
      <c r="CM23" s="2509">
        <v>1</v>
      </c>
      <c r="CN23" s="2575">
        <v>1</v>
      </c>
      <c r="CO23" s="2509">
        <v>0</v>
      </c>
      <c r="CP23" s="2536">
        <v>1</v>
      </c>
      <c r="CQ23" s="2545" t="s">
        <v>2906</v>
      </c>
      <c r="CR23" s="2533">
        <v>0</v>
      </c>
      <c r="CS23" s="2509">
        <v>1</v>
      </c>
      <c r="CT23" s="2575">
        <v>0</v>
      </c>
      <c r="CU23" s="2509">
        <v>1</v>
      </c>
      <c r="CV23" s="2536">
        <v>1</v>
      </c>
      <c r="CW23" s="2584" t="s">
        <v>2907</v>
      </c>
      <c r="CX23" s="2533" t="s">
        <v>423</v>
      </c>
      <c r="CY23" s="2533" t="s">
        <v>423</v>
      </c>
      <c r="CZ23" s="2533" t="s">
        <v>423</v>
      </c>
      <c r="DA23" s="2533" t="s">
        <v>423</v>
      </c>
      <c r="DB23" s="2533" t="s">
        <v>423</v>
      </c>
      <c r="DC23" s="2584" t="s">
        <v>2908</v>
      </c>
      <c r="DD23" s="2533">
        <v>1</v>
      </c>
      <c r="DE23" s="2509">
        <v>1</v>
      </c>
      <c r="DF23" s="2575">
        <v>1</v>
      </c>
      <c r="DG23" s="2509">
        <v>1</v>
      </c>
      <c r="DH23" s="2536">
        <v>1</v>
      </c>
      <c r="DI23" s="2584" t="s">
        <v>2909</v>
      </c>
      <c r="DJ23" s="2533">
        <v>1</v>
      </c>
      <c r="DK23" s="2509">
        <v>1</v>
      </c>
      <c r="DL23" s="2587">
        <v>1</v>
      </c>
      <c r="DM23" s="2509">
        <v>1</v>
      </c>
      <c r="DN23" s="2536">
        <v>1</v>
      </c>
      <c r="DO23" s="2590" t="s">
        <v>2910</v>
      </c>
    </row>
    <row r="24" spans="3:119" s="910" customFormat="1" ht="86.25" hidden="1" customHeight="1">
      <c r="C24" s="2498"/>
      <c r="D24" s="2501"/>
      <c r="E24" s="2498"/>
      <c r="F24" s="2498"/>
      <c r="G24" s="2504"/>
      <c r="H24" s="2506"/>
      <c r="I24" s="2504"/>
      <c r="J24" s="2504"/>
      <c r="K24" s="1518"/>
      <c r="L24" s="1529"/>
      <c r="M24" s="1530"/>
      <c r="N24" s="1530"/>
      <c r="O24" s="1530"/>
      <c r="P24" s="1530"/>
      <c r="Q24" s="1531"/>
      <c r="R24" s="1532"/>
      <c r="S24" s="1533"/>
      <c r="T24" s="1531"/>
      <c r="U24" s="1531"/>
      <c r="V24" s="1531" t="s">
        <v>2911</v>
      </c>
      <c r="W24" s="1531"/>
      <c r="X24" s="2510"/>
      <c r="Y24" s="2510"/>
      <c r="Z24" s="2528"/>
      <c r="AA24" s="2525"/>
      <c r="AB24" s="2519"/>
      <c r="AC24" s="2522"/>
      <c r="AD24" s="2510"/>
      <c r="AE24" s="2510"/>
      <c r="AF24" s="2528"/>
      <c r="AG24" s="2525"/>
      <c r="AH24" s="2519"/>
      <c r="AI24" s="2522"/>
      <c r="AJ24" s="2510"/>
      <c r="AK24" s="2510"/>
      <c r="AL24" s="2528"/>
      <c r="AM24" s="2525"/>
      <c r="AN24" s="2519"/>
      <c r="AO24" s="2522"/>
      <c r="AP24" s="2510"/>
      <c r="AQ24" s="2510"/>
      <c r="AR24" s="2528"/>
      <c r="AS24" s="2525"/>
      <c r="AT24" s="2519"/>
      <c r="AU24" s="2522"/>
      <c r="AV24" s="2510"/>
      <c r="AW24" s="2510"/>
      <c r="AX24" s="2528"/>
      <c r="AY24" s="2525"/>
      <c r="AZ24" s="2519"/>
      <c r="BA24" s="2522"/>
      <c r="BB24" s="2510"/>
      <c r="BC24" s="2510"/>
      <c r="BD24" s="2528"/>
      <c r="BE24" s="2525"/>
      <c r="BF24" s="2519"/>
      <c r="BG24" s="2522"/>
      <c r="BH24" s="2510"/>
      <c r="BI24" s="2510"/>
      <c r="BJ24" s="2528"/>
      <c r="BK24" s="2525"/>
      <c r="BL24" s="2519"/>
      <c r="BM24" s="2522"/>
      <c r="BN24" s="2510"/>
      <c r="BO24" s="2510"/>
      <c r="BP24" s="2519"/>
      <c r="BQ24" s="2525"/>
      <c r="BR24" s="2528"/>
      <c r="BS24" s="2522"/>
      <c r="BT24" s="2510"/>
      <c r="BU24" s="2510"/>
      <c r="BV24" s="2519"/>
      <c r="BW24" s="2525"/>
      <c r="BX24" s="2528"/>
      <c r="BY24" s="2522"/>
      <c r="BZ24" s="2510"/>
      <c r="CA24" s="2510"/>
      <c r="CB24" s="2525"/>
      <c r="CC24" s="2525"/>
      <c r="CD24" s="2537"/>
      <c r="CE24" s="2531"/>
      <c r="CF24" s="2534"/>
      <c r="CG24" s="2510"/>
      <c r="CH24" s="2525"/>
      <c r="CI24" s="2525"/>
      <c r="CJ24" s="2537"/>
      <c r="CK24" s="2531"/>
      <c r="CL24" s="2534"/>
      <c r="CM24" s="2510"/>
      <c r="CN24" s="2576"/>
      <c r="CO24" s="2510"/>
      <c r="CP24" s="2537"/>
      <c r="CQ24" s="2546"/>
      <c r="CR24" s="2534"/>
      <c r="CS24" s="2510"/>
      <c r="CT24" s="2576"/>
      <c r="CU24" s="2510"/>
      <c r="CV24" s="2537"/>
      <c r="CW24" s="2585"/>
      <c r="CX24" s="2534"/>
      <c r="CY24" s="2534"/>
      <c r="CZ24" s="2534"/>
      <c r="DA24" s="2534"/>
      <c r="DB24" s="2534"/>
      <c r="DC24" s="2585"/>
      <c r="DD24" s="2534"/>
      <c r="DE24" s="2510"/>
      <c r="DF24" s="2576"/>
      <c r="DG24" s="2510"/>
      <c r="DH24" s="2537"/>
      <c r="DI24" s="2585"/>
      <c r="DJ24" s="2534"/>
      <c r="DK24" s="2510"/>
      <c r="DL24" s="2588"/>
      <c r="DM24" s="2510"/>
      <c r="DN24" s="2537"/>
      <c r="DO24" s="2591"/>
    </row>
    <row r="25" spans="3:119" s="910" customFormat="1" ht="52.5" customHeight="1">
      <c r="C25" s="2499"/>
      <c r="D25" s="2502"/>
      <c r="E25" s="2499"/>
      <c r="F25" s="2499"/>
      <c r="G25" s="2505"/>
      <c r="H25" s="2506"/>
      <c r="I25" s="2505"/>
      <c r="J25" s="2505"/>
      <c r="K25" s="1518" t="s">
        <v>435</v>
      </c>
      <c r="L25" s="1529"/>
      <c r="M25" s="1534"/>
      <c r="N25" s="1534"/>
      <c r="O25" s="1534"/>
      <c r="P25" s="1534"/>
      <c r="Q25" s="1534"/>
      <c r="R25" s="1529"/>
      <c r="S25" s="1535"/>
      <c r="T25" s="1534"/>
      <c r="U25" s="1534"/>
      <c r="V25" s="1534">
        <v>1</v>
      </c>
      <c r="W25" s="1534"/>
      <c r="X25" s="2511"/>
      <c r="Y25" s="2511"/>
      <c r="Z25" s="2529"/>
      <c r="AA25" s="2526"/>
      <c r="AB25" s="2520"/>
      <c r="AC25" s="2523"/>
      <c r="AD25" s="2511"/>
      <c r="AE25" s="2511"/>
      <c r="AF25" s="2529"/>
      <c r="AG25" s="2526"/>
      <c r="AH25" s="2520"/>
      <c r="AI25" s="2523"/>
      <c r="AJ25" s="2511"/>
      <c r="AK25" s="2511"/>
      <c r="AL25" s="2529"/>
      <c r="AM25" s="2526"/>
      <c r="AN25" s="2520"/>
      <c r="AO25" s="2523"/>
      <c r="AP25" s="2511"/>
      <c r="AQ25" s="2511"/>
      <c r="AR25" s="2529"/>
      <c r="AS25" s="2526"/>
      <c r="AT25" s="2520"/>
      <c r="AU25" s="2523"/>
      <c r="AV25" s="2511"/>
      <c r="AW25" s="2511"/>
      <c r="AX25" s="2529"/>
      <c r="AY25" s="2526"/>
      <c r="AZ25" s="2520"/>
      <c r="BA25" s="2523"/>
      <c r="BB25" s="2511"/>
      <c r="BC25" s="2511"/>
      <c r="BD25" s="2529"/>
      <c r="BE25" s="2526"/>
      <c r="BF25" s="2520"/>
      <c r="BG25" s="2523"/>
      <c r="BH25" s="2511"/>
      <c r="BI25" s="2511"/>
      <c r="BJ25" s="2529"/>
      <c r="BK25" s="2526"/>
      <c r="BL25" s="2520"/>
      <c r="BM25" s="2523"/>
      <c r="BN25" s="2511"/>
      <c r="BO25" s="2511"/>
      <c r="BP25" s="2520"/>
      <c r="BQ25" s="2526"/>
      <c r="BR25" s="2529"/>
      <c r="BS25" s="2523"/>
      <c r="BT25" s="2511"/>
      <c r="BU25" s="2511"/>
      <c r="BV25" s="2520"/>
      <c r="BW25" s="2526"/>
      <c r="BX25" s="2529"/>
      <c r="BY25" s="2523"/>
      <c r="BZ25" s="2511"/>
      <c r="CA25" s="2511"/>
      <c r="CB25" s="2526"/>
      <c r="CC25" s="2526"/>
      <c r="CD25" s="2538"/>
      <c r="CE25" s="2532"/>
      <c r="CF25" s="2535"/>
      <c r="CG25" s="2511"/>
      <c r="CH25" s="2526"/>
      <c r="CI25" s="2526"/>
      <c r="CJ25" s="2538"/>
      <c r="CK25" s="2532"/>
      <c r="CL25" s="2535"/>
      <c r="CM25" s="2511"/>
      <c r="CN25" s="2577"/>
      <c r="CO25" s="2511"/>
      <c r="CP25" s="2538"/>
      <c r="CQ25" s="2547"/>
      <c r="CR25" s="2535"/>
      <c r="CS25" s="2511"/>
      <c r="CT25" s="2577"/>
      <c r="CU25" s="2511"/>
      <c r="CV25" s="2538"/>
      <c r="CW25" s="2586"/>
      <c r="CX25" s="2535"/>
      <c r="CY25" s="2535"/>
      <c r="CZ25" s="2535"/>
      <c r="DA25" s="2535"/>
      <c r="DB25" s="2535"/>
      <c r="DC25" s="2586"/>
      <c r="DD25" s="2535"/>
      <c r="DE25" s="2511"/>
      <c r="DF25" s="2577"/>
      <c r="DG25" s="2511"/>
      <c r="DH25" s="2538"/>
      <c r="DI25" s="2586"/>
      <c r="DJ25" s="2535"/>
      <c r="DK25" s="2511"/>
      <c r="DL25" s="2589"/>
      <c r="DM25" s="2511"/>
      <c r="DN25" s="2538"/>
      <c r="DO25" s="2592"/>
    </row>
    <row r="26" spans="3:119" s="910" customFormat="1" ht="262.5" customHeight="1">
      <c r="C26" s="1536" t="s">
        <v>416</v>
      </c>
      <c r="D26" s="1537">
        <v>7</v>
      </c>
      <c r="E26" s="1536" t="s">
        <v>2912</v>
      </c>
      <c r="F26" s="1536" t="s">
        <v>602</v>
      </c>
      <c r="G26" s="1538" t="s">
        <v>603</v>
      </c>
      <c r="H26" s="1504" t="s">
        <v>53</v>
      </c>
      <c r="I26" s="1504" t="s">
        <v>604</v>
      </c>
      <c r="J26" s="1504" t="s">
        <v>605</v>
      </c>
      <c r="K26" s="1518" t="s">
        <v>606</v>
      </c>
      <c r="L26" s="1529">
        <v>1.34</v>
      </c>
      <c r="M26" s="1529">
        <v>0.78</v>
      </c>
      <c r="N26" s="1539">
        <v>1.31</v>
      </c>
      <c r="O26" s="1529">
        <v>0.93</v>
      </c>
      <c r="P26" s="1529">
        <v>1.587</v>
      </c>
      <c r="Q26" s="1529">
        <v>0.23699999999999999</v>
      </c>
      <c r="R26" s="1529">
        <v>0.192</v>
      </c>
      <c r="S26" s="1540">
        <v>9.6000000000000002E-2</v>
      </c>
      <c r="T26" s="1529">
        <v>0.24299999999999999</v>
      </c>
      <c r="U26" s="1529">
        <v>1.7453000000000001</v>
      </c>
      <c r="V26" s="1529">
        <v>1.8214999999999999</v>
      </c>
      <c r="W26" s="1529">
        <v>2.6303999999999998</v>
      </c>
      <c r="X26" s="1541">
        <v>1.34</v>
      </c>
      <c r="Y26" s="1541">
        <v>1.34</v>
      </c>
      <c r="Z26" s="1542">
        <v>1.34</v>
      </c>
      <c r="AA26" s="1541">
        <v>1.34</v>
      </c>
      <c r="AB26" s="1543">
        <f>Z26/AA26</f>
        <v>1</v>
      </c>
      <c r="AC26" s="1509" t="s">
        <v>2913</v>
      </c>
      <c r="AD26" s="1541">
        <v>0.78</v>
      </c>
      <c r="AE26" s="1541">
        <v>0.78</v>
      </c>
      <c r="AF26" s="1542">
        <v>0.78</v>
      </c>
      <c r="AG26" s="1541">
        <v>0.78</v>
      </c>
      <c r="AH26" s="1543">
        <f>AF26/AG26</f>
        <v>1</v>
      </c>
      <c r="AI26" s="1509" t="s">
        <v>2914</v>
      </c>
      <c r="AJ26" s="1541"/>
      <c r="AK26" s="1541"/>
      <c r="AL26" s="1542"/>
      <c r="AM26" s="1541"/>
      <c r="AN26" s="1543"/>
      <c r="AO26" s="1509"/>
      <c r="AP26" s="1541">
        <v>0.78</v>
      </c>
      <c r="AQ26" s="1541">
        <v>0.78</v>
      </c>
      <c r="AR26" s="1542">
        <v>0.78</v>
      </c>
      <c r="AS26" s="1541">
        <v>0.78</v>
      </c>
      <c r="AT26" s="1543">
        <f>AR26/AS26</f>
        <v>1</v>
      </c>
      <c r="AU26" s="1509" t="s">
        <v>2915</v>
      </c>
      <c r="AV26" s="1544">
        <v>0.82299999999999995</v>
      </c>
      <c r="AW26" s="1541">
        <v>1.31</v>
      </c>
      <c r="AX26" s="1545">
        <v>0.82299999999999995</v>
      </c>
      <c r="AY26" s="1541">
        <v>1.31</v>
      </c>
      <c r="AZ26" s="1543">
        <f>AX26/AY26</f>
        <v>0.62824427480916023</v>
      </c>
      <c r="BA26" s="1509" t="s">
        <v>2916</v>
      </c>
      <c r="BB26" s="1544">
        <v>1.43</v>
      </c>
      <c r="BC26" s="1541">
        <v>0.93</v>
      </c>
      <c r="BD26" s="1545">
        <v>1.43</v>
      </c>
      <c r="BE26" s="1541">
        <v>0.93</v>
      </c>
      <c r="BF26" s="1543">
        <f>BD26/BE26</f>
        <v>1.5376344086021503</v>
      </c>
      <c r="BG26" s="1509" t="s">
        <v>2917</v>
      </c>
      <c r="BH26" s="1544">
        <v>0.93</v>
      </c>
      <c r="BI26" s="1544">
        <v>1.587</v>
      </c>
      <c r="BJ26" s="1545">
        <v>0.93</v>
      </c>
      <c r="BK26" s="1544">
        <v>1.587</v>
      </c>
      <c r="BL26" s="1543">
        <f>BJ26/BK26</f>
        <v>0.5860113421550095</v>
      </c>
      <c r="BM26" s="1509" t="s">
        <v>2918</v>
      </c>
      <c r="BN26" s="1529">
        <v>1.1284000000000001</v>
      </c>
      <c r="BO26" s="1529">
        <v>0.23699999999999999</v>
      </c>
      <c r="BP26" s="1529">
        <v>1.1284000000000001</v>
      </c>
      <c r="BQ26" s="1529">
        <v>0.23699999999999999</v>
      </c>
      <c r="BR26" s="1546">
        <f>BP26/BQ26</f>
        <v>4.7611814345991563</v>
      </c>
      <c r="BS26" s="1547" t="s">
        <v>2919</v>
      </c>
      <c r="BT26" s="1548">
        <v>1</v>
      </c>
      <c r="BU26" s="1548">
        <v>1</v>
      </c>
      <c r="BV26" s="1548">
        <v>0.58450000000000002</v>
      </c>
      <c r="BW26" s="1548">
        <v>0.192</v>
      </c>
      <c r="BX26" s="1546">
        <f>BV26/BW26</f>
        <v>3.0442708333333335</v>
      </c>
      <c r="BY26" s="1549" t="s">
        <v>612</v>
      </c>
      <c r="BZ26" s="1550">
        <v>0.55359999999999998</v>
      </c>
      <c r="CA26" s="1551">
        <v>1</v>
      </c>
      <c r="CB26" s="1550">
        <f>IF(CA26=0," ",BZ26/CA26)</f>
        <v>0.55359999999999998</v>
      </c>
      <c r="CC26" s="1551">
        <f>+S26</f>
        <v>9.6000000000000002E-2</v>
      </c>
      <c r="CD26" s="1546">
        <f>CB26/CC26</f>
        <v>5.7666666666666666</v>
      </c>
      <c r="CE26" s="1513" t="s">
        <v>332</v>
      </c>
      <c r="CF26" s="1552">
        <v>1</v>
      </c>
      <c r="CG26" s="1551">
        <v>1</v>
      </c>
      <c r="CH26" s="1550">
        <f>IF(CG26=0," ",CF26/CG26)</f>
        <v>1</v>
      </c>
      <c r="CI26" s="1551">
        <f>+T26</f>
        <v>0.24299999999999999</v>
      </c>
      <c r="CJ26" s="1546">
        <f>CH26/CI26</f>
        <v>4.1152263374485596</v>
      </c>
      <c r="CK26" s="1553" t="s">
        <v>2920</v>
      </c>
      <c r="CL26" s="1552">
        <f>+CN26</f>
        <v>2.3169</v>
      </c>
      <c r="CM26" s="1551">
        <v>12.47</v>
      </c>
      <c r="CN26" s="1554">
        <v>2.3169</v>
      </c>
      <c r="CO26" s="1551">
        <f t="shared" ref="CO26:CO32" si="6">+U26</f>
        <v>1.7453000000000001</v>
      </c>
      <c r="CP26" s="1546">
        <f>CN26/CO26</f>
        <v>1.3275081647854237</v>
      </c>
      <c r="CQ26" s="1553" t="s">
        <v>615</v>
      </c>
      <c r="CR26" s="1552">
        <f>+CT26</f>
        <v>2.7770000000000001</v>
      </c>
      <c r="CS26" s="1551">
        <v>12.47</v>
      </c>
      <c r="CT26" s="1554">
        <v>2.7770000000000001</v>
      </c>
      <c r="CU26" s="1551">
        <f>V26</f>
        <v>1.8214999999999999</v>
      </c>
      <c r="CV26" s="1546">
        <f>CT26/CU26</f>
        <v>1.524567664013176</v>
      </c>
      <c r="CW26" s="1553" t="s">
        <v>615</v>
      </c>
      <c r="CX26" s="1552">
        <f>+CZ26</f>
        <v>0.89379999999999993</v>
      </c>
      <c r="CY26" s="1551">
        <v>12.47</v>
      </c>
      <c r="CZ26" s="1554">
        <v>0.89379999999999993</v>
      </c>
      <c r="DA26" s="1529">
        <v>2.6303999999999998</v>
      </c>
      <c r="DB26" s="1546">
        <f>CZ26/DA26</f>
        <v>0.33979622871046228</v>
      </c>
      <c r="DC26" s="1553" t="s">
        <v>2921</v>
      </c>
      <c r="DD26" s="1552">
        <f>+DF26</f>
        <v>14.5572</v>
      </c>
      <c r="DE26" s="1551">
        <v>12.47</v>
      </c>
      <c r="DF26" s="1554">
        <f>CZ26+CT26+CN26+CH26+CB26+BV26+BP26+BJ26+BD26+AX26+AR26+Z26</f>
        <v>14.5572</v>
      </c>
      <c r="DG26" s="1551">
        <v>15.34</v>
      </c>
      <c r="DH26" s="1546">
        <f t="shared" ref="DH26:DH32" si="7">DF26/DG26</f>
        <v>0.9489700130378097</v>
      </c>
      <c r="DI26" s="1553" t="s">
        <v>2922</v>
      </c>
      <c r="DJ26" s="1552">
        <f>+DL26</f>
        <v>27.7744</v>
      </c>
      <c r="DK26" s="1551">
        <v>12.47</v>
      </c>
      <c r="DL26" s="1554">
        <f>DF26+CZ26+CT26+CN26+CH26+CB26+BV26+BP26+BJ26+BD26+AX26+AF26</f>
        <v>27.7744</v>
      </c>
      <c r="DM26" s="1551">
        <v>12.47</v>
      </c>
      <c r="DN26" s="1546">
        <f t="shared" ref="DN26:DN32" si="8">DL26/DM26</f>
        <v>2.2272975140336806</v>
      </c>
      <c r="DO26" s="1555" t="s">
        <v>2923</v>
      </c>
    </row>
    <row r="27" spans="3:119" s="910" customFormat="1" ht="337.15" customHeight="1">
      <c r="C27" s="1536" t="s">
        <v>416</v>
      </c>
      <c r="D27" s="1537">
        <v>8</v>
      </c>
      <c r="E27" s="1536" t="s">
        <v>2924</v>
      </c>
      <c r="F27" s="1536" t="s">
        <v>620</v>
      </c>
      <c r="G27" s="1538" t="s">
        <v>603</v>
      </c>
      <c r="H27" s="1504" t="s">
        <v>53</v>
      </c>
      <c r="I27" s="1504" t="s">
        <v>604</v>
      </c>
      <c r="J27" s="1504" t="s">
        <v>605</v>
      </c>
      <c r="K27" s="1518" t="s">
        <v>621</v>
      </c>
      <c r="L27" s="1529">
        <v>0.61</v>
      </c>
      <c r="M27" s="1529">
        <v>0.23599999999999999</v>
      </c>
      <c r="N27" s="1529">
        <v>0.311</v>
      </c>
      <c r="O27" s="1529">
        <v>0.27500000000000002</v>
      </c>
      <c r="P27" s="1529">
        <v>0.38900000000000001</v>
      </c>
      <c r="Q27" s="1529">
        <v>0.24</v>
      </c>
      <c r="R27" s="1529">
        <v>4.8000000000000001E-2</v>
      </c>
      <c r="S27" s="1556">
        <v>2.4E-2</v>
      </c>
      <c r="T27" s="1529">
        <v>7.5999999999999998E-2</v>
      </c>
      <c r="U27" s="1529">
        <v>1.3456999999999999</v>
      </c>
      <c r="V27" s="1529">
        <v>0.32700000000000001</v>
      </c>
      <c r="W27" s="1529">
        <v>0.20760000000000001</v>
      </c>
      <c r="X27" s="1541">
        <v>0.61</v>
      </c>
      <c r="Y27" s="1541">
        <v>0.61</v>
      </c>
      <c r="Z27" s="1542">
        <v>0.61</v>
      </c>
      <c r="AA27" s="1541">
        <v>0.61</v>
      </c>
      <c r="AB27" s="1543">
        <f>Z27/AA27</f>
        <v>1</v>
      </c>
      <c r="AC27" s="1509" t="s">
        <v>2925</v>
      </c>
      <c r="AD27" s="1544">
        <v>0.23599999999999999</v>
      </c>
      <c r="AE27" s="1541">
        <v>0.19</v>
      </c>
      <c r="AF27" s="1542">
        <v>0.19</v>
      </c>
      <c r="AG27" s="1511">
        <v>0.23599999999999999</v>
      </c>
      <c r="AH27" s="1543">
        <f>AF27/AG27</f>
        <v>0.80508474576271194</v>
      </c>
      <c r="AI27" s="1509" t="s">
        <v>2926</v>
      </c>
      <c r="AJ27" s="1544"/>
      <c r="AK27" s="1541"/>
      <c r="AL27" s="1542"/>
      <c r="AM27" s="1541"/>
      <c r="AN27" s="1543"/>
      <c r="AO27" s="1509"/>
      <c r="AP27" s="1544">
        <v>0.23599999999999999</v>
      </c>
      <c r="AQ27" s="1544">
        <v>0.23599999999999999</v>
      </c>
      <c r="AR27" s="1545">
        <v>0.23599999999999999</v>
      </c>
      <c r="AS27" s="1511">
        <v>0.23599999999999999</v>
      </c>
      <c r="AT27" s="1543">
        <f>AR27/AS27</f>
        <v>1</v>
      </c>
      <c r="AU27" s="1509" t="s">
        <v>2927</v>
      </c>
      <c r="AV27" s="1544">
        <v>0.316</v>
      </c>
      <c r="AW27" s="1544">
        <v>0.311</v>
      </c>
      <c r="AX27" s="1545">
        <v>0.316</v>
      </c>
      <c r="AY27" s="1544">
        <v>0.311</v>
      </c>
      <c r="AZ27" s="1543">
        <f>AX27/AY27</f>
        <v>1.0160771704180065</v>
      </c>
      <c r="BA27" s="1509" t="s">
        <v>2928</v>
      </c>
      <c r="BB27" s="1544">
        <v>0.44400000000000001</v>
      </c>
      <c r="BC27" s="1544">
        <v>0.27500000000000002</v>
      </c>
      <c r="BD27" s="1545">
        <v>0.44400000000000001</v>
      </c>
      <c r="BE27" s="1544">
        <v>0.27500000000000002</v>
      </c>
      <c r="BF27" s="1543">
        <f>BD27/BE27</f>
        <v>1.6145454545454545</v>
      </c>
      <c r="BG27" s="1509" t="s">
        <v>2929</v>
      </c>
      <c r="BH27" s="1544">
        <v>0.193</v>
      </c>
      <c r="BI27" s="1544">
        <v>0.38900000000000001</v>
      </c>
      <c r="BJ27" s="1544">
        <v>0.193</v>
      </c>
      <c r="BK27" s="1544">
        <v>0.38900000000000001</v>
      </c>
      <c r="BL27" s="1543">
        <f>BJ27/BK27</f>
        <v>0.49614395886889462</v>
      </c>
      <c r="BM27" s="1509" t="s">
        <v>2930</v>
      </c>
      <c r="BN27" s="1544">
        <v>0.182</v>
      </c>
      <c r="BO27" s="1529">
        <v>0.24</v>
      </c>
      <c r="BP27" s="1544">
        <v>0.182</v>
      </c>
      <c r="BQ27" s="1529">
        <v>0.24</v>
      </c>
      <c r="BR27" s="1546">
        <f>BP27/BQ27</f>
        <v>0.7583333333333333</v>
      </c>
      <c r="BS27" s="1547" t="s">
        <v>2931</v>
      </c>
      <c r="BT27" s="1548">
        <v>1</v>
      </c>
      <c r="BU27" s="1548">
        <v>1</v>
      </c>
      <c r="BV27" s="1548">
        <v>0.15759999999999999</v>
      </c>
      <c r="BW27" s="1548">
        <v>4.8000000000000001E-2</v>
      </c>
      <c r="BX27" s="1557">
        <f>IF(BU27=0," ",BV27/BW27)</f>
        <v>3.2833333333333332</v>
      </c>
      <c r="BY27" s="1558" t="s">
        <v>612</v>
      </c>
      <c r="BZ27" s="1550">
        <v>0.1192</v>
      </c>
      <c r="CA27" s="1551">
        <v>1</v>
      </c>
      <c r="CB27" s="1550">
        <f>IF(CA27=0," ",BZ27/CA27)</f>
        <v>0.1192</v>
      </c>
      <c r="CC27" s="1551">
        <f>+S27</f>
        <v>2.4E-2</v>
      </c>
      <c r="CD27" s="1557">
        <f>CB27/CC27</f>
        <v>4.9666666666666668</v>
      </c>
      <c r="CE27" s="1513" t="s">
        <v>628</v>
      </c>
      <c r="CF27" s="1552">
        <v>0.41199999999999998</v>
      </c>
      <c r="CG27" s="1551">
        <v>1</v>
      </c>
      <c r="CH27" s="1550">
        <f>IF(CG27=0," ",CF27/CG27)</f>
        <v>0.41199999999999998</v>
      </c>
      <c r="CI27" s="1551">
        <f>+T27</f>
        <v>7.5999999999999998E-2</v>
      </c>
      <c r="CJ27" s="1557">
        <f>CH27/CI27</f>
        <v>5.4210526315789469</v>
      </c>
      <c r="CK27" s="1513" t="s">
        <v>629</v>
      </c>
      <c r="CL27" s="1559">
        <v>0.2576</v>
      </c>
      <c r="CM27" s="1560">
        <v>1</v>
      </c>
      <c r="CN27" s="1554">
        <v>0.18419999999999997</v>
      </c>
      <c r="CO27" s="1560">
        <f t="shared" si="6"/>
        <v>1.3456999999999999</v>
      </c>
      <c r="CP27" s="1557">
        <f>CN27/CO27</f>
        <v>0.13688043397488295</v>
      </c>
      <c r="CQ27" s="1553" t="s">
        <v>2932</v>
      </c>
      <c r="CR27" s="1559">
        <v>0.2576</v>
      </c>
      <c r="CS27" s="1560">
        <v>1</v>
      </c>
      <c r="CT27" s="1554">
        <v>0.251</v>
      </c>
      <c r="CU27" s="1560">
        <f>V27</f>
        <v>0.32700000000000001</v>
      </c>
      <c r="CV27" s="1557">
        <f>CT27/CU27</f>
        <v>0.76758409785932724</v>
      </c>
      <c r="CW27" s="1553" t="s">
        <v>2933</v>
      </c>
      <c r="CX27" s="1559">
        <v>0.2576</v>
      </c>
      <c r="CY27" s="1560">
        <v>1</v>
      </c>
      <c r="CZ27" s="1554">
        <v>9.1700000000000004E-2</v>
      </c>
      <c r="DA27" s="1529">
        <v>0.20760000000000001</v>
      </c>
      <c r="DB27" s="1557">
        <f>CZ27/DA27</f>
        <v>0.44171483622350677</v>
      </c>
      <c r="DC27" s="1553" t="s">
        <v>632</v>
      </c>
      <c r="DD27" s="1559">
        <v>0.2576</v>
      </c>
      <c r="DE27" s="1560">
        <v>1</v>
      </c>
      <c r="DF27" s="1554">
        <f>CZ27+CT27+CN27+CH27+CB27+BV27+BP27+BJ27+BD27+AX27+AR27+Z27</f>
        <v>3.1966999999999994</v>
      </c>
      <c r="DG27" s="1560">
        <v>4.08</v>
      </c>
      <c r="DH27" s="1561">
        <f t="shared" si="7"/>
        <v>0.78350490196078415</v>
      </c>
      <c r="DI27" s="1553" t="s">
        <v>2934</v>
      </c>
      <c r="DJ27" s="1559">
        <v>0.2576</v>
      </c>
      <c r="DK27" s="1560">
        <v>1</v>
      </c>
      <c r="DL27" s="1554">
        <f>DF27+CZ27+CT27+CN27+CH27+CB27+BV27+BP27+BJ27+BD27+AX27+AF27</f>
        <v>5.7374000000000001</v>
      </c>
      <c r="DM27" s="1560">
        <v>4.08</v>
      </c>
      <c r="DN27" s="1561">
        <f t="shared" si="8"/>
        <v>1.4062254901960785</v>
      </c>
      <c r="DO27" s="1555" t="s">
        <v>2934</v>
      </c>
    </row>
    <row r="28" spans="3:119" s="910" customFormat="1" ht="265.5" customHeight="1">
      <c r="C28" s="1536" t="s">
        <v>416</v>
      </c>
      <c r="D28" s="1537">
        <v>9</v>
      </c>
      <c r="E28" s="1536" t="s">
        <v>2935</v>
      </c>
      <c r="F28" s="1536" t="s">
        <v>649</v>
      </c>
      <c r="G28" s="1538" t="s">
        <v>603</v>
      </c>
      <c r="H28" s="1504" t="s">
        <v>53</v>
      </c>
      <c r="I28" s="1538" t="s">
        <v>604</v>
      </c>
      <c r="J28" s="1504" t="s">
        <v>605</v>
      </c>
      <c r="K28" s="1518" t="s">
        <v>650</v>
      </c>
      <c r="L28" s="1529"/>
      <c r="M28" s="1529"/>
      <c r="N28" s="1562"/>
      <c r="O28" s="1529"/>
      <c r="P28" s="1529"/>
      <c r="Q28" s="1563"/>
      <c r="R28" s="1563"/>
      <c r="S28" s="1535"/>
      <c r="T28" s="1563"/>
      <c r="U28" s="1535">
        <v>1</v>
      </c>
      <c r="V28" s="1563"/>
      <c r="W28" s="1563"/>
      <c r="X28" s="1508" t="s">
        <v>423</v>
      </c>
      <c r="Y28" s="1508" t="s">
        <v>423</v>
      </c>
      <c r="Z28" s="1546" t="s">
        <v>423</v>
      </c>
      <c r="AA28" s="1510" t="s">
        <v>423</v>
      </c>
      <c r="AB28" s="1543" t="s">
        <v>423</v>
      </c>
      <c r="AC28" s="1509" t="s">
        <v>476</v>
      </c>
      <c r="AD28" s="1508" t="s">
        <v>423</v>
      </c>
      <c r="AE28" s="1508" t="s">
        <v>423</v>
      </c>
      <c r="AF28" s="1546" t="s">
        <v>423</v>
      </c>
      <c r="AG28" s="1510" t="s">
        <v>423</v>
      </c>
      <c r="AH28" s="1543" t="s">
        <v>423</v>
      </c>
      <c r="AI28" s="1509" t="s">
        <v>476</v>
      </c>
      <c r="AJ28" s="1508" t="s">
        <v>423</v>
      </c>
      <c r="AK28" s="1508" t="s">
        <v>423</v>
      </c>
      <c r="AL28" s="1546" t="s">
        <v>423</v>
      </c>
      <c r="AM28" s="1510" t="s">
        <v>423</v>
      </c>
      <c r="AN28" s="1543" t="s">
        <v>423</v>
      </c>
      <c r="AO28" s="1509" t="s">
        <v>476</v>
      </c>
      <c r="AP28" s="1508" t="s">
        <v>423</v>
      </c>
      <c r="AQ28" s="1508" t="s">
        <v>423</v>
      </c>
      <c r="AR28" s="1546" t="s">
        <v>423</v>
      </c>
      <c r="AS28" s="1510" t="s">
        <v>423</v>
      </c>
      <c r="AT28" s="1543" t="s">
        <v>423</v>
      </c>
      <c r="AU28" s="1509" t="s">
        <v>476</v>
      </c>
      <c r="AV28" s="1508" t="s">
        <v>423</v>
      </c>
      <c r="AW28" s="1508" t="s">
        <v>423</v>
      </c>
      <c r="AX28" s="1546" t="s">
        <v>423</v>
      </c>
      <c r="AY28" s="1510" t="s">
        <v>423</v>
      </c>
      <c r="AZ28" s="1543" t="s">
        <v>423</v>
      </c>
      <c r="BA28" s="1509" t="s">
        <v>476</v>
      </c>
      <c r="BB28" s="1508" t="s">
        <v>423</v>
      </c>
      <c r="BC28" s="1508" t="s">
        <v>423</v>
      </c>
      <c r="BD28" s="1546" t="s">
        <v>423</v>
      </c>
      <c r="BE28" s="1510" t="s">
        <v>423</v>
      </c>
      <c r="BF28" s="1543" t="s">
        <v>423</v>
      </c>
      <c r="BG28" s="1509" t="s">
        <v>476</v>
      </c>
      <c r="BH28" s="1508" t="s">
        <v>423</v>
      </c>
      <c r="BI28" s="1508" t="s">
        <v>423</v>
      </c>
      <c r="BJ28" s="1546" t="s">
        <v>423</v>
      </c>
      <c r="BK28" s="1510" t="s">
        <v>423</v>
      </c>
      <c r="BL28" s="1543" t="s">
        <v>423</v>
      </c>
      <c r="BM28" s="1509" t="s">
        <v>476</v>
      </c>
      <c r="BN28" s="1508" t="s">
        <v>423</v>
      </c>
      <c r="BO28" s="1508" t="s">
        <v>423</v>
      </c>
      <c r="BP28" s="1543" t="s">
        <v>423</v>
      </c>
      <c r="BQ28" s="1510" t="s">
        <v>423</v>
      </c>
      <c r="BR28" s="1546" t="s">
        <v>423</v>
      </c>
      <c r="BS28" s="1509" t="s">
        <v>476</v>
      </c>
      <c r="BT28" s="1564" t="s">
        <v>423</v>
      </c>
      <c r="BU28" s="1564" t="s">
        <v>423</v>
      </c>
      <c r="BV28" s="1565" t="s">
        <v>423</v>
      </c>
      <c r="BW28" s="1566" t="s">
        <v>423</v>
      </c>
      <c r="BX28" s="1567" t="s">
        <v>423</v>
      </c>
      <c r="BY28" s="1568" t="s">
        <v>476</v>
      </c>
      <c r="BZ28" s="1564">
        <v>0</v>
      </c>
      <c r="CA28" s="1564">
        <v>1</v>
      </c>
      <c r="CB28" s="1564">
        <v>0</v>
      </c>
      <c r="CC28" s="1564">
        <v>1</v>
      </c>
      <c r="CD28" s="1557">
        <f>CB28/CC28</f>
        <v>0</v>
      </c>
      <c r="CE28" s="1569" t="s">
        <v>2936</v>
      </c>
      <c r="CF28" s="1570" t="s">
        <v>423</v>
      </c>
      <c r="CG28" s="1564" t="s">
        <v>423</v>
      </c>
      <c r="CH28" s="1564" t="s">
        <v>423</v>
      </c>
      <c r="CI28" s="1564" t="s">
        <v>423</v>
      </c>
      <c r="CJ28" s="1557" t="s">
        <v>423</v>
      </c>
      <c r="CK28" s="1553" t="s">
        <v>476</v>
      </c>
      <c r="CL28" s="1570">
        <v>1</v>
      </c>
      <c r="CM28" s="1564">
        <v>1</v>
      </c>
      <c r="CN28" s="1564">
        <v>1</v>
      </c>
      <c r="CO28" s="1551">
        <f>+U28</f>
        <v>1</v>
      </c>
      <c r="CP28" s="1557">
        <f>CN28/CO28</f>
        <v>1</v>
      </c>
      <c r="CQ28" s="1553" t="s">
        <v>2937</v>
      </c>
      <c r="CR28" s="1570" t="s">
        <v>423</v>
      </c>
      <c r="CS28" s="1570" t="s">
        <v>423</v>
      </c>
      <c r="CT28" s="1570" t="s">
        <v>423</v>
      </c>
      <c r="CU28" s="1570" t="s">
        <v>423</v>
      </c>
      <c r="CV28" s="1570" t="s">
        <v>423</v>
      </c>
      <c r="CW28" s="1553" t="s">
        <v>690</v>
      </c>
      <c r="CX28" s="1570" t="s">
        <v>423</v>
      </c>
      <c r="CY28" s="1570" t="s">
        <v>423</v>
      </c>
      <c r="CZ28" s="1570" t="s">
        <v>423</v>
      </c>
      <c r="DA28" s="1570" t="s">
        <v>423</v>
      </c>
      <c r="DB28" s="1570" t="s">
        <v>423</v>
      </c>
      <c r="DC28" s="1553" t="s">
        <v>428</v>
      </c>
      <c r="DD28" s="1564">
        <v>1</v>
      </c>
      <c r="DE28" s="1564">
        <v>1</v>
      </c>
      <c r="DF28" s="1564">
        <v>1</v>
      </c>
      <c r="DG28" s="1564">
        <v>1</v>
      </c>
      <c r="DH28" s="1561">
        <f t="shared" si="7"/>
        <v>1</v>
      </c>
      <c r="DI28" s="1553" t="s">
        <v>2938</v>
      </c>
      <c r="DJ28" s="1564">
        <v>1</v>
      </c>
      <c r="DK28" s="1564">
        <v>1</v>
      </c>
      <c r="DL28" s="1564">
        <v>1</v>
      </c>
      <c r="DM28" s="1564">
        <v>1</v>
      </c>
      <c r="DN28" s="1561">
        <f t="shared" si="8"/>
        <v>1</v>
      </c>
      <c r="DO28" s="1555" t="s">
        <v>2938</v>
      </c>
    </row>
    <row r="29" spans="3:119" s="910" customFormat="1" ht="174.75" hidden="1" customHeight="1">
      <c r="C29" s="1536" t="s">
        <v>416</v>
      </c>
      <c r="D29" s="1537">
        <v>10</v>
      </c>
      <c r="E29" s="1536" t="s">
        <v>2939</v>
      </c>
      <c r="F29" s="1536" t="s">
        <v>2940</v>
      </c>
      <c r="G29" s="1538" t="s">
        <v>603</v>
      </c>
      <c r="H29" s="1504" t="s">
        <v>53</v>
      </c>
      <c r="I29" s="1538" t="s">
        <v>604</v>
      </c>
      <c r="J29" s="1504" t="s">
        <v>2941</v>
      </c>
      <c r="K29" s="1518" t="s">
        <v>2942</v>
      </c>
      <c r="L29" s="1529"/>
      <c r="M29" s="1529"/>
      <c r="N29" s="1562"/>
      <c r="O29" s="1529"/>
      <c r="P29" s="1529"/>
      <c r="Q29" s="1563"/>
      <c r="R29" s="1563"/>
      <c r="S29" s="1571"/>
      <c r="T29" s="1563"/>
      <c r="U29" s="1563"/>
      <c r="V29" s="1563"/>
      <c r="W29" s="1563"/>
      <c r="X29" s="1525"/>
      <c r="Y29" s="1525"/>
      <c r="Z29" s="1572"/>
      <c r="AA29" s="1573"/>
      <c r="AB29" s="1574"/>
      <c r="AC29" s="1575"/>
      <c r="AD29" s="1525"/>
      <c r="AE29" s="1525"/>
      <c r="AF29" s="1572"/>
      <c r="AG29" s="1573"/>
      <c r="AH29" s="1574"/>
      <c r="AI29" s="1575"/>
      <c r="AJ29" s="1525"/>
      <c r="AK29" s="1525"/>
      <c r="AL29" s="1572"/>
      <c r="AM29" s="1573"/>
      <c r="AN29" s="1574"/>
      <c r="AO29" s="1575"/>
      <c r="AP29" s="1525"/>
      <c r="AQ29" s="1525"/>
      <c r="AR29" s="1572"/>
      <c r="AS29" s="1573"/>
      <c r="AT29" s="1574"/>
      <c r="AU29" s="1575"/>
      <c r="AV29" s="1525"/>
      <c r="AW29" s="1525"/>
      <c r="AX29" s="1572"/>
      <c r="AY29" s="1573"/>
      <c r="AZ29" s="1574"/>
      <c r="BA29" s="1575"/>
      <c r="BB29" s="1525"/>
      <c r="BC29" s="1525"/>
      <c r="BD29" s="1572"/>
      <c r="BE29" s="1573"/>
      <c r="BF29" s="1574"/>
      <c r="BG29" s="1575"/>
      <c r="BH29" s="1525"/>
      <c r="BI29" s="1576"/>
      <c r="BJ29" s="1577"/>
      <c r="BK29" s="1578"/>
      <c r="BL29" s="1579"/>
      <c r="BM29" s="1580"/>
      <c r="BN29" s="1525"/>
      <c r="BO29" s="1576"/>
      <c r="BP29" s="1577"/>
      <c r="BQ29" s="1578"/>
      <c r="BR29" s="1577"/>
      <c r="BS29" s="1580"/>
      <c r="BT29" s="1525"/>
      <c r="BU29" s="1576"/>
      <c r="BV29" s="1577"/>
      <c r="BW29" s="1578"/>
      <c r="BX29" s="1577"/>
      <c r="BY29" s="1580"/>
      <c r="BZ29" s="1532"/>
      <c r="CA29" s="1532"/>
      <c r="CB29" s="1532"/>
      <c r="CC29" s="1532"/>
      <c r="CD29" s="1532"/>
      <c r="CE29" s="1581"/>
      <c r="CF29" s="1582"/>
      <c r="CG29" s="1532"/>
      <c r="CH29" s="1532"/>
      <c r="CI29" s="1532"/>
      <c r="CJ29" s="1532"/>
      <c r="CK29" s="1581"/>
      <c r="CL29" s="1582"/>
      <c r="CM29" s="1532"/>
      <c r="CN29" s="1532"/>
      <c r="CO29" s="1551">
        <f t="shared" si="6"/>
        <v>0</v>
      </c>
      <c r="CP29" s="1557" t="e">
        <f>CN29/CO29</f>
        <v>#DIV/0!</v>
      </c>
      <c r="CQ29" s="1581"/>
      <c r="CR29" s="1582"/>
      <c r="CS29" s="1532"/>
      <c r="CT29" s="1532"/>
      <c r="CU29" s="1551">
        <f>+AA29</f>
        <v>0</v>
      </c>
      <c r="CV29" s="1557" t="e">
        <f>CT29/CU29</f>
        <v>#DIV/0!</v>
      </c>
      <c r="CW29" s="1581"/>
      <c r="CX29" s="1582"/>
      <c r="CY29" s="1532"/>
      <c r="CZ29" s="1532"/>
      <c r="DA29" s="1551">
        <f>+AG29</f>
        <v>0</v>
      </c>
      <c r="DB29" s="1557" t="e">
        <f>CZ29/DA29</f>
        <v>#DIV/0!</v>
      </c>
      <c r="DC29" s="1581"/>
      <c r="DD29" s="1582"/>
      <c r="DE29" s="1532"/>
      <c r="DF29" s="1532"/>
      <c r="DG29" s="1551">
        <f>+AM29</f>
        <v>0</v>
      </c>
      <c r="DH29" s="1561" t="e">
        <f t="shared" si="7"/>
        <v>#DIV/0!</v>
      </c>
      <c r="DI29" s="1581"/>
      <c r="DJ29" s="1582"/>
      <c r="DK29" s="1532"/>
      <c r="DL29" s="1532"/>
      <c r="DM29" s="1551">
        <f>+AS29</f>
        <v>0</v>
      </c>
      <c r="DN29" s="1561" t="e">
        <f t="shared" si="8"/>
        <v>#DIV/0!</v>
      </c>
      <c r="DO29" s="1583"/>
    </row>
    <row r="30" spans="3:119" s="910" customFormat="1" ht="409.5">
      <c r="C30" s="1536" t="s">
        <v>416</v>
      </c>
      <c r="D30" s="1537">
        <v>10</v>
      </c>
      <c r="E30" s="1536" t="s">
        <v>2943</v>
      </c>
      <c r="F30" s="1536" t="s">
        <v>636</v>
      </c>
      <c r="G30" s="1538" t="s">
        <v>603</v>
      </c>
      <c r="H30" s="1504" t="s">
        <v>53</v>
      </c>
      <c r="I30" s="1538" t="s">
        <v>604</v>
      </c>
      <c r="J30" s="1504" t="s">
        <v>605</v>
      </c>
      <c r="K30" s="1518" t="s">
        <v>637</v>
      </c>
      <c r="L30" s="1529"/>
      <c r="M30" s="1529"/>
      <c r="N30" s="1562"/>
      <c r="O30" s="1529"/>
      <c r="P30" s="1529"/>
      <c r="Q30" s="1532"/>
      <c r="R30" s="1534">
        <v>1</v>
      </c>
      <c r="S30" s="1571"/>
      <c r="T30" s="1563"/>
      <c r="U30" s="1563"/>
      <c r="V30" s="1563"/>
      <c r="W30" s="1563"/>
      <c r="X30" s="1508" t="s">
        <v>423</v>
      </c>
      <c r="Y30" s="1508" t="s">
        <v>423</v>
      </c>
      <c r="Z30" s="1546" t="s">
        <v>423</v>
      </c>
      <c r="AA30" s="1510" t="s">
        <v>423</v>
      </c>
      <c r="AB30" s="1543" t="s">
        <v>423</v>
      </c>
      <c r="AC30" s="1509" t="s">
        <v>476</v>
      </c>
      <c r="AD30" s="1508" t="s">
        <v>423</v>
      </c>
      <c r="AE30" s="1508" t="s">
        <v>423</v>
      </c>
      <c r="AF30" s="1546" t="s">
        <v>423</v>
      </c>
      <c r="AG30" s="1510" t="s">
        <v>423</v>
      </c>
      <c r="AH30" s="1543" t="s">
        <v>423</v>
      </c>
      <c r="AI30" s="1509" t="s">
        <v>476</v>
      </c>
      <c r="AJ30" s="1508" t="s">
        <v>423</v>
      </c>
      <c r="AK30" s="1508" t="s">
        <v>423</v>
      </c>
      <c r="AL30" s="1546" t="s">
        <v>423</v>
      </c>
      <c r="AM30" s="1510" t="s">
        <v>423</v>
      </c>
      <c r="AN30" s="1543" t="s">
        <v>423</v>
      </c>
      <c r="AO30" s="1509" t="s">
        <v>476</v>
      </c>
      <c r="AP30" s="1508" t="s">
        <v>423</v>
      </c>
      <c r="AQ30" s="1508" t="s">
        <v>423</v>
      </c>
      <c r="AR30" s="1546" t="s">
        <v>423</v>
      </c>
      <c r="AS30" s="1510" t="s">
        <v>423</v>
      </c>
      <c r="AT30" s="1543" t="s">
        <v>423</v>
      </c>
      <c r="AU30" s="1509" t="s">
        <v>476</v>
      </c>
      <c r="AV30" s="1508" t="s">
        <v>423</v>
      </c>
      <c r="AW30" s="1508" t="s">
        <v>423</v>
      </c>
      <c r="AX30" s="1546" t="s">
        <v>423</v>
      </c>
      <c r="AY30" s="1510" t="s">
        <v>423</v>
      </c>
      <c r="AZ30" s="1543" t="s">
        <v>423</v>
      </c>
      <c r="BA30" s="1509" t="s">
        <v>476</v>
      </c>
      <c r="BB30" s="1508" t="s">
        <v>423</v>
      </c>
      <c r="BC30" s="1508" t="s">
        <v>423</v>
      </c>
      <c r="BD30" s="1546" t="s">
        <v>423</v>
      </c>
      <c r="BE30" s="1510" t="s">
        <v>423</v>
      </c>
      <c r="BF30" s="1543" t="s">
        <v>423</v>
      </c>
      <c r="BG30" s="1509" t="s">
        <v>476</v>
      </c>
      <c r="BH30" s="1508" t="s">
        <v>423</v>
      </c>
      <c r="BI30" s="1508" t="s">
        <v>423</v>
      </c>
      <c r="BJ30" s="1546" t="s">
        <v>423</v>
      </c>
      <c r="BK30" s="1510" t="s">
        <v>423</v>
      </c>
      <c r="BL30" s="1543" t="s">
        <v>423</v>
      </c>
      <c r="BM30" s="1509" t="s">
        <v>476</v>
      </c>
      <c r="BN30" s="1508">
        <v>1</v>
      </c>
      <c r="BO30" s="1508">
        <v>0</v>
      </c>
      <c r="BP30" s="1508">
        <v>1</v>
      </c>
      <c r="BQ30" s="1508">
        <v>1</v>
      </c>
      <c r="BR30" s="1584">
        <f>BP30/BQ30</f>
        <v>1</v>
      </c>
      <c r="BS30" s="1509" t="s">
        <v>2944</v>
      </c>
      <c r="BT30" s="1548">
        <v>1</v>
      </c>
      <c r="BU30" s="1557">
        <v>1</v>
      </c>
      <c r="BV30" s="1548">
        <v>0</v>
      </c>
      <c r="BW30" s="1548">
        <v>1</v>
      </c>
      <c r="BX30" s="1557">
        <f>IF(BU30=0," ",BV30/BW30)</f>
        <v>0</v>
      </c>
      <c r="BY30" s="1585" t="s">
        <v>2945</v>
      </c>
      <c r="BZ30" s="1548" t="s">
        <v>423</v>
      </c>
      <c r="CA30" s="1548" t="s">
        <v>423</v>
      </c>
      <c r="CB30" s="1548" t="s">
        <v>423</v>
      </c>
      <c r="CC30" s="1548" t="s">
        <v>423</v>
      </c>
      <c r="CD30" s="1548" t="s">
        <v>423</v>
      </c>
      <c r="CE30" s="1569" t="s">
        <v>2946</v>
      </c>
      <c r="CF30" s="1570" t="s">
        <v>423</v>
      </c>
      <c r="CG30" s="1564" t="s">
        <v>423</v>
      </c>
      <c r="CH30" s="1564" t="s">
        <v>423</v>
      </c>
      <c r="CI30" s="1564" t="s">
        <v>423</v>
      </c>
      <c r="CJ30" s="1557" t="s">
        <v>423</v>
      </c>
      <c r="CK30" s="1553" t="s">
        <v>2947</v>
      </c>
      <c r="CL30" s="1570" t="s">
        <v>423</v>
      </c>
      <c r="CM30" s="1564" t="s">
        <v>423</v>
      </c>
      <c r="CN30" s="1564" t="s">
        <v>423</v>
      </c>
      <c r="CO30" s="1551">
        <f t="shared" si="6"/>
        <v>0</v>
      </c>
      <c r="CP30" s="1557" t="s">
        <v>423</v>
      </c>
      <c r="CQ30" s="1553" t="s">
        <v>690</v>
      </c>
      <c r="CR30" s="1570" t="s">
        <v>423</v>
      </c>
      <c r="CS30" s="1564" t="s">
        <v>423</v>
      </c>
      <c r="CT30" s="1564" t="s">
        <v>423</v>
      </c>
      <c r="CU30" s="1551" t="str">
        <f>+AA30</f>
        <v>NA</v>
      </c>
      <c r="CV30" s="1557" t="s">
        <v>423</v>
      </c>
      <c r="CW30" s="1553" t="s">
        <v>428</v>
      </c>
      <c r="CX30" s="1570" t="s">
        <v>423</v>
      </c>
      <c r="CY30" s="1564" t="s">
        <v>423</v>
      </c>
      <c r="CZ30" s="1564" t="s">
        <v>423</v>
      </c>
      <c r="DA30" s="1551" t="str">
        <f>+AG30</f>
        <v>NA</v>
      </c>
      <c r="DB30" s="1557" t="s">
        <v>423</v>
      </c>
      <c r="DC30" s="1553" t="s">
        <v>428</v>
      </c>
      <c r="DD30" s="1564">
        <v>1</v>
      </c>
      <c r="DE30" s="1564">
        <v>1</v>
      </c>
      <c r="DF30" s="1564">
        <v>1</v>
      </c>
      <c r="DG30" s="1586">
        <v>1</v>
      </c>
      <c r="DH30" s="1561">
        <f t="shared" si="7"/>
        <v>1</v>
      </c>
      <c r="DI30" s="1553" t="s">
        <v>2948</v>
      </c>
      <c r="DJ30" s="1564">
        <v>1</v>
      </c>
      <c r="DK30" s="1564">
        <v>1</v>
      </c>
      <c r="DL30" s="1564">
        <v>1</v>
      </c>
      <c r="DM30" s="1586">
        <v>1</v>
      </c>
      <c r="DN30" s="1561">
        <f t="shared" si="8"/>
        <v>1</v>
      </c>
      <c r="DO30" s="1555" t="s">
        <v>2948</v>
      </c>
    </row>
    <row r="31" spans="3:119" s="910" customFormat="1" ht="249" customHeight="1">
      <c r="C31" s="1536" t="s">
        <v>416</v>
      </c>
      <c r="D31" s="1537">
        <v>11</v>
      </c>
      <c r="E31" s="1536" t="s">
        <v>2949</v>
      </c>
      <c r="F31" s="1536" t="s">
        <v>2791</v>
      </c>
      <c r="G31" s="1538" t="s">
        <v>603</v>
      </c>
      <c r="H31" s="1504" t="s">
        <v>53</v>
      </c>
      <c r="I31" s="1538" t="s">
        <v>604</v>
      </c>
      <c r="J31" s="1504" t="s">
        <v>605</v>
      </c>
      <c r="K31" s="1587" t="s">
        <v>658</v>
      </c>
      <c r="L31" s="1529">
        <v>2.9499999999999998E-2</v>
      </c>
      <c r="M31" s="1534">
        <v>0.1</v>
      </c>
      <c r="N31" s="1529">
        <v>0.15</v>
      </c>
      <c r="O31" s="1529">
        <v>0.32</v>
      </c>
      <c r="P31" s="1529">
        <v>0.37</v>
      </c>
      <c r="Q31" s="1529">
        <v>0.48</v>
      </c>
      <c r="R31" s="1529">
        <v>8.1000000000000003E-2</v>
      </c>
      <c r="S31" s="1556">
        <v>4.2500000000000003E-2</v>
      </c>
      <c r="T31" s="1529">
        <v>0</v>
      </c>
      <c r="U31" s="1529">
        <v>0</v>
      </c>
      <c r="V31" s="1529">
        <v>0</v>
      </c>
      <c r="W31" s="1529">
        <v>0</v>
      </c>
      <c r="X31" s="1529">
        <v>2.9499999999999998E-2</v>
      </c>
      <c r="Y31" s="1541">
        <v>0</v>
      </c>
      <c r="Z31" s="1588">
        <v>2.9499999999999998E-2</v>
      </c>
      <c r="AA31" s="1541">
        <v>0</v>
      </c>
      <c r="AB31" s="1543">
        <v>1</v>
      </c>
      <c r="AC31" s="1509" t="s">
        <v>2950</v>
      </c>
      <c r="AD31" s="1534">
        <v>0.1</v>
      </c>
      <c r="AE31" s="1534">
        <v>0.1</v>
      </c>
      <c r="AF31" s="1589">
        <v>0.1</v>
      </c>
      <c r="AG31" s="1534">
        <v>0.1</v>
      </c>
      <c r="AH31" s="1543">
        <f>AG31/AF31</f>
        <v>1</v>
      </c>
      <c r="AI31" s="1509" t="s">
        <v>2951</v>
      </c>
      <c r="AJ31" s="1534"/>
      <c r="AK31" s="1534"/>
      <c r="AL31" s="1589"/>
      <c r="AM31" s="1534"/>
      <c r="AN31" s="1543"/>
      <c r="AO31" s="1509"/>
      <c r="AP31" s="1534">
        <v>0.1</v>
      </c>
      <c r="AQ31" s="1534">
        <v>0.1</v>
      </c>
      <c r="AR31" s="1589">
        <v>0.1</v>
      </c>
      <c r="AS31" s="1534">
        <v>0.1</v>
      </c>
      <c r="AT31" s="1543">
        <f>AR31/AS31</f>
        <v>1</v>
      </c>
      <c r="AU31" s="1509" t="s">
        <v>2952</v>
      </c>
      <c r="AV31" s="1534">
        <v>0</v>
      </c>
      <c r="AW31" s="1534">
        <v>0.15</v>
      </c>
      <c r="AX31" s="1589">
        <v>0</v>
      </c>
      <c r="AY31" s="1534">
        <v>0.15</v>
      </c>
      <c r="AZ31" s="1543">
        <f>AX31/AY31</f>
        <v>0</v>
      </c>
      <c r="BA31" s="1509" t="s">
        <v>2953</v>
      </c>
      <c r="BB31" s="1534">
        <v>0.17</v>
      </c>
      <c r="BC31" s="1534">
        <v>0.32</v>
      </c>
      <c r="BD31" s="1589">
        <v>0.17</v>
      </c>
      <c r="BE31" s="1534">
        <v>0.32</v>
      </c>
      <c r="BF31" s="1543">
        <f>BD31/BE31</f>
        <v>0.53125</v>
      </c>
      <c r="BG31" s="1509" t="s">
        <v>2954</v>
      </c>
      <c r="BH31" s="1534">
        <v>1</v>
      </c>
      <c r="BI31" s="1534">
        <v>0.37</v>
      </c>
      <c r="BJ31" s="1589">
        <v>1</v>
      </c>
      <c r="BK31" s="1534">
        <v>0.37</v>
      </c>
      <c r="BL31" s="1543">
        <f>BJ31/BK31</f>
        <v>2.7027027027027026</v>
      </c>
      <c r="BM31" s="1509" t="s">
        <v>2955</v>
      </c>
      <c r="BN31" s="1534">
        <v>0.05</v>
      </c>
      <c r="BO31" s="1534">
        <v>0.48</v>
      </c>
      <c r="BP31" s="1589">
        <v>0.05</v>
      </c>
      <c r="BQ31" s="1534">
        <v>0.48</v>
      </c>
      <c r="BR31" s="1546">
        <f>BP31/BQ31</f>
        <v>0.10416666666666667</v>
      </c>
      <c r="BS31" s="1509" t="s">
        <v>2956</v>
      </c>
      <c r="BT31" s="1548">
        <v>0.26</v>
      </c>
      <c r="BU31" s="1557">
        <v>8.1000000000000003E-2</v>
      </c>
      <c r="BV31" s="1548">
        <v>0.26</v>
      </c>
      <c r="BW31" s="1548">
        <v>8.1000000000000003E-2</v>
      </c>
      <c r="BX31" s="1546">
        <f>BV31/BW31</f>
        <v>3.2098765432098766</v>
      </c>
      <c r="BY31" s="1568" t="s">
        <v>612</v>
      </c>
      <c r="BZ31" s="1551">
        <v>1.4E-2</v>
      </c>
      <c r="CA31" s="1529">
        <v>4.2500000000000003E-2</v>
      </c>
      <c r="CB31" s="1551">
        <v>1.4E-2</v>
      </c>
      <c r="CC31" s="1551">
        <f>+S31</f>
        <v>4.2500000000000003E-2</v>
      </c>
      <c r="CD31" s="1557">
        <f>CB31/CC31</f>
        <v>0.32941176470588235</v>
      </c>
      <c r="CE31" s="1553" t="s">
        <v>2957</v>
      </c>
      <c r="CF31" s="1559">
        <v>0</v>
      </c>
      <c r="CG31" s="1529">
        <v>1</v>
      </c>
      <c r="CH31" s="1560">
        <v>0.23</v>
      </c>
      <c r="CI31" s="1560">
        <v>0</v>
      </c>
      <c r="CJ31" s="1566">
        <v>1</v>
      </c>
      <c r="CK31" s="1553" t="s">
        <v>665</v>
      </c>
      <c r="CL31" s="1570">
        <f>+CN31</f>
        <v>0.10163800000000001</v>
      </c>
      <c r="CM31" s="1564">
        <v>0</v>
      </c>
      <c r="CN31" s="1590">
        <f>0.101638</f>
        <v>0.10163800000000001</v>
      </c>
      <c r="CO31" s="1551"/>
      <c r="CP31" s="1557">
        <v>1</v>
      </c>
      <c r="CQ31" s="1553" t="s">
        <v>2958</v>
      </c>
      <c r="CR31" s="1570" t="s">
        <v>423</v>
      </c>
      <c r="CS31" s="1570" t="s">
        <v>423</v>
      </c>
      <c r="CT31" s="1570" t="s">
        <v>423</v>
      </c>
      <c r="CU31" s="1570" t="s">
        <v>423</v>
      </c>
      <c r="CV31" s="1570" t="s">
        <v>423</v>
      </c>
      <c r="CW31" s="1553" t="s">
        <v>2959</v>
      </c>
      <c r="CX31" s="1570" t="s">
        <v>423</v>
      </c>
      <c r="CY31" s="1570" t="s">
        <v>423</v>
      </c>
      <c r="CZ31" s="1570" t="s">
        <v>423</v>
      </c>
      <c r="DA31" s="1570" t="s">
        <v>423</v>
      </c>
      <c r="DB31" s="1570" t="s">
        <v>423</v>
      </c>
      <c r="DC31" s="1553" t="s">
        <v>2854</v>
      </c>
      <c r="DD31" s="1564">
        <v>2</v>
      </c>
      <c r="DE31" s="1570">
        <v>1.573</v>
      </c>
      <c r="DF31" s="1591">
        <f>Z31+AF31+AX31+BD31+BJ31+BP31+BV31+CB31+CH31+CN31</f>
        <v>1.9551380000000003</v>
      </c>
      <c r="DG31" s="1570">
        <v>1.573</v>
      </c>
      <c r="DH31" s="1561">
        <f t="shared" si="7"/>
        <v>1.2429357914812462</v>
      </c>
      <c r="DI31" s="1553" t="s">
        <v>2960</v>
      </c>
      <c r="DJ31" s="1564">
        <v>2</v>
      </c>
      <c r="DK31" s="1570">
        <v>1.573</v>
      </c>
      <c r="DL31" s="1591" t="e">
        <f>AF31+AL31+BD31+BJ31+BP31+BV31+CB31+CH31+CN31+CT31</f>
        <v>#VALUE!</v>
      </c>
      <c r="DM31" s="1570">
        <v>1.573</v>
      </c>
      <c r="DN31" s="1561" t="e">
        <f t="shared" si="8"/>
        <v>#VALUE!</v>
      </c>
      <c r="DO31" s="1555" t="s">
        <v>2960</v>
      </c>
    </row>
    <row r="32" spans="3:119" s="910" customFormat="1" ht="409.15" customHeight="1">
      <c r="C32" s="1536" t="s">
        <v>416</v>
      </c>
      <c r="D32" s="1537">
        <v>12</v>
      </c>
      <c r="E32" s="1536" t="s">
        <v>2961</v>
      </c>
      <c r="F32" s="1536" t="s">
        <v>670</v>
      </c>
      <c r="G32" s="1538" t="s">
        <v>603</v>
      </c>
      <c r="H32" s="1504" t="s">
        <v>53</v>
      </c>
      <c r="I32" s="1538" t="s">
        <v>604</v>
      </c>
      <c r="J32" s="1504" t="s">
        <v>605</v>
      </c>
      <c r="K32" s="1587" t="s">
        <v>671</v>
      </c>
      <c r="L32" s="1529">
        <v>568.69000000000005</v>
      </c>
      <c r="M32" s="1534">
        <v>1714.1</v>
      </c>
      <c r="N32" s="1534">
        <v>4519.8500000000004</v>
      </c>
      <c r="O32" s="1534">
        <v>4442.3500000000004</v>
      </c>
      <c r="P32" s="1534">
        <v>4136.41</v>
      </c>
      <c r="Q32" s="1534">
        <v>2600</v>
      </c>
      <c r="R32" s="1532">
        <v>339.37</v>
      </c>
      <c r="S32" s="1556">
        <v>250</v>
      </c>
      <c r="T32" s="1529">
        <v>0</v>
      </c>
      <c r="U32" s="1529">
        <v>3188.3070000000002</v>
      </c>
      <c r="V32" s="1529">
        <v>9303.7099999999991</v>
      </c>
      <c r="W32" s="1529">
        <v>9121.43</v>
      </c>
      <c r="X32" s="1541">
        <v>568.69000000000005</v>
      </c>
      <c r="Y32" s="1541">
        <v>568.69000000000005</v>
      </c>
      <c r="Z32" s="1542">
        <v>568.69000000000005</v>
      </c>
      <c r="AA32" s="1541">
        <v>568.69000000000005</v>
      </c>
      <c r="AB32" s="1543">
        <f>Z32/AA32</f>
        <v>1</v>
      </c>
      <c r="AC32" s="1509" t="s">
        <v>2962</v>
      </c>
      <c r="AD32" s="1541">
        <v>1645.21</v>
      </c>
      <c r="AE32" s="1541">
        <v>1714.1</v>
      </c>
      <c r="AF32" s="1542">
        <v>1645.21</v>
      </c>
      <c r="AG32" s="1541">
        <v>1714.1</v>
      </c>
      <c r="AH32" s="1543">
        <f>AF32/AG32</f>
        <v>0.95980981272971244</v>
      </c>
      <c r="AI32" s="1509" t="s">
        <v>2963</v>
      </c>
      <c r="AJ32" s="1541"/>
      <c r="AK32" s="1541"/>
      <c r="AL32" s="1542"/>
      <c r="AM32" s="1541"/>
      <c r="AN32" s="1543"/>
      <c r="AO32" s="1509"/>
      <c r="AP32" s="1541">
        <v>1714.1</v>
      </c>
      <c r="AQ32" s="1541">
        <v>1714.1</v>
      </c>
      <c r="AR32" s="1542">
        <v>1714.1</v>
      </c>
      <c r="AS32" s="1541">
        <v>1714.1</v>
      </c>
      <c r="AT32" s="1543">
        <f>AR32/AS32</f>
        <v>1</v>
      </c>
      <c r="AU32" s="1509" t="s">
        <v>2964</v>
      </c>
      <c r="AV32" s="1541">
        <v>2243.35</v>
      </c>
      <c r="AW32" s="1534">
        <v>4519.8500000000004</v>
      </c>
      <c r="AX32" s="1542">
        <v>2243.35</v>
      </c>
      <c r="AY32" s="1534">
        <v>4519.8500000000004</v>
      </c>
      <c r="AZ32" s="1592">
        <f>AX32/AY32</f>
        <v>0.49633284290407864</v>
      </c>
      <c r="BA32" s="1509" t="s">
        <v>2965</v>
      </c>
      <c r="BB32" s="1541">
        <v>2153</v>
      </c>
      <c r="BC32" s="1534">
        <v>4442.3500000000004</v>
      </c>
      <c r="BD32" s="1542">
        <v>2153</v>
      </c>
      <c r="BE32" s="1534">
        <v>4442.3500000000004</v>
      </c>
      <c r="BF32" s="1592">
        <f>BD32/BE32</f>
        <v>0.48465339291140946</v>
      </c>
      <c r="BG32" s="1509" t="s">
        <v>2966</v>
      </c>
      <c r="BH32" s="1541">
        <v>4082.19</v>
      </c>
      <c r="BI32" s="1534">
        <v>4136.41</v>
      </c>
      <c r="BJ32" s="1542">
        <v>4082.19</v>
      </c>
      <c r="BK32" s="1534">
        <v>4136.41</v>
      </c>
      <c r="BL32" s="1592">
        <f>BJ32/BK32</f>
        <v>0.98689201505653457</v>
      </c>
      <c r="BM32" s="1509" t="s">
        <v>2967</v>
      </c>
      <c r="BN32" s="1541">
        <v>3855.16</v>
      </c>
      <c r="BO32" s="1534">
        <v>2600</v>
      </c>
      <c r="BP32" s="1541">
        <v>3855.16</v>
      </c>
      <c r="BQ32" s="1534">
        <v>2600</v>
      </c>
      <c r="BR32" s="1584">
        <f>BP32/BQ32</f>
        <v>1.4827538461538461</v>
      </c>
      <c r="BS32" s="1509" t="s">
        <v>2968</v>
      </c>
      <c r="BT32" s="1548">
        <v>2516.87</v>
      </c>
      <c r="BU32" s="1557">
        <v>339.37</v>
      </c>
      <c r="BV32" s="1548">
        <v>2516.87</v>
      </c>
      <c r="BW32" s="1548">
        <v>339.37</v>
      </c>
      <c r="BX32" s="1557">
        <f>IF(BU32=0," ",BV32/BW32)</f>
        <v>7.4163007926451954</v>
      </c>
      <c r="BY32" s="1568" t="s">
        <v>2969</v>
      </c>
      <c r="BZ32" s="1548">
        <v>3759.8</v>
      </c>
      <c r="CA32" s="1548">
        <v>250</v>
      </c>
      <c r="CB32" s="1548">
        <v>3759.8</v>
      </c>
      <c r="CC32" s="1551">
        <f>+S32</f>
        <v>250</v>
      </c>
      <c r="CD32" s="1557">
        <f>CB32/CC32</f>
        <v>15.039200000000001</v>
      </c>
      <c r="CE32" s="1553" t="s">
        <v>2970</v>
      </c>
      <c r="CF32" s="1552">
        <v>4438.6205000000009</v>
      </c>
      <c r="CG32" s="1548">
        <v>100</v>
      </c>
      <c r="CH32" s="1586">
        <v>4438.6205000000009</v>
      </c>
      <c r="CI32" s="1551">
        <v>1453</v>
      </c>
      <c r="CJ32" s="1557">
        <f>CH32/CI32</f>
        <v>3.0547973158981425</v>
      </c>
      <c r="CK32" s="1553" t="s">
        <v>680</v>
      </c>
      <c r="CL32" s="1552">
        <f>+CN32</f>
        <v>5211.09584</v>
      </c>
      <c r="CM32" s="1548">
        <v>34115</v>
      </c>
      <c r="CN32" s="1586">
        <v>5211.09584</v>
      </c>
      <c r="CO32" s="1551">
        <f t="shared" si="6"/>
        <v>3188.3070000000002</v>
      </c>
      <c r="CP32" s="1557">
        <f>CN32/CO32</f>
        <v>1.6344397951640164</v>
      </c>
      <c r="CQ32" s="1553" t="s">
        <v>681</v>
      </c>
      <c r="CR32" s="1591">
        <f>+CT32</f>
        <v>7645.1411399999997</v>
      </c>
      <c r="CS32" s="1548">
        <v>34115</v>
      </c>
      <c r="CT32" s="1586">
        <v>7645.1411399999997</v>
      </c>
      <c r="CU32" s="1551">
        <f>V32</f>
        <v>9303.7099999999991</v>
      </c>
      <c r="CV32" s="1557">
        <f>CT32/CU32</f>
        <v>0.82173037852641584</v>
      </c>
      <c r="CW32" s="1553" t="s">
        <v>682</v>
      </c>
      <c r="CX32" s="1586">
        <v>8590.8363199999985</v>
      </c>
      <c r="CY32" s="1548">
        <v>34.115000000000002</v>
      </c>
      <c r="CZ32" s="1586">
        <v>3039.2763199999999</v>
      </c>
      <c r="DA32" s="1593">
        <f>W32</f>
        <v>9121.43</v>
      </c>
      <c r="DB32" s="1557">
        <f>CZ32/DA32</f>
        <v>0.33320173700834188</v>
      </c>
      <c r="DC32" s="1553" t="s">
        <v>2971</v>
      </c>
      <c r="DD32" s="1586">
        <f>DF32</f>
        <v>41158.4038</v>
      </c>
      <c r="DE32" s="1548">
        <v>34.119999999999997</v>
      </c>
      <c r="DF32" s="1586">
        <f>Z32+AF32+AX32+BD32+BJ32+BP32+BV32+CB32+CH32+CN32+CT32+CZ32</f>
        <v>41158.4038</v>
      </c>
      <c r="DG32" s="1594">
        <v>34115</v>
      </c>
      <c r="DH32" s="1561">
        <f t="shared" si="7"/>
        <v>1.2064606126337387</v>
      </c>
      <c r="DI32" s="1553" t="s">
        <v>2972</v>
      </c>
      <c r="DJ32" s="1586">
        <f>DL32</f>
        <v>79504.767599999992</v>
      </c>
      <c r="DK32" s="1548">
        <v>34.119999999999997</v>
      </c>
      <c r="DL32" s="1586">
        <f>AF32+AL32+BD32+BJ32+BP32+BV32+CB32+CH32+CN32+CT32+CZ32+DF32</f>
        <v>79504.767599999992</v>
      </c>
      <c r="DM32" s="1594">
        <v>34115</v>
      </c>
      <c r="DN32" s="1561">
        <f t="shared" si="8"/>
        <v>2.330492967902682</v>
      </c>
      <c r="DO32" s="1555" t="s">
        <v>2972</v>
      </c>
    </row>
    <row r="33" spans="3:119" s="910" customFormat="1" ht="2.4500000000000002" customHeight="1">
      <c r="C33" s="1536" t="s">
        <v>416</v>
      </c>
      <c r="D33" s="1537">
        <v>14</v>
      </c>
      <c r="E33" s="1536" t="s">
        <v>2973</v>
      </c>
      <c r="F33" s="1536" t="s">
        <v>696</v>
      </c>
      <c r="G33" s="1538" t="s">
        <v>603</v>
      </c>
      <c r="H33" s="1504" t="s">
        <v>53</v>
      </c>
      <c r="I33" s="1538" t="s">
        <v>604</v>
      </c>
      <c r="J33" s="1504" t="s">
        <v>605</v>
      </c>
      <c r="K33" s="1587" t="s">
        <v>697</v>
      </c>
      <c r="L33" s="1529"/>
      <c r="M33" s="1529"/>
      <c r="N33" s="1562"/>
      <c r="O33" s="1529"/>
      <c r="P33" s="1529"/>
      <c r="Q33" s="1563"/>
      <c r="R33" s="1563"/>
      <c r="S33" s="1571"/>
      <c r="T33" s="1563"/>
      <c r="U33" s="1563"/>
      <c r="V33" s="1563"/>
      <c r="W33" s="1563"/>
      <c r="X33" s="1595"/>
      <c r="Y33" s="1596"/>
      <c r="Z33" s="1518"/>
      <c r="AA33" s="1518"/>
      <c r="AB33" s="1518"/>
      <c r="AC33" s="1518"/>
      <c r="AD33" s="1595"/>
      <c r="AE33" s="1596"/>
      <c r="AF33" s="1518"/>
      <c r="AG33" s="1518"/>
      <c r="AH33" s="1518"/>
      <c r="AI33" s="1518"/>
      <c r="AJ33" s="1595"/>
      <c r="AK33" s="1596"/>
      <c r="AL33" s="1518"/>
      <c r="AM33" s="1518"/>
      <c r="AN33" s="1518"/>
      <c r="AO33" s="1518"/>
      <c r="AP33" s="1595"/>
      <c r="AQ33" s="1596"/>
      <c r="AR33" s="1518"/>
      <c r="AS33" s="1518"/>
      <c r="AT33" s="1518"/>
      <c r="AU33" s="1518"/>
      <c r="AV33" s="1595"/>
      <c r="AW33" s="1596"/>
      <c r="AX33" s="1518"/>
      <c r="AY33" s="1518"/>
      <c r="AZ33" s="1518"/>
      <c r="BA33" s="1518"/>
      <c r="BB33" s="1595"/>
      <c r="BC33" s="1596"/>
      <c r="BD33" s="1518"/>
      <c r="BE33" s="1518"/>
      <c r="BF33" s="1518"/>
      <c r="BG33" s="1518"/>
      <c r="BH33" s="1597"/>
      <c r="BI33" s="1598"/>
      <c r="BJ33" s="1599"/>
      <c r="BK33" s="1599"/>
      <c r="BL33" s="1599"/>
      <c r="BM33" s="1599"/>
      <c r="BN33" s="1597"/>
      <c r="BO33" s="1598"/>
      <c r="BP33" s="1599"/>
      <c r="BQ33" s="1599"/>
      <c r="BR33" s="1600"/>
      <c r="BS33" s="1599"/>
      <c r="BT33" s="1597"/>
      <c r="BU33" s="1598"/>
      <c r="BV33" s="1599"/>
      <c r="BW33" s="1599"/>
      <c r="BX33" s="1600"/>
      <c r="BY33" s="1599"/>
      <c r="BZ33" s="1597"/>
      <c r="CA33" s="1598"/>
      <c r="CB33" s="1599"/>
      <c r="CC33" s="1599"/>
      <c r="CD33" s="1600"/>
      <c r="CE33" s="1601"/>
      <c r="CF33" s="1602"/>
      <c r="CG33" s="1598"/>
      <c r="CH33" s="1599"/>
      <c r="CI33" s="1599"/>
      <c r="CJ33" s="1600"/>
      <c r="CK33" s="1601"/>
      <c r="CL33" s="1602"/>
      <c r="CM33" s="1598"/>
      <c r="CN33" s="1599"/>
      <c r="CO33" s="1599"/>
      <c r="CP33" s="1600"/>
      <c r="CQ33" s="1601"/>
      <c r="CR33" s="1602"/>
      <c r="CS33" s="1598"/>
      <c r="CT33" s="1599"/>
      <c r="CU33" s="1599"/>
      <c r="CV33" s="1600"/>
      <c r="CW33" s="1601"/>
      <c r="CX33" s="1602"/>
      <c r="CY33" s="1598"/>
      <c r="CZ33" s="1599"/>
      <c r="DA33" s="1599"/>
      <c r="DB33" s="1600"/>
      <c r="DC33" s="1601"/>
      <c r="DD33" s="1602"/>
      <c r="DE33" s="1598"/>
      <c r="DF33" s="1599"/>
      <c r="DG33" s="1599"/>
      <c r="DH33" s="1600"/>
      <c r="DI33" s="1601"/>
      <c r="DJ33" s="1602"/>
      <c r="DK33" s="1598"/>
      <c r="DL33" s="1599"/>
      <c r="DM33" s="1599"/>
      <c r="DN33" s="1600"/>
      <c r="DO33" s="1603"/>
    </row>
    <row r="34" spans="3:119" s="910" customFormat="1" ht="189.75" customHeight="1">
      <c r="C34" s="2593" t="s">
        <v>416</v>
      </c>
      <c r="D34" s="2595">
        <v>13</v>
      </c>
      <c r="E34" s="2593" t="s">
        <v>2974</v>
      </c>
      <c r="F34" s="2593" t="s">
        <v>686</v>
      </c>
      <c r="G34" s="2597" t="s">
        <v>603</v>
      </c>
      <c r="H34" s="2597" t="s">
        <v>53</v>
      </c>
      <c r="I34" s="2597" t="s">
        <v>604</v>
      </c>
      <c r="J34" s="2599" t="s">
        <v>605</v>
      </c>
      <c r="K34" s="2601" t="s">
        <v>687</v>
      </c>
      <c r="L34" s="2603">
        <v>65</v>
      </c>
      <c r="M34" s="2603">
        <v>132.94</v>
      </c>
      <c r="N34" s="2603">
        <v>53.06</v>
      </c>
      <c r="O34" s="2603">
        <v>52</v>
      </c>
      <c r="P34" s="2603"/>
      <c r="Q34" s="2603"/>
      <c r="R34" s="2603"/>
      <c r="S34" s="2605"/>
      <c r="T34" s="2603"/>
      <c r="U34" s="2603"/>
      <c r="V34" s="2603"/>
      <c r="W34" s="2603"/>
      <c r="X34" s="2509">
        <v>65</v>
      </c>
      <c r="Y34" s="2509">
        <v>65</v>
      </c>
      <c r="Z34" s="2607">
        <v>65</v>
      </c>
      <c r="AA34" s="2509">
        <v>65</v>
      </c>
      <c r="AB34" s="2518">
        <f>Z34/AA34</f>
        <v>1</v>
      </c>
      <c r="AC34" s="2521" t="s">
        <v>2975</v>
      </c>
      <c r="AD34" s="2603">
        <v>132.94</v>
      </c>
      <c r="AE34" s="2603">
        <v>132.94</v>
      </c>
      <c r="AF34" s="2609">
        <v>132.94</v>
      </c>
      <c r="AG34" s="2603">
        <v>132.94</v>
      </c>
      <c r="AH34" s="2518">
        <f>AF34/AG34</f>
        <v>1</v>
      </c>
      <c r="AI34" s="2521" t="s">
        <v>2976</v>
      </c>
      <c r="AJ34" s="2611"/>
      <c r="AK34" s="2603"/>
      <c r="AL34" s="2609"/>
      <c r="AM34" s="2603"/>
      <c r="AN34" s="2518"/>
      <c r="AO34" s="2521"/>
      <c r="AP34" s="2603">
        <v>132.94</v>
      </c>
      <c r="AQ34" s="2603">
        <v>132.94</v>
      </c>
      <c r="AR34" s="2609">
        <v>132.94</v>
      </c>
      <c r="AS34" s="2603">
        <v>132.94</v>
      </c>
      <c r="AT34" s="2518">
        <f>AR34/AS34</f>
        <v>1</v>
      </c>
      <c r="AU34" s="2521" t="s">
        <v>2977</v>
      </c>
      <c r="AV34" s="2611">
        <v>83.36</v>
      </c>
      <c r="AW34" s="2603">
        <v>53.06</v>
      </c>
      <c r="AX34" s="2609">
        <v>83.36</v>
      </c>
      <c r="AY34" s="2603">
        <v>53.06</v>
      </c>
      <c r="AZ34" s="2518">
        <f>AX34/AY34</f>
        <v>1.5710516396532226</v>
      </c>
      <c r="BA34" s="2521" t="s">
        <v>2978</v>
      </c>
      <c r="BB34" s="2611">
        <v>21.7</v>
      </c>
      <c r="BC34" s="2603">
        <v>21.7</v>
      </c>
      <c r="BD34" s="2609">
        <v>21.7</v>
      </c>
      <c r="BE34" s="2603">
        <v>21.7</v>
      </c>
      <c r="BF34" s="2518">
        <f>BD34/BE34</f>
        <v>1</v>
      </c>
      <c r="BG34" s="2521" t="s">
        <v>2979</v>
      </c>
      <c r="BH34" s="2611" t="s">
        <v>423</v>
      </c>
      <c r="BI34" s="2603" t="s">
        <v>423</v>
      </c>
      <c r="BJ34" s="2609" t="s">
        <v>423</v>
      </c>
      <c r="BK34" s="2603" t="s">
        <v>423</v>
      </c>
      <c r="BL34" s="2518" t="s">
        <v>423</v>
      </c>
      <c r="BM34" s="2521" t="s">
        <v>2853</v>
      </c>
      <c r="BN34" s="2611" t="s">
        <v>423</v>
      </c>
      <c r="BO34" s="2603" t="s">
        <v>423</v>
      </c>
      <c r="BP34" s="2609" t="s">
        <v>423</v>
      </c>
      <c r="BQ34" s="2603" t="s">
        <v>423</v>
      </c>
      <c r="BR34" s="2527" t="s">
        <v>423</v>
      </c>
      <c r="BS34" s="2521" t="s">
        <v>2980</v>
      </c>
      <c r="BT34" s="2611" t="s">
        <v>423</v>
      </c>
      <c r="BU34" s="2603" t="s">
        <v>423</v>
      </c>
      <c r="BV34" s="2609" t="s">
        <v>423</v>
      </c>
      <c r="BW34" s="2603" t="s">
        <v>423</v>
      </c>
      <c r="BX34" s="2527" t="s">
        <v>423</v>
      </c>
      <c r="BY34" s="2527" t="s">
        <v>423</v>
      </c>
      <c r="BZ34" s="2611" t="s">
        <v>423</v>
      </c>
      <c r="CA34" s="2603" t="s">
        <v>423</v>
      </c>
      <c r="CB34" s="2613" t="s">
        <v>423</v>
      </c>
      <c r="CC34" s="2603" t="s">
        <v>423</v>
      </c>
      <c r="CD34" s="2524" t="s">
        <v>423</v>
      </c>
      <c r="CE34" s="2615" t="s">
        <v>2981</v>
      </c>
      <c r="CF34" s="2533" t="s">
        <v>423</v>
      </c>
      <c r="CG34" s="2603" t="s">
        <v>423</v>
      </c>
      <c r="CH34" s="2613" t="s">
        <v>423</v>
      </c>
      <c r="CI34" s="2603" t="s">
        <v>423</v>
      </c>
      <c r="CJ34" s="2524" t="s">
        <v>423</v>
      </c>
      <c r="CK34" s="2615" t="s">
        <v>2981</v>
      </c>
      <c r="CL34" s="2533" t="s">
        <v>423</v>
      </c>
      <c r="CM34" s="2603" t="s">
        <v>423</v>
      </c>
      <c r="CN34" s="2613" t="s">
        <v>423</v>
      </c>
      <c r="CO34" s="2603" t="s">
        <v>423</v>
      </c>
      <c r="CP34" s="2524" t="s">
        <v>423</v>
      </c>
      <c r="CQ34" s="2615" t="s">
        <v>2982</v>
      </c>
      <c r="CR34" s="2533" t="s">
        <v>423</v>
      </c>
      <c r="CS34" s="2603" t="s">
        <v>423</v>
      </c>
      <c r="CT34" s="2613" t="s">
        <v>423</v>
      </c>
      <c r="CU34" s="2603" t="s">
        <v>423</v>
      </c>
      <c r="CV34" s="2524" t="s">
        <v>423</v>
      </c>
      <c r="CW34" s="2615" t="s">
        <v>690</v>
      </c>
      <c r="CX34" s="2533" t="s">
        <v>423</v>
      </c>
      <c r="CY34" s="2603" t="s">
        <v>423</v>
      </c>
      <c r="CZ34" s="2613" t="s">
        <v>423</v>
      </c>
      <c r="DA34" s="2603" t="s">
        <v>423</v>
      </c>
      <c r="DB34" s="2524" t="s">
        <v>423</v>
      </c>
      <c r="DC34" s="2615" t="s">
        <v>2983</v>
      </c>
      <c r="DD34" s="2509">
        <v>303</v>
      </c>
      <c r="DE34" s="2617">
        <v>303</v>
      </c>
      <c r="DF34" s="2619">
        <v>303</v>
      </c>
      <c r="DG34" s="2617">
        <v>303</v>
      </c>
      <c r="DH34" s="2621">
        <f>DF34/DG34</f>
        <v>1</v>
      </c>
      <c r="DI34" s="2615" t="s">
        <v>2984</v>
      </c>
      <c r="DJ34" s="2509">
        <v>303</v>
      </c>
      <c r="DK34" s="2617">
        <v>303</v>
      </c>
      <c r="DL34" s="2619">
        <v>303</v>
      </c>
      <c r="DM34" s="2617">
        <v>303</v>
      </c>
      <c r="DN34" s="2621">
        <f>DL34/DM34</f>
        <v>1</v>
      </c>
      <c r="DO34" s="2623" t="s">
        <v>2984</v>
      </c>
    </row>
    <row r="35" spans="3:119" s="910" customFormat="1" ht="27.75" customHeight="1">
      <c r="C35" s="2594"/>
      <c r="D35" s="2596"/>
      <c r="E35" s="2594"/>
      <c r="F35" s="2594"/>
      <c r="G35" s="2598"/>
      <c r="H35" s="2598"/>
      <c r="I35" s="2598"/>
      <c r="J35" s="2600"/>
      <c r="K35" s="2602"/>
      <c r="L35" s="2604"/>
      <c r="M35" s="2604"/>
      <c r="N35" s="2604"/>
      <c r="O35" s="2604"/>
      <c r="P35" s="2604"/>
      <c r="Q35" s="2604"/>
      <c r="R35" s="2604"/>
      <c r="S35" s="2606"/>
      <c r="T35" s="2604"/>
      <c r="U35" s="2604"/>
      <c r="V35" s="2604"/>
      <c r="W35" s="2604"/>
      <c r="X35" s="2511"/>
      <c r="Y35" s="2511"/>
      <c r="Z35" s="2608"/>
      <c r="AA35" s="2511"/>
      <c r="AB35" s="2520"/>
      <c r="AC35" s="2523"/>
      <c r="AD35" s="2604"/>
      <c r="AE35" s="2604"/>
      <c r="AF35" s="2610"/>
      <c r="AG35" s="2604"/>
      <c r="AH35" s="2520"/>
      <c r="AI35" s="2523"/>
      <c r="AJ35" s="2612"/>
      <c r="AK35" s="2604"/>
      <c r="AL35" s="2610"/>
      <c r="AM35" s="2604"/>
      <c r="AN35" s="2520"/>
      <c r="AO35" s="2523"/>
      <c r="AP35" s="2604"/>
      <c r="AQ35" s="2604"/>
      <c r="AR35" s="2610"/>
      <c r="AS35" s="2604"/>
      <c r="AT35" s="2520"/>
      <c r="AU35" s="2523"/>
      <c r="AV35" s="2612"/>
      <c r="AW35" s="2604"/>
      <c r="AX35" s="2610"/>
      <c r="AY35" s="2604"/>
      <c r="AZ35" s="2520"/>
      <c r="BA35" s="2523"/>
      <c r="BB35" s="2612"/>
      <c r="BC35" s="2604"/>
      <c r="BD35" s="2610"/>
      <c r="BE35" s="2604"/>
      <c r="BF35" s="2520"/>
      <c r="BG35" s="2523"/>
      <c r="BH35" s="2612"/>
      <c r="BI35" s="2604"/>
      <c r="BJ35" s="2610"/>
      <c r="BK35" s="2604"/>
      <c r="BL35" s="2520"/>
      <c r="BM35" s="2523"/>
      <c r="BN35" s="2612"/>
      <c r="BO35" s="2604"/>
      <c r="BP35" s="2610"/>
      <c r="BQ35" s="2604"/>
      <c r="BR35" s="2529"/>
      <c r="BS35" s="2523"/>
      <c r="BT35" s="2612"/>
      <c r="BU35" s="2604"/>
      <c r="BV35" s="2610"/>
      <c r="BW35" s="2604"/>
      <c r="BX35" s="2529"/>
      <c r="BY35" s="2529"/>
      <c r="BZ35" s="2612"/>
      <c r="CA35" s="2604"/>
      <c r="CB35" s="2614"/>
      <c r="CC35" s="2604"/>
      <c r="CD35" s="2526"/>
      <c r="CE35" s="2616"/>
      <c r="CF35" s="2535"/>
      <c r="CG35" s="2604"/>
      <c r="CH35" s="2614"/>
      <c r="CI35" s="2604"/>
      <c r="CJ35" s="2526"/>
      <c r="CK35" s="2616"/>
      <c r="CL35" s="2535"/>
      <c r="CM35" s="2604"/>
      <c r="CN35" s="2614"/>
      <c r="CO35" s="2604"/>
      <c r="CP35" s="2526"/>
      <c r="CQ35" s="2616"/>
      <c r="CR35" s="2535"/>
      <c r="CS35" s="2604"/>
      <c r="CT35" s="2614"/>
      <c r="CU35" s="2604"/>
      <c r="CV35" s="2526"/>
      <c r="CW35" s="2616"/>
      <c r="CX35" s="2535"/>
      <c r="CY35" s="2604"/>
      <c r="CZ35" s="2614"/>
      <c r="DA35" s="2604"/>
      <c r="DB35" s="2526"/>
      <c r="DC35" s="2616"/>
      <c r="DD35" s="2511"/>
      <c r="DE35" s="2618"/>
      <c r="DF35" s="2620"/>
      <c r="DG35" s="2618"/>
      <c r="DH35" s="2622"/>
      <c r="DI35" s="2616"/>
      <c r="DJ35" s="2511"/>
      <c r="DK35" s="2618"/>
      <c r="DL35" s="2620"/>
      <c r="DM35" s="2618"/>
      <c r="DN35" s="2622"/>
      <c r="DO35" s="2624"/>
    </row>
    <row r="36" spans="3:119" s="910" customFormat="1" ht="409.5" customHeight="1">
      <c r="C36" s="2625" t="s">
        <v>590</v>
      </c>
      <c r="D36" s="2500">
        <v>14</v>
      </c>
      <c r="E36" s="2497" t="s">
        <v>2985</v>
      </c>
      <c r="F36" s="2497" t="s">
        <v>539</v>
      </c>
      <c r="G36" s="2503" t="s">
        <v>540</v>
      </c>
      <c r="H36" s="2506" t="s">
        <v>53</v>
      </c>
      <c r="I36" s="2503" t="s">
        <v>541</v>
      </c>
      <c r="J36" s="2628" t="s">
        <v>2986</v>
      </c>
      <c r="K36" s="1604" t="s">
        <v>54</v>
      </c>
      <c r="L36" s="1506">
        <f>+L38/(SUM($L38:$W38))</f>
        <v>0</v>
      </c>
      <c r="M36" s="1505">
        <f>+M38/(SUM($L38:$W38))+L36</f>
        <v>0.14285714285714285</v>
      </c>
      <c r="N36" s="1506">
        <f t="shared" ref="N36:W36" si="9">+N38/(SUM($L38:$W38))+M36</f>
        <v>0.14285714285714285</v>
      </c>
      <c r="O36" s="1505">
        <f t="shared" si="9"/>
        <v>0.42857142857142855</v>
      </c>
      <c r="P36" s="1505">
        <f t="shared" si="9"/>
        <v>0.5714285714285714</v>
      </c>
      <c r="Q36" s="1505">
        <f t="shared" si="9"/>
        <v>0.71428571428571419</v>
      </c>
      <c r="R36" s="1505">
        <f t="shared" si="9"/>
        <v>0.99999999999999989</v>
      </c>
      <c r="S36" s="1507"/>
      <c r="T36" s="1506">
        <f t="shared" si="9"/>
        <v>0</v>
      </c>
      <c r="U36" s="1506">
        <f t="shared" si="9"/>
        <v>0</v>
      </c>
      <c r="V36" s="1506">
        <f t="shared" si="9"/>
        <v>0</v>
      </c>
      <c r="W36" s="1506">
        <f t="shared" si="9"/>
        <v>0</v>
      </c>
      <c r="X36" s="2631" t="s">
        <v>423</v>
      </c>
      <c r="Y36" s="2631" t="s">
        <v>423</v>
      </c>
      <c r="Z36" s="2631" t="s">
        <v>423</v>
      </c>
      <c r="AA36" s="2631" t="s">
        <v>423</v>
      </c>
      <c r="AB36" s="2631" t="s">
        <v>423</v>
      </c>
      <c r="AC36" s="2631" t="s">
        <v>476</v>
      </c>
      <c r="AD36" s="2631">
        <v>1</v>
      </c>
      <c r="AE36" s="2631">
        <v>1</v>
      </c>
      <c r="AF36" s="2631">
        <v>1</v>
      </c>
      <c r="AG36" s="2631">
        <v>1</v>
      </c>
      <c r="AH36" s="2524">
        <f>AF36/AG36</f>
        <v>1</v>
      </c>
      <c r="AI36" s="2631" t="s">
        <v>2987</v>
      </c>
      <c r="AJ36" s="2631" t="s">
        <v>423</v>
      </c>
      <c r="AK36" s="2631" t="s">
        <v>423</v>
      </c>
      <c r="AL36" s="2631" t="s">
        <v>423</v>
      </c>
      <c r="AM36" s="2631" t="s">
        <v>423</v>
      </c>
      <c r="AN36" s="2631" t="s">
        <v>423</v>
      </c>
      <c r="AO36" s="2631" t="s">
        <v>476</v>
      </c>
      <c r="AP36" s="2631">
        <v>1</v>
      </c>
      <c r="AQ36" s="2631">
        <v>1</v>
      </c>
      <c r="AR36" s="2631">
        <v>1</v>
      </c>
      <c r="AS36" s="2631">
        <v>1</v>
      </c>
      <c r="AT36" s="2524">
        <f>AR36/AS36</f>
        <v>1</v>
      </c>
      <c r="AU36" s="2631" t="s">
        <v>2988</v>
      </c>
      <c r="AV36" s="2631" t="s">
        <v>423</v>
      </c>
      <c r="AW36" s="2631" t="s">
        <v>423</v>
      </c>
      <c r="AX36" s="2631" t="s">
        <v>423</v>
      </c>
      <c r="AY36" s="2631" t="s">
        <v>423</v>
      </c>
      <c r="AZ36" s="2631" t="s">
        <v>423</v>
      </c>
      <c r="BA36" s="2631" t="s">
        <v>476</v>
      </c>
      <c r="BB36" s="2631">
        <v>2</v>
      </c>
      <c r="BC36" s="2631">
        <v>2</v>
      </c>
      <c r="BD36" s="2631">
        <v>2</v>
      </c>
      <c r="BE36" s="2631">
        <v>2</v>
      </c>
      <c r="BF36" s="2524">
        <f>BD36/BE36</f>
        <v>1</v>
      </c>
      <c r="BG36" s="2631" t="s">
        <v>2989</v>
      </c>
      <c r="BH36" s="2631">
        <v>1</v>
      </c>
      <c r="BI36" s="2631">
        <v>1</v>
      </c>
      <c r="BJ36" s="2631">
        <v>1</v>
      </c>
      <c r="BK36" s="2631">
        <v>1</v>
      </c>
      <c r="BL36" s="2524">
        <f>BJ36/BK36</f>
        <v>1</v>
      </c>
      <c r="BM36" s="2631" t="s">
        <v>2990</v>
      </c>
      <c r="BN36" s="2631">
        <v>1</v>
      </c>
      <c r="BO36" s="2631">
        <v>1</v>
      </c>
      <c r="BP36" s="2631">
        <v>1</v>
      </c>
      <c r="BQ36" s="2631">
        <v>1</v>
      </c>
      <c r="BR36" s="2536">
        <f>BP36/BQ36</f>
        <v>1</v>
      </c>
      <c r="BS36" s="2631" t="s">
        <v>2991</v>
      </c>
      <c r="BT36" s="2632">
        <v>1</v>
      </c>
      <c r="BU36" s="2524">
        <v>1</v>
      </c>
      <c r="BV36" s="2632">
        <f>IF(BU36=0," ",BT36/BU36)</f>
        <v>1</v>
      </c>
      <c r="BW36" s="2632">
        <v>2</v>
      </c>
      <c r="BX36" s="2524">
        <f>IF(BU36=0," ",BV36/BW36)</f>
        <v>0.5</v>
      </c>
      <c r="BY36" s="2631" t="s">
        <v>2992</v>
      </c>
      <c r="BZ36" s="2632" t="s">
        <v>423</v>
      </c>
      <c r="CA36" s="2632" t="s">
        <v>423</v>
      </c>
      <c r="CB36" s="2632" t="s">
        <v>423</v>
      </c>
      <c r="CC36" s="2632" t="s">
        <v>423</v>
      </c>
      <c r="CD36" s="2632" t="s">
        <v>423</v>
      </c>
      <c r="CE36" s="2635" t="s">
        <v>2993</v>
      </c>
      <c r="CF36" s="2636">
        <v>1</v>
      </c>
      <c r="CG36" s="2632">
        <v>0</v>
      </c>
      <c r="CH36" s="2632">
        <v>1</v>
      </c>
      <c r="CI36" s="2632">
        <v>0</v>
      </c>
      <c r="CJ36" s="2527">
        <v>1</v>
      </c>
      <c r="CK36" s="2635" t="s">
        <v>547</v>
      </c>
      <c r="CL36" s="2632">
        <v>7</v>
      </c>
      <c r="CM36" s="2632" t="s">
        <v>423</v>
      </c>
      <c r="CN36" s="2632">
        <v>1</v>
      </c>
      <c r="CO36" s="2632">
        <v>0</v>
      </c>
      <c r="CP36" s="2639">
        <v>1</v>
      </c>
      <c r="CQ36" s="2635" t="s">
        <v>2994</v>
      </c>
      <c r="CR36" s="2632" t="s">
        <v>423</v>
      </c>
      <c r="CS36" s="2632" t="s">
        <v>423</v>
      </c>
      <c r="CT36" s="2632" t="s">
        <v>423</v>
      </c>
      <c r="CU36" s="2632" t="s">
        <v>423</v>
      </c>
      <c r="CV36" s="2639" t="s">
        <v>423</v>
      </c>
      <c r="CW36" s="2635" t="s">
        <v>690</v>
      </c>
      <c r="CX36" s="2632" t="s">
        <v>423</v>
      </c>
      <c r="CY36" s="2632" t="s">
        <v>423</v>
      </c>
      <c r="CZ36" s="2632" t="s">
        <v>423</v>
      </c>
      <c r="DA36" s="2632" t="s">
        <v>423</v>
      </c>
      <c r="DB36" s="2639" t="s">
        <v>423</v>
      </c>
      <c r="DC36" s="2635" t="s">
        <v>2983</v>
      </c>
      <c r="DD36" s="2642">
        <v>7</v>
      </c>
      <c r="DE36" s="2642">
        <v>7</v>
      </c>
      <c r="DF36" s="2642">
        <v>7</v>
      </c>
      <c r="DG36" s="2642">
        <v>7</v>
      </c>
      <c r="DH36" s="2621">
        <f>DF36/DG36</f>
        <v>1</v>
      </c>
      <c r="DI36" s="2635" t="s">
        <v>2995</v>
      </c>
      <c r="DJ36" s="2642">
        <v>7</v>
      </c>
      <c r="DK36" s="2642">
        <v>7</v>
      </c>
      <c r="DL36" s="2642">
        <v>7</v>
      </c>
      <c r="DM36" s="2642">
        <v>7</v>
      </c>
      <c r="DN36" s="2621">
        <f>DL36/DM36</f>
        <v>1</v>
      </c>
      <c r="DO36" s="2646" t="s">
        <v>2995</v>
      </c>
    </row>
    <row r="37" spans="3:119" s="910" customFormat="1" ht="186" hidden="1" customHeight="1">
      <c r="C37" s="2626"/>
      <c r="D37" s="2501"/>
      <c r="E37" s="2498"/>
      <c r="F37" s="2498"/>
      <c r="G37" s="2504"/>
      <c r="H37" s="2506"/>
      <c r="I37" s="2504"/>
      <c r="J37" s="2629"/>
      <c r="K37" s="1604"/>
      <c r="L37" s="1523"/>
      <c r="M37" s="1523" t="s">
        <v>2996</v>
      </c>
      <c r="N37" s="1523"/>
      <c r="O37" s="1523" t="s">
        <v>2997</v>
      </c>
      <c r="P37" s="1523" t="s">
        <v>2998</v>
      </c>
      <c r="Q37" s="1523" t="s">
        <v>2999</v>
      </c>
      <c r="R37" s="1523" t="s">
        <v>3000</v>
      </c>
      <c r="S37" s="1528"/>
      <c r="T37" s="1523"/>
      <c r="U37" s="1523"/>
      <c r="V37" s="1523"/>
      <c r="W37" s="1523"/>
      <c r="X37" s="2631"/>
      <c r="Y37" s="2631"/>
      <c r="Z37" s="2631"/>
      <c r="AA37" s="2631"/>
      <c r="AB37" s="2631"/>
      <c r="AC37" s="2631"/>
      <c r="AD37" s="2631"/>
      <c r="AE37" s="2631"/>
      <c r="AF37" s="2631"/>
      <c r="AG37" s="2631"/>
      <c r="AH37" s="2525"/>
      <c r="AI37" s="2631"/>
      <c r="AJ37" s="2631"/>
      <c r="AK37" s="2631"/>
      <c r="AL37" s="2631"/>
      <c r="AM37" s="2631"/>
      <c r="AN37" s="2631"/>
      <c r="AO37" s="2631"/>
      <c r="AP37" s="2631"/>
      <c r="AQ37" s="2631"/>
      <c r="AR37" s="2631"/>
      <c r="AS37" s="2631"/>
      <c r="AT37" s="2525"/>
      <c r="AU37" s="2631"/>
      <c r="AV37" s="2631"/>
      <c r="AW37" s="2631"/>
      <c r="AX37" s="2631"/>
      <c r="AY37" s="2631"/>
      <c r="AZ37" s="2631"/>
      <c r="BA37" s="2631"/>
      <c r="BB37" s="2631"/>
      <c r="BC37" s="2631"/>
      <c r="BD37" s="2631"/>
      <c r="BE37" s="2631"/>
      <c r="BF37" s="2525"/>
      <c r="BG37" s="2631"/>
      <c r="BH37" s="2631"/>
      <c r="BI37" s="2631"/>
      <c r="BJ37" s="2631"/>
      <c r="BK37" s="2631"/>
      <c r="BL37" s="2525"/>
      <c r="BM37" s="2631"/>
      <c r="BN37" s="2631"/>
      <c r="BO37" s="2631"/>
      <c r="BP37" s="2631"/>
      <c r="BQ37" s="2631"/>
      <c r="BR37" s="2537"/>
      <c r="BS37" s="2631"/>
      <c r="BT37" s="2633"/>
      <c r="BU37" s="2525"/>
      <c r="BV37" s="2633"/>
      <c r="BW37" s="2633"/>
      <c r="BX37" s="2525"/>
      <c r="BY37" s="2631"/>
      <c r="BZ37" s="2633"/>
      <c r="CA37" s="2633"/>
      <c r="CB37" s="2633"/>
      <c r="CC37" s="2633"/>
      <c r="CD37" s="2633"/>
      <c r="CE37" s="2635"/>
      <c r="CF37" s="2637"/>
      <c r="CG37" s="2633"/>
      <c r="CH37" s="2633"/>
      <c r="CI37" s="2633"/>
      <c r="CJ37" s="2528"/>
      <c r="CK37" s="2635"/>
      <c r="CL37" s="2633"/>
      <c r="CM37" s="2633"/>
      <c r="CN37" s="2633"/>
      <c r="CO37" s="2633"/>
      <c r="CP37" s="2640"/>
      <c r="CQ37" s="2635"/>
      <c r="CR37" s="2633"/>
      <c r="CS37" s="2633"/>
      <c r="CT37" s="2633"/>
      <c r="CU37" s="2633"/>
      <c r="CV37" s="2640"/>
      <c r="CW37" s="2635"/>
      <c r="CX37" s="2633"/>
      <c r="CY37" s="2633"/>
      <c r="CZ37" s="2633"/>
      <c r="DA37" s="2633"/>
      <c r="DB37" s="2640"/>
      <c r="DC37" s="2635"/>
      <c r="DD37" s="2643"/>
      <c r="DE37" s="2643"/>
      <c r="DF37" s="2643"/>
      <c r="DG37" s="2643"/>
      <c r="DH37" s="2645"/>
      <c r="DI37" s="2635"/>
      <c r="DJ37" s="2643"/>
      <c r="DK37" s="2643"/>
      <c r="DL37" s="2643"/>
      <c r="DM37" s="2643"/>
      <c r="DN37" s="2645"/>
      <c r="DO37" s="2646"/>
    </row>
    <row r="38" spans="3:119" s="910" customFormat="1" ht="57.75" customHeight="1">
      <c r="C38" s="2627"/>
      <c r="D38" s="2502"/>
      <c r="E38" s="2499"/>
      <c r="F38" s="2499"/>
      <c r="G38" s="2505"/>
      <c r="H38" s="2506"/>
      <c r="I38" s="2505"/>
      <c r="J38" s="2630"/>
      <c r="K38" s="1605" t="s">
        <v>556</v>
      </c>
      <c r="L38" s="1529"/>
      <c r="M38" s="1534">
        <v>1</v>
      </c>
      <c r="N38" s="1534"/>
      <c r="O38" s="1534">
        <v>2</v>
      </c>
      <c r="P38" s="1534">
        <v>1</v>
      </c>
      <c r="Q38" s="1534">
        <v>1</v>
      </c>
      <c r="R38" s="1534">
        <v>2</v>
      </c>
      <c r="S38" s="1535"/>
      <c r="T38" s="1534"/>
      <c r="U38" s="1534"/>
      <c r="V38" s="1534"/>
      <c r="W38" s="1534"/>
      <c r="X38" s="2631"/>
      <c r="Y38" s="2631"/>
      <c r="Z38" s="2631"/>
      <c r="AA38" s="2631"/>
      <c r="AB38" s="2631"/>
      <c r="AC38" s="2631"/>
      <c r="AD38" s="2631"/>
      <c r="AE38" s="2631"/>
      <c r="AF38" s="2631"/>
      <c r="AG38" s="2631"/>
      <c r="AH38" s="2526"/>
      <c r="AI38" s="2631"/>
      <c r="AJ38" s="2631"/>
      <c r="AK38" s="2631"/>
      <c r="AL38" s="2631"/>
      <c r="AM38" s="2631"/>
      <c r="AN38" s="2631"/>
      <c r="AO38" s="2631"/>
      <c r="AP38" s="2631"/>
      <c r="AQ38" s="2631"/>
      <c r="AR38" s="2631"/>
      <c r="AS38" s="2631"/>
      <c r="AT38" s="2526"/>
      <c r="AU38" s="2631"/>
      <c r="AV38" s="2631"/>
      <c r="AW38" s="2631"/>
      <c r="AX38" s="2631"/>
      <c r="AY38" s="2631"/>
      <c r="AZ38" s="2631"/>
      <c r="BA38" s="2631"/>
      <c r="BB38" s="2631"/>
      <c r="BC38" s="2631"/>
      <c r="BD38" s="2631"/>
      <c r="BE38" s="2631"/>
      <c r="BF38" s="2526"/>
      <c r="BG38" s="2631"/>
      <c r="BH38" s="2631"/>
      <c r="BI38" s="2631"/>
      <c r="BJ38" s="2631"/>
      <c r="BK38" s="2631"/>
      <c r="BL38" s="2526"/>
      <c r="BM38" s="2631"/>
      <c r="BN38" s="2631"/>
      <c r="BO38" s="2631"/>
      <c r="BP38" s="2631"/>
      <c r="BQ38" s="2631"/>
      <c r="BR38" s="2538"/>
      <c r="BS38" s="2631"/>
      <c r="BT38" s="2634"/>
      <c r="BU38" s="2526"/>
      <c r="BV38" s="2634"/>
      <c r="BW38" s="2634"/>
      <c r="BX38" s="2526"/>
      <c r="BY38" s="2631"/>
      <c r="BZ38" s="2634"/>
      <c r="CA38" s="2634"/>
      <c r="CB38" s="2634"/>
      <c r="CC38" s="2634"/>
      <c r="CD38" s="2634"/>
      <c r="CE38" s="2635"/>
      <c r="CF38" s="2638"/>
      <c r="CG38" s="2634"/>
      <c r="CH38" s="2634"/>
      <c r="CI38" s="2634"/>
      <c r="CJ38" s="2529"/>
      <c r="CK38" s="2635"/>
      <c r="CL38" s="2634"/>
      <c r="CM38" s="2634"/>
      <c r="CN38" s="2634"/>
      <c r="CO38" s="2634"/>
      <c r="CP38" s="2641"/>
      <c r="CQ38" s="2635"/>
      <c r="CR38" s="2634"/>
      <c r="CS38" s="2634"/>
      <c r="CT38" s="2634"/>
      <c r="CU38" s="2634"/>
      <c r="CV38" s="2641"/>
      <c r="CW38" s="2635"/>
      <c r="CX38" s="2634"/>
      <c r="CY38" s="2634"/>
      <c r="CZ38" s="2634"/>
      <c r="DA38" s="2634"/>
      <c r="DB38" s="2641"/>
      <c r="DC38" s="2635"/>
      <c r="DD38" s="2644"/>
      <c r="DE38" s="2644"/>
      <c r="DF38" s="2644"/>
      <c r="DG38" s="2644"/>
      <c r="DH38" s="2622"/>
      <c r="DI38" s="2635"/>
      <c r="DJ38" s="2644"/>
      <c r="DK38" s="2644"/>
      <c r="DL38" s="2644"/>
      <c r="DM38" s="2644"/>
      <c r="DN38" s="2622"/>
      <c r="DO38" s="2646"/>
    </row>
    <row r="39" spans="3:119" s="910" customFormat="1" ht="371.25" customHeight="1">
      <c r="C39" s="2625" t="s">
        <v>590</v>
      </c>
      <c r="D39" s="2500">
        <v>15</v>
      </c>
      <c r="E39" s="2497" t="s">
        <v>3001</v>
      </c>
      <c r="F39" s="2647" t="s">
        <v>559</v>
      </c>
      <c r="G39" s="2648" t="s">
        <v>560</v>
      </c>
      <c r="H39" s="2506" t="s">
        <v>53</v>
      </c>
      <c r="I39" s="2503" t="s">
        <v>561</v>
      </c>
      <c r="J39" s="2628" t="s">
        <v>2814</v>
      </c>
      <c r="K39" s="1587" t="s">
        <v>54</v>
      </c>
      <c r="L39" s="1506">
        <f>+L41/(SUM($L41:$W41))</f>
        <v>0</v>
      </c>
      <c r="M39" s="1506">
        <f>+M41/(SUM($L41:$W41))+L39</f>
        <v>0</v>
      </c>
      <c r="N39" s="1506">
        <f t="shared" ref="N39:W39" si="10">+N41/(SUM($L41:$W41))+M39</f>
        <v>0</v>
      </c>
      <c r="O39" s="1506">
        <f t="shared" si="10"/>
        <v>0</v>
      </c>
      <c r="P39" s="1506">
        <f t="shared" si="10"/>
        <v>0</v>
      </c>
      <c r="Q39" s="1505">
        <f t="shared" si="10"/>
        <v>0.33333333333333331</v>
      </c>
      <c r="R39" s="1506">
        <f t="shared" si="10"/>
        <v>0.33333333333333331</v>
      </c>
      <c r="S39" s="1507">
        <f t="shared" si="10"/>
        <v>0.66666666666666663</v>
      </c>
      <c r="T39" s="1516">
        <f t="shared" si="10"/>
        <v>1</v>
      </c>
      <c r="U39" s="1506">
        <f t="shared" si="10"/>
        <v>1</v>
      </c>
      <c r="V39" s="1606">
        <f t="shared" si="10"/>
        <v>1</v>
      </c>
      <c r="W39" s="1506">
        <f t="shared" si="10"/>
        <v>1</v>
      </c>
      <c r="X39" s="2649" t="s">
        <v>423</v>
      </c>
      <c r="Y39" s="2649" t="s">
        <v>423</v>
      </c>
      <c r="Z39" s="2650" t="s">
        <v>423</v>
      </c>
      <c r="AA39" s="2649" t="s">
        <v>423</v>
      </c>
      <c r="AB39" s="2650" t="s">
        <v>423</v>
      </c>
      <c r="AC39" s="2649" t="s">
        <v>476</v>
      </c>
      <c r="AD39" s="2649" t="s">
        <v>423</v>
      </c>
      <c r="AE39" s="2649" t="s">
        <v>423</v>
      </c>
      <c r="AF39" s="2650" t="s">
        <v>423</v>
      </c>
      <c r="AG39" s="2649" t="s">
        <v>423</v>
      </c>
      <c r="AH39" s="2650" t="s">
        <v>423</v>
      </c>
      <c r="AI39" s="2649" t="s">
        <v>476</v>
      </c>
      <c r="AJ39" s="2649" t="s">
        <v>423</v>
      </c>
      <c r="AK39" s="2649" t="s">
        <v>423</v>
      </c>
      <c r="AL39" s="2650" t="s">
        <v>423</v>
      </c>
      <c r="AM39" s="2649" t="s">
        <v>423</v>
      </c>
      <c r="AN39" s="2650" t="s">
        <v>423</v>
      </c>
      <c r="AO39" s="2649" t="s">
        <v>476</v>
      </c>
      <c r="AP39" s="2649" t="s">
        <v>423</v>
      </c>
      <c r="AQ39" s="2649" t="s">
        <v>423</v>
      </c>
      <c r="AR39" s="2650" t="s">
        <v>423</v>
      </c>
      <c r="AS39" s="2649" t="s">
        <v>423</v>
      </c>
      <c r="AT39" s="2650" t="s">
        <v>423</v>
      </c>
      <c r="AU39" s="2649" t="s">
        <v>476</v>
      </c>
      <c r="AV39" s="2649" t="s">
        <v>423</v>
      </c>
      <c r="AW39" s="2649" t="s">
        <v>423</v>
      </c>
      <c r="AX39" s="2650" t="s">
        <v>423</v>
      </c>
      <c r="AY39" s="2649" t="s">
        <v>423</v>
      </c>
      <c r="AZ39" s="2650" t="s">
        <v>423</v>
      </c>
      <c r="BA39" s="2649" t="s">
        <v>476</v>
      </c>
      <c r="BB39" s="2649" t="s">
        <v>423</v>
      </c>
      <c r="BC39" s="2649" t="s">
        <v>423</v>
      </c>
      <c r="BD39" s="2650" t="s">
        <v>423</v>
      </c>
      <c r="BE39" s="2649" t="s">
        <v>423</v>
      </c>
      <c r="BF39" s="2650" t="s">
        <v>423</v>
      </c>
      <c r="BG39" s="2649" t="s">
        <v>476</v>
      </c>
      <c r="BH39" s="2649" t="s">
        <v>423</v>
      </c>
      <c r="BI39" s="2649" t="s">
        <v>423</v>
      </c>
      <c r="BJ39" s="2650" t="s">
        <v>423</v>
      </c>
      <c r="BK39" s="2649" t="s">
        <v>423</v>
      </c>
      <c r="BL39" s="2650" t="s">
        <v>423</v>
      </c>
      <c r="BM39" s="2649" t="s">
        <v>476</v>
      </c>
      <c r="BN39" s="2649">
        <v>1</v>
      </c>
      <c r="BO39" s="2649">
        <v>1</v>
      </c>
      <c r="BP39" s="2650">
        <v>1</v>
      </c>
      <c r="BQ39" s="2649">
        <v>1</v>
      </c>
      <c r="BR39" s="2527">
        <f>BP39/BQ39</f>
        <v>1</v>
      </c>
      <c r="BS39" s="2649" t="s">
        <v>3002</v>
      </c>
      <c r="BT39" s="2649" t="s">
        <v>423</v>
      </c>
      <c r="BU39" s="2649" t="s">
        <v>423</v>
      </c>
      <c r="BV39" s="2649" t="s">
        <v>423</v>
      </c>
      <c r="BW39" s="2649" t="s">
        <v>423</v>
      </c>
      <c r="BX39" s="2649" t="s">
        <v>423</v>
      </c>
      <c r="BY39" s="2649" t="s">
        <v>423</v>
      </c>
      <c r="BZ39" s="2649">
        <v>0</v>
      </c>
      <c r="CA39" s="2649">
        <v>1</v>
      </c>
      <c r="CB39" s="2551">
        <f>IF(CA39=0," ",BZ39/CA39)</f>
        <v>0</v>
      </c>
      <c r="CC39" s="2551">
        <f>+S41</f>
        <v>1</v>
      </c>
      <c r="CD39" s="2527">
        <f>CB39/CC39</f>
        <v>0</v>
      </c>
      <c r="CE39" s="2651" t="s">
        <v>3003</v>
      </c>
      <c r="CF39" s="2652">
        <v>0</v>
      </c>
      <c r="CG39" s="2649">
        <v>1</v>
      </c>
      <c r="CH39" s="2551">
        <v>0</v>
      </c>
      <c r="CI39" s="2551">
        <f>+Y41</f>
        <v>0</v>
      </c>
      <c r="CJ39" s="2527">
        <v>0</v>
      </c>
      <c r="CK39" s="2635" t="s">
        <v>565</v>
      </c>
      <c r="CL39" s="2652">
        <v>0</v>
      </c>
      <c r="CM39" s="2632" t="s">
        <v>423</v>
      </c>
      <c r="CN39" s="2632" t="s">
        <v>423</v>
      </c>
      <c r="CO39" s="2551" t="s">
        <v>423</v>
      </c>
      <c r="CP39" s="2632" t="s">
        <v>423</v>
      </c>
      <c r="CQ39" s="2635" t="s">
        <v>476</v>
      </c>
      <c r="CR39" s="2652">
        <v>0</v>
      </c>
      <c r="CS39" s="2632" t="s">
        <v>423</v>
      </c>
      <c r="CT39" s="2632" t="s">
        <v>423</v>
      </c>
      <c r="CU39" s="2551" t="s">
        <v>423</v>
      </c>
      <c r="CV39" s="2632" t="s">
        <v>423</v>
      </c>
      <c r="CW39" s="2635" t="s">
        <v>476</v>
      </c>
      <c r="CX39" s="2652">
        <v>0</v>
      </c>
      <c r="CY39" s="2632" t="s">
        <v>423</v>
      </c>
      <c r="CZ39" s="2632" t="s">
        <v>423</v>
      </c>
      <c r="DA39" s="2551" t="s">
        <v>423</v>
      </c>
      <c r="DB39" s="2527">
        <v>1</v>
      </c>
      <c r="DC39" s="2635" t="s">
        <v>3004</v>
      </c>
      <c r="DD39" s="2649">
        <v>3</v>
      </c>
      <c r="DE39" s="2653">
        <v>3</v>
      </c>
      <c r="DF39" s="2653">
        <v>3</v>
      </c>
      <c r="DG39" s="2557">
        <v>3</v>
      </c>
      <c r="DH39" s="2527">
        <f>DF39/DG39</f>
        <v>1</v>
      </c>
      <c r="DI39" s="2635" t="s">
        <v>3005</v>
      </c>
      <c r="DJ39" s="2649">
        <v>3</v>
      </c>
      <c r="DK39" s="2653">
        <v>3</v>
      </c>
      <c r="DL39" s="2653">
        <v>3</v>
      </c>
      <c r="DM39" s="2557">
        <v>3</v>
      </c>
      <c r="DN39" s="2527">
        <f>DL39/DM39</f>
        <v>1</v>
      </c>
      <c r="DO39" s="2646" t="s">
        <v>3005</v>
      </c>
    </row>
    <row r="40" spans="3:119" s="910" customFormat="1" ht="150" hidden="1" customHeight="1">
      <c r="C40" s="2626"/>
      <c r="D40" s="2501"/>
      <c r="E40" s="2498"/>
      <c r="F40" s="2647"/>
      <c r="G40" s="2648"/>
      <c r="H40" s="2506"/>
      <c r="I40" s="2504"/>
      <c r="J40" s="2629"/>
      <c r="K40" s="1587"/>
      <c r="L40" s="1529"/>
      <c r="M40" s="1529"/>
      <c r="N40" s="1562"/>
      <c r="O40" s="1562"/>
      <c r="P40" s="1607"/>
      <c r="Q40" s="1608" t="s">
        <v>3006</v>
      </c>
      <c r="R40" s="1563"/>
      <c r="S40" s="1609" t="s">
        <v>3007</v>
      </c>
      <c r="T40" s="1519" t="s">
        <v>3008</v>
      </c>
      <c r="U40" s="1563"/>
      <c r="V40" s="1610"/>
      <c r="W40" s="1610"/>
      <c r="X40" s="2649"/>
      <c r="Y40" s="2649"/>
      <c r="Z40" s="2650"/>
      <c r="AA40" s="2649"/>
      <c r="AB40" s="2650"/>
      <c r="AC40" s="2649"/>
      <c r="AD40" s="2649"/>
      <c r="AE40" s="2649"/>
      <c r="AF40" s="2650"/>
      <c r="AG40" s="2649"/>
      <c r="AH40" s="2650"/>
      <c r="AI40" s="2649"/>
      <c r="AJ40" s="2649"/>
      <c r="AK40" s="2649"/>
      <c r="AL40" s="2650"/>
      <c r="AM40" s="2649"/>
      <c r="AN40" s="2650"/>
      <c r="AO40" s="2649"/>
      <c r="AP40" s="2649"/>
      <c r="AQ40" s="2649"/>
      <c r="AR40" s="2650"/>
      <c r="AS40" s="2649"/>
      <c r="AT40" s="2650"/>
      <c r="AU40" s="2649"/>
      <c r="AV40" s="2649"/>
      <c r="AW40" s="2649"/>
      <c r="AX40" s="2650"/>
      <c r="AY40" s="2649"/>
      <c r="AZ40" s="2650"/>
      <c r="BA40" s="2649"/>
      <c r="BB40" s="2649"/>
      <c r="BC40" s="2649"/>
      <c r="BD40" s="2650"/>
      <c r="BE40" s="2649"/>
      <c r="BF40" s="2650"/>
      <c r="BG40" s="2649"/>
      <c r="BH40" s="2649"/>
      <c r="BI40" s="2649"/>
      <c r="BJ40" s="2650"/>
      <c r="BK40" s="2649"/>
      <c r="BL40" s="2650"/>
      <c r="BM40" s="2649"/>
      <c r="BN40" s="2649"/>
      <c r="BO40" s="2649"/>
      <c r="BP40" s="2650"/>
      <c r="BQ40" s="2649"/>
      <c r="BR40" s="2528"/>
      <c r="BS40" s="2649"/>
      <c r="BT40" s="2649"/>
      <c r="BU40" s="2649"/>
      <c r="BV40" s="2649"/>
      <c r="BW40" s="2649"/>
      <c r="BX40" s="2649"/>
      <c r="BY40" s="2649"/>
      <c r="BZ40" s="2649"/>
      <c r="CA40" s="2649"/>
      <c r="CB40" s="2552" t="str">
        <f>IF(CA40=0," ",BZ40/CA40)</f>
        <v xml:space="preserve"> </v>
      </c>
      <c r="CC40" s="2552"/>
      <c r="CD40" s="2528"/>
      <c r="CE40" s="2651"/>
      <c r="CF40" s="2652"/>
      <c r="CG40" s="2649"/>
      <c r="CH40" s="2552" t="str">
        <f>IF(CG40=0," ",CF40/CG40)</f>
        <v xml:space="preserve"> </v>
      </c>
      <c r="CI40" s="2552"/>
      <c r="CJ40" s="2528"/>
      <c r="CK40" s="2635"/>
      <c r="CL40" s="2652"/>
      <c r="CM40" s="2633"/>
      <c r="CN40" s="2633"/>
      <c r="CO40" s="2552"/>
      <c r="CP40" s="2633"/>
      <c r="CQ40" s="2635"/>
      <c r="CR40" s="2652"/>
      <c r="CS40" s="2633"/>
      <c r="CT40" s="2633"/>
      <c r="CU40" s="2552"/>
      <c r="CV40" s="2633"/>
      <c r="CW40" s="2635"/>
      <c r="CX40" s="2652"/>
      <c r="CY40" s="2633"/>
      <c r="CZ40" s="2633"/>
      <c r="DA40" s="2552"/>
      <c r="DB40" s="2528"/>
      <c r="DC40" s="2635"/>
      <c r="DD40" s="2649"/>
      <c r="DE40" s="2654"/>
      <c r="DF40" s="2654"/>
      <c r="DG40" s="2558"/>
      <c r="DH40" s="2528"/>
      <c r="DI40" s="2635"/>
      <c r="DJ40" s="2649"/>
      <c r="DK40" s="2654"/>
      <c r="DL40" s="2654"/>
      <c r="DM40" s="2558"/>
      <c r="DN40" s="2528"/>
      <c r="DO40" s="2646"/>
    </row>
    <row r="41" spans="3:119" s="910" customFormat="1" ht="43.5" customHeight="1">
      <c r="C41" s="2627"/>
      <c r="D41" s="2502"/>
      <c r="E41" s="2499"/>
      <c r="F41" s="2647"/>
      <c r="G41" s="2648"/>
      <c r="H41" s="2506"/>
      <c r="I41" s="2505"/>
      <c r="J41" s="2630"/>
      <c r="K41" s="1605" t="s">
        <v>556</v>
      </c>
      <c r="L41" s="1534"/>
      <c r="M41" s="1534"/>
      <c r="N41" s="1534"/>
      <c r="O41" s="1534"/>
      <c r="P41" s="1534"/>
      <c r="Q41" s="1534">
        <v>1</v>
      </c>
      <c r="R41" s="1534"/>
      <c r="S41" s="1535">
        <v>1</v>
      </c>
      <c r="T41" s="1534">
        <v>1</v>
      </c>
      <c r="U41" s="1534"/>
      <c r="V41" s="1534"/>
      <c r="W41" s="1534"/>
      <c r="X41" s="2649"/>
      <c r="Y41" s="2649"/>
      <c r="Z41" s="2650"/>
      <c r="AA41" s="2649"/>
      <c r="AB41" s="2650"/>
      <c r="AC41" s="2649"/>
      <c r="AD41" s="2649"/>
      <c r="AE41" s="2649"/>
      <c r="AF41" s="2650"/>
      <c r="AG41" s="2649"/>
      <c r="AH41" s="2650"/>
      <c r="AI41" s="2649"/>
      <c r="AJ41" s="2649"/>
      <c r="AK41" s="2649"/>
      <c r="AL41" s="2650"/>
      <c r="AM41" s="2649"/>
      <c r="AN41" s="2650"/>
      <c r="AO41" s="2649"/>
      <c r="AP41" s="2649"/>
      <c r="AQ41" s="2649"/>
      <c r="AR41" s="2650"/>
      <c r="AS41" s="2649"/>
      <c r="AT41" s="2650"/>
      <c r="AU41" s="2649"/>
      <c r="AV41" s="2649"/>
      <c r="AW41" s="2649"/>
      <c r="AX41" s="2650"/>
      <c r="AY41" s="2649"/>
      <c r="AZ41" s="2650"/>
      <c r="BA41" s="2649"/>
      <c r="BB41" s="2649"/>
      <c r="BC41" s="2649"/>
      <c r="BD41" s="2650"/>
      <c r="BE41" s="2649"/>
      <c r="BF41" s="2650"/>
      <c r="BG41" s="2649"/>
      <c r="BH41" s="2649"/>
      <c r="BI41" s="2649"/>
      <c r="BJ41" s="2650"/>
      <c r="BK41" s="2649"/>
      <c r="BL41" s="2650"/>
      <c r="BM41" s="2649"/>
      <c r="BN41" s="2649"/>
      <c r="BO41" s="2649"/>
      <c r="BP41" s="2650"/>
      <c r="BQ41" s="2649"/>
      <c r="BR41" s="2529"/>
      <c r="BS41" s="2649"/>
      <c r="BT41" s="2649"/>
      <c r="BU41" s="2649"/>
      <c r="BV41" s="2649"/>
      <c r="BW41" s="2649"/>
      <c r="BX41" s="2649"/>
      <c r="BY41" s="2649"/>
      <c r="BZ41" s="2649"/>
      <c r="CA41" s="2649"/>
      <c r="CB41" s="2553" t="str">
        <f>IF(CA41=0," ",BZ41/CA41)</f>
        <v xml:space="preserve"> </v>
      </c>
      <c r="CC41" s="2553"/>
      <c r="CD41" s="2529"/>
      <c r="CE41" s="2651"/>
      <c r="CF41" s="2652"/>
      <c r="CG41" s="2649"/>
      <c r="CH41" s="2553" t="str">
        <f>IF(CG41=0," ",CF41/CG41)</f>
        <v xml:space="preserve"> </v>
      </c>
      <c r="CI41" s="2553"/>
      <c r="CJ41" s="2529"/>
      <c r="CK41" s="2635"/>
      <c r="CL41" s="2652"/>
      <c r="CM41" s="2634"/>
      <c r="CN41" s="2634"/>
      <c r="CO41" s="2553"/>
      <c r="CP41" s="2634"/>
      <c r="CQ41" s="2635"/>
      <c r="CR41" s="2652"/>
      <c r="CS41" s="2634"/>
      <c r="CT41" s="2634"/>
      <c r="CU41" s="2553"/>
      <c r="CV41" s="2634"/>
      <c r="CW41" s="2635"/>
      <c r="CX41" s="2652"/>
      <c r="CY41" s="2634"/>
      <c r="CZ41" s="2634"/>
      <c r="DA41" s="2553"/>
      <c r="DB41" s="2529"/>
      <c r="DC41" s="2635"/>
      <c r="DD41" s="2649"/>
      <c r="DE41" s="2655"/>
      <c r="DF41" s="2655"/>
      <c r="DG41" s="2559"/>
      <c r="DH41" s="2529"/>
      <c r="DI41" s="2635"/>
      <c r="DJ41" s="2649"/>
      <c r="DK41" s="2655"/>
      <c r="DL41" s="2655"/>
      <c r="DM41" s="2559"/>
      <c r="DN41" s="2529"/>
      <c r="DO41" s="2646"/>
    </row>
    <row r="42" spans="3:119" s="910" customFormat="1" ht="267" customHeight="1">
      <c r="C42" s="2625" t="s">
        <v>557</v>
      </c>
      <c r="D42" s="2500">
        <v>16</v>
      </c>
      <c r="E42" s="2497" t="s">
        <v>3009</v>
      </c>
      <c r="F42" s="2647" t="s">
        <v>574</v>
      </c>
      <c r="G42" s="2648" t="s">
        <v>540</v>
      </c>
      <c r="H42" s="2506" t="s">
        <v>53</v>
      </c>
      <c r="I42" s="2503" t="s">
        <v>575</v>
      </c>
      <c r="J42" s="2628" t="s">
        <v>2748</v>
      </c>
      <c r="K42" s="1587" t="s">
        <v>54</v>
      </c>
      <c r="L42" s="1506">
        <f>+L44/(SUM($L44:$W44))</f>
        <v>0</v>
      </c>
      <c r="M42" s="1516">
        <f>+M44/(SUM($L44:$W44))+L42</f>
        <v>0.2</v>
      </c>
      <c r="N42" s="1516">
        <f t="shared" ref="N42:W42" si="11">+N44/(SUM($L44:$W44))+M42</f>
        <v>0.30000000000000004</v>
      </c>
      <c r="O42" s="1516">
        <f t="shared" si="11"/>
        <v>0.5</v>
      </c>
      <c r="P42" s="1516">
        <f t="shared" si="11"/>
        <v>0.6</v>
      </c>
      <c r="Q42" s="1516">
        <f t="shared" si="11"/>
        <v>0.7</v>
      </c>
      <c r="R42" s="1516">
        <f t="shared" si="11"/>
        <v>1</v>
      </c>
      <c r="S42" s="1506">
        <f t="shared" si="11"/>
        <v>1</v>
      </c>
      <c r="T42" s="1506">
        <f t="shared" si="11"/>
        <v>1</v>
      </c>
      <c r="U42" s="1506">
        <f t="shared" si="11"/>
        <v>1</v>
      </c>
      <c r="V42" s="1506">
        <f t="shared" si="11"/>
        <v>1</v>
      </c>
      <c r="W42" s="1506">
        <f t="shared" si="11"/>
        <v>1</v>
      </c>
      <c r="X42" s="2649" t="s">
        <v>423</v>
      </c>
      <c r="Y42" s="2649" t="s">
        <v>423</v>
      </c>
      <c r="Z42" s="2650" t="s">
        <v>423</v>
      </c>
      <c r="AA42" s="2649" t="s">
        <v>423</v>
      </c>
      <c r="AB42" s="2650" t="s">
        <v>423</v>
      </c>
      <c r="AC42" s="2649" t="s">
        <v>476</v>
      </c>
      <c r="AD42" s="2649">
        <v>2</v>
      </c>
      <c r="AE42" s="2649">
        <v>2</v>
      </c>
      <c r="AF42" s="2650">
        <v>2</v>
      </c>
      <c r="AG42" s="2649">
        <v>2</v>
      </c>
      <c r="AH42" s="2518">
        <f>AF42/AG42</f>
        <v>1</v>
      </c>
      <c r="AI42" s="2649" t="s">
        <v>3010</v>
      </c>
      <c r="AJ42" s="2649">
        <v>1</v>
      </c>
      <c r="AK42" s="2649">
        <v>1</v>
      </c>
      <c r="AL42" s="2650">
        <v>1</v>
      </c>
      <c r="AM42" s="2649">
        <v>1</v>
      </c>
      <c r="AN42" s="2518">
        <f>AL42/AM42</f>
        <v>1</v>
      </c>
      <c r="AO42" s="2649" t="s">
        <v>3011</v>
      </c>
      <c r="AP42" s="2649">
        <v>2</v>
      </c>
      <c r="AQ42" s="2649">
        <v>2</v>
      </c>
      <c r="AR42" s="2650">
        <v>2</v>
      </c>
      <c r="AS42" s="2649">
        <v>2</v>
      </c>
      <c r="AT42" s="2518">
        <f>AR42/AS42</f>
        <v>1</v>
      </c>
      <c r="AU42" s="2649" t="s">
        <v>3012</v>
      </c>
      <c r="AV42" s="2649">
        <v>1</v>
      </c>
      <c r="AW42" s="2649">
        <v>1</v>
      </c>
      <c r="AX42" s="2650">
        <v>1</v>
      </c>
      <c r="AY42" s="2649">
        <v>1</v>
      </c>
      <c r="AZ42" s="2518">
        <f>AX42/AY42</f>
        <v>1</v>
      </c>
      <c r="BA42" s="2649" t="s">
        <v>3013</v>
      </c>
      <c r="BB42" s="2649">
        <v>1</v>
      </c>
      <c r="BC42" s="2649">
        <v>2</v>
      </c>
      <c r="BD42" s="2650">
        <v>1</v>
      </c>
      <c r="BE42" s="2649">
        <v>2</v>
      </c>
      <c r="BF42" s="2518">
        <f>BD42/BE42</f>
        <v>0.5</v>
      </c>
      <c r="BG42" s="2649" t="s">
        <v>3014</v>
      </c>
      <c r="BH42" s="2649">
        <v>2</v>
      </c>
      <c r="BI42" s="2649">
        <v>1</v>
      </c>
      <c r="BJ42" s="2650">
        <v>2</v>
      </c>
      <c r="BK42" s="2649">
        <v>1</v>
      </c>
      <c r="BL42" s="2518">
        <f>BJ42/BK42</f>
        <v>2</v>
      </c>
      <c r="BM42" s="2649" t="s">
        <v>3015</v>
      </c>
      <c r="BN42" s="2656">
        <v>2</v>
      </c>
      <c r="BO42" s="2656">
        <v>2</v>
      </c>
      <c r="BP42" s="2656">
        <v>2</v>
      </c>
      <c r="BQ42" s="2656">
        <v>2</v>
      </c>
      <c r="BR42" s="2527">
        <f>BP42/BQ42</f>
        <v>1</v>
      </c>
      <c r="BS42" s="2649" t="s">
        <v>3016</v>
      </c>
      <c r="BT42" s="2551">
        <v>0.33</v>
      </c>
      <c r="BU42" s="2551">
        <v>1</v>
      </c>
      <c r="BV42" s="2563">
        <v>1</v>
      </c>
      <c r="BW42" s="2515">
        <v>3</v>
      </c>
      <c r="BX42" s="2527">
        <f>BV42/BW42</f>
        <v>0.33333333333333331</v>
      </c>
      <c r="BY42" s="2521" t="s">
        <v>3017</v>
      </c>
      <c r="BZ42" s="2657" t="s">
        <v>423</v>
      </c>
      <c r="CA42" s="2657" t="s">
        <v>423</v>
      </c>
      <c r="CB42" s="2657" t="s">
        <v>423</v>
      </c>
      <c r="CC42" s="2657" t="s">
        <v>423</v>
      </c>
      <c r="CD42" s="2657" t="s">
        <v>423</v>
      </c>
      <c r="CE42" s="2635" t="s">
        <v>2981</v>
      </c>
      <c r="CF42" s="2660" t="s">
        <v>423</v>
      </c>
      <c r="CG42" s="2657" t="s">
        <v>423</v>
      </c>
      <c r="CH42" s="2657" t="s">
        <v>423</v>
      </c>
      <c r="CI42" s="2657" t="s">
        <v>423</v>
      </c>
      <c r="CJ42" s="2657" t="s">
        <v>423</v>
      </c>
      <c r="CK42" s="2635" t="s">
        <v>2981</v>
      </c>
      <c r="CL42" s="2660" t="s">
        <v>423</v>
      </c>
      <c r="CM42" s="2657" t="s">
        <v>423</v>
      </c>
      <c r="CN42" s="2657">
        <v>2</v>
      </c>
      <c r="CO42" s="2657">
        <v>0</v>
      </c>
      <c r="CP42" s="2663">
        <v>1</v>
      </c>
      <c r="CQ42" s="2664" t="s">
        <v>3018</v>
      </c>
      <c r="CR42" s="2660" t="s">
        <v>423</v>
      </c>
      <c r="CS42" s="2657" t="s">
        <v>423</v>
      </c>
      <c r="CT42" s="2657" t="s">
        <v>423</v>
      </c>
      <c r="CU42" s="2657" t="s">
        <v>423</v>
      </c>
      <c r="CV42" s="2657" t="s">
        <v>423</v>
      </c>
      <c r="CW42" s="2635" t="s">
        <v>3019</v>
      </c>
      <c r="CX42" s="2660" t="s">
        <v>423</v>
      </c>
      <c r="CY42" s="2657" t="s">
        <v>423</v>
      </c>
      <c r="CZ42" s="2657" t="s">
        <v>423</v>
      </c>
      <c r="DA42" s="2657" t="s">
        <v>423</v>
      </c>
      <c r="DB42" s="2657" t="s">
        <v>423</v>
      </c>
      <c r="DC42" s="2635" t="s">
        <v>428</v>
      </c>
      <c r="DD42" s="2665">
        <v>10</v>
      </c>
      <c r="DE42" s="2665">
        <v>10</v>
      </c>
      <c r="DF42" s="2665">
        <v>10</v>
      </c>
      <c r="DG42" s="2665">
        <v>10</v>
      </c>
      <c r="DH42" s="2527">
        <f>DF42/DG42</f>
        <v>1</v>
      </c>
      <c r="DI42" s="2635" t="s">
        <v>3020</v>
      </c>
      <c r="DJ42" s="2665">
        <v>10</v>
      </c>
      <c r="DK42" s="2665">
        <v>10</v>
      </c>
      <c r="DL42" s="2665">
        <v>10</v>
      </c>
      <c r="DM42" s="2665">
        <v>10</v>
      </c>
      <c r="DN42" s="2527">
        <f>DL42/DM42</f>
        <v>1</v>
      </c>
      <c r="DO42" s="2646" t="s">
        <v>3020</v>
      </c>
    </row>
    <row r="43" spans="3:119" s="910" customFormat="1" ht="186" hidden="1" customHeight="1">
      <c r="C43" s="2626"/>
      <c r="D43" s="2501"/>
      <c r="E43" s="2498"/>
      <c r="F43" s="2647"/>
      <c r="G43" s="2648"/>
      <c r="H43" s="2506"/>
      <c r="I43" s="2504"/>
      <c r="J43" s="2629"/>
      <c r="K43" s="1587"/>
      <c r="L43" s="1523"/>
      <c r="M43" s="1523" t="s">
        <v>3021</v>
      </c>
      <c r="N43" s="1523" t="s">
        <v>3022</v>
      </c>
      <c r="O43" s="1523" t="s">
        <v>3023</v>
      </c>
      <c r="P43" s="1523" t="s">
        <v>2998</v>
      </c>
      <c r="Q43" s="1523" t="s">
        <v>3024</v>
      </c>
      <c r="R43" s="1523" t="s">
        <v>3025</v>
      </c>
      <c r="S43" s="1528"/>
      <c r="T43" s="1523"/>
      <c r="U43" s="1523"/>
      <c r="V43" s="1523"/>
      <c r="W43" s="1523"/>
      <c r="X43" s="2649"/>
      <c r="Y43" s="2649"/>
      <c r="Z43" s="2650"/>
      <c r="AA43" s="2649"/>
      <c r="AB43" s="2650"/>
      <c r="AC43" s="2649"/>
      <c r="AD43" s="2649"/>
      <c r="AE43" s="2649"/>
      <c r="AF43" s="2650"/>
      <c r="AG43" s="2649"/>
      <c r="AH43" s="2519"/>
      <c r="AI43" s="2649"/>
      <c r="AJ43" s="2649"/>
      <c r="AK43" s="2649"/>
      <c r="AL43" s="2650"/>
      <c r="AM43" s="2649"/>
      <c r="AN43" s="2519"/>
      <c r="AO43" s="2649"/>
      <c r="AP43" s="2649"/>
      <c r="AQ43" s="2649"/>
      <c r="AR43" s="2650"/>
      <c r="AS43" s="2649"/>
      <c r="AT43" s="2519"/>
      <c r="AU43" s="2649"/>
      <c r="AV43" s="2649"/>
      <c r="AW43" s="2649"/>
      <c r="AX43" s="2650"/>
      <c r="AY43" s="2649"/>
      <c r="AZ43" s="2519"/>
      <c r="BA43" s="2649"/>
      <c r="BB43" s="2649"/>
      <c r="BC43" s="2649"/>
      <c r="BD43" s="2650"/>
      <c r="BE43" s="2649"/>
      <c r="BF43" s="2519"/>
      <c r="BG43" s="2649"/>
      <c r="BH43" s="2649"/>
      <c r="BI43" s="2649"/>
      <c r="BJ43" s="2650"/>
      <c r="BK43" s="2649"/>
      <c r="BL43" s="2519"/>
      <c r="BM43" s="2649"/>
      <c r="BN43" s="2656"/>
      <c r="BO43" s="2656"/>
      <c r="BP43" s="2656"/>
      <c r="BQ43" s="2656"/>
      <c r="BR43" s="2528"/>
      <c r="BS43" s="2649"/>
      <c r="BT43" s="2552"/>
      <c r="BU43" s="2552"/>
      <c r="BV43" s="2564"/>
      <c r="BW43" s="2516"/>
      <c r="BX43" s="2528"/>
      <c r="BY43" s="2522"/>
      <c r="BZ43" s="2658"/>
      <c r="CA43" s="2658"/>
      <c r="CB43" s="2658"/>
      <c r="CC43" s="2658"/>
      <c r="CD43" s="2658"/>
      <c r="CE43" s="2635"/>
      <c r="CF43" s="2661"/>
      <c r="CG43" s="2658"/>
      <c r="CH43" s="2658"/>
      <c r="CI43" s="2658"/>
      <c r="CJ43" s="2658"/>
      <c r="CK43" s="2635"/>
      <c r="CL43" s="2661"/>
      <c r="CM43" s="2658"/>
      <c r="CN43" s="2658"/>
      <c r="CO43" s="2658"/>
      <c r="CP43" s="2658"/>
      <c r="CQ43" s="2664"/>
      <c r="CR43" s="2661"/>
      <c r="CS43" s="2658"/>
      <c r="CT43" s="2658"/>
      <c r="CU43" s="2658"/>
      <c r="CV43" s="2658"/>
      <c r="CW43" s="2635"/>
      <c r="CX43" s="2661"/>
      <c r="CY43" s="2658"/>
      <c r="CZ43" s="2658"/>
      <c r="DA43" s="2658"/>
      <c r="DB43" s="2658"/>
      <c r="DC43" s="2635"/>
      <c r="DD43" s="2666"/>
      <c r="DE43" s="2666"/>
      <c r="DF43" s="2666"/>
      <c r="DG43" s="2666"/>
      <c r="DH43" s="2528"/>
      <c r="DI43" s="2635"/>
      <c r="DJ43" s="2666"/>
      <c r="DK43" s="2666"/>
      <c r="DL43" s="2666"/>
      <c r="DM43" s="2666"/>
      <c r="DN43" s="2528"/>
      <c r="DO43" s="2646"/>
    </row>
    <row r="44" spans="3:119" s="910" customFormat="1" ht="54" customHeight="1">
      <c r="C44" s="2627"/>
      <c r="D44" s="2502"/>
      <c r="E44" s="2499"/>
      <c r="F44" s="2647"/>
      <c r="G44" s="2648"/>
      <c r="H44" s="2506"/>
      <c r="I44" s="2505"/>
      <c r="J44" s="2630"/>
      <c r="K44" s="1605" t="s">
        <v>556</v>
      </c>
      <c r="L44" s="1529"/>
      <c r="M44" s="1534">
        <v>2</v>
      </c>
      <c r="N44" s="1534">
        <v>1</v>
      </c>
      <c r="O44" s="1534">
        <v>2</v>
      </c>
      <c r="P44" s="1534">
        <v>1</v>
      </c>
      <c r="Q44" s="1534">
        <v>1</v>
      </c>
      <c r="R44" s="1534">
        <v>3</v>
      </c>
      <c r="S44" s="1535"/>
      <c r="T44" s="1534"/>
      <c r="U44" s="1534"/>
      <c r="V44" s="1534"/>
      <c r="W44" s="1534"/>
      <c r="X44" s="2649"/>
      <c r="Y44" s="2649"/>
      <c r="Z44" s="2650"/>
      <c r="AA44" s="2649"/>
      <c r="AB44" s="2650"/>
      <c r="AC44" s="2649"/>
      <c r="AD44" s="2649"/>
      <c r="AE44" s="2649"/>
      <c r="AF44" s="2650"/>
      <c r="AG44" s="2649"/>
      <c r="AH44" s="2520"/>
      <c r="AI44" s="2649"/>
      <c r="AJ44" s="2649"/>
      <c r="AK44" s="2649"/>
      <c r="AL44" s="2650"/>
      <c r="AM44" s="2649"/>
      <c r="AN44" s="2520"/>
      <c r="AO44" s="2649"/>
      <c r="AP44" s="2649"/>
      <c r="AQ44" s="2649"/>
      <c r="AR44" s="2650"/>
      <c r="AS44" s="2649"/>
      <c r="AT44" s="2520"/>
      <c r="AU44" s="2649"/>
      <c r="AV44" s="2649"/>
      <c r="AW44" s="2649"/>
      <c r="AX44" s="2650"/>
      <c r="AY44" s="2649"/>
      <c r="AZ44" s="2520"/>
      <c r="BA44" s="2649"/>
      <c r="BB44" s="2649"/>
      <c r="BC44" s="2649"/>
      <c r="BD44" s="2650"/>
      <c r="BE44" s="2649"/>
      <c r="BF44" s="2520"/>
      <c r="BG44" s="2649"/>
      <c r="BH44" s="2649"/>
      <c r="BI44" s="2649"/>
      <c r="BJ44" s="2650"/>
      <c r="BK44" s="2649"/>
      <c r="BL44" s="2520"/>
      <c r="BM44" s="2649"/>
      <c r="BN44" s="2656"/>
      <c r="BO44" s="2656"/>
      <c r="BP44" s="2656"/>
      <c r="BQ44" s="2656"/>
      <c r="BR44" s="2529"/>
      <c r="BS44" s="2649"/>
      <c r="BT44" s="2553"/>
      <c r="BU44" s="2553"/>
      <c r="BV44" s="2565"/>
      <c r="BW44" s="2517"/>
      <c r="BX44" s="2529"/>
      <c r="BY44" s="2523"/>
      <c r="BZ44" s="2659"/>
      <c r="CA44" s="2659"/>
      <c r="CB44" s="2659"/>
      <c r="CC44" s="2659"/>
      <c r="CD44" s="2659"/>
      <c r="CE44" s="2635"/>
      <c r="CF44" s="2662"/>
      <c r="CG44" s="2659"/>
      <c r="CH44" s="2659"/>
      <c r="CI44" s="2659"/>
      <c r="CJ44" s="2659"/>
      <c r="CK44" s="2635"/>
      <c r="CL44" s="2662"/>
      <c r="CM44" s="2659"/>
      <c r="CN44" s="2659"/>
      <c r="CO44" s="2659"/>
      <c r="CP44" s="2659"/>
      <c r="CQ44" s="2664"/>
      <c r="CR44" s="2662"/>
      <c r="CS44" s="2659"/>
      <c r="CT44" s="2659"/>
      <c r="CU44" s="2659"/>
      <c r="CV44" s="2659"/>
      <c r="CW44" s="2635"/>
      <c r="CX44" s="2662"/>
      <c r="CY44" s="2659"/>
      <c r="CZ44" s="2659"/>
      <c r="DA44" s="2659"/>
      <c r="DB44" s="2659"/>
      <c r="DC44" s="2635"/>
      <c r="DD44" s="2667"/>
      <c r="DE44" s="2667"/>
      <c r="DF44" s="2667"/>
      <c r="DG44" s="2667"/>
      <c r="DH44" s="2529"/>
      <c r="DI44" s="2635"/>
      <c r="DJ44" s="2667"/>
      <c r="DK44" s="2667"/>
      <c r="DL44" s="2667"/>
      <c r="DM44" s="2667"/>
      <c r="DN44" s="2529"/>
      <c r="DO44" s="2646"/>
    </row>
    <row r="45" spans="3:119" s="910" customFormat="1" ht="394.15" customHeight="1">
      <c r="C45" s="2625" t="s">
        <v>557</v>
      </c>
      <c r="D45" s="2500">
        <v>17</v>
      </c>
      <c r="E45" s="2497" t="s">
        <v>3026</v>
      </c>
      <c r="F45" s="2668" t="s">
        <v>3027</v>
      </c>
      <c r="G45" s="2671" t="s">
        <v>3028</v>
      </c>
      <c r="H45" s="2506" t="s">
        <v>53</v>
      </c>
      <c r="I45" s="2503" t="s">
        <v>3029</v>
      </c>
      <c r="J45" s="2497" t="s">
        <v>3028</v>
      </c>
      <c r="K45" s="1587" t="s">
        <v>54</v>
      </c>
      <c r="L45" s="1506">
        <f>+L47/(SUM($L47:$W47))</f>
        <v>0</v>
      </c>
      <c r="M45" s="1506">
        <f>+M47/(SUM($L47:$W47))+L45</f>
        <v>0</v>
      </c>
      <c r="N45" s="1506">
        <f t="shared" ref="N45:W45" si="12">+N47/(SUM($L47:$W47))+M45</f>
        <v>0</v>
      </c>
      <c r="O45" s="1506">
        <f t="shared" si="12"/>
        <v>0</v>
      </c>
      <c r="P45" s="1506">
        <f t="shared" si="12"/>
        <v>0</v>
      </c>
      <c r="Q45" s="1505">
        <f t="shared" si="12"/>
        <v>0.33333333333333331</v>
      </c>
      <c r="R45" s="1506">
        <f t="shared" si="12"/>
        <v>0.33333333333333331</v>
      </c>
      <c r="S45" s="1507">
        <f t="shared" si="12"/>
        <v>0.66666666666666663</v>
      </c>
      <c r="T45" s="1516">
        <f t="shared" si="12"/>
        <v>1</v>
      </c>
      <c r="U45" s="1506">
        <f t="shared" si="12"/>
        <v>1</v>
      </c>
      <c r="V45" s="1506">
        <f t="shared" si="12"/>
        <v>1</v>
      </c>
      <c r="W45" s="1506">
        <f t="shared" si="12"/>
        <v>1</v>
      </c>
      <c r="X45" s="2649" t="s">
        <v>423</v>
      </c>
      <c r="Y45" s="2649" t="s">
        <v>423</v>
      </c>
      <c r="Z45" s="2650" t="s">
        <v>423</v>
      </c>
      <c r="AA45" s="2649" t="s">
        <v>423</v>
      </c>
      <c r="AB45" s="2650" t="s">
        <v>423</v>
      </c>
      <c r="AC45" s="2649" t="s">
        <v>476</v>
      </c>
      <c r="AD45" s="2649" t="s">
        <v>423</v>
      </c>
      <c r="AE45" s="2649" t="s">
        <v>423</v>
      </c>
      <c r="AF45" s="2650" t="s">
        <v>423</v>
      </c>
      <c r="AG45" s="2649" t="s">
        <v>423</v>
      </c>
      <c r="AH45" s="2650" t="s">
        <v>423</v>
      </c>
      <c r="AI45" s="2649" t="s">
        <v>476</v>
      </c>
      <c r="AJ45" s="2649" t="s">
        <v>423</v>
      </c>
      <c r="AK45" s="2649" t="s">
        <v>423</v>
      </c>
      <c r="AL45" s="2650" t="s">
        <v>423</v>
      </c>
      <c r="AM45" s="2649" t="s">
        <v>423</v>
      </c>
      <c r="AN45" s="2650" t="s">
        <v>423</v>
      </c>
      <c r="AO45" s="2649" t="s">
        <v>476</v>
      </c>
      <c r="AP45" s="2649" t="s">
        <v>423</v>
      </c>
      <c r="AQ45" s="2649" t="s">
        <v>423</v>
      </c>
      <c r="AR45" s="2650" t="s">
        <v>423</v>
      </c>
      <c r="AS45" s="2649" t="s">
        <v>423</v>
      </c>
      <c r="AT45" s="2650" t="s">
        <v>423</v>
      </c>
      <c r="AU45" s="2649" t="s">
        <v>476</v>
      </c>
      <c r="AV45" s="2649" t="s">
        <v>423</v>
      </c>
      <c r="AW45" s="2649" t="s">
        <v>423</v>
      </c>
      <c r="AX45" s="2650" t="s">
        <v>423</v>
      </c>
      <c r="AY45" s="2649" t="s">
        <v>423</v>
      </c>
      <c r="AZ45" s="2650" t="s">
        <v>423</v>
      </c>
      <c r="BA45" s="2649" t="s">
        <v>476</v>
      </c>
      <c r="BB45" s="2649" t="s">
        <v>423</v>
      </c>
      <c r="BC45" s="2649" t="s">
        <v>423</v>
      </c>
      <c r="BD45" s="2650" t="s">
        <v>423</v>
      </c>
      <c r="BE45" s="2649" t="s">
        <v>423</v>
      </c>
      <c r="BF45" s="2650" t="s">
        <v>423</v>
      </c>
      <c r="BG45" s="2649" t="s">
        <v>476</v>
      </c>
      <c r="BH45" s="2649" t="s">
        <v>423</v>
      </c>
      <c r="BI45" s="2649" t="s">
        <v>423</v>
      </c>
      <c r="BJ45" s="2650" t="s">
        <v>423</v>
      </c>
      <c r="BK45" s="2649" t="s">
        <v>423</v>
      </c>
      <c r="BL45" s="2650" t="s">
        <v>423</v>
      </c>
      <c r="BM45" s="2649" t="s">
        <v>476</v>
      </c>
      <c r="BN45" s="2649">
        <v>1</v>
      </c>
      <c r="BO45" s="2649">
        <v>1</v>
      </c>
      <c r="BP45" s="2650">
        <v>1</v>
      </c>
      <c r="BQ45" s="2649">
        <v>1</v>
      </c>
      <c r="BR45" s="2527">
        <f>BP45/BQ45</f>
        <v>1</v>
      </c>
      <c r="BS45" s="2649" t="s">
        <v>3030</v>
      </c>
      <c r="BT45" s="2649" t="s">
        <v>423</v>
      </c>
      <c r="BU45" s="2649" t="s">
        <v>423</v>
      </c>
      <c r="BV45" s="2649" t="s">
        <v>423</v>
      </c>
      <c r="BW45" s="2649" t="s">
        <v>423</v>
      </c>
      <c r="BX45" s="2649" t="s">
        <v>423</v>
      </c>
      <c r="BY45" s="2649" t="s">
        <v>423</v>
      </c>
      <c r="BZ45" s="2649">
        <v>1</v>
      </c>
      <c r="CA45" s="2649">
        <v>1</v>
      </c>
      <c r="CB45" s="2551">
        <f>IF(CA45=0," ",BZ45/CA45)</f>
        <v>1</v>
      </c>
      <c r="CC45" s="2551">
        <f>+S47</f>
        <v>1</v>
      </c>
      <c r="CD45" s="2527">
        <f>CB45/CC45</f>
        <v>1</v>
      </c>
      <c r="CE45" s="2651" t="s">
        <v>3031</v>
      </c>
      <c r="CF45" s="2652">
        <v>0</v>
      </c>
      <c r="CG45" s="2649">
        <v>1</v>
      </c>
      <c r="CH45" s="2551">
        <f>IF(CG45=0," ",CF45/CG45)</f>
        <v>0</v>
      </c>
      <c r="CI45" s="2551">
        <f>+Y47</f>
        <v>0</v>
      </c>
      <c r="CJ45" s="2527">
        <v>0</v>
      </c>
      <c r="CK45" s="2651" t="s">
        <v>529</v>
      </c>
      <c r="CL45" s="2652" t="s">
        <v>423</v>
      </c>
      <c r="CM45" s="2652" t="s">
        <v>423</v>
      </c>
      <c r="CN45" s="2551" t="s">
        <v>423</v>
      </c>
      <c r="CO45" s="2551" t="s">
        <v>423</v>
      </c>
      <c r="CP45" s="2657" t="s">
        <v>423</v>
      </c>
      <c r="CQ45" s="2635" t="s">
        <v>476</v>
      </c>
      <c r="CR45" s="2652" t="s">
        <v>423</v>
      </c>
      <c r="CS45" s="2652" t="s">
        <v>423</v>
      </c>
      <c r="CT45" s="2509">
        <v>1</v>
      </c>
      <c r="CU45" s="2551" t="s">
        <v>423</v>
      </c>
      <c r="CV45" s="2527">
        <v>1</v>
      </c>
      <c r="CW45" s="2635" t="s">
        <v>3032</v>
      </c>
      <c r="CX45" s="2660" t="s">
        <v>423</v>
      </c>
      <c r="CY45" s="2657" t="s">
        <v>423</v>
      </c>
      <c r="CZ45" s="2657" t="s">
        <v>423</v>
      </c>
      <c r="DA45" s="2657" t="s">
        <v>423</v>
      </c>
      <c r="DB45" s="2657" t="s">
        <v>423</v>
      </c>
      <c r="DC45" s="2635" t="s">
        <v>428</v>
      </c>
      <c r="DD45" s="2649">
        <v>3</v>
      </c>
      <c r="DE45" s="2649">
        <v>3</v>
      </c>
      <c r="DF45" s="2509">
        <v>3</v>
      </c>
      <c r="DG45" s="2557">
        <v>3</v>
      </c>
      <c r="DH45" s="2527">
        <v>1</v>
      </c>
      <c r="DI45" s="2635" t="s">
        <v>3033</v>
      </c>
      <c r="DJ45" s="2649">
        <v>3</v>
      </c>
      <c r="DK45" s="2649">
        <v>3</v>
      </c>
      <c r="DL45" s="2509">
        <v>3</v>
      </c>
      <c r="DM45" s="2557">
        <v>3</v>
      </c>
      <c r="DN45" s="2527">
        <v>1</v>
      </c>
      <c r="DO45" s="2646" t="s">
        <v>3033</v>
      </c>
    </row>
    <row r="46" spans="3:119" s="910" customFormat="1" ht="0.6" customHeight="1">
      <c r="C46" s="2626"/>
      <c r="D46" s="2501"/>
      <c r="E46" s="2498"/>
      <c r="F46" s="2669"/>
      <c r="G46" s="2672"/>
      <c r="H46" s="2506"/>
      <c r="I46" s="2504"/>
      <c r="J46" s="2498"/>
      <c r="K46" s="1587"/>
      <c r="L46" s="1523"/>
      <c r="M46" s="1523"/>
      <c r="N46" s="1523"/>
      <c r="O46" s="1523"/>
      <c r="P46" s="1523"/>
      <c r="Q46" s="1523" t="s">
        <v>3034</v>
      </c>
      <c r="R46" s="1532"/>
      <c r="S46" s="1528" t="s">
        <v>3035</v>
      </c>
      <c r="T46" s="1519" t="s">
        <v>3008</v>
      </c>
      <c r="U46" s="1523"/>
      <c r="V46" s="1523"/>
      <c r="W46" s="1523"/>
      <c r="X46" s="2649"/>
      <c r="Y46" s="2649"/>
      <c r="Z46" s="2650"/>
      <c r="AA46" s="2649"/>
      <c r="AB46" s="2650"/>
      <c r="AC46" s="2649"/>
      <c r="AD46" s="2649"/>
      <c r="AE46" s="2649"/>
      <c r="AF46" s="2650"/>
      <c r="AG46" s="2649"/>
      <c r="AH46" s="2650"/>
      <c r="AI46" s="2649"/>
      <c r="AJ46" s="2649"/>
      <c r="AK46" s="2649"/>
      <c r="AL46" s="2650"/>
      <c r="AM46" s="2649"/>
      <c r="AN46" s="2650"/>
      <c r="AO46" s="2649"/>
      <c r="AP46" s="2649"/>
      <c r="AQ46" s="2649"/>
      <c r="AR46" s="2650"/>
      <c r="AS46" s="2649"/>
      <c r="AT46" s="2650"/>
      <c r="AU46" s="2649"/>
      <c r="AV46" s="2649"/>
      <c r="AW46" s="2649"/>
      <c r="AX46" s="2650"/>
      <c r="AY46" s="2649"/>
      <c r="AZ46" s="2650"/>
      <c r="BA46" s="2649"/>
      <c r="BB46" s="2649"/>
      <c r="BC46" s="2649"/>
      <c r="BD46" s="2650"/>
      <c r="BE46" s="2649"/>
      <c r="BF46" s="2650"/>
      <c r="BG46" s="2649"/>
      <c r="BH46" s="2649"/>
      <c r="BI46" s="2649"/>
      <c r="BJ46" s="2650"/>
      <c r="BK46" s="2649"/>
      <c r="BL46" s="2650"/>
      <c r="BM46" s="2649"/>
      <c r="BN46" s="2649"/>
      <c r="BO46" s="2649"/>
      <c r="BP46" s="2650"/>
      <c r="BQ46" s="2649"/>
      <c r="BR46" s="2528"/>
      <c r="BS46" s="2649"/>
      <c r="BT46" s="2649"/>
      <c r="BU46" s="2649"/>
      <c r="BV46" s="2649"/>
      <c r="BW46" s="2649"/>
      <c r="BX46" s="2649"/>
      <c r="BY46" s="2649"/>
      <c r="BZ46" s="2649"/>
      <c r="CA46" s="2649"/>
      <c r="CB46" s="2552" t="str">
        <f>IF(CA46=0," ",BZ46/CA46)</f>
        <v xml:space="preserve"> </v>
      </c>
      <c r="CC46" s="2552"/>
      <c r="CD46" s="2528"/>
      <c r="CE46" s="2651"/>
      <c r="CF46" s="2652"/>
      <c r="CG46" s="2649"/>
      <c r="CH46" s="2552" t="str">
        <f>IF(CG46=0," ",CF46/CG46)</f>
        <v xml:space="preserve"> </v>
      </c>
      <c r="CI46" s="2552"/>
      <c r="CJ46" s="2528"/>
      <c r="CK46" s="2651"/>
      <c r="CL46" s="2652"/>
      <c r="CM46" s="2652"/>
      <c r="CN46" s="2552" t="str">
        <f>IF(CM46=0," ",CL46/CM46)</f>
        <v xml:space="preserve"> </v>
      </c>
      <c r="CO46" s="2552"/>
      <c r="CP46" s="2658"/>
      <c r="CQ46" s="2635"/>
      <c r="CR46" s="2652"/>
      <c r="CS46" s="2652"/>
      <c r="CT46" s="2510" t="str">
        <f>IF(CS46=0," ",CR46/CS46)</f>
        <v xml:space="preserve"> </v>
      </c>
      <c r="CU46" s="2552"/>
      <c r="CV46" s="2528"/>
      <c r="CW46" s="2635"/>
      <c r="CX46" s="2661"/>
      <c r="CY46" s="2658"/>
      <c r="CZ46" s="2658"/>
      <c r="DA46" s="2658"/>
      <c r="DB46" s="2658"/>
      <c r="DC46" s="2635"/>
      <c r="DD46" s="2649"/>
      <c r="DE46" s="2649"/>
      <c r="DF46" s="2510" t="str">
        <f>IF(DE46=0," ",DD46/DE46)</f>
        <v xml:space="preserve"> </v>
      </c>
      <c r="DG46" s="2558"/>
      <c r="DH46" s="2528"/>
      <c r="DI46" s="2635"/>
      <c r="DJ46" s="2649"/>
      <c r="DK46" s="2649"/>
      <c r="DL46" s="2510" t="str">
        <f>IF(DK46=0," ",DJ46/DK46)</f>
        <v xml:space="preserve"> </v>
      </c>
      <c r="DM46" s="2558"/>
      <c r="DN46" s="2528"/>
      <c r="DO46" s="2646"/>
    </row>
    <row r="47" spans="3:119" s="910" customFormat="1" ht="36.75" customHeight="1">
      <c r="C47" s="2627"/>
      <c r="D47" s="2502"/>
      <c r="E47" s="2499"/>
      <c r="F47" s="2670"/>
      <c r="G47" s="2673"/>
      <c r="H47" s="2506"/>
      <c r="I47" s="2505"/>
      <c r="J47" s="2499"/>
      <c r="K47" s="1605" t="s">
        <v>556</v>
      </c>
      <c r="L47" s="1529"/>
      <c r="M47" s="1534"/>
      <c r="N47" s="1534"/>
      <c r="O47" s="1534"/>
      <c r="P47" s="1534"/>
      <c r="Q47" s="1534">
        <v>1</v>
      </c>
      <c r="R47" s="1534"/>
      <c r="S47" s="1535">
        <v>1</v>
      </c>
      <c r="T47" s="1534">
        <v>1</v>
      </c>
      <c r="U47" s="1534"/>
      <c r="V47" s="1534"/>
      <c r="W47" s="1534"/>
      <c r="X47" s="2649"/>
      <c r="Y47" s="2649"/>
      <c r="Z47" s="2650"/>
      <c r="AA47" s="2649"/>
      <c r="AB47" s="2650"/>
      <c r="AC47" s="2649"/>
      <c r="AD47" s="2649"/>
      <c r="AE47" s="2649"/>
      <c r="AF47" s="2650"/>
      <c r="AG47" s="2649"/>
      <c r="AH47" s="2650"/>
      <c r="AI47" s="2649"/>
      <c r="AJ47" s="2649"/>
      <c r="AK47" s="2649"/>
      <c r="AL47" s="2650"/>
      <c r="AM47" s="2649"/>
      <c r="AN47" s="2650"/>
      <c r="AO47" s="2649"/>
      <c r="AP47" s="2649"/>
      <c r="AQ47" s="2649"/>
      <c r="AR47" s="2650"/>
      <c r="AS47" s="2649"/>
      <c r="AT47" s="2650"/>
      <c r="AU47" s="2649"/>
      <c r="AV47" s="2649"/>
      <c r="AW47" s="2649"/>
      <c r="AX47" s="2650"/>
      <c r="AY47" s="2649"/>
      <c r="AZ47" s="2650"/>
      <c r="BA47" s="2649"/>
      <c r="BB47" s="2649"/>
      <c r="BC47" s="2649"/>
      <c r="BD47" s="2650"/>
      <c r="BE47" s="2649"/>
      <c r="BF47" s="2650"/>
      <c r="BG47" s="2649"/>
      <c r="BH47" s="2649"/>
      <c r="BI47" s="2649"/>
      <c r="BJ47" s="2650"/>
      <c r="BK47" s="2649"/>
      <c r="BL47" s="2650"/>
      <c r="BM47" s="2649"/>
      <c r="BN47" s="2649"/>
      <c r="BO47" s="2649"/>
      <c r="BP47" s="2650"/>
      <c r="BQ47" s="2649"/>
      <c r="BR47" s="2529"/>
      <c r="BS47" s="2649"/>
      <c r="BT47" s="2649"/>
      <c r="BU47" s="2649"/>
      <c r="BV47" s="2649"/>
      <c r="BW47" s="2649"/>
      <c r="BX47" s="2649"/>
      <c r="BY47" s="2649"/>
      <c r="BZ47" s="2649"/>
      <c r="CA47" s="2649"/>
      <c r="CB47" s="2553" t="str">
        <f>IF(CA47=0," ",BZ47/CA47)</f>
        <v xml:space="preserve"> </v>
      </c>
      <c r="CC47" s="2553"/>
      <c r="CD47" s="2529"/>
      <c r="CE47" s="2651"/>
      <c r="CF47" s="2652"/>
      <c r="CG47" s="2649"/>
      <c r="CH47" s="2553" t="str">
        <f>IF(CG47=0," ",CF47/CG47)</f>
        <v xml:space="preserve"> </v>
      </c>
      <c r="CI47" s="2553"/>
      <c r="CJ47" s="2529"/>
      <c r="CK47" s="2651"/>
      <c r="CL47" s="2652"/>
      <c r="CM47" s="2652"/>
      <c r="CN47" s="2553" t="str">
        <f>IF(CM47=0," ",CL47/CM47)</f>
        <v xml:space="preserve"> </v>
      </c>
      <c r="CO47" s="2553"/>
      <c r="CP47" s="2659"/>
      <c r="CQ47" s="2635"/>
      <c r="CR47" s="2652"/>
      <c r="CS47" s="2652"/>
      <c r="CT47" s="2511" t="str">
        <f>IF(CS47=0," ",CR47/CS47)</f>
        <v xml:space="preserve"> </v>
      </c>
      <c r="CU47" s="2553"/>
      <c r="CV47" s="2529"/>
      <c r="CW47" s="2635"/>
      <c r="CX47" s="2662"/>
      <c r="CY47" s="2659"/>
      <c r="CZ47" s="2659"/>
      <c r="DA47" s="2659"/>
      <c r="DB47" s="2659"/>
      <c r="DC47" s="2635"/>
      <c r="DD47" s="2649"/>
      <c r="DE47" s="2649"/>
      <c r="DF47" s="2511" t="str">
        <f>IF(DE47=0," ",DD47/DE47)</f>
        <v xml:space="preserve"> </v>
      </c>
      <c r="DG47" s="2559"/>
      <c r="DH47" s="2529"/>
      <c r="DI47" s="2635"/>
      <c r="DJ47" s="2649"/>
      <c r="DK47" s="2649"/>
      <c r="DL47" s="2511" t="str">
        <f>IF(DK47=0," ",DJ47/DK47)</f>
        <v xml:space="preserve"> </v>
      </c>
      <c r="DM47" s="2559"/>
      <c r="DN47" s="2529"/>
      <c r="DO47" s="2646"/>
    </row>
    <row r="48" spans="3:119" s="910" customFormat="1" ht="405.75" customHeight="1">
      <c r="C48" s="2625" t="s">
        <v>590</v>
      </c>
      <c r="D48" s="2500">
        <v>18</v>
      </c>
      <c r="E48" s="2497" t="s">
        <v>3036</v>
      </c>
      <c r="F48" s="2674" t="s">
        <v>559</v>
      </c>
      <c r="G48" s="2677" t="s">
        <v>560</v>
      </c>
      <c r="H48" s="2674" t="s">
        <v>53</v>
      </c>
      <c r="I48" s="2497" t="s">
        <v>592</v>
      </c>
      <c r="J48" s="2625" t="s">
        <v>3037</v>
      </c>
      <c r="K48" s="1611" t="s">
        <v>54</v>
      </c>
      <c r="L48" s="1506">
        <f>+L50/(SUM($L50:$W50))</f>
        <v>0</v>
      </c>
      <c r="M48" s="1506">
        <f>+M50/(SUM($L50:$W50))+L48</f>
        <v>0</v>
      </c>
      <c r="N48" s="1506">
        <f t="shared" ref="N48:W48" si="13">+N50/(SUM($L50:$W50))+M48</f>
        <v>0</v>
      </c>
      <c r="O48" s="1506">
        <f t="shared" si="13"/>
        <v>0</v>
      </c>
      <c r="P48" s="1506">
        <f t="shared" si="13"/>
        <v>0</v>
      </c>
      <c r="Q48" s="1505">
        <f t="shared" si="13"/>
        <v>0.33333333333333331</v>
      </c>
      <c r="R48" s="1506">
        <f t="shared" si="13"/>
        <v>0.33333333333333331</v>
      </c>
      <c r="S48" s="1507"/>
      <c r="T48" s="1505">
        <f t="shared" si="13"/>
        <v>0.33333333333333331</v>
      </c>
      <c r="U48" s="1505">
        <f t="shared" si="13"/>
        <v>0.66666666666666663</v>
      </c>
      <c r="V48" s="1506">
        <f t="shared" si="13"/>
        <v>0.66666666666666663</v>
      </c>
      <c r="W48" s="1506">
        <f t="shared" si="13"/>
        <v>0.66666666666666663</v>
      </c>
      <c r="X48" s="2649" t="s">
        <v>423</v>
      </c>
      <c r="Y48" s="2649" t="s">
        <v>423</v>
      </c>
      <c r="Z48" s="2650" t="s">
        <v>423</v>
      </c>
      <c r="AA48" s="2649" t="s">
        <v>423</v>
      </c>
      <c r="AB48" s="2650" t="s">
        <v>423</v>
      </c>
      <c r="AC48" s="2649" t="s">
        <v>476</v>
      </c>
      <c r="AD48" s="2649" t="s">
        <v>423</v>
      </c>
      <c r="AE48" s="2649" t="s">
        <v>423</v>
      </c>
      <c r="AF48" s="2650" t="s">
        <v>423</v>
      </c>
      <c r="AG48" s="2649" t="s">
        <v>423</v>
      </c>
      <c r="AH48" s="2650" t="s">
        <v>423</v>
      </c>
      <c r="AI48" s="2649" t="s">
        <v>476</v>
      </c>
      <c r="AJ48" s="2649" t="s">
        <v>423</v>
      </c>
      <c r="AK48" s="2649" t="s">
        <v>423</v>
      </c>
      <c r="AL48" s="2650" t="s">
        <v>423</v>
      </c>
      <c r="AM48" s="2649" t="s">
        <v>423</v>
      </c>
      <c r="AN48" s="2650" t="s">
        <v>423</v>
      </c>
      <c r="AO48" s="2649" t="s">
        <v>476</v>
      </c>
      <c r="AP48" s="2649" t="s">
        <v>423</v>
      </c>
      <c r="AQ48" s="2649" t="s">
        <v>423</v>
      </c>
      <c r="AR48" s="2650" t="s">
        <v>423</v>
      </c>
      <c r="AS48" s="2649" t="s">
        <v>423</v>
      </c>
      <c r="AT48" s="2650" t="s">
        <v>423</v>
      </c>
      <c r="AU48" s="2649" t="s">
        <v>476</v>
      </c>
      <c r="AV48" s="2649" t="s">
        <v>423</v>
      </c>
      <c r="AW48" s="2649" t="s">
        <v>423</v>
      </c>
      <c r="AX48" s="2650" t="s">
        <v>423</v>
      </c>
      <c r="AY48" s="2649" t="s">
        <v>423</v>
      </c>
      <c r="AZ48" s="2650" t="s">
        <v>423</v>
      </c>
      <c r="BA48" s="2649" t="s">
        <v>476</v>
      </c>
      <c r="BB48" s="2649" t="s">
        <v>423</v>
      </c>
      <c r="BC48" s="2649" t="s">
        <v>423</v>
      </c>
      <c r="BD48" s="2650" t="s">
        <v>423</v>
      </c>
      <c r="BE48" s="2649" t="s">
        <v>423</v>
      </c>
      <c r="BF48" s="2650" t="s">
        <v>423</v>
      </c>
      <c r="BG48" s="2649" t="s">
        <v>476</v>
      </c>
      <c r="BH48" s="2649" t="s">
        <v>423</v>
      </c>
      <c r="BI48" s="2649" t="s">
        <v>423</v>
      </c>
      <c r="BJ48" s="2650" t="s">
        <v>423</v>
      </c>
      <c r="BK48" s="2649" t="s">
        <v>423</v>
      </c>
      <c r="BL48" s="2650" t="s">
        <v>423</v>
      </c>
      <c r="BM48" s="2649" t="s">
        <v>476</v>
      </c>
      <c r="BN48" s="2649">
        <v>0</v>
      </c>
      <c r="BO48" s="2649">
        <v>1</v>
      </c>
      <c r="BP48" s="2650">
        <v>0</v>
      </c>
      <c r="BQ48" s="2649">
        <v>1</v>
      </c>
      <c r="BR48" s="2527">
        <f>BP48/BQ48</f>
        <v>0</v>
      </c>
      <c r="BS48" s="2649" t="s">
        <v>3038</v>
      </c>
      <c r="BT48" s="2649" t="s">
        <v>423</v>
      </c>
      <c r="BU48" s="2649" t="s">
        <v>423</v>
      </c>
      <c r="BV48" s="2649" t="s">
        <v>423</v>
      </c>
      <c r="BW48" s="2649" t="s">
        <v>423</v>
      </c>
      <c r="BX48" s="2649" t="s">
        <v>423</v>
      </c>
      <c r="BY48" s="2649" t="s">
        <v>423</v>
      </c>
      <c r="BZ48" s="2649" t="s">
        <v>423</v>
      </c>
      <c r="CA48" s="2649" t="s">
        <v>423</v>
      </c>
      <c r="CB48" s="2649" t="s">
        <v>423</v>
      </c>
      <c r="CC48" s="2649" t="s">
        <v>423</v>
      </c>
      <c r="CD48" s="2649" t="s">
        <v>423</v>
      </c>
      <c r="CE48" s="2651" t="s">
        <v>2981</v>
      </c>
      <c r="CF48" s="2611">
        <v>1</v>
      </c>
      <c r="CG48" s="2509">
        <v>1</v>
      </c>
      <c r="CH48" s="2509">
        <v>1</v>
      </c>
      <c r="CI48" s="2509">
        <v>1</v>
      </c>
      <c r="CJ48" s="2527">
        <v>1</v>
      </c>
      <c r="CK48" s="2651" t="s">
        <v>595</v>
      </c>
      <c r="CL48" s="2611">
        <v>1</v>
      </c>
      <c r="CM48" s="2509">
        <v>1</v>
      </c>
      <c r="CN48" s="2509">
        <v>1</v>
      </c>
      <c r="CO48" s="2509">
        <f>+U50</f>
        <v>1</v>
      </c>
      <c r="CP48" s="2527">
        <f>CN48/CO48</f>
        <v>1</v>
      </c>
      <c r="CQ48" s="2635" t="s">
        <v>3039</v>
      </c>
      <c r="CR48" s="2611">
        <v>1</v>
      </c>
      <c r="CS48" s="2509">
        <v>1</v>
      </c>
      <c r="CT48" s="2509">
        <v>2</v>
      </c>
      <c r="CU48" s="2509">
        <f>+AA50</f>
        <v>0</v>
      </c>
      <c r="CV48" s="2527">
        <v>1</v>
      </c>
      <c r="CW48" s="2635" t="s">
        <v>3040</v>
      </c>
      <c r="CX48" s="2660" t="s">
        <v>423</v>
      </c>
      <c r="CY48" s="2657" t="s">
        <v>423</v>
      </c>
      <c r="CZ48" s="2657" t="s">
        <v>423</v>
      </c>
      <c r="DA48" s="2657" t="s">
        <v>423</v>
      </c>
      <c r="DB48" s="2657" t="s">
        <v>423</v>
      </c>
      <c r="DC48" s="2635" t="s">
        <v>428</v>
      </c>
      <c r="DD48" s="2611">
        <v>3</v>
      </c>
      <c r="DE48" s="2509">
        <v>3</v>
      </c>
      <c r="DF48" s="2509">
        <v>3</v>
      </c>
      <c r="DG48" s="2509">
        <v>3</v>
      </c>
      <c r="DH48" s="2527">
        <v>1</v>
      </c>
      <c r="DI48" s="2497" t="s">
        <v>3041</v>
      </c>
      <c r="DJ48" s="2611">
        <v>3</v>
      </c>
      <c r="DK48" s="2509">
        <v>3</v>
      </c>
      <c r="DL48" s="2509">
        <v>3</v>
      </c>
      <c r="DM48" s="2509">
        <v>3</v>
      </c>
      <c r="DN48" s="2527">
        <v>1</v>
      </c>
      <c r="DO48" s="2681" t="s">
        <v>3041</v>
      </c>
    </row>
    <row r="49" spans="3:125" s="910" customFormat="1" ht="3" customHeight="1">
      <c r="C49" s="2626"/>
      <c r="D49" s="2501"/>
      <c r="E49" s="2498"/>
      <c r="F49" s="2675"/>
      <c r="G49" s="2678"/>
      <c r="H49" s="2675"/>
      <c r="I49" s="2498"/>
      <c r="J49" s="2626"/>
      <c r="K49" s="1611"/>
      <c r="L49" s="1562"/>
      <c r="M49" s="1562"/>
      <c r="N49" s="1562"/>
      <c r="O49" s="1562"/>
      <c r="P49" s="1531"/>
      <c r="Q49" s="1531" t="s">
        <v>3042</v>
      </c>
      <c r="R49" s="1531"/>
      <c r="S49" s="1533"/>
      <c r="T49" s="1523" t="s">
        <v>3043</v>
      </c>
      <c r="U49" s="1519" t="s">
        <v>3008</v>
      </c>
      <c r="V49" s="1531"/>
      <c r="W49" s="1531"/>
      <c r="X49" s="2649"/>
      <c r="Y49" s="2649"/>
      <c r="Z49" s="2650"/>
      <c r="AA49" s="2649"/>
      <c r="AB49" s="2650"/>
      <c r="AC49" s="2649"/>
      <c r="AD49" s="2649"/>
      <c r="AE49" s="2649"/>
      <c r="AF49" s="2650"/>
      <c r="AG49" s="2649"/>
      <c r="AH49" s="2650"/>
      <c r="AI49" s="2649"/>
      <c r="AJ49" s="2649"/>
      <c r="AK49" s="2649"/>
      <c r="AL49" s="2650"/>
      <c r="AM49" s="2649"/>
      <c r="AN49" s="2650"/>
      <c r="AO49" s="2649"/>
      <c r="AP49" s="2649"/>
      <c r="AQ49" s="2649"/>
      <c r="AR49" s="2650"/>
      <c r="AS49" s="2649"/>
      <c r="AT49" s="2650"/>
      <c r="AU49" s="2649"/>
      <c r="AV49" s="2649"/>
      <c r="AW49" s="2649"/>
      <c r="AX49" s="2650"/>
      <c r="AY49" s="2649"/>
      <c r="AZ49" s="2650"/>
      <c r="BA49" s="2649"/>
      <c r="BB49" s="2649"/>
      <c r="BC49" s="2649"/>
      <c r="BD49" s="2650"/>
      <c r="BE49" s="2649"/>
      <c r="BF49" s="2650"/>
      <c r="BG49" s="2649"/>
      <c r="BH49" s="2649"/>
      <c r="BI49" s="2649"/>
      <c r="BJ49" s="2650"/>
      <c r="BK49" s="2649"/>
      <c r="BL49" s="2650"/>
      <c r="BM49" s="2649"/>
      <c r="BN49" s="2649"/>
      <c r="BO49" s="2649"/>
      <c r="BP49" s="2650"/>
      <c r="BQ49" s="2649"/>
      <c r="BR49" s="2528"/>
      <c r="BS49" s="2649"/>
      <c r="BT49" s="2649"/>
      <c r="BU49" s="2649"/>
      <c r="BV49" s="2649"/>
      <c r="BW49" s="2649"/>
      <c r="BX49" s="2649"/>
      <c r="BY49" s="2649"/>
      <c r="BZ49" s="2649"/>
      <c r="CA49" s="2649"/>
      <c r="CB49" s="2649"/>
      <c r="CC49" s="2649"/>
      <c r="CD49" s="2649"/>
      <c r="CE49" s="2651"/>
      <c r="CF49" s="2680"/>
      <c r="CG49" s="2510"/>
      <c r="CH49" s="2510"/>
      <c r="CI49" s="2510"/>
      <c r="CJ49" s="2528"/>
      <c r="CK49" s="2651"/>
      <c r="CL49" s="2680"/>
      <c r="CM49" s="2510"/>
      <c r="CN49" s="2510"/>
      <c r="CO49" s="2510"/>
      <c r="CP49" s="2528"/>
      <c r="CQ49" s="2635"/>
      <c r="CR49" s="2680"/>
      <c r="CS49" s="2510"/>
      <c r="CT49" s="2510"/>
      <c r="CU49" s="2510"/>
      <c r="CV49" s="2528"/>
      <c r="CW49" s="2635"/>
      <c r="CX49" s="2661"/>
      <c r="CY49" s="2658"/>
      <c r="CZ49" s="2658"/>
      <c r="DA49" s="2658"/>
      <c r="DB49" s="2658"/>
      <c r="DC49" s="2635"/>
      <c r="DD49" s="2680"/>
      <c r="DE49" s="2510"/>
      <c r="DF49" s="2510"/>
      <c r="DG49" s="2510"/>
      <c r="DH49" s="2528"/>
      <c r="DI49" s="2498"/>
      <c r="DJ49" s="2680"/>
      <c r="DK49" s="2510"/>
      <c r="DL49" s="2510"/>
      <c r="DM49" s="2510"/>
      <c r="DN49" s="2528"/>
      <c r="DO49" s="2682"/>
    </row>
    <row r="50" spans="3:125" s="910" customFormat="1" ht="63.75" customHeight="1">
      <c r="C50" s="2627"/>
      <c r="D50" s="2502"/>
      <c r="E50" s="2499"/>
      <c r="F50" s="2676"/>
      <c r="G50" s="2679"/>
      <c r="H50" s="2676"/>
      <c r="I50" s="2499"/>
      <c r="J50" s="2627"/>
      <c r="K50" s="1612" t="s">
        <v>556</v>
      </c>
      <c r="L50" s="1529"/>
      <c r="M50" s="1534"/>
      <c r="N50" s="1534"/>
      <c r="O50" s="1534"/>
      <c r="P50" s="1534"/>
      <c r="Q50" s="1596">
        <v>1</v>
      </c>
      <c r="R50" s="1534"/>
      <c r="S50" s="1535"/>
      <c r="T50" s="1534">
        <v>1</v>
      </c>
      <c r="U50" s="1534">
        <v>1</v>
      </c>
      <c r="V50" s="1534"/>
      <c r="W50" s="1534"/>
      <c r="X50" s="2649"/>
      <c r="Y50" s="2649"/>
      <c r="Z50" s="2650"/>
      <c r="AA50" s="2649"/>
      <c r="AB50" s="2650"/>
      <c r="AC50" s="2649"/>
      <c r="AD50" s="2649"/>
      <c r="AE50" s="2649"/>
      <c r="AF50" s="2650"/>
      <c r="AG50" s="2649"/>
      <c r="AH50" s="2650"/>
      <c r="AI50" s="2649"/>
      <c r="AJ50" s="2649"/>
      <c r="AK50" s="2649"/>
      <c r="AL50" s="2650"/>
      <c r="AM50" s="2649"/>
      <c r="AN50" s="2650"/>
      <c r="AO50" s="2649"/>
      <c r="AP50" s="2649"/>
      <c r="AQ50" s="2649"/>
      <c r="AR50" s="2650"/>
      <c r="AS50" s="2649"/>
      <c r="AT50" s="2650"/>
      <c r="AU50" s="2649"/>
      <c r="AV50" s="2649"/>
      <c r="AW50" s="2649"/>
      <c r="AX50" s="2650"/>
      <c r="AY50" s="2649"/>
      <c r="AZ50" s="2650"/>
      <c r="BA50" s="2649"/>
      <c r="BB50" s="2649"/>
      <c r="BC50" s="2649"/>
      <c r="BD50" s="2650"/>
      <c r="BE50" s="2649"/>
      <c r="BF50" s="2650"/>
      <c r="BG50" s="2649"/>
      <c r="BH50" s="2649"/>
      <c r="BI50" s="2649"/>
      <c r="BJ50" s="2650"/>
      <c r="BK50" s="2649"/>
      <c r="BL50" s="2650"/>
      <c r="BM50" s="2649"/>
      <c r="BN50" s="2649"/>
      <c r="BO50" s="2649"/>
      <c r="BP50" s="2650"/>
      <c r="BQ50" s="2649"/>
      <c r="BR50" s="2529"/>
      <c r="BS50" s="2649"/>
      <c r="BT50" s="2649"/>
      <c r="BU50" s="2649"/>
      <c r="BV50" s="2649"/>
      <c r="BW50" s="2649"/>
      <c r="BX50" s="2649"/>
      <c r="BY50" s="2649"/>
      <c r="BZ50" s="2649"/>
      <c r="CA50" s="2649"/>
      <c r="CB50" s="2649"/>
      <c r="CC50" s="2649"/>
      <c r="CD50" s="2649"/>
      <c r="CE50" s="2651"/>
      <c r="CF50" s="2612"/>
      <c r="CG50" s="2511"/>
      <c r="CH50" s="2511"/>
      <c r="CI50" s="2511"/>
      <c r="CJ50" s="2529"/>
      <c r="CK50" s="2651"/>
      <c r="CL50" s="2612"/>
      <c r="CM50" s="2511"/>
      <c r="CN50" s="2511"/>
      <c r="CO50" s="2511"/>
      <c r="CP50" s="2529"/>
      <c r="CQ50" s="2635"/>
      <c r="CR50" s="2612"/>
      <c r="CS50" s="2511"/>
      <c r="CT50" s="2511"/>
      <c r="CU50" s="2511"/>
      <c r="CV50" s="2529"/>
      <c r="CW50" s="2635"/>
      <c r="CX50" s="2662"/>
      <c r="CY50" s="2659"/>
      <c r="CZ50" s="2659"/>
      <c r="DA50" s="2659"/>
      <c r="DB50" s="2659"/>
      <c r="DC50" s="2635"/>
      <c r="DD50" s="2612"/>
      <c r="DE50" s="2511"/>
      <c r="DF50" s="2511"/>
      <c r="DG50" s="2511"/>
      <c r="DH50" s="2529"/>
      <c r="DI50" s="2499"/>
      <c r="DJ50" s="2612"/>
      <c r="DK50" s="2511"/>
      <c r="DL50" s="2511"/>
      <c r="DM50" s="2511"/>
      <c r="DN50" s="2529"/>
      <c r="DO50" s="2683"/>
    </row>
    <row r="51" spans="3:125" s="910" customFormat="1" ht="30" customHeight="1">
      <c r="C51" s="1613"/>
      <c r="D51" s="1614"/>
      <c r="E51" s="1615"/>
      <c r="F51" s="1616"/>
      <c r="G51" s="1617"/>
      <c r="H51" s="1617"/>
      <c r="I51" s="1618" t="s">
        <v>49</v>
      </c>
      <c r="J51" s="1617"/>
      <c r="K51" s="1619"/>
      <c r="L51" s="1620"/>
      <c r="M51" s="1620"/>
      <c r="N51" s="1621"/>
      <c r="O51" s="1620"/>
      <c r="P51" s="1620"/>
      <c r="Q51" s="1622"/>
      <c r="R51" s="1622"/>
      <c r="S51" s="1623"/>
      <c r="T51" s="1622"/>
      <c r="U51" s="1622"/>
      <c r="V51" s="1622"/>
      <c r="W51" s="1622"/>
      <c r="X51" s="1619"/>
      <c r="Y51" s="1518"/>
      <c r="Z51" s="1518"/>
      <c r="AA51" s="1518"/>
      <c r="AB51" s="1518"/>
      <c r="AC51" s="1518"/>
      <c r="AD51" s="1619"/>
      <c r="AE51" s="1518"/>
      <c r="AF51" s="1518"/>
      <c r="AG51" s="1518"/>
      <c r="AH51" s="1518"/>
      <c r="AI51" s="1518"/>
      <c r="AJ51" s="1619"/>
      <c r="AK51" s="1518"/>
      <c r="AL51" s="1518"/>
      <c r="AM51" s="1518"/>
      <c r="AN51" s="1518"/>
      <c r="AO51" s="1518"/>
      <c r="AP51" s="1619"/>
      <c r="AQ51" s="1518"/>
      <c r="AR51" s="1518"/>
      <c r="AS51" s="1518"/>
      <c r="AT51" s="1518"/>
      <c r="AU51" s="1518"/>
      <c r="AV51" s="1619"/>
      <c r="AW51" s="1518"/>
      <c r="AX51" s="1518"/>
      <c r="AY51" s="1518"/>
      <c r="AZ51" s="1518"/>
      <c r="BA51" s="1518"/>
      <c r="BB51" s="1619"/>
      <c r="BC51" s="1518"/>
      <c r="BD51" s="1518"/>
      <c r="BE51" s="1518"/>
      <c r="BF51" s="1518"/>
      <c r="BG51" s="1518"/>
      <c r="BH51" s="1624"/>
      <c r="BI51" s="1599"/>
      <c r="BJ51" s="1599"/>
      <c r="BK51" s="1599"/>
      <c r="BL51" s="1599"/>
      <c r="BM51" s="1599"/>
      <c r="BN51" s="1624"/>
      <c r="BO51" s="1599"/>
      <c r="BP51" s="1599"/>
      <c r="BQ51" s="1599"/>
      <c r="BR51" s="1600"/>
      <c r="BS51" s="1599"/>
      <c r="BT51" s="1624"/>
      <c r="BU51" s="1599"/>
      <c r="BV51" s="1599"/>
      <c r="BW51" s="1599"/>
      <c r="BX51" s="1600"/>
      <c r="BY51" s="1599"/>
      <c r="BZ51" s="1624"/>
      <c r="CA51" s="1599"/>
      <c r="CB51" s="1599"/>
      <c r="CC51" s="1599"/>
      <c r="CD51" s="1600"/>
      <c r="CE51" s="1601"/>
      <c r="CF51" s="1625"/>
      <c r="CG51" s="1599"/>
      <c r="CH51" s="1599"/>
      <c r="CI51" s="1599"/>
      <c r="CJ51" s="1600"/>
      <c r="CK51" s="1601"/>
      <c r="CL51" s="1625"/>
      <c r="CM51" s="1599"/>
      <c r="CN51" s="1599"/>
      <c r="CO51" s="1599"/>
      <c r="CP51" s="1600"/>
      <c r="CQ51" s="1601"/>
      <c r="CR51" s="1625"/>
      <c r="CS51" s="1599"/>
      <c r="CT51" s="1599"/>
      <c r="CU51" s="1599"/>
      <c r="CV51" s="1600"/>
      <c r="CW51" s="1601"/>
      <c r="CX51" s="1625"/>
      <c r="CY51" s="1599"/>
      <c r="CZ51" s="1599"/>
      <c r="DA51" s="1599"/>
      <c r="DB51" s="1600"/>
      <c r="DC51" s="1601"/>
      <c r="DD51" s="1625"/>
      <c r="DE51" s="1599"/>
      <c r="DF51" s="1599"/>
      <c r="DG51" s="1599"/>
      <c r="DH51" s="1600"/>
      <c r="DI51" s="1601"/>
      <c r="DJ51" s="1625"/>
      <c r="DK51" s="1599"/>
      <c r="DL51" s="1599"/>
      <c r="DM51" s="1599"/>
      <c r="DN51" s="1600"/>
      <c r="DO51" s="1603"/>
    </row>
    <row r="52" spans="3:125" s="910" customFormat="1" ht="356.25" customHeight="1">
      <c r="C52" s="1626" t="s">
        <v>155</v>
      </c>
      <c r="D52" s="1613" t="s">
        <v>156</v>
      </c>
      <c r="E52" s="1536" t="s">
        <v>941</v>
      </c>
      <c r="F52" s="1536" t="s">
        <v>158</v>
      </c>
      <c r="G52" s="1627" t="s">
        <v>251</v>
      </c>
      <c r="H52" s="1627" t="s">
        <v>53</v>
      </c>
      <c r="I52" s="1538" t="s">
        <v>160</v>
      </c>
      <c r="J52" s="1627" t="s">
        <v>161</v>
      </c>
      <c r="K52" s="1587" t="s">
        <v>54</v>
      </c>
      <c r="L52" s="2684" t="s">
        <v>3044</v>
      </c>
      <c r="M52" s="2685"/>
      <c r="N52" s="2685"/>
      <c r="O52" s="2685"/>
      <c r="P52" s="2685"/>
      <c r="Q52" s="2685"/>
      <c r="R52" s="2685"/>
      <c r="S52" s="2685"/>
      <c r="T52" s="2685"/>
      <c r="U52" s="2685"/>
      <c r="V52" s="2685"/>
      <c r="W52" s="2686"/>
      <c r="X52" s="1595" t="s">
        <v>423</v>
      </c>
      <c r="Y52" s="1518" t="s">
        <v>423</v>
      </c>
      <c r="Z52" s="1628" t="s">
        <v>423</v>
      </c>
      <c r="AA52" s="1518" t="s">
        <v>423</v>
      </c>
      <c r="AB52" s="1628" t="s">
        <v>423</v>
      </c>
      <c r="AC52" s="1518" t="s">
        <v>3045</v>
      </c>
      <c r="AD52" s="1595"/>
      <c r="AE52" s="1518"/>
      <c r="AF52" s="1518"/>
      <c r="AG52" s="1518"/>
      <c r="AH52" s="1518"/>
      <c r="AI52" s="1518"/>
      <c r="AJ52" s="1595"/>
      <c r="AK52" s="1518"/>
      <c r="AL52" s="1518"/>
      <c r="AM52" s="1518"/>
      <c r="AN52" s="1518"/>
      <c r="AO52" s="1518"/>
      <c r="AP52" s="1595" t="s">
        <v>423</v>
      </c>
      <c r="AQ52" s="1518" t="s">
        <v>423</v>
      </c>
      <c r="AR52" s="1628" t="s">
        <v>423</v>
      </c>
      <c r="AS52" s="1518" t="s">
        <v>423</v>
      </c>
      <c r="AT52" s="1628" t="s">
        <v>423</v>
      </c>
      <c r="AU52" s="1518" t="s">
        <v>3046</v>
      </c>
      <c r="AV52" s="1595" t="s">
        <v>423</v>
      </c>
      <c r="AW52" s="1518" t="s">
        <v>423</v>
      </c>
      <c r="AX52" s="1628" t="s">
        <v>423</v>
      </c>
      <c r="AY52" s="1518" t="s">
        <v>423</v>
      </c>
      <c r="AZ52" s="1628" t="s">
        <v>423</v>
      </c>
      <c r="BA52" s="1518" t="s">
        <v>3047</v>
      </c>
      <c r="BB52" s="1595" t="s">
        <v>423</v>
      </c>
      <c r="BC52" s="1518" t="s">
        <v>423</v>
      </c>
      <c r="BD52" s="1628" t="s">
        <v>423</v>
      </c>
      <c r="BE52" s="1518" t="s">
        <v>423</v>
      </c>
      <c r="BF52" s="1628" t="s">
        <v>423</v>
      </c>
      <c r="BG52" s="1629" t="s">
        <v>3047</v>
      </c>
      <c r="BH52" s="1595" t="s">
        <v>423</v>
      </c>
      <c r="BI52" s="1518" t="s">
        <v>423</v>
      </c>
      <c r="BJ52" s="1628" t="s">
        <v>423</v>
      </c>
      <c r="BK52" s="1518" t="s">
        <v>423</v>
      </c>
      <c r="BL52" s="1628" t="s">
        <v>423</v>
      </c>
      <c r="BM52" s="1629" t="s">
        <v>3047</v>
      </c>
      <c r="BN52" s="1595" t="s">
        <v>423</v>
      </c>
      <c r="BO52" s="1518" t="s">
        <v>423</v>
      </c>
      <c r="BP52" s="1628" t="s">
        <v>423</v>
      </c>
      <c r="BQ52" s="1518" t="s">
        <v>423</v>
      </c>
      <c r="BR52" s="1630" t="s">
        <v>423</v>
      </c>
      <c r="BS52" s="1629" t="s">
        <v>3047</v>
      </c>
      <c r="BT52" s="1595" t="s">
        <v>423</v>
      </c>
      <c r="BU52" s="1518" t="s">
        <v>423</v>
      </c>
      <c r="BV52" s="1628" t="s">
        <v>423</v>
      </c>
      <c r="BW52" s="1518" t="s">
        <v>423</v>
      </c>
      <c r="BX52" s="1630" t="s">
        <v>423</v>
      </c>
      <c r="BY52" s="1629" t="s">
        <v>3048</v>
      </c>
      <c r="BZ52" s="1595" t="s">
        <v>423</v>
      </c>
      <c r="CA52" s="1518" t="s">
        <v>423</v>
      </c>
      <c r="CB52" s="1518" t="s">
        <v>423</v>
      </c>
      <c r="CC52" s="1518" t="s">
        <v>423</v>
      </c>
      <c r="CD52" s="1631" t="s">
        <v>423</v>
      </c>
      <c r="CE52" s="1632" t="s">
        <v>3048</v>
      </c>
      <c r="CF52" s="1633" t="s">
        <v>423</v>
      </c>
      <c r="CG52" s="1518" t="s">
        <v>423</v>
      </c>
      <c r="CH52" s="1518" t="s">
        <v>423</v>
      </c>
      <c r="CI52" s="1518" t="s">
        <v>423</v>
      </c>
      <c r="CJ52" s="1631" t="s">
        <v>423</v>
      </c>
      <c r="CK52" s="1632" t="s">
        <v>3048</v>
      </c>
      <c r="CL52" s="1633" t="s">
        <v>423</v>
      </c>
      <c r="CM52" s="1518" t="s">
        <v>423</v>
      </c>
      <c r="CN52" s="1518" t="s">
        <v>423</v>
      </c>
      <c r="CO52" s="1518" t="s">
        <v>423</v>
      </c>
      <c r="CP52" s="1631" t="s">
        <v>423</v>
      </c>
      <c r="CQ52" s="1632"/>
      <c r="CR52" s="1633" t="s">
        <v>423</v>
      </c>
      <c r="CS52" s="1518" t="s">
        <v>423</v>
      </c>
      <c r="CT52" s="1518" t="s">
        <v>423</v>
      </c>
      <c r="CU52" s="1518" t="s">
        <v>423</v>
      </c>
      <c r="CV52" s="1631" t="s">
        <v>423</v>
      </c>
      <c r="CW52" s="1632" t="s">
        <v>3019</v>
      </c>
      <c r="CX52" s="1633">
        <v>1</v>
      </c>
      <c r="CY52" s="1518" t="s">
        <v>423</v>
      </c>
      <c r="CZ52" s="1518" t="s">
        <v>423</v>
      </c>
      <c r="DA52" s="1518" t="s">
        <v>423</v>
      </c>
      <c r="DB52" s="1631" t="s">
        <v>423</v>
      </c>
      <c r="DC52" s="1632" t="s">
        <v>3044</v>
      </c>
      <c r="DD52" s="1633" t="s">
        <v>423</v>
      </c>
      <c r="DE52" s="1518" t="s">
        <v>423</v>
      </c>
      <c r="DF52" s="1518" t="s">
        <v>423</v>
      </c>
      <c r="DG52" s="1518" t="s">
        <v>423</v>
      </c>
      <c r="DH52" s="1634" t="s">
        <v>423</v>
      </c>
      <c r="DI52" s="1635" t="s">
        <v>3019</v>
      </c>
      <c r="DJ52" s="1633" t="s">
        <v>423</v>
      </c>
      <c r="DK52" s="1518" t="s">
        <v>423</v>
      </c>
      <c r="DL52" s="1518" t="s">
        <v>423</v>
      </c>
      <c r="DM52" s="1518" t="s">
        <v>423</v>
      </c>
      <c r="DN52" s="1512" t="s">
        <v>423</v>
      </c>
      <c r="DO52" s="1635" t="s">
        <v>3044</v>
      </c>
      <c r="DP52" s="1636"/>
      <c r="DQ52" s="1636"/>
      <c r="DR52" s="1636"/>
      <c r="DS52" s="1636"/>
      <c r="DT52" s="1637"/>
      <c r="DU52" s="1638"/>
    </row>
    <row r="53" spans="3:125" s="910" customFormat="1" ht="317.25" customHeight="1">
      <c r="C53" s="1626" t="s">
        <v>55</v>
      </c>
      <c r="D53" s="1613" t="s">
        <v>89</v>
      </c>
      <c r="E53" s="1626" t="s">
        <v>3049</v>
      </c>
      <c r="F53" s="1626" t="s">
        <v>57</v>
      </c>
      <c r="G53" s="1639" t="s">
        <v>58</v>
      </c>
      <c r="H53" s="1627" t="s">
        <v>53</v>
      </c>
      <c r="I53" s="1639" t="s">
        <v>3050</v>
      </c>
      <c r="J53" s="1627" t="s">
        <v>60</v>
      </c>
      <c r="K53" s="1587" t="s">
        <v>54</v>
      </c>
      <c r="L53" s="1529"/>
      <c r="M53" s="1529"/>
      <c r="N53" s="1562">
        <v>1</v>
      </c>
      <c r="O53" s="1529"/>
      <c r="P53" s="1529"/>
      <c r="Q53" s="1562">
        <v>1</v>
      </c>
      <c r="R53" s="1562"/>
      <c r="S53" s="1556"/>
      <c r="T53" s="1562">
        <v>1</v>
      </c>
      <c r="U53" s="1562"/>
      <c r="V53" s="1529"/>
      <c r="W53" s="1562">
        <v>1</v>
      </c>
      <c r="X53" s="1587" t="s">
        <v>423</v>
      </c>
      <c r="Y53" s="1518" t="s">
        <v>423</v>
      </c>
      <c r="Z53" s="1628" t="s">
        <v>423</v>
      </c>
      <c r="AA53" s="1518" t="s">
        <v>423</v>
      </c>
      <c r="AB53" s="1628" t="s">
        <v>423</v>
      </c>
      <c r="AC53" s="1518" t="s">
        <v>3051</v>
      </c>
      <c r="AD53" s="1640"/>
      <c r="AE53" s="1518"/>
      <c r="AF53" s="1518"/>
      <c r="AG53" s="1518"/>
      <c r="AH53" s="1518"/>
      <c r="AI53" s="1518"/>
      <c r="AJ53" s="1640"/>
      <c r="AK53" s="1518"/>
      <c r="AL53" s="1518"/>
      <c r="AM53" s="1518"/>
      <c r="AN53" s="1518"/>
      <c r="AO53" s="1518"/>
      <c r="AP53" s="1595" t="s">
        <v>423</v>
      </c>
      <c r="AQ53" s="1641" t="s">
        <v>423</v>
      </c>
      <c r="AR53" s="1628" t="s">
        <v>423</v>
      </c>
      <c r="AS53" s="1641" t="s">
        <v>423</v>
      </c>
      <c r="AT53" s="1642" t="s">
        <v>423</v>
      </c>
      <c r="AU53" s="1518" t="s">
        <v>3052</v>
      </c>
      <c r="AV53" s="1595">
        <v>0</v>
      </c>
      <c r="AW53" s="1643">
        <v>1</v>
      </c>
      <c r="AX53" s="1644">
        <v>0</v>
      </c>
      <c r="AY53" s="1643">
        <v>1</v>
      </c>
      <c r="AZ53" s="1543">
        <v>0</v>
      </c>
      <c r="BA53" s="1518" t="s">
        <v>3053</v>
      </c>
      <c r="BB53" s="1595" t="s">
        <v>423</v>
      </c>
      <c r="BC53" s="1518" t="s">
        <v>423</v>
      </c>
      <c r="BD53" s="1628" t="s">
        <v>423</v>
      </c>
      <c r="BE53" s="1518" t="s">
        <v>423</v>
      </c>
      <c r="BF53" s="1628" t="s">
        <v>423</v>
      </c>
      <c r="BG53" s="1629" t="s">
        <v>3054</v>
      </c>
      <c r="BH53" s="1595" t="s">
        <v>423</v>
      </c>
      <c r="BI53" s="1518" t="s">
        <v>423</v>
      </c>
      <c r="BJ53" s="1628" t="s">
        <v>423</v>
      </c>
      <c r="BK53" s="1518" t="s">
        <v>423</v>
      </c>
      <c r="BL53" s="1628" t="s">
        <v>423</v>
      </c>
      <c r="BM53" s="1629" t="s">
        <v>3054</v>
      </c>
      <c r="BN53" s="1645">
        <v>6</v>
      </c>
      <c r="BO53" s="1645">
        <v>6</v>
      </c>
      <c r="BP53" s="1646">
        <v>6</v>
      </c>
      <c r="BQ53" s="1645">
        <v>6</v>
      </c>
      <c r="BR53" s="1567">
        <v>1</v>
      </c>
      <c r="BS53" s="1629" t="s">
        <v>3055</v>
      </c>
      <c r="BT53" s="1595" t="s">
        <v>423</v>
      </c>
      <c r="BU53" s="1518" t="s">
        <v>423</v>
      </c>
      <c r="BV53" s="1628" t="s">
        <v>423</v>
      </c>
      <c r="BW53" s="1518" t="s">
        <v>423</v>
      </c>
      <c r="BX53" s="1630" t="s">
        <v>423</v>
      </c>
      <c r="BY53" s="1629" t="s">
        <v>3048</v>
      </c>
      <c r="BZ53" s="1595" t="s">
        <v>423</v>
      </c>
      <c r="CA53" s="1518" t="s">
        <v>423</v>
      </c>
      <c r="CB53" s="1518" t="s">
        <v>423</v>
      </c>
      <c r="CC53" s="1518" t="s">
        <v>423</v>
      </c>
      <c r="CD53" s="1631" t="s">
        <v>423</v>
      </c>
      <c r="CE53" s="1632" t="s">
        <v>3048</v>
      </c>
      <c r="CF53" s="1633">
        <v>0</v>
      </c>
      <c r="CG53" s="1518">
        <v>0</v>
      </c>
      <c r="CH53" s="1518">
        <v>0</v>
      </c>
      <c r="CI53" s="1518">
        <v>0</v>
      </c>
      <c r="CJ53" s="1567">
        <v>0</v>
      </c>
      <c r="CK53" s="1632" t="s">
        <v>3056</v>
      </c>
      <c r="CL53" s="1633" t="s">
        <v>423</v>
      </c>
      <c r="CM53" s="1518" t="s">
        <v>423</v>
      </c>
      <c r="CN53" s="1518" t="s">
        <v>423</v>
      </c>
      <c r="CO53" s="1518" t="s">
        <v>423</v>
      </c>
      <c r="CP53" s="1631" t="s">
        <v>423</v>
      </c>
      <c r="CQ53" s="1632"/>
      <c r="CR53" s="1633" t="s">
        <v>423</v>
      </c>
      <c r="CS53" s="1518" t="s">
        <v>423</v>
      </c>
      <c r="CT53" s="1518" t="s">
        <v>423</v>
      </c>
      <c r="CU53" s="1518" t="s">
        <v>423</v>
      </c>
      <c r="CV53" s="1631" t="s">
        <v>423</v>
      </c>
      <c r="CW53" s="1632" t="s">
        <v>3019</v>
      </c>
      <c r="CX53" s="1647">
        <v>1</v>
      </c>
      <c r="CY53" s="1610">
        <v>1</v>
      </c>
      <c r="CZ53" s="1610">
        <v>1</v>
      </c>
      <c r="DA53" s="1610">
        <v>1</v>
      </c>
      <c r="DB53" s="1546">
        <v>1</v>
      </c>
      <c r="DC53" s="1632" t="s">
        <v>3057</v>
      </c>
      <c r="DD53" s="1647">
        <v>1</v>
      </c>
      <c r="DE53" s="1610">
        <v>1</v>
      </c>
      <c r="DF53" s="1610">
        <v>1</v>
      </c>
      <c r="DG53" s="1610">
        <v>1</v>
      </c>
      <c r="DH53" s="1634">
        <v>1</v>
      </c>
      <c r="DI53" s="1632" t="s">
        <v>3058</v>
      </c>
      <c r="DJ53" s="1647">
        <v>1</v>
      </c>
      <c r="DK53" s="1610">
        <v>1</v>
      </c>
      <c r="DL53" s="1610">
        <v>1</v>
      </c>
      <c r="DM53" s="1610">
        <v>1</v>
      </c>
      <c r="DN53" s="1546">
        <v>1</v>
      </c>
      <c r="DO53" s="1632" t="s">
        <v>3058</v>
      </c>
    </row>
    <row r="54" spans="3:125" ht="408.75" customHeight="1">
      <c r="C54" s="1626" t="s">
        <v>55</v>
      </c>
      <c r="D54" s="1613" t="s">
        <v>88</v>
      </c>
      <c r="E54" s="1626" t="s">
        <v>3059</v>
      </c>
      <c r="F54" s="1626" t="s">
        <v>57</v>
      </c>
      <c r="G54" s="1639" t="s">
        <v>62</v>
      </c>
      <c r="H54" s="1627" t="s">
        <v>53</v>
      </c>
      <c r="I54" s="1627" t="s">
        <v>1284</v>
      </c>
      <c r="J54" s="1627" t="s">
        <v>64</v>
      </c>
      <c r="K54" s="1587" t="s">
        <v>54</v>
      </c>
      <c r="L54" s="1648"/>
      <c r="M54" s="1516">
        <v>1</v>
      </c>
      <c r="N54" s="1516"/>
      <c r="O54" s="1516">
        <v>1</v>
      </c>
      <c r="P54" s="1648"/>
      <c r="Q54" s="1562">
        <v>1</v>
      </c>
      <c r="R54" s="1649"/>
      <c r="S54" s="1609">
        <v>1</v>
      </c>
      <c r="T54" s="1649"/>
      <c r="U54" s="1562">
        <v>1</v>
      </c>
      <c r="V54" s="1650"/>
      <c r="W54" s="1562">
        <v>1</v>
      </c>
      <c r="X54" s="1640" t="s">
        <v>423</v>
      </c>
      <c r="Y54" s="1518" t="s">
        <v>423</v>
      </c>
      <c r="Z54" s="1628" t="s">
        <v>423</v>
      </c>
      <c r="AA54" s="1518" t="s">
        <v>423</v>
      </c>
      <c r="AB54" s="1628" t="s">
        <v>423</v>
      </c>
      <c r="AC54" s="1518" t="s">
        <v>3060</v>
      </c>
      <c r="AD54" s="1595"/>
      <c r="AE54" s="1641"/>
      <c r="AF54" s="1641"/>
      <c r="AG54" s="1641"/>
      <c r="AH54" s="1641"/>
      <c r="AI54" s="1641"/>
      <c r="AJ54" s="1595"/>
      <c r="AK54" s="1641"/>
      <c r="AL54" s="1641"/>
      <c r="AM54" s="1641"/>
      <c r="AN54" s="1641"/>
      <c r="AO54" s="1641"/>
      <c r="AP54" s="1595" t="s">
        <v>423</v>
      </c>
      <c r="AQ54" s="1641" t="s">
        <v>423</v>
      </c>
      <c r="AR54" s="1628" t="s">
        <v>423</v>
      </c>
      <c r="AS54" s="1641" t="s">
        <v>423</v>
      </c>
      <c r="AT54" s="1642" t="s">
        <v>423</v>
      </c>
      <c r="AU54" s="1641" t="s">
        <v>3061</v>
      </c>
      <c r="AV54" s="1640" t="s">
        <v>423</v>
      </c>
      <c r="AW54" s="1518" t="s">
        <v>423</v>
      </c>
      <c r="AX54" s="1628" t="s">
        <v>423</v>
      </c>
      <c r="AY54" s="1518" t="s">
        <v>423</v>
      </c>
      <c r="AZ54" s="1628" t="s">
        <v>423</v>
      </c>
      <c r="BA54" s="1518" t="s">
        <v>3060</v>
      </c>
      <c r="BB54" s="1640" t="s">
        <v>423</v>
      </c>
      <c r="BC54" s="1518" t="s">
        <v>423</v>
      </c>
      <c r="BD54" s="1628" t="s">
        <v>423</v>
      </c>
      <c r="BE54" s="1518" t="s">
        <v>423</v>
      </c>
      <c r="BF54" s="1628" t="s">
        <v>423</v>
      </c>
      <c r="BG54" s="1629" t="s">
        <v>3060</v>
      </c>
      <c r="BH54" s="1640" t="s">
        <v>423</v>
      </c>
      <c r="BI54" s="1518" t="s">
        <v>423</v>
      </c>
      <c r="BJ54" s="1628" t="s">
        <v>423</v>
      </c>
      <c r="BK54" s="1518" t="s">
        <v>423</v>
      </c>
      <c r="BL54" s="1628" t="s">
        <v>423</v>
      </c>
      <c r="BM54" s="1629" t="s">
        <v>3060</v>
      </c>
      <c r="BN54" s="1640">
        <v>0</v>
      </c>
      <c r="BO54" s="1518">
        <v>100</v>
      </c>
      <c r="BP54" s="1628">
        <v>0</v>
      </c>
      <c r="BQ54" s="1518">
        <v>100</v>
      </c>
      <c r="BR54" s="1567">
        <v>0</v>
      </c>
      <c r="BS54" s="1629" t="s">
        <v>3062</v>
      </c>
      <c r="BT54" s="1595" t="s">
        <v>423</v>
      </c>
      <c r="BU54" s="1518" t="s">
        <v>423</v>
      </c>
      <c r="BV54" s="1628" t="s">
        <v>423</v>
      </c>
      <c r="BW54" s="1518" t="s">
        <v>423</v>
      </c>
      <c r="BX54" s="1630" t="s">
        <v>423</v>
      </c>
      <c r="BY54" s="1629" t="s">
        <v>3048</v>
      </c>
      <c r="BZ54" s="1595" t="s">
        <v>423</v>
      </c>
      <c r="CA54" s="1518" t="s">
        <v>423</v>
      </c>
      <c r="CB54" s="1518" t="s">
        <v>423</v>
      </c>
      <c r="CC54" s="1518" t="s">
        <v>423</v>
      </c>
      <c r="CD54" s="1631" t="s">
        <v>423</v>
      </c>
      <c r="CE54" s="1632" t="s">
        <v>3048</v>
      </c>
      <c r="CF54" s="1633" t="s">
        <v>423</v>
      </c>
      <c r="CG54" s="1518" t="s">
        <v>423</v>
      </c>
      <c r="CH54" s="1518" t="s">
        <v>423</v>
      </c>
      <c r="CI54" s="1518" t="s">
        <v>423</v>
      </c>
      <c r="CJ54" s="1631" t="s">
        <v>423</v>
      </c>
      <c r="CK54" s="1632" t="s">
        <v>3048</v>
      </c>
      <c r="CL54" s="1633" t="s">
        <v>423</v>
      </c>
      <c r="CM54" s="1518" t="s">
        <v>423</v>
      </c>
      <c r="CN54" s="1518" t="s">
        <v>423</v>
      </c>
      <c r="CO54" s="1518" t="s">
        <v>423</v>
      </c>
      <c r="CP54" s="1631" t="s">
        <v>423</v>
      </c>
      <c r="CQ54" s="1632"/>
      <c r="CR54" s="1633" t="s">
        <v>423</v>
      </c>
      <c r="CS54" s="1518" t="s">
        <v>423</v>
      </c>
      <c r="CT54" s="1518" t="s">
        <v>423</v>
      </c>
      <c r="CU54" s="1518" t="s">
        <v>423</v>
      </c>
      <c r="CV54" s="1631" t="s">
        <v>423</v>
      </c>
      <c r="CW54" s="1632" t="s">
        <v>3019</v>
      </c>
      <c r="CX54" s="1647">
        <v>1</v>
      </c>
      <c r="CY54" s="1610">
        <v>0</v>
      </c>
      <c r="CZ54" s="1610">
        <v>0</v>
      </c>
      <c r="DA54" s="1610">
        <v>1</v>
      </c>
      <c r="DB54" s="1546">
        <v>0</v>
      </c>
      <c r="DC54" s="1632" t="s">
        <v>3063</v>
      </c>
      <c r="DD54" s="1647">
        <v>1</v>
      </c>
      <c r="DE54" s="1610">
        <v>0</v>
      </c>
      <c r="DF54" s="1610">
        <v>0</v>
      </c>
      <c r="DG54" s="1610">
        <v>1</v>
      </c>
      <c r="DH54" s="1634">
        <v>0</v>
      </c>
      <c r="DI54" s="1632" t="s">
        <v>3063</v>
      </c>
      <c r="DJ54" s="1647">
        <v>1</v>
      </c>
      <c r="DK54" s="1610">
        <v>0</v>
      </c>
      <c r="DL54" s="1610">
        <v>0</v>
      </c>
      <c r="DM54" s="1610">
        <v>1</v>
      </c>
      <c r="DN54" s="1546">
        <v>0</v>
      </c>
      <c r="DO54" s="1632" t="s">
        <v>3063</v>
      </c>
    </row>
    <row r="55" spans="3:125" ht="259.5" customHeight="1">
      <c r="C55" s="1626" t="s">
        <v>260</v>
      </c>
      <c r="D55" s="1613" t="s">
        <v>261</v>
      </c>
      <c r="E55" s="1626" t="s">
        <v>262</v>
      </c>
      <c r="F55" s="1626" t="s">
        <v>263</v>
      </c>
      <c r="G55" s="1627" t="s">
        <v>264</v>
      </c>
      <c r="H55" s="1627" t="s">
        <v>98</v>
      </c>
      <c r="I55" s="1627" t="s">
        <v>390</v>
      </c>
      <c r="J55" s="1627" t="s">
        <v>267</v>
      </c>
      <c r="K55" s="1587" t="s">
        <v>391</v>
      </c>
      <c r="L55" s="2684" t="s">
        <v>3044</v>
      </c>
      <c r="M55" s="2685"/>
      <c r="N55" s="2685"/>
      <c r="O55" s="2685"/>
      <c r="P55" s="2685"/>
      <c r="Q55" s="2685"/>
      <c r="R55" s="2685"/>
      <c r="S55" s="2685"/>
      <c r="T55" s="2685"/>
      <c r="U55" s="2685"/>
      <c r="V55" s="2685"/>
      <c r="W55" s="2686"/>
      <c r="X55" s="1595" t="s">
        <v>423</v>
      </c>
      <c r="Y55" s="1518" t="s">
        <v>423</v>
      </c>
      <c r="Z55" s="1628" t="s">
        <v>423</v>
      </c>
      <c r="AA55" s="1518" t="s">
        <v>423</v>
      </c>
      <c r="AB55" s="1628" t="s">
        <v>423</v>
      </c>
      <c r="AC55" s="1518" t="s">
        <v>3045</v>
      </c>
      <c r="AD55" s="1595"/>
      <c r="AE55" s="1641"/>
      <c r="AF55" s="1641"/>
      <c r="AG55" s="1641"/>
      <c r="AH55" s="1641"/>
      <c r="AI55" s="1641"/>
      <c r="AJ55" s="1595"/>
      <c r="AK55" s="1641"/>
      <c r="AL55" s="1641"/>
      <c r="AM55" s="1641"/>
      <c r="AN55" s="1641"/>
      <c r="AO55" s="1641"/>
      <c r="AP55" s="1595" t="s">
        <v>423</v>
      </c>
      <c r="AQ55" s="1518" t="s">
        <v>423</v>
      </c>
      <c r="AR55" s="1628" t="s">
        <v>423</v>
      </c>
      <c r="AS55" s="1518" t="s">
        <v>423</v>
      </c>
      <c r="AT55" s="1628" t="s">
        <v>423</v>
      </c>
      <c r="AU55" s="1518" t="s">
        <v>3046</v>
      </c>
      <c r="AV55" s="1595" t="s">
        <v>423</v>
      </c>
      <c r="AW55" s="1518" t="s">
        <v>423</v>
      </c>
      <c r="AX55" s="1628" t="s">
        <v>423</v>
      </c>
      <c r="AY55" s="1518" t="s">
        <v>423</v>
      </c>
      <c r="AZ55" s="1628" t="s">
        <v>423</v>
      </c>
      <c r="BA55" s="1518" t="s">
        <v>3045</v>
      </c>
      <c r="BB55" s="1595" t="s">
        <v>423</v>
      </c>
      <c r="BC55" s="1518" t="s">
        <v>423</v>
      </c>
      <c r="BD55" s="1628" t="s">
        <v>423</v>
      </c>
      <c r="BE55" s="1518" t="s">
        <v>423</v>
      </c>
      <c r="BF55" s="1628" t="s">
        <v>423</v>
      </c>
      <c r="BG55" s="1629" t="s">
        <v>3045</v>
      </c>
      <c r="BH55" s="1595" t="s">
        <v>423</v>
      </c>
      <c r="BI55" s="1518" t="s">
        <v>423</v>
      </c>
      <c r="BJ55" s="1628" t="s">
        <v>423</v>
      </c>
      <c r="BK55" s="1518" t="s">
        <v>423</v>
      </c>
      <c r="BL55" s="1628" t="s">
        <v>423</v>
      </c>
      <c r="BM55" s="1629" t="s">
        <v>3045</v>
      </c>
      <c r="BN55" s="1595" t="s">
        <v>423</v>
      </c>
      <c r="BO55" s="1518" t="s">
        <v>423</v>
      </c>
      <c r="BP55" s="1628" t="s">
        <v>423</v>
      </c>
      <c r="BQ55" s="1518" t="s">
        <v>423</v>
      </c>
      <c r="BR55" s="1651" t="s">
        <v>423</v>
      </c>
      <c r="BS55" s="1629" t="s">
        <v>3045</v>
      </c>
      <c r="BT55" s="1595" t="s">
        <v>423</v>
      </c>
      <c r="BU55" s="1518" t="s">
        <v>423</v>
      </c>
      <c r="BV55" s="1628" t="s">
        <v>423</v>
      </c>
      <c r="BW55" s="1518" t="s">
        <v>423</v>
      </c>
      <c r="BX55" s="1651" t="s">
        <v>423</v>
      </c>
      <c r="BY55" s="1629" t="s">
        <v>3045</v>
      </c>
      <c r="BZ55" s="1595" t="s">
        <v>423</v>
      </c>
      <c r="CA55" s="1518" t="s">
        <v>423</v>
      </c>
      <c r="CB55" s="1518" t="s">
        <v>423</v>
      </c>
      <c r="CC55" s="1518" t="s">
        <v>423</v>
      </c>
      <c r="CD55" s="1522" t="s">
        <v>423</v>
      </c>
      <c r="CE55" s="1632" t="s">
        <v>3045</v>
      </c>
      <c r="CF55" s="1633" t="s">
        <v>423</v>
      </c>
      <c r="CG55" s="1518" t="s">
        <v>423</v>
      </c>
      <c r="CH55" s="1518" t="s">
        <v>423</v>
      </c>
      <c r="CI55" s="1518" t="s">
        <v>423</v>
      </c>
      <c r="CJ55" s="1522" t="s">
        <v>423</v>
      </c>
      <c r="CK55" s="1632" t="s">
        <v>3045</v>
      </c>
      <c r="CL55" s="1633" t="s">
        <v>423</v>
      </c>
      <c r="CM55" s="1518" t="s">
        <v>423</v>
      </c>
      <c r="CN55" s="1518" t="s">
        <v>423</v>
      </c>
      <c r="CO55" s="1518" t="s">
        <v>423</v>
      </c>
      <c r="CP55" s="1522" t="s">
        <v>423</v>
      </c>
      <c r="CQ55" s="1632"/>
      <c r="CR55" s="1633" t="s">
        <v>423</v>
      </c>
      <c r="CS55" s="1518" t="s">
        <v>423</v>
      </c>
      <c r="CT55" s="1518" t="s">
        <v>423</v>
      </c>
      <c r="CU55" s="1518" t="s">
        <v>423</v>
      </c>
      <c r="CV55" s="1522" t="s">
        <v>423</v>
      </c>
      <c r="CW55" s="1632" t="s">
        <v>3044</v>
      </c>
      <c r="CX55" s="1633" t="s">
        <v>423</v>
      </c>
      <c r="CY55" s="1518" t="s">
        <v>423</v>
      </c>
      <c r="CZ55" s="1518" t="s">
        <v>423</v>
      </c>
      <c r="DA55" s="1518" t="s">
        <v>423</v>
      </c>
      <c r="DB55" s="1522" t="s">
        <v>423</v>
      </c>
      <c r="DC55" s="1632" t="s">
        <v>3044</v>
      </c>
      <c r="DD55" s="1633" t="s">
        <v>423</v>
      </c>
      <c r="DE55" s="1518" t="s">
        <v>423</v>
      </c>
      <c r="DF55" s="1518" t="s">
        <v>423</v>
      </c>
      <c r="DG55" s="1518" t="s">
        <v>423</v>
      </c>
      <c r="DH55" s="1522" t="s">
        <v>423</v>
      </c>
      <c r="DI55" s="1632" t="s">
        <v>3044</v>
      </c>
      <c r="DJ55" s="1633" t="s">
        <v>423</v>
      </c>
      <c r="DK55" s="1518" t="s">
        <v>423</v>
      </c>
      <c r="DL55" s="1518" t="s">
        <v>423</v>
      </c>
      <c r="DM55" s="1518" t="s">
        <v>423</v>
      </c>
      <c r="DN55" s="1522" t="s">
        <v>423</v>
      </c>
      <c r="DO55" s="1632" t="s">
        <v>3044</v>
      </c>
    </row>
    <row r="56" spans="3:125" ht="292.5" customHeight="1">
      <c r="C56" s="1626" t="s">
        <v>260</v>
      </c>
      <c r="D56" s="1613" t="s">
        <v>273</v>
      </c>
      <c r="E56" s="1626" t="s">
        <v>3064</v>
      </c>
      <c r="F56" s="1626" t="s">
        <v>275</v>
      </c>
      <c r="G56" s="1627" t="s">
        <v>276</v>
      </c>
      <c r="H56" s="1627" t="s">
        <v>98</v>
      </c>
      <c r="I56" s="1627" t="s">
        <v>394</v>
      </c>
      <c r="J56" s="1627" t="s">
        <v>267</v>
      </c>
      <c r="K56" s="1587" t="s">
        <v>391</v>
      </c>
      <c r="L56" s="2684" t="s">
        <v>3044</v>
      </c>
      <c r="M56" s="2685"/>
      <c r="N56" s="2685"/>
      <c r="O56" s="2685"/>
      <c r="P56" s="2685"/>
      <c r="Q56" s="2685"/>
      <c r="R56" s="2685"/>
      <c r="S56" s="2685"/>
      <c r="T56" s="2685"/>
      <c r="U56" s="2685"/>
      <c r="V56" s="2685"/>
      <c r="W56" s="2686"/>
      <c r="X56" s="1595" t="s">
        <v>423</v>
      </c>
      <c r="Y56" s="1518" t="s">
        <v>423</v>
      </c>
      <c r="Z56" s="1628" t="s">
        <v>423</v>
      </c>
      <c r="AA56" s="1518" t="s">
        <v>423</v>
      </c>
      <c r="AB56" s="1628" t="s">
        <v>423</v>
      </c>
      <c r="AC56" s="1518" t="s">
        <v>3045</v>
      </c>
      <c r="AD56" s="1595"/>
      <c r="AE56" s="1641"/>
      <c r="AF56" s="1641"/>
      <c r="AG56" s="1641"/>
      <c r="AH56" s="1641"/>
      <c r="AI56" s="1641"/>
      <c r="AJ56" s="1595"/>
      <c r="AK56" s="1641"/>
      <c r="AL56" s="1641"/>
      <c r="AM56" s="1641"/>
      <c r="AN56" s="1641"/>
      <c r="AO56" s="1641"/>
      <c r="AP56" s="1595" t="s">
        <v>423</v>
      </c>
      <c r="AQ56" s="1518" t="s">
        <v>423</v>
      </c>
      <c r="AR56" s="1628" t="s">
        <v>423</v>
      </c>
      <c r="AS56" s="1518" t="s">
        <v>423</v>
      </c>
      <c r="AT56" s="1628" t="s">
        <v>423</v>
      </c>
      <c r="AU56" s="1518" t="s">
        <v>3046</v>
      </c>
      <c r="AV56" s="1595" t="s">
        <v>423</v>
      </c>
      <c r="AW56" s="1518" t="s">
        <v>423</v>
      </c>
      <c r="AX56" s="1628" t="s">
        <v>423</v>
      </c>
      <c r="AY56" s="1518" t="s">
        <v>423</v>
      </c>
      <c r="AZ56" s="1628" t="s">
        <v>423</v>
      </c>
      <c r="BA56" s="1518" t="s">
        <v>3045</v>
      </c>
      <c r="BB56" s="1595" t="s">
        <v>423</v>
      </c>
      <c r="BC56" s="1518" t="s">
        <v>423</v>
      </c>
      <c r="BD56" s="1628" t="s">
        <v>423</v>
      </c>
      <c r="BE56" s="1518" t="s">
        <v>423</v>
      </c>
      <c r="BF56" s="1628" t="s">
        <v>423</v>
      </c>
      <c r="BG56" s="1629" t="s">
        <v>3045</v>
      </c>
      <c r="BH56" s="1595" t="s">
        <v>423</v>
      </c>
      <c r="BI56" s="1518" t="s">
        <v>423</v>
      </c>
      <c r="BJ56" s="1628" t="s">
        <v>423</v>
      </c>
      <c r="BK56" s="1518" t="s">
        <v>423</v>
      </c>
      <c r="BL56" s="1628" t="s">
        <v>423</v>
      </c>
      <c r="BM56" s="1629" t="s">
        <v>3045</v>
      </c>
      <c r="BN56" s="1595" t="s">
        <v>423</v>
      </c>
      <c r="BO56" s="1518" t="s">
        <v>423</v>
      </c>
      <c r="BP56" s="1628" t="s">
        <v>423</v>
      </c>
      <c r="BQ56" s="1518" t="s">
        <v>423</v>
      </c>
      <c r="BR56" s="1630" t="s">
        <v>423</v>
      </c>
      <c r="BS56" s="1629" t="s">
        <v>3045</v>
      </c>
      <c r="BT56" s="1595" t="s">
        <v>423</v>
      </c>
      <c r="BU56" s="1518" t="s">
        <v>423</v>
      </c>
      <c r="BV56" s="1628" t="s">
        <v>423</v>
      </c>
      <c r="BW56" s="1518" t="s">
        <v>423</v>
      </c>
      <c r="BX56" s="1630" t="s">
        <v>423</v>
      </c>
      <c r="BY56" s="1629" t="s">
        <v>3045</v>
      </c>
      <c r="BZ56" s="1595" t="s">
        <v>423</v>
      </c>
      <c r="CA56" s="1518" t="s">
        <v>423</v>
      </c>
      <c r="CB56" s="1518" t="s">
        <v>423</v>
      </c>
      <c r="CC56" s="1518" t="s">
        <v>423</v>
      </c>
      <c r="CD56" s="1631" t="s">
        <v>423</v>
      </c>
      <c r="CE56" s="1632" t="s">
        <v>3045</v>
      </c>
      <c r="CF56" s="1633" t="s">
        <v>423</v>
      </c>
      <c r="CG56" s="1518" t="s">
        <v>423</v>
      </c>
      <c r="CH56" s="1518" t="s">
        <v>423</v>
      </c>
      <c r="CI56" s="1518" t="s">
        <v>423</v>
      </c>
      <c r="CJ56" s="1631" t="s">
        <v>423</v>
      </c>
      <c r="CK56" s="1632" t="s">
        <v>3045</v>
      </c>
      <c r="CL56" s="1633" t="s">
        <v>423</v>
      </c>
      <c r="CM56" s="1518" t="s">
        <v>423</v>
      </c>
      <c r="CN56" s="1518" t="s">
        <v>423</v>
      </c>
      <c r="CO56" s="1518" t="s">
        <v>423</v>
      </c>
      <c r="CP56" s="1631" t="s">
        <v>423</v>
      </c>
      <c r="CQ56" s="1632"/>
      <c r="CR56" s="1633" t="s">
        <v>423</v>
      </c>
      <c r="CS56" s="1518" t="s">
        <v>423</v>
      </c>
      <c r="CT56" s="1518" t="s">
        <v>423</v>
      </c>
      <c r="CU56" s="1518" t="s">
        <v>423</v>
      </c>
      <c r="CV56" s="1631" t="s">
        <v>423</v>
      </c>
      <c r="CW56" s="1632" t="s">
        <v>3044</v>
      </c>
      <c r="CX56" s="1633" t="s">
        <v>423</v>
      </c>
      <c r="CY56" s="1518" t="s">
        <v>423</v>
      </c>
      <c r="CZ56" s="1518" t="s">
        <v>423</v>
      </c>
      <c r="DA56" s="1518" t="s">
        <v>423</v>
      </c>
      <c r="DB56" s="1631" t="s">
        <v>423</v>
      </c>
      <c r="DC56" s="1632" t="s">
        <v>3044</v>
      </c>
      <c r="DD56" s="1633" t="s">
        <v>423</v>
      </c>
      <c r="DE56" s="1518" t="s">
        <v>423</v>
      </c>
      <c r="DF56" s="1518" t="s">
        <v>423</v>
      </c>
      <c r="DG56" s="1518" t="s">
        <v>423</v>
      </c>
      <c r="DH56" s="1631" t="s">
        <v>423</v>
      </c>
      <c r="DI56" s="1632" t="s">
        <v>3044</v>
      </c>
      <c r="DJ56" s="1633" t="s">
        <v>423</v>
      </c>
      <c r="DK56" s="1518" t="s">
        <v>423</v>
      </c>
      <c r="DL56" s="1518" t="s">
        <v>423</v>
      </c>
      <c r="DM56" s="1518" t="s">
        <v>423</v>
      </c>
      <c r="DN56" s="1631" t="s">
        <v>423</v>
      </c>
      <c r="DO56" s="1632" t="s">
        <v>3044</v>
      </c>
    </row>
    <row r="57" spans="3:125" ht="298.5" customHeight="1">
      <c r="C57" s="1626" t="s">
        <v>67</v>
      </c>
      <c r="D57" s="1652" t="s">
        <v>90</v>
      </c>
      <c r="E57" s="1653" t="s">
        <v>93</v>
      </c>
      <c r="F57" s="1653" t="s">
        <v>68</v>
      </c>
      <c r="G57" s="1654" t="s">
        <v>69</v>
      </c>
      <c r="H57" s="1654" t="s">
        <v>53</v>
      </c>
      <c r="I57" s="1627" t="s">
        <v>70</v>
      </c>
      <c r="J57" s="1627" t="s">
        <v>71</v>
      </c>
      <c r="K57" s="1587" t="s">
        <v>54</v>
      </c>
      <c r="L57" s="2684" t="s">
        <v>3044</v>
      </c>
      <c r="M57" s="2685"/>
      <c r="N57" s="2685"/>
      <c r="O57" s="2685"/>
      <c r="P57" s="2685"/>
      <c r="Q57" s="2685"/>
      <c r="R57" s="2685"/>
      <c r="S57" s="2685"/>
      <c r="T57" s="2685"/>
      <c r="U57" s="2685"/>
      <c r="V57" s="2685"/>
      <c r="W57" s="2686"/>
      <c r="X57" s="1595" t="s">
        <v>423</v>
      </c>
      <c r="Y57" s="1518" t="s">
        <v>423</v>
      </c>
      <c r="Z57" s="1628" t="s">
        <v>423</v>
      </c>
      <c r="AA57" s="1518" t="s">
        <v>423</v>
      </c>
      <c r="AB57" s="1628" t="s">
        <v>423</v>
      </c>
      <c r="AC57" s="1518" t="s">
        <v>3045</v>
      </c>
      <c r="AD57" s="1655"/>
      <c r="AE57" s="1641"/>
      <c r="AF57" s="1641"/>
      <c r="AG57" s="1641"/>
      <c r="AH57" s="1641"/>
      <c r="AI57" s="1641"/>
      <c r="AJ57" s="1655"/>
      <c r="AK57" s="1641"/>
      <c r="AL57" s="1641"/>
      <c r="AM57" s="1641"/>
      <c r="AN57" s="1641"/>
      <c r="AO57" s="1641"/>
      <c r="AP57" s="1595" t="s">
        <v>423</v>
      </c>
      <c r="AQ57" s="1518" t="s">
        <v>423</v>
      </c>
      <c r="AR57" s="1628" t="s">
        <v>423</v>
      </c>
      <c r="AS57" s="1518" t="s">
        <v>423</v>
      </c>
      <c r="AT57" s="1628" t="s">
        <v>423</v>
      </c>
      <c r="AU57" s="1518" t="s">
        <v>3046</v>
      </c>
      <c r="AV57" s="1595" t="s">
        <v>423</v>
      </c>
      <c r="AW57" s="1518" t="s">
        <v>423</v>
      </c>
      <c r="AX57" s="1628" t="s">
        <v>423</v>
      </c>
      <c r="AY57" s="1518" t="s">
        <v>423</v>
      </c>
      <c r="AZ57" s="1628" t="s">
        <v>423</v>
      </c>
      <c r="BA57" s="1518" t="s">
        <v>3045</v>
      </c>
      <c r="BB57" s="1595" t="s">
        <v>423</v>
      </c>
      <c r="BC57" s="1518" t="s">
        <v>423</v>
      </c>
      <c r="BD57" s="1628" t="s">
        <v>423</v>
      </c>
      <c r="BE57" s="1518" t="s">
        <v>423</v>
      </c>
      <c r="BF57" s="1628" t="s">
        <v>423</v>
      </c>
      <c r="BG57" s="1629" t="s">
        <v>3045</v>
      </c>
      <c r="BH57" s="1595" t="s">
        <v>423</v>
      </c>
      <c r="BI57" s="1518" t="s">
        <v>423</v>
      </c>
      <c r="BJ57" s="1628" t="s">
        <v>423</v>
      </c>
      <c r="BK57" s="1518" t="s">
        <v>423</v>
      </c>
      <c r="BL57" s="1628" t="s">
        <v>423</v>
      </c>
      <c r="BM57" s="1629" t="s">
        <v>3045</v>
      </c>
      <c r="BN57" s="1595" t="s">
        <v>423</v>
      </c>
      <c r="BO57" s="1518" t="s">
        <v>423</v>
      </c>
      <c r="BP57" s="1628" t="s">
        <v>423</v>
      </c>
      <c r="BQ57" s="1518" t="s">
        <v>423</v>
      </c>
      <c r="BR57" s="1630" t="s">
        <v>423</v>
      </c>
      <c r="BS57" s="1629" t="s">
        <v>3045</v>
      </c>
      <c r="BT57" s="1595" t="s">
        <v>423</v>
      </c>
      <c r="BU57" s="1518" t="s">
        <v>423</v>
      </c>
      <c r="BV57" s="1628" t="s">
        <v>423</v>
      </c>
      <c r="BW57" s="1518" t="s">
        <v>423</v>
      </c>
      <c r="BX57" s="1630" t="s">
        <v>423</v>
      </c>
      <c r="BY57" s="1629" t="s">
        <v>3045</v>
      </c>
      <c r="BZ57" s="1595" t="s">
        <v>423</v>
      </c>
      <c r="CA57" s="1518" t="s">
        <v>423</v>
      </c>
      <c r="CB57" s="1518" t="s">
        <v>423</v>
      </c>
      <c r="CC57" s="1518" t="s">
        <v>423</v>
      </c>
      <c r="CD57" s="1631" t="s">
        <v>423</v>
      </c>
      <c r="CE57" s="1632" t="s">
        <v>3045</v>
      </c>
      <c r="CF57" s="1633" t="s">
        <v>423</v>
      </c>
      <c r="CG57" s="1518" t="s">
        <v>423</v>
      </c>
      <c r="CH57" s="1518" t="s">
        <v>423</v>
      </c>
      <c r="CI57" s="1518" t="s">
        <v>423</v>
      </c>
      <c r="CJ57" s="1631" t="s">
        <v>423</v>
      </c>
      <c r="CK57" s="1632" t="s">
        <v>3045</v>
      </c>
      <c r="CL57" s="1633" t="s">
        <v>423</v>
      </c>
      <c r="CM57" s="1518" t="s">
        <v>423</v>
      </c>
      <c r="CN57" s="1518" t="s">
        <v>423</v>
      </c>
      <c r="CO57" s="1518" t="s">
        <v>423</v>
      </c>
      <c r="CP57" s="1631" t="s">
        <v>423</v>
      </c>
      <c r="CQ57" s="1632"/>
      <c r="CR57" s="1633" t="s">
        <v>423</v>
      </c>
      <c r="CS57" s="1518" t="s">
        <v>423</v>
      </c>
      <c r="CT57" s="1518" t="s">
        <v>423</v>
      </c>
      <c r="CU57" s="1518" t="s">
        <v>423</v>
      </c>
      <c r="CV57" s="1631" t="s">
        <v>423</v>
      </c>
      <c r="CW57" s="1632" t="s">
        <v>3044</v>
      </c>
      <c r="CX57" s="1633" t="s">
        <v>423</v>
      </c>
      <c r="CY57" s="1518" t="s">
        <v>423</v>
      </c>
      <c r="CZ57" s="1518" t="s">
        <v>423</v>
      </c>
      <c r="DA57" s="1518" t="s">
        <v>423</v>
      </c>
      <c r="DB57" s="1631" t="s">
        <v>423</v>
      </c>
      <c r="DC57" s="1632" t="s">
        <v>3044</v>
      </c>
      <c r="DD57" s="1633" t="s">
        <v>423</v>
      </c>
      <c r="DE57" s="1518" t="s">
        <v>423</v>
      </c>
      <c r="DF57" s="1518" t="s">
        <v>423</v>
      </c>
      <c r="DG57" s="1518" t="s">
        <v>423</v>
      </c>
      <c r="DH57" s="1631" t="s">
        <v>423</v>
      </c>
      <c r="DI57" s="1632" t="s">
        <v>3044</v>
      </c>
      <c r="DJ57" s="1633" t="s">
        <v>423</v>
      </c>
      <c r="DK57" s="1518" t="s">
        <v>423</v>
      </c>
      <c r="DL57" s="1518" t="s">
        <v>423</v>
      </c>
      <c r="DM57" s="1518" t="s">
        <v>423</v>
      </c>
      <c r="DN57" s="1631" t="s">
        <v>423</v>
      </c>
      <c r="DO57" s="1632" t="s">
        <v>3044</v>
      </c>
    </row>
    <row r="58" spans="3:125" ht="349.5" customHeight="1">
      <c r="C58" s="1656" t="s">
        <v>73</v>
      </c>
      <c r="D58" s="1613" t="s">
        <v>91</v>
      </c>
      <c r="E58" s="1626" t="s">
        <v>74</v>
      </c>
      <c r="F58" s="1626" t="s">
        <v>75</v>
      </c>
      <c r="G58" s="1627" t="s">
        <v>296</v>
      </c>
      <c r="H58" s="1627" t="s">
        <v>53</v>
      </c>
      <c r="I58" s="1627" t="s">
        <v>776</v>
      </c>
      <c r="J58" s="1627" t="s">
        <v>78</v>
      </c>
      <c r="K58" s="1587" t="s">
        <v>54</v>
      </c>
      <c r="L58" s="2684" t="s">
        <v>3044</v>
      </c>
      <c r="M58" s="2685"/>
      <c r="N58" s="2685"/>
      <c r="O58" s="2685"/>
      <c r="P58" s="2685"/>
      <c r="Q58" s="2685"/>
      <c r="R58" s="2685"/>
      <c r="S58" s="2685"/>
      <c r="T58" s="2685"/>
      <c r="U58" s="2685"/>
      <c r="V58" s="2685"/>
      <c r="W58" s="2686"/>
      <c r="X58" s="1595" t="s">
        <v>423</v>
      </c>
      <c r="Y58" s="1518" t="s">
        <v>423</v>
      </c>
      <c r="Z58" s="1628" t="s">
        <v>423</v>
      </c>
      <c r="AA58" s="1518" t="s">
        <v>423</v>
      </c>
      <c r="AB58" s="1628" t="s">
        <v>423</v>
      </c>
      <c r="AC58" s="1518" t="s">
        <v>3045</v>
      </c>
      <c r="AD58" s="1655"/>
      <c r="AE58" s="1641"/>
      <c r="AF58" s="1641"/>
      <c r="AG58" s="1641"/>
      <c r="AH58" s="1641"/>
      <c r="AI58" s="1641"/>
      <c r="AJ58" s="1655"/>
      <c r="AK58" s="1641"/>
      <c r="AL58" s="1641"/>
      <c r="AM58" s="1641"/>
      <c r="AN58" s="1641"/>
      <c r="AO58" s="1641"/>
      <c r="AP58" s="1595" t="s">
        <v>423</v>
      </c>
      <c r="AQ58" s="1518" t="s">
        <v>423</v>
      </c>
      <c r="AR58" s="1628" t="s">
        <v>423</v>
      </c>
      <c r="AS58" s="1518" t="s">
        <v>423</v>
      </c>
      <c r="AT58" s="1628" t="s">
        <v>423</v>
      </c>
      <c r="AU58" s="1518" t="s">
        <v>3046</v>
      </c>
      <c r="AV58" s="1595" t="s">
        <v>423</v>
      </c>
      <c r="AW58" s="1518" t="s">
        <v>423</v>
      </c>
      <c r="AX58" s="1628" t="s">
        <v>423</v>
      </c>
      <c r="AY58" s="1518" t="s">
        <v>423</v>
      </c>
      <c r="AZ58" s="1628" t="s">
        <v>423</v>
      </c>
      <c r="BA58" s="1518" t="s">
        <v>3045</v>
      </c>
      <c r="BB58" s="1595" t="s">
        <v>423</v>
      </c>
      <c r="BC58" s="1518" t="s">
        <v>423</v>
      </c>
      <c r="BD58" s="1628" t="s">
        <v>423</v>
      </c>
      <c r="BE58" s="1518" t="s">
        <v>423</v>
      </c>
      <c r="BF58" s="1628" t="s">
        <v>423</v>
      </c>
      <c r="BG58" s="1629" t="s">
        <v>3045</v>
      </c>
      <c r="BH58" s="1595" t="s">
        <v>423</v>
      </c>
      <c r="BI58" s="1518" t="s">
        <v>423</v>
      </c>
      <c r="BJ58" s="1628" t="s">
        <v>423</v>
      </c>
      <c r="BK58" s="1518" t="s">
        <v>423</v>
      </c>
      <c r="BL58" s="1628" t="s">
        <v>423</v>
      </c>
      <c r="BM58" s="1629" t="s">
        <v>3045</v>
      </c>
      <c r="BN58" s="1595" t="s">
        <v>423</v>
      </c>
      <c r="BO58" s="1518" t="s">
        <v>423</v>
      </c>
      <c r="BP58" s="1628" t="s">
        <v>423</v>
      </c>
      <c r="BQ58" s="1518" t="s">
        <v>423</v>
      </c>
      <c r="BR58" s="1630" t="s">
        <v>423</v>
      </c>
      <c r="BS58" s="1629" t="s">
        <v>3045</v>
      </c>
      <c r="BT58" s="1595" t="s">
        <v>423</v>
      </c>
      <c r="BU58" s="1518" t="s">
        <v>423</v>
      </c>
      <c r="BV58" s="1628" t="s">
        <v>423</v>
      </c>
      <c r="BW58" s="1518" t="s">
        <v>423</v>
      </c>
      <c r="BX58" s="1630" t="s">
        <v>423</v>
      </c>
      <c r="BY58" s="1629" t="s">
        <v>3045</v>
      </c>
      <c r="BZ58" s="1595" t="s">
        <v>423</v>
      </c>
      <c r="CA58" s="1518" t="s">
        <v>423</v>
      </c>
      <c r="CB58" s="1518" t="s">
        <v>423</v>
      </c>
      <c r="CC58" s="1518" t="s">
        <v>423</v>
      </c>
      <c r="CD58" s="1631" t="s">
        <v>423</v>
      </c>
      <c r="CE58" s="1632" t="s">
        <v>3045</v>
      </c>
      <c r="CF58" s="1633" t="s">
        <v>423</v>
      </c>
      <c r="CG58" s="1518" t="s">
        <v>423</v>
      </c>
      <c r="CH58" s="1518" t="s">
        <v>423</v>
      </c>
      <c r="CI58" s="1518" t="s">
        <v>423</v>
      </c>
      <c r="CJ58" s="1631" t="s">
        <v>423</v>
      </c>
      <c r="CK58" s="1632" t="s">
        <v>3045</v>
      </c>
      <c r="CL58" s="1633" t="s">
        <v>423</v>
      </c>
      <c r="CM58" s="1518" t="s">
        <v>423</v>
      </c>
      <c r="CN58" s="1518" t="s">
        <v>423</v>
      </c>
      <c r="CO58" s="1518" t="s">
        <v>423</v>
      </c>
      <c r="CP58" s="1631" t="s">
        <v>423</v>
      </c>
      <c r="CQ58" s="1632"/>
      <c r="CR58" s="1633" t="s">
        <v>423</v>
      </c>
      <c r="CS58" s="1518" t="s">
        <v>423</v>
      </c>
      <c r="CT58" s="1518" t="s">
        <v>423</v>
      </c>
      <c r="CU58" s="1518" t="s">
        <v>423</v>
      </c>
      <c r="CV58" s="1631" t="s">
        <v>423</v>
      </c>
      <c r="CW58" s="1632" t="s">
        <v>3044</v>
      </c>
      <c r="CX58" s="1633" t="s">
        <v>423</v>
      </c>
      <c r="CY58" s="1518" t="s">
        <v>423</v>
      </c>
      <c r="CZ58" s="1518" t="s">
        <v>423</v>
      </c>
      <c r="DA58" s="1518" t="s">
        <v>423</v>
      </c>
      <c r="DB58" s="1631" t="s">
        <v>423</v>
      </c>
      <c r="DC58" s="1632" t="s">
        <v>3044</v>
      </c>
      <c r="DD58" s="1633" t="s">
        <v>423</v>
      </c>
      <c r="DE58" s="1518" t="s">
        <v>423</v>
      </c>
      <c r="DF58" s="1518" t="s">
        <v>423</v>
      </c>
      <c r="DG58" s="1518" t="s">
        <v>423</v>
      </c>
      <c r="DH58" s="1631" t="s">
        <v>423</v>
      </c>
      <c r="DI58" s="1632" t="s">
        <v>3044</v>
      </c>
      <c r="DJ58" s="1633" t="s">
        <v>423</v>
      </c>
      <c r="DK58" s="1518" t="s">
        <v>423</v>
      </c>
      <c r="DL58" s="1518" t="s">
        <v>423</v>
      </c>
      <c r="DM58" s="1518" t="s">
        <v>423</v>
      </c>
      <c r="DN58" s="1631" t="s">
        <v>423</v>
      </c>
      <c r="DO58" s="1632" t="s">
        <v>3044</v>
      </c>
    </row>
    <row r="59" spans="3:125" ht="408.75" customHeight="1">
      <c r="C59" s="1656" t="s">
        <v>81</v>
      </c>
      <c r="D59" s="1613" t="s">
        <v>92</v>
      </c>
      <c r="E59" s="1657" t="s">
        <v>332</v>
      </c>
      <c r="F59" s="1626" t="s">
        <v>84</v>
      </c>
      <c r="G59" s="1639" t="s">
        <v>82</v>
      </c>
      <c r="H59" s="1627" t="s">
        <v>98</v>
      </c>
      <c r="I59" s="1627" t="s">
        <v>86</v>
      </c>
      <c r="J59" s="1552" t="s">
        <v>85</v>
      </c>
      <c r="K59" s="1551" t="s">
        <v>54</v>
      </c>
      <c r="L59" s="1550"/>
      <c r="M59" s="1551"/>
      <c r="N59" s="1566">
        <v>0.8</v>
      </c>
      <c r="O59" s="1562"/>
      <c r="P59" s="1562"/>
      <c r="Q59" s="1562">
        <v>1</v>
      </c>
      <c r="R59" s="1562"/>
      <c r="S59" s="1609"/>
      <c r="T59" s="1562">
        <v>1</v>
      </c>
      <c r="U59" s="1562"/>
      <c r="V59" s="1562"/>
      <c r="W59" s="1562">
        <v>1</v>
      </c>
      <c r="X59" s="1595" t="s">
        <v>423</v>
      </c>
      <c r="Y59" s="1518" t="s">
        <v>423</v>
      </c>
      <c r="Z59" s="1628" t="s">
        <v>423</v>
      </c>
      <c r="AA59" s="1518" t="s">
        <v>423</v>
      </c>
      <c r="AB59" s="1628" t="s">
        <v>423</v>
      </c>
      <c r="AC59" s="1518" t="s">
        <v>3065</v>
      </c>
      <c r="AD59" s="1655"/>
      <c r="AE59" s="1641"/>
      <c r="AF59" s="1641"/>
      <c r="AG59" s="1641"/>
      <c r="AH59" s="1641"/>
      <c r="AI59" s="1641"/>
      <c r="AJ59" s="1655"/>
      <c r="AK59" s="1641"/>
      <c r="AL59" s="1641"/>
      <c r="AM59" s="1641"/>
      <c r="AN59" s="1641"/>
      <c r="AO59" s="1641"/>
      <c r="AP59" s="1595" t="s">
        <v>423</v>
      </c>
      <c r="AQ59" s="1641" t="s">
        <v>423</v>
      </c>
      <c r="AR59" s="1628" t="s">
        <v>423</v>
      </c>
      <c r="AS59" s="1641" t="s">
        <v>423</v>
      </c>
      <c r="AT59" s="1642" t="s">
        <v>423</v>
      </c>
      <c r="AU59" s="1518" t="s">
        <v>3066</v>
      </c>
      <c r="AV59" s="1658">
        <v>0.96</v>
      </c>
      <c r="AW59" s="1658">
        <v>0.8</v>
      </c>
      <c r="AX59" s="1659">
        <v>0.96</v>
      </c>
      <c r="AY59" s="1658">
        <v>0.8</v>
      </c>
      <c r="AZ59" s="1543">
        <f>AX59/AY59</f>
        <v>1.2</v>
      </c>
      <c r="BA59" s="1518" t="s">
        <v>3067</v>
      </c>
      <c r="BB59" s="1595" t="s">
        <v>423</v>
      </c>
      <c r="BC59" s="1518" t="s">
        <v>423</v>
      </c>
      <c r="BD59" s="1628" t="s">
        <v>423</v>
      </c>
      <c r="BE59" s="1518" t="s">
        <v>423</v>
      </c>
      <c r="BF59" s="1628" t="s">
        <v>423</v>
      </c>
      <c r="BG59" s="1629" t="s">
        <v>3068</v>
      </c>
      <c r="BH59" s="1595" t="s">
        <v>423</v>
      </c>
      <c r="BI59" s="1518" t="s">
        <v>423</v>
      </c>
      <c r="BJ59" s="1628" t="s">
        <v>423</v>
      </c>
      <c r="BK59" s="1518" t="s">
        <v>423</v>
      </c>
      <c r="BL59" s="1628" t="s">
        <v>423</v>
      </c>
      <c r="BM59" s="1629" t="s">
        <v>3068</v>
      </c>
      <c r="BN59" s="1658">
        <v>1</v>
      </c>
      <c r="BO59" s="1660">
        <v>1</v>
      </c>
      <c r="BP59" s="1659">
        <v>1</v>
      </c>
      <c r="BQ59" s="1660">
        <v>1</v>
      </c>
      <c r="BR59" s="1661">
        <v>1</v>
      </c>
      <c r="BS59" s="1629" t="s">
        <v>3069</v>
      </c>
      <c r="BT59" s="1595" t="s">
        <v>423</v>
      </c>
      <c r="BU59" s="1518" t="s">
        <v>423</v>
      </c>
      <c r="BV59" s="1628" t="s">
        <v>423</v>
      </c>
      <c r="BW59" s="1518" t="s">
        <v>423</v>
      </c>
      <c r="BX59" s="1630" t="s">
        <v>423</v>
      </c>
      <c r="BY59" s="1629" t="s">
        <v>720</v>
      </c>
      <c r="BZ59" s="1595" t="s">
        <v>423</v>
      </c>
      <c r="CA59" s="1518" t="s">
        <v>423</v>
      </c>
      <c r="CB59" s="1518" t="s">
        <v>423</v>
      </c>
      <c r="CC59" s="1518" t="s">
        <v>423</v>
      </c>
      <c r="CD59" s="1631" t="s">
        <v>423</v>
      </c>
      <c r="CE59" s="1632" t="s">
        <v>720</v>
      </c>
      <c r="CF59" s="1610">
        <v>0.94</v>
      </c>
      <c r="CG59" s="1610">
        <v>1</v>
      </c>
      <c r="CH59" s="1610">
        <v>0.94</v>
      </c>
      <c r="CI59" s="1610">
        <v>1</v>
      </c>
      <c r="CJ59" s="1662">
        <v>0.94</v>
      </c>
      <c r="CK59" s="1632" t="s">
        <v>3070</v>
      </c>
      <c r="CL59" s="1610" t="s">
        <v>423</v>
      </c>
      <c r="CM59" s="1610" t="s">
        <v>423</v>
      </c>
      <c r="CN59" s="1610" t="s">
        <v>423</v>
      </c>
      <c r="CO59" s="1610" t="s">
        <v>423</v>
      </c>
      <c r="CP59" s="1610" t="s">
        <v>423</v>
      </c>
      <c r="CQ59" s="1632"/>
      <c r="CR59" s="1610" t="s">
        <v>423</v>
      </c>
      <c r="CS59" s="1610" t="s">
        <v>423</v>
      </c>
      <c r="CT59" s="1610" t="s">
        <v>423</v>
      </c>
      <c r="CU59" s="1610" t="s">
        <v>423</v>
      </c>
      <c r="CV59" s="1610" t="s">
        <v>423</v>
      </c>
      <c r="CW59" s="1632" t="s">
        <v>3019</v>
      </c>
      <c r="CX59" s="1610">
        <v>1</v>
      </c>
      <c r="CY59" s="1610">
        <v>1</v>
      </c>
      <c r="CZ59" s="1610">
        <v>0.89</v>
      </c>
      <c r="DA59" s="1610">
        <v>1</v>
      </c>
      <c r="DB59" s="1567">
        <f>CZ59/DA59</f>
        <v>0.89</v>
      </c>
      <c r="DC59" s="1632" t="s">
        <v>3071</v>
      </c>
      <c r="DD59" s="1610">
        <v>1</v>
      </c>
      <c r="DE59" s="1610">
        <v>1</v>
      </c>
      <c r="DF59" s="1610">
        <f>(CZ59+CH59+BQ59+BO59)/4</f>
        <v>0.95750000000000002</v>
      </c>
      <c r="DG59" s="1610">
        <v>1</v>
      </c>
      <c r="DH59" s="1557">
        <f>DF59/DG59</f>
        <v>0.95750000000000002</v>
      </c>
      <c r="DI59" s="1632" t="s">
        <v>3072</v>
      </c>
      <c r="DJ59" s="1610">
        <v>1</v>
      </c>
      <c r="DK59" s="1610">
        <v>1</v>
      </c>
      <c r="DL59" s="1610" t="e">
        <f>(DF59+CN59+BW59+BU59)/4</f>
        <v>#VALUE!</v>
      </c>
      <c r="DM59" s="1610">
        <v>1</v>
      </c>
      <c r="DN59" s="1557" t="e">
        <f>DL59/DM59</f>
        <v>#VALUE!</v>
      </c>
      <c r="DO59" s="1632" t="s">
        <v>3073</v>
      </c>
    </row>
    <row r="60" spans="3:125" ht="15.75" customHeight="1">
      <c r="C60" s="2687"/>
      <c r="D60" s="2687"/>
      <c r="E60" s="2687"/>
      <c r="F60" s="2687"/>
      <c r="G60" s="911"/>
      <c r="H60" s="911"/>
      <c r="I60" s="911"/>
      <c r="J60" s="911"/>
      <c r="K60" s="911"/>
      <c r="L60" s="1072"/>
      <c r="M60" s="1072"/>
      <c r="N60" s="1072"/>
      <c r="O60" s="1072"/>
      <c r="P60" s="1072"/>
      <c r="Q60" s="1072"/>
      <c r="R60" s="1072"/>
      <c r="S60" s="1664"/>
      <c r="T60" s="1072"/>
      <c r="U60" s="1072"/>
      <c r="V60" s="1072"/>
      <c r="W60" s="1072"/>
      <c r="CL60" s="1492"/>
      <c r="CR60" s="1492"/>
      <c r="CX60" s="1492"/>
      <c r="DB60" s="1665"/>
      <c r="DC60" s="911"/>
      <c r="DD60" s="1492"/>
      <c r="DI60" s="910"/>
    </row>
    <row r="61" spans="3:125">
      <c r="C61" s="2687" t="s">
        <v>17</v>
      </c>
      <c r="D61" s="2687"/>
      <c r="E61" s="2687"/>
      <c r="F61" s="2687"/>
      <c r="G61" s="911"/>
      <c r="H61" s="911"/>
      <c r="I61" s="911"/>
      <c r="CL61" s="1492"/>
      <c r="CR61" s="1492"/>
      <c r="CX61" s="1492"/>
      <c r="DB61" s="1665"/>
      <c r="DC61" s="911"/>
      <c r="DD61" s="1492"/>
      <c r="DI61" s="910"/>
    </row>
    <row r="62" spans="3:125">
      <c r="C62" s="1663"/>
      <c r="D62" s="1663"/>
      <c r="E62" s="1663"/>
      <c r="F62" s="1663"/>
      <c r="G62" s="911"/>
      <c r="H62" s="911"/>
      <c r="I62" s="911"/>
      <c r="CL62" s="1492"/>
      <c r="CR62" s="1492"/>
      <c r="CX62" s="1492"/>
      <c r="DB62" s="1484"/>
      <c r="DC62" s="911"/>
      <c r="DD62" s="1492"/>
      <c r="DI62" s="910"/>
    </row>
    <row r="63" spans="3:125" ht="18.75" customHeight="1">
      <c r="C63" s="1663"/>
      <c r="D63" s="1663"/>
      <c r="E63" s="1663"/>
      <c r="F63" s="1663"/>
      <c r="G63" s="911"/>
      <c r="H63" s="911"/>
      <c r="I63" s="911"/>
      <c r="CL63" s="1492"/>
      <c r="CR63" s="1492"/>
      <c r="CX63" s="1492"/>
      <c r="DC63" s="910"/>
      <c r="DD63" s="1492"/>
      <c r="DI63" s="910"/>
    </row>
    <row r="64" spans="3:125" ht="174.75" customHeight="1">
      <c r="C64" s="1663"/>
      <c r="D64" s="1663"/>
      <c r="E64" s="1663"/>
      <c r="F64" s="1663"/>
      <c r="G64" s="911"/>
      <c r="H64" s="911"/>
      <c r="I64" s="911"/>
      <c r="CL64" s="1492"/>
      <c r="CR64" s="1492"/>
      <c r="CX64" s="1492"/>
      <c r="DC64" s="910"/>
      <c r="DD64" s="1492"/>
      <c r="DI64" s="910"/>
    </row>
    <row r="65" spans="1:113" ht="12.75" customHeight="1">
      <c r="A65" s="1484"/>
      <c r="B65" s="1484"/>
      <c r="C65" s="1484"/>
      <c r="E65" s="1666"/>
      <c r="F65" s="2688"/>
      <c r="G65" s="2688"/>
      <c r="H65" s="2688"/>
      <c r="I65" s="911"/>
      <c r="L65" s="1487" t="s">
        <v>28</v>
      </c>
      <c r="CL65" s="1492"/>
      <c r="CR65" s="1492"/>
      <c r="CX65" s="1492"/>
      <c r="DC65" s="910"/>
      <c r="DD65" s="1492"/>
      <c r="DI65" s="910"/>
    </row>
    <row r="66" spans="1:113" ht="63.75" customHeight="1">
      <c r="A66" s="1484"/>
      <c r="B66" s="1484"/>
      <c r="C66" s="1484"/>
      <c r="E66" s="2689" t="s">
        <v>3074</v>
      </c>
      <c r="F66" s="2689"/>
      <c r="G66" s="2689"/>
      <c r="H66" s="2689"/>
      <c r="I66" s="1667"/>
      <c r="CL66" s="1492"/>
      <c r="CR66" s="1492"/>
      <c r="CX66" s="1492"/>
      <c r="DC66" s="910"/>
      <c r="DD66" s="1492"/>
      <c r="DI66" s="910"/>
    </row>
    <row r="67" spans="1:113" ht="58.5" customHeight="1">
      <c r="A67" s="1484"/>
      <c r="B67" s="1484"/>
      <c r="C67" s="1484"/>
      <c r="E67" s="2690" t="s">
        <v>3075</v>
      </c>
      <c r="F67" s="2690"/>
      <c r="G67" s="2690"/>
      <c r="H67" s="2690"/>
      <c r="I67" s="2690"/>
      <c r="CL67" s="1492"/>
      <c r="CR67" s="1492"/>
      <c r="CX67" s="1492"/>
      <c r="DC67" s="910"/>
      <c r="DD67" s="1492"/>
      <c r="DI67" s="910"/>
    </row>
    <row r="68" spans="1:113">
      <c r="A68" s="1484"/>
      <c r="B68" s="1484"/>
      <c r="C68" s="1484"/>
      <c r="F68" s="1484"/>
      <c r="G68" s="1484"/>
      <c r="H68" s="1484"/>
      <c r="I68" s="1484"/>
    </row>
    <row r="69" spans="1:113" ht="19.5" customHeight="1"/>
    <row r="70" spans="1:113" ht="12.75" customHeight="1"/>
    <row r="71" spans="1:113" ht="12.75" customHeight="1"/>
  </sheetData>
  <mergeCells count="1306">
    <mergeCell ref="L58:W58"/>
    <mergeCell ref="C60:F60"/>
    <mergeCell ref="C61:F61"/>
    <mergeCell ref="F65:H65"/>
    <mergeCell ref="E66:H66"/>
    <mergeCell ref="E67:I67"/>
    <mergeCell ref="DN48:DN50"/>
    <mergeCell ref="DO48:DO50"/>
    <mergeCell ref="L52:W52"/>
    <mergeCell ref="L55:W55"/>
    <mergeCell ref="L56:W56"/>
    <mergeCell ref="L57:W57"/>
    <mergeCell ref="DH48:DH50"/>
    <mergeCell ref="DI48:DI50"/>
    <mergeCell ref="DJ48:DJ50"/>
    <mergeCell ref="DK48:DK50"/>
    <mergeCell ref="DL48:DL50"/>
    <mergeCell ref="DM48:DM50"/>
    <mergeCell ref="DB48:DB50"/>
    <mergeCell ref="DC48:DC50"/>
    <mergeCell ref="DD48:DD50"/>
    <mergeCell ref="DE48:DE50"/>
    <mergeCell ref="DF48:DF50"/>
    <mergeCell ref="DG48:DG50"/>
    <mergeCell ref="CV48:CV50"/>
    <mergeCell ref="CW48:CW50"/>
    <mergeCell ref="CX48:CX50"/>
    <mergeCell ref="CY48:CY50"/>
    <mergeCell ref="CZ48:CZ50"/>
    <mergeCell ref="DA48:DA50"/>
    <mergeCell ref="CP48:CP50"/>
    <mergeCell ref="CQ48:CQ50"/>
    <mergeCell ref="CR48:CR50"/>
    <mergeCell ref="CS48:CS50"/>
    <mergeCell ref="CT48:CT50"/>
    <mergeCell ref="CU48:CU50"/>
    <mergeCell ref="CJ48:CJ50"/>
    <mergeCell ref="CK48:CK50"/>
    <mergeCell ref="CL48:CL50"/>
    <mergeCell ref="CM48:CM50"/>
    <mergeCell ref="CN48:CN50"/>
    <mergeCell ref="CO48:CO50"/>
    <mergeCell ref="CD48:CD50"/>
    <mergeCell ref="CE48:CE50"/>
    <mergeCell ref="CF48:CF50"/>
    <mergeCell ref="CG48:CG50"/>
    <mergeCell ref="CH48:CH50"/>
    <mergeCell ref="CI48:CI50"/>
    <mergeCell ref="BX48:BX50"/>
    <mergeCell ref="BY48:BY50"/>
    <mergeCell ref="BZ48:BZ50"/>
    <mergeCell ref="CA48:CA50"/>
    <mergeCell ref="CB48:CB50"/>
    <mergeCell ref="CC48:CC50"/>
    <mergeCell ref="BR48:BR50"/>
    <mergeCell ref="BS48:BS50"/>
    <mergeCell ref="BT48:BT50"/>
    <mergeCell ref="BU48:BU50"/>
    <mergeCell ref="BV48:BV50"/>
    <mergeCell ref="BW48:BW50"/>
    <mergeCell ref="BL48:BL50"/>
    <mergeCell ref="BM48:BM50"/>
    <mergeCell ref="BN48:BN50"/>
    <mergeCell ref="BO48:BO50"/>
    <mergeCell ref="BP48:BP50"/>
    <mergeCell ref="BQ48:BQ50"/>
    <mergeCell ref="BF48:BF50"/>
    <mergeCell ref="BG48:BG50"/>
    <mergeCell ref="BH48:BH50"/>
    <mergeCell ref="BI48:BI50"/>
    <mergeCell ref="BJ48:BJ50"/>
    <mergeCell ref="BK48:BK50"/>
    <mergeCell ref="AZ48:AZ50"/>
    <mergeCell ref="BA48:BA50"/>
    <mergeCell ref="BB48:BB50"/>
    <mergeCell ref="BC48:BC50"/>
    <mergeCell ref="BD48:BD50"/>
    <mergeCell ref="BE48:BE50"/>
    <mergeCell ref="AT48:AT50"/>
    <mergeCell ref="AU48:AU50"/>
    <mergeCell ref="AV48:AV50"/>
    <mergeCell ref="AW48:AW50"/>
    <mergeCell ref="AX48:AX50"/>
    <mergeCell ref="AY48:AY50"/>
    <mergeCell ref="AN48:AN50"/>
    <mergeCell ref="AO48:AO50"/>
    <mergeCell ref="AP48:AP50"/>
    <mergeCell ref="AQ48:AQ50"/>
    <mergeCell ref="AR48:AR50"/>
    <mergeCell ref="AS48:AS50"/>
    <mergeCell ref="AH48:AH50"/>
    <mergeCell ref="AI48:AI50"/>
    <mergeCell ref="AJ48:AJ50"/>
    <mergeCell ref="AK48:AK50"/>
    <mergeCell ref="AL48:AL50"/>
    <mergeCell ref="AM48:AM50"/>
    <mergeCell ref="AB48:AB50"/>
    <mergeCell ref="AC48:AC50"/>
    <mergeCell ref="AD48:AD50"/>
    <mergeCell ref="AE48:AE50"/>
    <mergeCell ref="AF48:AF50"/>
    <mergeCell ref="AG48:AG50"/>
    <mergeCell ref="I48:I50"/>
    <mergeCell ref="J48:J50"/>
    <mergeCell ref="X48:X50"/>
    <mergeCell ref="Y48:Y50"/>
    <mergeCell ref="Z48:Z50"/>
    <mergeCell ref="AA48:AA50"/>
    <mergeCell ref="C48:C50"/>
    <mergeCell ref="D48:D50"/>
    <mergeCell ref="E48:E50"/>
    <mergeCell ref="F48:F50"/>
    <mergeCell ref="G48:G50"/>
    <mergeCell ref="H48:H50"/>
    <mergeCell ref="DJ45:DJ47"/>
    <mergeCell ref="DK45:DK47"/>
    <mergeCell ref="DL45:DL47"/>
    <mergeCell ref="DM45:DM47"/>
    <mergeCell ref="DN45:DN47"/>
    <mergeCell ref="DO45:DO47"/>
    <mergeCell ref="DD45:DD47"/>
    <mergeCell ref="DE45:DE47"/>
    <mergeCell ref="DF45:DF47"/>
    <mergeCell ref="DG45:DG47"/>
    <mergeCell ref="DH45:DH47"/>
    <mergeCell ref="DI45:DI47"/>
    <mergeCell ref="CX45:CX47"/>
    <mergeCell ref="CY45:CY47"/>
    <mergeCell ref="CZ45:CZ47"/>
    <mergeCell ref="DA45:DA47"/>
    <mergeCell ref="DB45:DB47"/>
    <mergeCell ref="DC45:DC47"/>
    <mergeCell ref="CR45:CR47"/>
    <mergeCell ref="CS45:CS47"/>
    <mergeCell ref="CT45:CT47"/>
    <mergeCell ref="CU45:CU47"/>
    <mergeCell ref="CV45:CV47"/>
    <mergeCell ref="CW45:CW47"/>
    <mergeCell ref="CL45:CL47"/>
    <mergeCell ref="CM45:CM47"/>
    <mergeCell ref="CN45:CN47"/>
    <mergeCell ref="CO45:CO47"/>
    <mergeCell ref="CP45:CP47"/>
    <mergeCell ref="CQ45:CQ47"/>
    <mergeCell ref="CF45:CF47"/>
    <mergeCell ref="CG45:CG47"/>
    <mergeCell ref="CH45:CH47"/>
    <mergeCell ref="CI45:CI47"/>
    <mergeCell ref="CJ45:CJ47"/>
    <mergeCell ref="CK45:CK47"/>
    <mergeCell ref="BZ45:BZ47"/>
    <mergeCell ref="CA45:CA47"/>
    <mergeCell ref="CB45:CB47"/>
    <mergeCell ref="CC45:CC47"/>
    <mergeCell ref="CD45:CD47"/>
    <mergeCell ref="CE45:CE47"/>
    <mergeCell ref="BT45:BT47"/>
    <mergeCell ref="BU45:BU47"/>
    <mergeCell ref="BV45:BV47"/>
    <mergeCell ref="BW45:BW47"/>
    <mergeCell ref="BX45:BX47"/>
    <mergeCell ref="BY45:BY47"/>
    <mergeCell ref="BN45:BN47"/>
    <mergeCell ref="BO45:BO47"/>
    <mergeCell ref="BP45:BP47"/>
    <mergeCell ref="BQ45:BQ47"/>
    <mergeCell ref="BR45:BR47"/>
    <mergeCell ref="BS45:BS47"/>
    <mergeCell ref="BH45:BH47"/>
    <mergeCell ref="BI45:BI47"/>
    <mergeCell ref="BJ45:BJ47"/>
    <mergeCell ref="BK45:BK47"/>
    <mergeCell ref="BL45:BL47"/>
    <mergeCell ref="BM45:BM47"/>
    <mergeCell ref="BB45:BB47"/>
    <mergeCell ref="BC45:BC47"/>
    <mergeCell ref="BD45:BD47"/>
    <mergeCell ref="BE45:BE47"/>
    <mergeCell ref="BF45:BF47"/>
    <mergeCell ref="BG45:BG47"/>
    <mergeCell ref="AV45:AV47"/>
    <mergeCell ref="AW45:AW47"/>
    <mergeCell ref="AX45:AX47"/>
    <mergeCell ref="AY45:AY47"/>
    <mergeCell ref="AZ45:AZ47"/>
    <mergeCell ref="BA45:BA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AG45:AG47"/>
    <mergeCell ref="AH45:AH47"/>
    <mergeCell ref="AI45:AI47"/>
    <mergeCell ref="X45:X47"/>
    <mergeCell ref="Y45:Y47"/>
    <mergeCell ref="Z45:Z47"/>
    <mergeCell ref="AA45:AA47"/>
    <mergeCell ref="AB45:AB47"/>
    <mergeCell ref="AC45:AC47"/>
    <mergeCell ref="DN42:DN44"/>
    <mergeCell ref="DO42:DO44"/>
    <mergeCell ref="C45:C47"/>
    <mergeCell ref="D45:D47"/>
    <mergeCell ref="E45:E47"/>
    <mergeCell ref="F45:F47"/>
    <mergeCell ref="G45:G47"/>
    <mergeCell ref="H45:H47"/>
    <mergeCell ref="I45:I47"/>
    <mergeCell ref="J45:J47"/>
    <mergeCell ref="DH42:DH44"/>
    <mergeCell ref="DI42:DI44"/>
    <mergeCell ref="DJ42:DJ44"/>
    <mergeCell ref="DK42:DK44"/>
    <mergeCell ref="DL42:DL44"/>
    <mergeCell ref="DM42:DM44"/>
    <mergeCell ref="DB42:DB44"/>
    <mergeCell ref="DC42:DC44"/>
    <mergeCell ref="DD42:DD44"/>
    <mergeCell ref="DE42:DE44"/>
    <mergeCell ref="DF42:DF44"/>
    <mergeCell ref="DG42:DG44"/>
    <mergeCell ref="CV42:CV44"/>
    <mergeCell ref="CW42:CW44"/>
    <mergeCell ref="CX42:CX44"/>
    <mergeCell ref="CY42:CY44"/>
    <mergeCell ref="CZ42:CZ44"/>
    <mergeCell ref="DA42:DA44"/>
    <mergeCell ref="CP42:CP44"/>
    <mergeCell ref="CQ42:CQ44"/>
    <mergeCell ref="CR42:CR44"/>
    <mergeCell ref="CS42:CS44"/>
    <mergeCell ref="CT42:CT44"/>
    <mergeCell ref="CU42:CU44"/>
    <mergeCell ref="CJ42:CJ44"/>
    <mergeCell ref="CK42:CK44"/>
    <mergeCell ref="CL42:CL44"/>
    <mergeCell ref="CM42:CM44"/>
    <mergeCell ref="CN42:CN44"/>
    <mergeCell ref="CO42:CO44"/>
    <mergeCell ref="CD42:CD44"/>
    <mergeCell ref="CE42:CE44"/>
    <mergeCell ref="CF42:CF44"/>
    <mergeCell ref="CG42:CG44"/>
    <mergeCell ref="CH42:CH44"/>
    <mergeCell ref="CI42:CI44"/>
    <mergeCell ref="BX42:BX44"/>
    <mergeCell ref="BY42:BY44"/>
    <mergeCell ref="BZ42:BZ44"/>
    <mergeCell ref="CA42:CA44"/>
    <mergeCell ref="CB42:CB44"/>
    <mergeCell ref="CC42:CC44"/>
    <mergeCell ref="BR42:BR44"/>
    <mergeCell ref="BS42:BS44"/>
    <mergeCell ref="BT42:BT44"/>
    <mergeCell ref="BU42:BU44"/>
    <mergeCell ref="BV42:BV44"/>
    <mergeCell ref="BW42:BW44"/>
    <mergeCell ref="BL42:BL44"/>
    <mergeCell ref="BM42:BM44"/>
    <mergeCell ref="BN42:BN44"/>
    <mergeCell ref="BO42:BO44"/>
    <mergeCell ref="BP42:BP44"/>
    <mergeCell ref="BQ42:BQ44"/>
    <mergeCell ref="BF42:BF44"/>
    <mergeCell ref="BG42:BG44"/>
    <mergeCell ref="BH42:BH44"/>
    <mergeCell ref="BI42:BI44"/>
    <mergeCell ref="BJ42:BJ44"/>
    <mergeCell ref="BK42:BK44"/>
    <mergeCell ref="AZ42:AZ44"/>
    <mergeCell ref="BA42:BA44"/>
    <mergeCell ref="BB42:BB44"/>
    <mergeCell ref="BC42:BC44"/>
    <mergeCell ref="BD42:BD44"/>
    <mergeCell ref="BE42:BE44"/>
    <mergeCell ref="AT42:AT44"/>
    <mergeCell ref="AU42:AU44"/>
    <mergeCell ref="AV42:AV44"/>
    <mergeCell ref="AW42:AW44"/>
    <mergeCell ref="AX42:AX44"/>
    <mergeCell ref="AY42:AY44"/>
    <mergeCell ref="AN42:AN44"/>
    <mergeCell ref="AO42:AO44"/>
    <mergeCell ref="AP42:AP44"/>
    <mergeCell ref="AQ42:AQ44"/>
    <mergeCell ref="AR42:AR44"/>
    <mergeCell ref="AS42:AS44"/>
    <mergeCell ref="AH42:AH44"/>
    <mergeCell ref="AI42:AI44"/>
    <mergeCell ref="AJ42:AJ44"/>
    <mergeCell ref="AK42:AK44"/>
    <mergeCell ref="AL42:AL44"/>
    <mergeCell ref="AM42:AM44"/>
    <mergeCell ref="AB42:AB44"/>
    <mergeCell ref="AC42:AC44"/>
    <mergeCell ref="AD42:AD44"/>
    <mergeCell ref="AE42:AE44"/>
    <mergeCell ref="AF42:AF44"/>
    <mergeCell ref="AG42:AG44"/>
    <mergeCell ref="I42:I44"/>
    <mergeCell ref="J42:J44"/>
    <mergeCell ref="X42:X44"/>
    <mergeCell ref="Y42:Y44"/>
    <mergeCell ref="Z42:Z44"/>
    <mergeCell ref="AA42:AA44"/>
    <mergeCell ref="C42:C44"/>
    <mergeCell ref="D42:D44"/>
    <mergeCell ref="E42:E44"/>
    <mergeCell ref="F42:F44"/>
    <mergeCell ref="G42:G44"/>
    <mergeCell ref="H42:H44"/>
    <mergeCell ref="DJ39:DJ41"/>
    <mergeCell ref="DK39:DK41"/>
    <mergeCell ref="DL39:DL41"/>
    <mergeCell ref="DM39:DM41"/>
    <mergeCell ref="DN39:DN41"/>
    <mergeCell ref="DO39:DO41"/>
    <mergeCell ref="DD39:DD41"/>
    <mergeCell ref="DE39:DE41"/>
    <mergeCell ref="DF39:DF41"/>
    <mergeCell ref="DG39:DG41"/>
    <mergeCell ref="DH39:DH41"/>
    <mergeCell ref="DI39:DI41"/>
    <mergeCell ref="CX39:CX41"/>
    <mergeCell ref="CY39:CY41"/>
    <mergeCell ref="CZ39:CZ41"/>
    <mergeCell ref="DA39:DA41"/>
    <mergeCell ref="DB39:DB41"/>
    <mergeCell ref="DC39:DC41"/>
    <mergeCell ref="CR39:CR41"/>
    <mergeCell ref="CS39:CS41"/>
    <mergeCell ref="CT39:CT41"/>
    <mergeCell ref="CU39:CU41"/>
    <mergeCell ref="CV39:CV41"/>
    <mergeCell ref="CW39:CW41"/>
    <mergeCell ref="CL39:CL41"/>
    <mergeCell ref="CM39:CM41"/>
    <mergeCell ref="CN39:CN41"/>
    <mergeCell ref="CO39:CO41"/>
    <mergeCell ref="CP39:CP41"/>
    <mergeCell ref="CQ39:CQ41"/>
    <mergeCell ref="CF39:CF41"/>
    <mergeCell ref="CG39:CG41"/>
    <mergeCell ref="CH39:CH41"/>
    <mergeCell ref="CI39:CI41"/>
    <mergeCell ref="CJ39:CJ41"/>
    <mergeCell ref="CK39:CK41"/>
    <mergeCell ref="BZ39:BZ41"/>
    <mergeCell ref="CA39:CA41"/>
    <mergeCell ref="CB39:CB41"/>
    <mergeCell ref="CC39:CC41"/>
    <mergeCell ref="CD39:CD41"/>
    <mergeCell ref="CE39:CE41"/>
    <mergeCell ref="BT39:BT41"/>
    <mergeCell ref="BU39:BU41"/>
    <mergeCell ref="BV39:BV41"/>
    <mergeCell ref="BW39:BW41"/>
    <mergeCell ref="BX39:BX41"/>
    <mergeCell ref="BY39:BY41"/>
    <mergeCell ref="BN39:BN41"/>
    <mergeCell ref="BO39:BO41"/>
    <mergeCell ref="BP39:BP41"/>
    <mergeCell ref="BQ39:BQ41"/>
    <mergeCell ref="BR39:BR41"/>
    <mergeCell ref="BS39:BS41"/>
    <mergeCell ref="BH39:BH41"/>
    <mergeCell ref="BI39:BI41"/>
    <mergeCell ref="BJ39:BJ41"/>
    <mergeCell ref="BK39:BK41"/>
    <mergeCell ref="BL39:BL41"/>
    <mergeCell ref="BM39:BM41"/>
    <mergeCell ref="BB39:BB41"/>
    <mergeCell ref="BC39:BC41"/>
    <mergeCell ref="BD39:BD41"/>
    <mergeCell ref="BE39:BE41"/>
    <mergeCell ref="BF39:BF41"/>
    <mergeCell ref="BG39:BG41"/>
    <mergeCell ref="AV39:AV41"/>
    <mergeCell ref="AW39:AW41"/>
    <mergeCell ref="AX39:AX41"/>
    <mergeCell ref="AY39:AY41"/>
    <mergeCell ref="AZ39:AZ41"/>
    <mergeCell ref="BA39:BA41"/>
    <mergeCell ref="AP39:AP41"/>
    <mergeCell ref="AQ39:AQ41"/>
    <mergeCell ref="AR39:AR41"/>
    <mergeCell ref="AS39:AS41"/>
    <mergeCell ref="AT39:AT41"/>
    <mergeCell ref="AU39:AU41"/>
    <mergeCell ref="AJ39:AJ41"/>
    <mergeCell ref="AK39:AK41"/>
    <mergeCell ref="AL39:AL41"/>
    <mergeCell ref="AM39:AM41"/>
    <mergeCell ref="AN39:AN41"/>
    <mergeCell ref="AO39:AO41"/>
    <mergeCell ref="AD39:AD41"/>
    <mergeCell ref="AE39:AE41"/>
    <mergeCell ref="AF39:AF41"/>
    <mergeCell ref="AG39:AG41"/>
    <mergeCell ref="AH39:AH41"/>
    <mergeCell ref="AI39:AI41"/>
    <mergeCell ref="X39:X41"/>
    <mergeCell ref="Y39:Y41"/>
    <mergeCell ref="Z39:Z41"/>
    <mergeCell ref="AA39:AA41"/>
    <mergeCell ref="AB39:AB41"/>
    <mergeCell ref="AC39:AC41"/>
    <mergeCell ref="DN36:DN38"/>
    <mergeCell ref="DO36:DO38"/>
    <mergeCell ref="C39:C41"/>
    <mergeCell ref="D39:D41"/>
    <mergeCell ref="E39:E41"/>
    <mergeCell ref="F39:F41"/>
    <mergeCell ref="G39:G41"/>
    <mergeCell ref="H39:H41"/>
    <mergeCell ref="I39:I41"/>
    <mergeCell ref="J39:J41"/>
    <mergeCell ref="DH36:DH38"/>
    <mergeCell ref="DI36:DI38"/>
    <mergeCell ref="DJ36:DJ38"/>
    <mergeCell ref="DK36:DK38"/>
    <mergeCell ref="DL36:DL38"/>
    <mergeCell ref="DM36:DM38"/>
    <mergeCell ref="DB36:DB38"/>
    <mergeCell ref="DC36:DC38"/>
    <mergeCell ref="DD36:DD38"/>
    <mergeCell ref="DE36:DE38"/>
    <mergeCell ref="DF36:DF38"/>
    <mergeCell ref="DG36:DG38"/>
    <mergeCell ref="CV36:CV38"/>
    <mergeCell ref="CW36:CW38"/>
    <mergeCell ref="CX36:CX38"/>
    <mergeCell ref="CY36:CY38"/>
    <mergeCell ref="CZ36:CZ38"/>
    <mergeCell ref="DA36:DA38"/>
    <mergeCell ref="CP36:CP38"/>
    <mergeCell ref="CQ36:CQ38"/>
    <mergeCell ref="CR36:CR38"/>
    <mergeCell ref="CS36:CS38"/>
    <mergeCell ref="CT36:CT38"/>
    <mergeCell ref="CU36:CU38"/>
    <mergeCell ref="CJ36:CJ38"/>
    <mergeCell ref="CK36:CK38"/>
    <mergeCell ref="CL36:CL38"/>
    <mergeCell ref="CM36:CM38"/>
    <mergeCell ref="CN36:CN38"/>
    <mergeCell ref="CO36:CO38"/>
    <mergeCell ref="CD36:CD38"/>
    <mergeCell ref="CE36:CE38"/>
    <mergeCell ref="CF36:CF38"/>
    <mergeCell ref="CG36:CG38"/>
    <mergeCell ref="CH36:CH38"/>
    <mergeCell ref="CI36:CI38"/>
    <mergeCell ref="BX36:BX38"/>
    <mergeCell ref="BY36:BY38"/>
    <mergeCell ref="BZ36:BZ38"/>
    <mergeCell ref="CA36:CA38"/>
    <mergeCell ref="CB36:CB38"/>
    <mergeCell ref="CC36:CC38"/>
    <mergeCell ref="BR36:BR38"/>
    <mergeCell ref="BS36:BS38"/>
    <mergeCell ref="BT36:BT38"/>
    <mergeCell ref="BU36:BU38"/>
    <mergeCell ref="BV36:BV38"/>
    <mergeCell ref="BW36:BW38"/>
    <mergeCell ref="BL36:BL38"/>
    <mergeCell ref="BM36:BM38"/>
    <mergeCell ref="BN36:BN38"/>
    <mergeCell ref="BO36:BO38"/>
    <mergeCell ref="BP36:BP38"/>
    <mergeCell ref="BQ36:BQ38"/>
    <mergeCell ref="BF36:BF38"/>
    <mergeCell ref="BG36:BG38"/>
    <mergeCell ref="BH36:BH38"/>
    <mergeCell ref="BI36:BI38"/>
    <mergeCell ref="BJ36:BJ38"/>
    <mergeCell ref="BK36:BK38"/>
    <mergeCell ref="AZ36:AZ38"/>
    <mergeCell ref="BA36:BA38"/>
    <mergeCell ref="BB36:BB38"/>
    <mergeCell ref="BC36:BC38"/>
    <mergeCell ref="BD36:BD38"/>
    <mergeCell ref="BE36:BE38"/>
    <mergeCell ref="AT36:AT38"/>
    <mergeCell ref="AU36:AU38"/>
    <mergeCell ref="AV36:AV38"/>
    <mergeCell ref="AW36:AW38"/>
    <mergeCell ref="AX36:AX38"/>
    <mergeCell ref="AY36:AY38"/>
    <mergeCell ref="AN36:AN38"/>
    <mergeCell ref="AO36:AO38"/>
    <mergeCell ref="AP36:AP38"/>
    <mergeCell ref="AQ36:AQ38"/>
    <mergeCell ref="AR36:AR38"/>
    <mergeCell ref="AS36:AS38"/>
    <mergeCell ref="AH36:AH38"/>
    <mergeCell ref="AI36:AI38"/>
    <mergeCell ref="AJ36:AJ38"/>
    <mergeCell ref="AK36:AK38"/>
    <mergeCell ref="AL36:AL38"/>
    <mergeCell ref="AM36:AM38"/>
    <mergeCell ref="AB36:AB38"/>
    <mergeCell ref="AC36:AC38"/>
    <mergeCell ref="AD36:AD38"/>
    <mergeCell ref="AE36:AE38"/>
    <mergeCell ref="AF36:AF38"/>
    <mergeCell ref="AG36:AG38"/>
    <mergeCell ref="I36:I38"/>
    <mergeCell ref="J36:J38"/>
    <mergeCell ref="X36:X38"/>
    <mergeCell ref="Y36:Y38"/>
    <mergeCell ref="Z36:Z38"/>
    <mergeCell ref="AA36:AA38"/>
    <mergeCell ref="C36:C38"/>
    <mergeCell ref="D36:D38"/>
    <mergeCell ref="E36:E38"/>
    <mergeCell ref="F36:F38"/>
    <mergeCell ref="G36:G38"/>
    <mergeCell ref="H36:H38"/>
    <mergeCell ref="DJ34:DJ35"/>
    <mergeCell ref="DK34:DK35"/>
    <mergeCell ref="DL34:DL35"/>
    <mergeCell ref="DM34:DM35"/>
    <mergeCell ref="DN34:DN35"/>
    <mergeCell ref="DO34:DO35"/>
    <mergeCell ref="DD34:DD35"/>
    <mergeCell ref="DE34:DE35"/>
    <mergeCell ref="DF34:DF35"/>
    <mergeCell ref="DG34:DG35"/>
    <mergeCell ref="DH34:DH35"/>
    <mergeCell ref="DI34:DI35"/>
    <mergeCell ref="CX34:CX35"/>
    <mergeCell ref="CY34:CY35"/>
    <mergeCell ref="CZ34:CZ35"/>
    <mergeCell ref="DA34:DA35"/>
    <mergeCell ref="DB34:DB35"/>
    <mergeCell ref="DC34:DC35"/>
    <mergeCell ref="CR34:CR35"/>
    <mergeCell ref="CS34:CS35"/>
    <mergeCell ref="CT34:CT35"/>
    <mergeCell ref="CU34:CU35"/>
    <mergeCell ref="CV34:CV35"/>
    <mergeCell ref="CW34:CW35"/>
    <mergeCell ref="CL34:CL35"/>
    <mergeCell ref="CM34:CM35"/>
    <mergeCell ref="CN34:CN35"/>
    <mergeCell ref="CO34:CO35"/>
    <mergeCell ref="CP34:CP35"/>
    <mergeCell ref="CQ34:CQ35"/>
    <mergeCell ref="CF34:CF35"/>
    <mergeCell ref="CG34:CG35"/>
    <mergeCell ref="CH34:CH35"/>
    <mergeCell ref="CI34:CI35"/>
    <mergeCell ref="CJ34:CJ35"/>
    <mergeCell ref="CK34:CK35"/>
    <mergeCell ref="BZ34:BZ35"/>
    <mergeCell ref="CA34:CA35"/>
    <mergeCell ref="CB34:CB35"/>
    <mergeCell ref="CC34:CC35"/>
    <mergeCell ref="CD34:CD35"/>
    <mergeCell ref="CE34:CE35"/>
    <mergeCell ref="BT34:BT35"/>
    <mergeCell ref="BU34:BU35"/>
    <mergeCell ref="BV34:BV35"/>
    <mergeCell ref="BW34:BW35"/>
    <mergeCell ref="BX34:BX35"/>
    <mergeCell ref="BY34:BY35"/>
    <mergeCell ref="BN34:BN35"/>
    <mergeCell ref="BO34:BO35"/>
    <mergeCell ref="BP34:BP35"/>
    <mergeCell ref="BQ34:BQ35"/>
    <mergeCell ref="BR34:BR35"/>
    <mergeCell ref="BS34:BS35"/>
    <mergeCell ref="BH34:BH35"/>
    <mergeCell ref="BI34:BI35"/>
    <mergeCell ref="BJ34:BJ35"/>
    <mergeCell ref="BK34:BK35"/>
    <mergeCell ref="BL34:BL35"/>
    <mergeCell ref="BM34:BM35"/>
    <mergeCell ref="BB34:BB35"/>
    <mergeCell ref="BC34:BC35"/>
    <mergeCell ref="BD34:BD35"/>
    <mergeCell ref="BE34:BE35"/>
    <mergeCell ref="BF34:BF35"/>
    <mergeCell ref="BG34:BG35"/>
    <mergeCell ref="AV34:AV35"/>
    <mergeCell ref="AW34:AW35"/>
    <mergeCell ref="AX34:AX35"/>
    <mergeCell ref="AY34:AY35"/>
    <mergeCell ref="AZ34:AZ35"/>
    <mergeCell ref="BA34:BA35"/>
    <mergeCell ref="AP34:AP35"/>
    <mergeCell ref="AQ34:AQ35"/>
    <mergeCell ref="AR34:AR35"/>
    <mergeCell ref="AS34:AS35"/>
    <mergeCell ref="AT34:AT35"/>
    <mergeCell ref="AU34:AU35"/>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A34:AA35"/>
    <mergeCell ref="AB34:AB35"/>
    <mergeCell ref="AC34:AC35"/>
    <mergeCell ref="R34:R35"/>
    <mergeCell ref="S34:S35"/>
    <mergeCell ref="T34:T35"/>
    <mergeCell ref="U34:U35"/>
    <mergeCell ref="V34:V35"/>
    <mergeCell ref="W34:W35"/>
    <mergeCell ref="L34:L35"/>
    <mergeCell ref="M34:M35"/>
    <mergeCell ref="N34:N35"/>
    <mergeCell ref="O34:O35"/>
    <mergeCell ref="P34:P35"/>
    <mergeCell ref="Q34:Q35"/>
    <mergeCell ref="DO23:DO25"/>
    <mergeCell ref="C34:C35"/>
    <mergeCell ref="D34:D35"/>
    <mergeCell ref="E34:E35"/>
    <mergeCell ref="F34:F35"/>
    <mergeCell ref="G34:G35"/>
    <mergeCell ref="H34:H35"/>
    <mergeCell ref="I34:I35"/>
    <mergeCell ref="J34:J35"/>
    <mergeCell ref="K34:K35"/>
    <mergeCell ref="DI23:DI25"/>
    <mergeCell ref="DJ23:DJ25"/>
    <mergeCell ref="DK23:DK25"/>
    <mergeCell ref="DL23:DL25"/>
    <mergeCell ref="DM23:DM25"/>
    <mergeCell ref="DN23:DN25"/>
    <mergeCell ref="DC23:DC25"/>
    <mergeCell ref="DD23:DD25"/>
    <mergeCell ref="DE23:DE25"/>
    <mergeCell ref="DF23:DF25"/>
    <mergeCell ref="DG23:DG25"/>
    <mergeCell ref="DH23:DH25"/>
    <mergeCell ref="CW23:CW25"/>
    <mergeCell ref="CX23:CX25"/>
    <mergeCell ref="CY23:CY25"/>
    <mergeCell ref="CZ23:CZ25"/>
    <mergeCell ref="DA23:DA25"/>
    <mergeCell ref="DB23:DB25"/>
    <mergeCell ref="CQ23:CQ25"/>
    <mergeCell ref="CR23:CR25"/>
    <mergeCell ref="CS23:CS25"/>
    <mergeCell ref="CT23:CT25"/>
    <mergeCell ref="CU23:CU25"/>
    <mergeCell ref="CV23:CV25"/>
    <mergeCell ref="CK23:CK25"/>
    <mergeCell ref="CL23:CL25"/>
    <mergeCell ref="CM23:CM25"/>
    <mergeCell ref="CN23:CN25"/>
    <mergeCell ref="CO23:CO25"/>
    <mergeCell ref="CP23:CP25"/>
    <mergeCell ref="CE23:CE25"/>
    <mergeCell ref="CF23:CF25"/>
    <mergeCell ref="CG23:CG25"/>
    <mergeCell ref="CH23:CH25"/>
    <mergeCell ref="CI23:CI25"/>
    <mergeCell ref="CJ23:CJ25"/>
    <mergeCell ref="BY23:BY25"/>
    <mergeCell ref="BZ23:BZ25"/>
    <mergeCell ref="CA23:CA25"/>
    <mergeCell ref="CB23:CB25"/>
    <mergeCell ref="CC23:CC25"/>
    <mergeCell ref="CD23:CD25"/>
    <mergeCell ref="BS23:BS25"/>
    <mergeCell ref="BT23:BT25"/>
    <mergeCell ref="BU23:BU25"/>
    <mergeCell ref="BV23:BV25"/>
    <mergeCell ref="BW23:BW25"/>
    <mergeCell ref="BX23:BX25"/>
    <mergeCell ref="BM23:BM25"/>
    <mergeCell ref="BN23:BN25"/>
    <mergeCell ref="BO23:BO25"/>
    <mergeCell ref="BP23:BP25"/>
    <mergeCell ref="BQ23:BQ25"/>
    <mergeCell ref="BR23:BR25"/>
    <mergeCell ref="BG23:BG25"/>
    <mergeCell ref="BH23:BH25"/>
    <mergeCell ref="BI23:BI25"/>
    <mergeCell ref="BJ23:BJ25"/>
    <mergeCell ref="BK23:BK25"/>
    <mergeCell ref="BL23:BL25"/>
    <mergeCell ref="BA23:BA25"/>
    <mergeCell ref="BB23:BB25"/>
    <mergeCell ref="BC23:BC25"/>
    <mergeCell ref="BD23:BD25"/>
    <mergeCell ref="BE23:BE25"/>
    <mergeCell ref="BF23:BF25"/>
    <mergeCell ref="AU23:AU25"/>
    <mergeCell ref="AV23:AV25"/>
    <mergeCell ref="AW23:AW25"/>
    <mergeCell ref="AX23:AX25"/>
    <mergeCell ref="AY23:AY25"/>
    <mergeCell ref="AZ23:AZ25"/>
    <mergeCell ref="AO23:AO25"/>
    <mergeCell ref="AP23:AP25"/>
    <mergeCell ref="AQ23:AQ25"/>
    <mergeCell ref="AR23:AR25"/>
    <mergeCell ref="AS23:AS25"/>
    <mergeCell ref="AT23:AT25"/>
    <mergeCell ref="AI23:AI25"/>
    <mergeCell ref="AJ23:AJ25"/>
    <mergeCell ref="AK23:AK25"/>
    <mergeCell ref="AL23:AL25"/>
    <mergeCell ref="AM23:AM25"/>
    <mergeCell ref="AN23:AN25"/>
    <mergeCell ref="AC23:AC25"/>
    <mergeCell ref="AD23:AD25"/>
    <mergeCell ref="AE23:AE25"/>
    <mergeCell ref="AF23:AF25"/>
    <mergeCell ref="AG23:AG25"/>
    <mergeCell ref="AH23:AH25"/>
    <mergeCell ref="J23:J25"/>
    <mergeCell ref="X23:X25"/>
    <mergeCell ref="Y23:Y25"/>
    <mergeCell ref="Z23:Z25"/>
    <mergeCell ref="AA23:AA25"/>
    <mergeCell ref="AB23:AB25"/>
    <mergeCell ref="DM20:DM22"/>
    <mergeCell ref="DN20:DN22"/>
    <mergeCell ref="DO20:DO22"/>
    <mergeCell ref="C23:C25"/>
    <mergeCell ref="D23:D25"/>
    <mergeCell ref="E23:E25"/>
    <mergeCell ref="F23:F25"/>
    <mergeCell ref="G23:G25"/>
    <mergeCell ref="H23:H25"/>
    <mergeCell ref="I23:I25"/>
    <mergeCell ref="DG20:DG22"/>
    <mergeCell ref="DH20:DH22"/>
    <mergeCell ref="DI20:DI22"/>
    <mergeCell ref="DJ20:DJ22"/>
    <mergeCell ref="DK20:DK22"/>
    <mergeCell ref="DL20:DL22"/>
    <mergeCell ref="DA20:DA22"/>
    <mergeCell ref="DB20:DB22"/>
    <mergeCell ref="DC20:DC22"/>
    <mergeCell ref="DD20:DD22"/>
    <mergeCell ref="DE20:DE22"/>
    <mergeCell ref="DF20:DF22"/>
    <mergeCell ref="CU20:CU22"/>
    <mergeCell ref="CV20:CV22"/>
    <mergeCell ref="CW20:CW22"/>
    <mergeCell ref="CX20:CX22"/>
    <mergeCell ref="CY20:CY22"/>
    <mergeCell ref="CZ20:CZ22"/>
    <mergeCell ref="CO20:CO22"/>
    <mergeCell ref="CP20:CP22"/>
    <mergeCell ref="CQ20:CQ22"/>
    <mergeCell ref="CR20:CR22"/>
    <mergeCell ref="CS20:CS22"/>
    <mergeCell ref="CT20:CT22"/>
    <mergeCell ref="CI20:CI22"/>
    <mergeCell ref="CJ20:CJ22"/>
    <mergeCell ref="CK20:CK22"/>
    <mergeCell ref="CL20:CL22"/>
    <mergeCell ref="CM20:CM22"/>
    <mergeCell ref="CN20:CN22"/>
    <mergeCell ref="CC20:CC22"/>
    <mergeCell ref="CD20:CD22"/>
    <mergeCell ref="CE20:CE22"/>
    <mergeCell ref="CF20:CF22"/>
    <mergeCell ref="CG20:CG22"/>
    <mergeCell ref="CH20:CH22"/>
    <mergeCell ref="BW20:BW22"/>
    <mergeCell ref="BX20:BX22"/>
    <mergeCell ref="BY20:BY22"/>
    <mergeCell ref="BZ20:BZ22"/>
    <mergeCell ref="CA20:CA22"/>
    <mergeCell ref="CB20:CB22"/>
    <mergeCell ref="BQ20:BQ22"/>
    <mergeCell ref="BR20:BR22"/>
    <mergeCell ref="BS20:BS22"/>
    <mergeCell ref="BT20:BT22"/>
    <mergeCell ref="BU20:BU22"/>
    <mergeCell ref="BV20:BV22"/>
    <mergeCell ref="BK20:BK22"/>
    <mergeCell ref="BL20:BL22"/>
    <mergeCell ref="BM20:BM22"/>
    <mergeCell ref="BN20:BN22"/>
    <mergeCell ref="BO20:BO22"/>
    <mergeCell ref="BP20:BP22"/>
    <mergeCell ref="BE20:BE22"/>
    <mergeCell ref="BF20:BF22"/>
    <mergeCell ref="BG20:BG22"/>
    <mergeCell ref="BH20:BH22"/>
    <mergeCell ref="BI20:BI22"/>
    <mergeCell ref="BJ20:BJ22"/>
    <mergeCell ref="AY20:AY22"/>
    <mergeCell ref="AZ20:AZ22"/>
    <mergeCell ref="BA20:BA22"/>
    <mergeCell ref="BB20:BB22"/>
    <mergeCell ref="BC20:BC22"/>
    <mergeCell ref="BD20:BD22"/>
    <mergeCell ref="AS20:AS22"/>
    <mergeCell ref="AT20:AT22"/>
    <mergeCell ref="AU20:AU22"/>
    <mergeCell ref="AV20:AV22"/>
    <mergeCell ref="AW20:AW22"/>
    <mergeCell ref="AX20:AX22"/>
    <mergeCell ref="AM20:AM22"/>
    <mergeCell ref="AN20:AN22"/>
    <mergeCell ref="AO20:AO22"/>
    <mergeCell ref="AP20:AP22"/>
    <mergeCell ref="AQ20:AQ22"/>
    <mergeCell ref="AR20:AR22"/>
    <mergeCell ref="AG20:AG22"/>
    <mergeCell ref="AH20:AH22"/>
    <mergeCell ref="AI20:AI22"/>
    <mergeCell ref="AJ20:AJ22"/>
    <mergeCell ref="AK20:AK22"/>
    <mergeCell ref="AL20:AL22"/>
    <mergeCell ref="AA20:AA22"/>
    <mergeCell ref="AB20:AB22"/>
    <mergeCell ref="AC20:AC22"/>
    <mergeCell ref="AD20:AD22"/>
    <mergeCell ref="AE20:AE22"/>
    <mergeCell ref="AF20:AF22"/>
    <mergeCell ref="H20:H22"/>
    <mergeCell ref="I20:I22"/>
    <mergeCell ref="J20:J22"/>
    <mergeCell ref="X20:X22"/>
    <mergeCell ref="Y20:Y22"/>
    <mergeCell ref="Z20:Z22"/>
    <mergeCell ref="DK17:DK19"/>
    <mergeCell ref="DL17:DL19"/>
    <mergeCell ref="DM17:DM19"/>
    <mergeCell ref="DN17:DN19"/>
    <mergeCell ref="DO17:DO19"/>
    <mergeCell ref="C20:C22"/>
    <mergeCell ref="D20:D22"/>
    <mergeCell ref="E20:E22"/>
    <mergeCell ref="F20:F22"/>
    <mergeCell ref="G20:G22"/>
    <mergeCell ref="DE17:DE19"/>
    <mergeCell ref="DF17:DF19"/>
    <mergeCell ref="DG17:DG19"/>
    <mergeCell ref="DH17:DH19"/>
    <mergeCell ref="DI17:DI19"/>
    <mergeCell ref="DJ17:DJ19"/>
    <mergeCell ref="CY17:CY19"/>
    <mergeCell ref="CZ17:CZ19"/>
    <mergeCell ref="DA17:DA19"/>
    <mergeCell ref="DB17:DB19"/>
    <mergeCell ref="DC17:DC19"/>
    <mergeCell ref="DD17:DD19"/>
    <mergeCell ref="CS17:CS19"/>
    <mergeCell ref="CT17:CT19"/>
    <mergeCell ref="CU17:CU19"/>
    <mergeCell ref="CV17:CV19"/>
    <mergeCell ref="CW17:CW19"/>
    <mergeCell ref="CX17:CX19"/>
    <mergeCell ref="CM17:CM19"/>
    <mergeCell ref="CN17:CN19"/>
    <mergeCell ref="CO17:CO19"/>
    <mergeCell ref="CP17:CP19"/>
    <mergeCell ref="CQ17:CQ19"/>
    <mergeCell ref="CR17:CR19"/>
    <mergeCell ref="CG17:CG19"/>
    <mergeCell ref="CH17:CH19"/>
    <mergeCell ref="CI17:CI19"/>
    <mergeCell ref="CJ17:CJ19"/>
    <mergeCell ref="CK17:CK19"/>
    <mergeCell ref="CL17:CL19"/>
    <mergeCell ref="CA17:CA19"/>
    <mergeCell ref="CB17:CB19"/>
    <mergeCell ref="CC17:CC19"/>
    <mergeCell ref="CD17:CD19"/>
    <mergeCell ref="CE17:CE19"/>
    <mergeCell ref="CF17:CF19"/>
    <mergeCell ref="BU17:BU19"/>
    <mergeCell ref="BV17:BV19"/>
    <mergeCell ref="BW17:BW19"/>
    <mergeCell ref="BX17:BX19"/>
    <mergeCell ref="BY17:BY19"/>
    <mergeCell ref="BZ17:BZ19"/>
    <mergeCell ref="BO17:BO19"/>
    <mergeCell ref="BP17:BP19"/>
    <mergeCell ref="BQ17:BQ19"/>
    <mergeCell ref="BR17:BR19"/>
    <mergeCell ref="BS17:BS19"/>
    <mergeCell ref="BT17:BT19"/>
    <mergeCell ref="BI17:BI19"/>
    <mergeCell ref="BJ17:BJ19"/>
    <mergeCell ref="BK17:BK19"/>
    <mergeCell ref="BL17:BL19"/>
    <mergeCell ref="BM17:BM19"/>
    <mergeCell ref="BN17:BN19"/>
    <mergeCell ref="BC17:BC19"/>
    <mergeCell ref="BD17:BD19"/>
    <mergeCell ref="BE17:BE19"/>
    <mergeCell ref="BF17:BF19"/>
    <mergeCell ref="BG17:BG19"/>
    <mergeCell ref="BH17:BH19"/>
    <mergeCell ref="AW17:AW19"/>
    <mergeCell ref="AX17:AX19"/>
    <mergeCell ref="AY17:AY19"/>
    <mergeCell ref="AZ17:AZ19"/>
    <mergeCell ref="BA17:BA19"/>
    <mergeCell ref="BB17:BB19"/>
    <mergeCell ref="AQ17:AQ19"/>
    <mergeCell ref="AR17:AR19"/>
    <mergeCell ref="AS17:AS19"/>
    <mergeCell ref="AT17:AT19"/>
    <mergeCell ref="AU17:AU19"/>
    <mergeCell ref="AV17:AV19"/>
    <mergeCell ref="AK17:AK19"/>
    <mergeCell ref="AL17:AL19"/>
    <mergeCell ref="AM17:AM19"/>
    <mergeCell ref="AN17:AN19"/>
    <mergeCell ref="AO17:AO19"/>
    <mergeCell ref="AP17:AP19"/>
    <mergeCell ref="AE17:AE19"/>
    <mergeCell ref="AF17:AF19"/>
    <mergeCell ref="AG17:AG19"/>
    <mergeCell ref="AH17:AH19"/>
    <mergeCell ref="AI17:AI19"/>
    <mergeCell ref="AJ17:AJ19"/>
    <mergeCell ref="Y17:Y19"/>
    <mergeCell ref="Z17:Z19"/>
    <mergeCell ref="AA17:AA19"/>
    <mergeCell ref="AB17:AB19"/>
    <mergeCell ref="AC17:AC19"/>
    <mergeCell ref="AD17:AD19"/>
    <mergeCell ref="DO14:DO16"/>
    <mergeCell ref="C17:C19"/>
    <mergeCell ref="D17:D19"/>
    <mergeCell ref="E17:E19"/>
    <mergeCell ref="F17:F19"/>
    <mergeCell ref="G17:G19"/>
    <mergeCell ref="H17:H19"/>
    <mergeCell ref="I17:I19"/>
    <mergeCell ref="J17:J19"/>
    <mergeCell ref="X17:X19"/>
    <mergeCell ref="DI14:DI16"/>
    <mergeCell ref="DJ14:DJ16"/>
    <mergeCell ref="DK14:DK16"/>
    <mergeCell ref="DL14:DL16"/>
    <mergeCell ref="DM14:DM16"/>
    <mergeCell ref="DN14:DN16"/>
    <mergeCell ref="DC14:DC16"/>
    <mergeCell ref="DD14:DD16"/>
    <mergeCell ref="DE14:DE16"/>
    <mergeCell ref="DF14:DF16"/>
    <mergeCell ref="DG14:DG16"/>
    <mergeCell ref="DH14:DH16"/>
    <mergeCell ref="CW14:CW16"/>
    <mergeCell ref="CX14:CX16"/>
    <mergeCell ref="CY14:CY16"/>
    <mergeCell ref="CZ14:CZ16"/>
    <mergeCell ref="DA14:DA16"/>
    <mergeCell ref="DB14:DB16"/>
    <mergeCell ref="CQ14:CQ16"/>
    <mergeCell ref="CR14:CR16"/>
    <mergeCell ref="CS14:CS16"/>
    <mergeCell ref="CT14:CT16"/>
    <mergeCell ref="CU14:CU16"/>
    <mergeCell ref="CV14:CV16"/>
    <mergeCell ref="CK14:CK16"/>
    <mergeCell ref="CL14:CL16"/>
    <mergeCell ref="CM14:CM16"/>
    <mergeCell ref="CN14:CN16"/>
    <mergeCell ref="CO14:CO16"/>
    <mergeCell ref="CP14:CP16"/>
    <mergeCell ref="CE14:CE16"/>
    <mergeCell ref="CF14:CF16"/>
    <mergeCell ref="CG14:CG16"/>
    <mergeCell ref="CH14:CH16"/>
    <mergeCell ref="CI14:CI16"/>
    <mergeCell ref="CJ14:CJ16"/>
    <mergeCell ref="BX14:BX16"/>
    <mergeCell ref="BY14:BY16"/>
    <mergeCell ref="CA14:CA16"/>
    <mergeCell ref="CB14:CB16"/>
    <mergeCell ref="CC14:CC16"/>
    <mergeCell ref="CD14:CD16"/>
    <mergeCell ref="BR14:BR16"/>
    <mergeCell ref="BS14:BS16"/>
    <mergeCell ref="BT14:BT16"/>
    <mergeCell ref="BU14:BU16"/>
    <mergeCell ref="BV14:BV16"/>
    <mergeCell ref="BW14:BW16"/>
    <mergeCell ref="BL14:BL16"/>
    <mergeCell ref="BM14:BM16"/>
    <mergeCell ref="BN14:BN16"/>
    <mergeCell ref="BO14:BO16"/>
    <mergeCell ref="BP14:BP16"/>
    <mergeCell ref="BQ14:BQ16"/>
    <mergeCell ref="BF14:BF16"/>
    <mergeCell ref="BG14:BG16"/>
    <mergeCell ref="BH14:BH16"/>
    <mergeCell ref="BI14:BI16"/>
    <mergeCell ref="BJ14:BJ16"/>
    <mergeCell ref="BK14:BK16"/>
    <mergeCell ref="AZ14:AZ16"/>
    <mergeCell ref="BA14:BA16"/>
    <mergeCell ref="BB14:BB16"/>
    <mergeCell ref="BC14:BC16"/>
    <mergeCell ref="BD14:BD16"/>
    <mergeCell ref="BE14:BE16"/>
    <mergeCell ref="AT14:AT16"/>
    <mergeCell ref="AU14:AU16"/>
    <mergeCell ref="AV14:AV16"/>
    <mergeCell ref="AW14:AW16"/>
    <mergeCell ref="AX14:AX16"/>
    <mergeCell ref="AY14:AY16"/>
    <mergeCell ref="AN14:AN16"/>
    <mergeCell ref="AO14:AO16"/>
    <mergeCell ref="AP14:AP16"/>
    <mergeCell ref="AQ14:AQ16"/>
    <mergeCell ref="AR14:AR16"/>
    <mergeCell ref="AS14:AS16"/>
    <mergeCell ref="AH14:AH16"/>
    <mergeCell ref="AI14:AI16"/>
    <mergeCell ref="AJ14:AJ16"/>
    <mergeCell ref="AK14:AK16"/>
    <mergeCell ref="AL14:AL16"/>
    <mergeCell ref="AM14:AM16"/>
    <mergeCell ref="AB14:AB16"/>
    <mergeCell ref="AC14:AC16"/>
    <mergeCell ref="AD14:AD16"/>
    <mergeCell ref="AE14:AE16"/>
    <mergeCell ref="AF14:AF16"/>
    <mergeCell ref="AG14:AG16"/>
    <mergeCell ref="I14:I16"/>
    <mergeCell ref="J14:J16"/>
    <mergeCell ref="X14:X16"/>
    <mergeCell ref="Y14:Y16"/>
    <mergeCell ref="Z14:Z16"/>
    <mergeCell ref="AA14:AA16"/>
    <mergeCell ref="DL11:DL13"/>
    <mergeCell ref="DM11:DM13"/>
    <mergeCell ref="DN11:DN13"/>
    <mergeCell ref="DO11:DO13"/>
    <mergeCell ref="C14:C16"/>
    <mergeCell ref="D14:D16"/>
    <mergeCell ref="E14:E16"/>
    <mergeCell ref="F14:F16"/>
    <mergeCell ref="G14:G16"/>
    <mergeCell ref="H14:H16"/>
    <mergeCell ref="DF11:DF13"/>
    <mergeCell ref="DG11:DG13"/>
    <mergeCell ref="DH11:DH13"/>
    <mergeCell ref="DI11:DI13"/>
    <mergeCell ref="DJ11:DJ13"/>
    <mergeCell ref="DK11:DK13"/>
    <mergeCell ref="CZ11:CZ13"/>
    <mergeCell ref="DA11:DA13"/>
    <mergeCell ref="DB11:DB13"/>
    <mergeCell ref="DC11:DC13"/>
    <mergeCell ref="DD11:DD13"/>
    <mergeCell ref="DE11:DE13"/>
    <mergeCell ref="CT11:CT13"/>
    <mergeCell ref="CU11:CU13"/>
    <mergeCell ref="CV11:CV13"/>
    <mergeCell ref="CW11:CW13"/>
    <mergeCell ref="CX11:CX13"/>
    <mergeCell ref="CY11:CY13"/>
    <mergeCell ref="CN11:CN13"/>
    <mergeCell ref="CO11:CO13"/>
    <mergeCell ref="CP11:CP13"/>
    <mergeCell ref="CQ11:CQ13"/>
    <mergeCell ref="CR11:CR13"/>
    <mergeCell ref="CS11:CS13"/>
    <mergeCell ref="CH11:CH13"/>
    <mergeCell ref="CI11:CI13"/>
    <mergeCell ref="CJ11:CJ13"/>
    <mergeCell ref="CK11:CK13"/>
    <mergeCell ref="CL11:CL13"/>
    <mergeCell ref="CM11:CM13"/>
    <mergeCell ref="CB11:CB13"/>
    <mergeCell ref="CC11:CC13"/>
    <mergeCell ref="CD11:CD13"/>
    <mergeCell ref="CE11:CE13"/>
    <mergeCell ref="CF11:CF13"/>
    <mergeCell ref="CG11:CG13"/>
    <mergeCell ref="BV11:BV13"/>
    <mergeCell ref="BW11:BW13"/>
    <mergeCell ref="BX11:BX13"/>
    <mergeCell ref="BY11:BY13"/>
    <mergeCell ref="BZ11:BZ13"/>
    <mergeCell ref="CA11:CA13"/>
    <mergeCell ref="BP11:BP13"/>
    <mergeCell ref="BQ11:BQ13"/>
    <mergeCell ref="BR11:BR13"/>
    <mergeCell ref="BS11:BS13"/>
    <mergeCell ref="BT11:BT13"/>
    <mergeCell ref="BU11:BU13"/>
    <mergeCell ref="BJ11:BJ13"/>
    <mergeCell ref="BK11:BK13"/>
    <mergeCell ref="BL11:BL13"/>
    <mergeCell ref="BM11:BM13"/>
    <mergeCell ref="BN11:BN13"/>
    <mergeCell ref="BO11:BO13"/>
    <mergeCell ref="BD11:BD13"/>
    <mergeCell ref="BE11:BE13"/>
    <mergeCell ref="BF11:BF13"/>
    <mergeCell ref="BG11:BG13"/>
    <mergeCell ref="BH11:BH13"/>
    <mergeCell ref="BI11:BI13"/>
    <mergeCell ref="AX11:AX13"/>
    <mergeCell ref="AY11:AY13"/>
    <mergeCell ref="AZ11:AZ13"/>
    <mergeCell ref="BA11:BA13"/>
    <mergeCell ref="BB11:BB13"/>
    <mergeCell ref="BC11:BC13"/>
    <mergeCell ref="AR11:AR13"/>
    <mergeCell ref="AS11:AS13"/>
    <mergeCell ref="AT11:AT13"/>
    <mergeCell ref="AU11:AU13"/>
    <mergeCell ref="AV11:AV13"/>
    <mergeCell ref="AW11:AW13"/>
    <mergeCell ref="AL11:AL13"/>
    <mergeCell ref="AM11:AM13"/>
    <mergeCell ref="AN11:AN13"/>
    <mergeCell ref="AO11:AO13"/>
    <mergeCell ref="AP11:AP13"/>
    <mergeCell ref="AQ11:AQ13"/>
    <mergeCell ref="AF11:AF13"/>
    <mergeCell ref="AG11:AG13"/>
    <mergeCell ref="AH11:AH13"/>
    <mergeCell ref="AI11:AI13"/>
    <mergeCell ref="AJ11:AJ13"/>
    <mergeCell ref="AK11:AK13"/>
    <mergeCell ref="Z11:Z13"/>
    <mergeCell ref="AA11:AA13"/>
    <mergeCell ref="AB11:AB13"/>
    <mergeCell ref="AC11:AC13"/>
    <mergeCell ref="AD11:AD13"/>
    <mergeCell ref="AE11:AE13"/>
    <mergeCell ref="DO8:DO10"/>
    <mergeCell ref="C11:C13"/>
    <mergeCell ref="E11:E13"/>
    <mergeCell ref="F11:F13"/>
    <mergeCell ref="G11:G13"/>
    <mergeCell ref="H11:H13"/>
    <mergeCell ref="I11:I13"/>
    <mergeCell ref="J11:J13"/>
    <mergeCell ref="X11:X13"/>
    <mergeCell ref="Y11:Y13"/>
    <mergeCell ref="DI8:DI10"/>
    <mergeCell ref="DJ8:DJ10"/>
    <mergeCell ref="DK8:DK10"/>
    <mergeCell ref="DL8:DL10"/>
    <mergeCell ref="DM8:DM10"/>
    <mergeCell ref="DN8:DN10"/>
    <mergeCell ref="DC8:DC10"/>
    <mergeCell ref="DD8:DD10"/>
    <mergeCell ref="DE8:DE10"/>
    <mergeCell ref="DF8:DF10"/>
    <mergeCell ref="DG8:DG10"/>
    <mergeCell ref="DH8:DH10"/>
    <mergeCell ref="CW8:CW10"/>
    <mergeCell ref="CX8:CX10"/>
    <mergeCell ref="CY8:CY10"/>
    <mergeCell ref="CZ8:CZ10"/>
    <mergeCell ref="DA8:DA10"/>
    <mergeCell ref="DB8:DB10"/>
    <mergeCell ref="CQ8:CQ10"/>
    <mergeCell ref="CR8:CR10"/>
    <mergeCell ref="CS8:CS10"/>
    <mergeCell ref="CT8:CT10"/>
    <mergeCell ref="CU8:CU10"/>
    <mergeCell ref="CV8:CV10"/>
    <mergeCell ref="CK8:CK10"/>
    <mergeCell ref="CL8:CL10"/>
    <mergeCell ref="CM8:CM10"/>
    <mergeCell ref="CN8:CN10"/>
    <mergeCell ref="CO8:CO10"/>
    <mergeCell ref="CP8:CP10"/>
    <mergeCell ref="CE8:CE10"/>
    <mergeCell ref="CF8:CF10"/>
    <mergeCell ref="CG8:CG10"/>
    <mergeCell ref="CH8:CH10"/>
    <mergeCell ref="CI8:CI10"/>
    <mergeCell ref="CJ8:CJ10"/>
    <mergeCell ref="BY8:BY10"/>
    <mergeCell ref="BZ8:BZ10"/>
    <mergeCell ref="CA8:CA10"/>
    <mergeCell ref="CB8:CB10"/>
    <mergeCell ref="CC8:CC10"/>
    <mergeCell ref="CD8:CD10"/>
    <mergeCell ref="BS8:BS10"/>
    <mergeCell ref="BT8:BT10"/>
    <mergeCell ref="BU8:BU10"/>
    <mergeCell ref="BV8:BV10"/>
    <mergeCell ref="BW8:BW10"/>
    <mergeCell ref="BX8:BX10"/>
    <mergeCell ref="BM8:BM10"/>
    <mergeCell ref="BN8:BN10"/>
    <mergeCell ref="BO8:BO10"/>
    <mergeCell ref="BP8:BP10"/>
    <mergeCell ref="BQ8:BQ10"/>
    <mergeCell ref="BR8:BR10"/>
    <mergeCell ref="BG8:BG10"/>
    <mergeCell ref="BH8:BH10"/>
    <mergeCell ref="BI8:BI10"/>
    <mergeCell ref="BJ8:BJ10"/>
    <mergeCell ref="BK8:BK10"/>
    <mergeCell ref="BL8:BL10"/>
    <mergeCell ref="BA8:BA10"/>
    <mergeCell ref="BB8:BB10"/>
    <mergeCell ref="BC8:BC10"/>
    <mergeCell ref="BD8:BD10"/>
    <mergeCell ref="BE8:BE10"/>
    <mergeCell ref="BF8:BF10"/>
    <mergeCell ref="AU8:AU10"/>
    <mergeCell ref="AV8:AV10"/>
    <mergeCell ref="AW8:AW10"/>
    <mergeCell ref="AX8:AX10"/>
    <mergeCell ref="AY8:AY10"/>
    <mergeCell ref="AZ8:AZ10"/>
    <mergeCell ref="AO8:AO10"/>
    <mergeCell ref="AP8:AP10"/>
    <mergeCell ref="AQ8:AQ10"/>
    <mergeCell ref="AR8:AR10"/>
    <mergeCell ref="AS8:AS10"/>
    <mergeCell ref="AT8:AT10"/>
    <mergeCell ref="AI8:AI10"/>
    <mergeCell ref="AJ8:AJ10"/>
    <mergeCell ref="AK8:AK10"/>
    <mergeCell ref="AL8:AL10"/>
    <mergeCell ref="AM8:AM10"/>
    <mergeCell ref="AN8:AN10"/>
    <mergeCell ref="AC8:AC10"/>
    <mergeCell ref="AD8:AD10"/>
    <mergeCell ref="AE8:AE10"/>
    <mergeCell ref="AF8:AF10"/>
    <mergeCell ref="AG8:AG10"/>
    <mergeCell ref="AH8:AH10"/>
    <mergeCell ref="K8:K9"/>
    <mergeCell ref="X8:X10"/>
    <mergeCell ref="Y8:Y10"/>
    <mergeCell ref="Z8:Z10"/>
    <mergeCell ref="AA8:AA10"/>
    <mergeCell ref="AB8:AB10"/>
    <mergeCell ref="DD6:DI6"/>
    <mergeCell ref="DJ6:DO6"/>
    <mergeCell ref="C8:C10"/>
    <mergeCell ref="D8:D10"/>
    <mergeCell ref="E8:E10"/>
    <mergeCell ref="F8:F10"/>
    <mergeCell ref="G8:G10"/>
    <mergeCell ref="H8:H10"/>
    <mergeCell ref="I8:I10"/>
    <mergeCell ref="J8:J10"/>
    <mergeCell ref="BT6:BY6"/>
    <mergeCell ref="BZ6:CE6"/>
    <mergeCell ref="CF6:CK6"/>
    <mergeCell ref="CL6:CQ6"/>
    <mergeCell ref="CR6:CW6"/>
    <mergeCell ref="CX6:DC6"/>
    <mergeCell ref="AJ6:AO6"/>
    <mergeCell ref="AP6:AU6"/>
    <mergeCell ref="AV6:BA6"/>
    <mergeCell ref="BB6:BG6"/>
    <mergeCell ref="BH6:BM6"/>
    <mergeCell ref="BN6:BS6"/>
    <mergeCell ref="I6:I7"/>
    <mergeCell ref="J6:J7"/>
    <mergeCell ref="K6:K7"/>
    <mergeCell ref="L6:W6"/>
    <mergeCell ref="X6:AC6"/>
    <mergeCell ref="AD6:AI6"/>
    <mergeCell ref="D4:K4"/>
    <mergeCell ref="L4:N4"/>
    <mergeCell ref="O4:W4"/>
    <mergeCell ref="X4:AC4"/>
    <mergeCell ref="C6:C7"/>
    <mergeCell ref="D6:D7"/>
    <mergeCell ref="E6:E7"/>
    <mergeCell ref="F6:F7"/>
    <mergeCell ref="G6:G7"/>
    <mergeCell ref="H6:H7"/>
    <mergeCell ref="C1:O1"/>
    <mergeCell ref="P1:S1"/>
    <mergeCell ref="T1:W2"/>
    <mergeCell ref="C2:D2"/>
    <mergeCell ref="E2:O2"/>
    <mergeCell ref="P2:S2"/>
  </mergeCells>
  <conditionalFormatting sqref="AB8">
    <cfRule type="colorScale" priority="272">
      <colorScale>
        <cfvo type="num" val="0.69"/>
        <cfvo type="num" val="0.8"/>
        <cfvo type="num" val="0.9"/>
        <color rgb="FFF8696B"/>
        <color rgb="FFFFEB84"/>
        <color rgb="FF63BE7B"/>
      </colorScale>
    </cfRule>
  </conditionalFormatting>
  <conditionalFormatting sqref="AB11">
    <cfRule type="colorScale" priority="271">
      <colorScale>
        <cfvo type="num" val="0.69"/>
        <cfvo type="num" val="0.8"/>
        <cfvo type="num" val="0.9"/>
        <color rgb="FFF8696B"/>
        <color rgb="FFFFEB84"/>
        <color rgb="FF63BE7B"/>
      </colorScale>
    </cfRule>
  </conditionalFormatting>
  <conditionalFormatting sqref="AB14">
    <cfRule type="colorScale" priority="270">
      <colorScale>
        <cfvo type="num" val="0.69"/>
        <cfvo type="num" val="0.8"/>
        <cfvo type="num" val="0.9"/>
        <color rgb="FFF8696B"/>
        <color rgb="FFFFEB84"/>
        <color rgb="FF63BE7B"/>
      </colorScale>
    </cfRule>
  </conditionalFormatting>
  <conditionalFormatting sqref="AB17">
    <cfRule type="colorScale" priority="269">
      <colorScale>
        <cfvo type="num" val="0.69"/>
        <cfvo type="num" val="0.8"/>
        <cfvo type="num" val="0.9"/>
        <color rgb="FFF8696B"/>
        <color rgb="FFFFEB84"/>
        <color rgb="FF63BE7B"/>
      </colorScale>
    </cfRule>
  </conditionalFormatting>
  <conditionalFormatting sqref="AB20">
    <cfRule type="colorScale" priority="268">
      <colorScale>
        <cfvo type="num" val="0.69"/>
        <cfvo type="num" val="0.8"/>
        <cfvo type="num" val="0.9"/>
        <color rgb="FFF8696B"/>
        <color rgb="FFFFEB84"/>
        <color rgb="FF63BE7B"/>
      </colorScale>
    </cfRule>
  </conditionalFormatting>
  <conditionalFormatting sqref="AB23">
    <cfRule type="colorScale" priority="267">
      <colorScale>
        <cfvo type="num" val="0.69"/>
        <cfvo type="num" val="0.8"/>
        <cfvo type="num" val="0.9"/>
        <color rgb="FFF8696B"/>
        <color rgb="FFFFEB84"/>
        <color rgb="FF63BE7B"/>
      </colorScale>
    </cfRule>
  </conditionalFormatting>
  <conditionalFormatting sqref="AB26">
    <cfRule type="colorScale" priority="266">
      <colorScale>
        <cfvo type="num" val="0.69"/>
        <cfvo type="num" val="0.8"/>
        <cfvo type="num" val="0.9"/>
        <color rgb="FFF8696B"/>
        <color rgb="FFFFEB84"/>
        <color rgb="FF63BE7B"/>
      </colorScale>
    </cfRule>
  </conditionalFormatting>
  <conditionalFormatting sqref="AB31:AB32 AB27">
    <cfRule type="colorScale" priority="265">
      <colorScale>
        <cfvo type="num" val="0.69"/>
        <cfvo type="num" val="0.8"/>
        <cfvo type="num" val="0.9"/>
        <color rgb="FFF8696B"/>
        <color rgb="FFFFEB84"/>
        <color rgb="FF63BE7B"/>
      </colorScale>
    </cfRule>
  </conditionalFormatting>
  <conditionalFormatting sqref="AB28">
    <cfRule type="colorScale" priority="264">
      <colorScale>
        <cfvo type="num" val="0.69"/>
        <cfvo type="num" val="0.8"/>
        <cfvo type="num" val="0.9"/>
        <color rgb="FFF8696B"/>
        <color rgb="FFFFEB84"/>
        <color rgb="FF63BE7B"/>
      </colorScale>
    </cfRule>
  </conditionalFormatting>
  <conditionalFormatting sqref="AB30">
    <cfRule type="colorScale" priority="263">
      <colorScale>
        <cfvo type="num" val="0.69"/>
        <cfvo type="num" val="0.8"/>
        <cfvo type="num" val="0.9"/>
        <color rgb="FFF8696B"/>
        <color rgb="FFFFEB84"/>
        <color rgb="FF63BE7B"/>
      </colorScale>
    </cfRule>
  </conditionalFormatting>
  <conditionalFormatting sqref="AB34">
    <cfRule type="colorScale" priority="262">
      <colorScale>
        <cfvo type="num" val="0.69"/>
        <cfvo type="num" val="0.8"/>
        <cfvo type="num" val="0.9"/>
        <color rgb="FFF8696B"/>
        <color rgb="FFFFEB84"/>
        <color rgb="FF63BE7B"/>
      </colorScale>
    </cfRule>
  </conditionalFormatting>
  <conditionalFormatting sqref="AH14">
    <cfRule type="colorScale" priority="261">
      <colorScale>
        <cfvo type="num" val="0.69"/>
        <cfvo type="num" val="0.8"/>
        <cfvo type="num" val="0.9"/>
        <color rgb="FFF8696B"/>
        <color rgb="FFFFEB84"/>
        <color rgb="FF63BE7B"/>
      </colorScale>
    </cfRule>
  </conditionalFormatting>
  <conditionalFormatting sqref="AH26">
    <cfRule type="colorScale" priority="260">
      <colorScale>
        <cfvo type="num" val="0.69"/>
        <cfvo type="num" val="0.8"/>
        <cfvo type="num" val="0.9"/>
        <color rgb="FFF8696B"/>
        <color rgb="FFFFEB84"/>
        <color rgb="FF63BE7B"/>
      </colorScale>
    </cfRule>
  </conditionalFormatting>
  <conditionalFormatting sqref="AH31:AH32">
    <cfRule type="colorScale" priority="259">
      <colorScale>
        <cfvo type="num" val="0.69"/>
        <cfvo type="num" val="0.8"/>
        <cfvo type="num" val="0.9"/>
        <color rgb="FFF8696B"/>
        <color rgb="FFFFEB84"/>
        <color rgb="FF63BE7B"/>
      </colorScale>
    </cfRule>
  </conditionalFormatting>
  <conditionalFormatting sqref="AH34">
    <cfRule type="colorScale" priority="258">
      <colorScale>
        <cfvo type="num" val="0.69"/>
        <cfvo type="num" val="0.8"/>
        <cfvo type="num" val="0.9"/>
        <color rgb="FFF8696B"/>
        <color rgb="FFFFEB84"/>
        <color rgb="FF63BE7B"/>
      </colorScale>
    </cfRule>
  </conditionalFormatting>
  <conditionalFormatting sqref="AH8">
    <cfRule type="colorScale" priority="257">
      <colorScale>
        <cfvo type="num" val="0.69"/>
        <cfvo type="num" val="0.8"/>
        <cfvo type="num" val="0.9"/>
        <color rgb="FFF8696B"/>
        <color rgb="FFFFEB84"/>
        <color rgb="FF63BE7B"/>
      </colorScale>
    </cfRule>
  </conditionalFormatting>
  <conditionalFormatting sqref="AH11">
    <cfRule type="colorScale" priority="256">
      <colorScale>
        <cfvo type="num" val="0.69"/>
        <cfvo type="num" val="0.8"/>
        <cfvo type="num" val="0.9"/>
        <color rgb="FFF8696B"/>
        <color rgb="FFFFEB84"/>
        <color rgb="FF63BE7B"/>
      </colorScale>
    </cfRule>
  </conditionalFormatting>
  <conditionalFormatting sqref="AH17">
    <cfRule type="colorScale" priority="255">
      <colorScale>
        <cfvo type="num" val="0.69"/>
        <cfvo type="num" val="0.8"/>
        <cfvo type="num" val="0.9"/>
        <color rgb="FFF8696B"/>
        <color rgb="FFFFEB84"/>
        <color rgb="FF63BE7B"/>
      </colorScale>
    </cfRule>
  </conditionalFormatting>
  <conditionalFormatting sqref="AH20">
    <cfRule type="colorScale" priority="254">
      <colorScale>
        <cfvo type="num" val="0.69"/>
        <cfvo type="num" val="0.8"/>
        <cfvo type="num" val="0.9"/>
        <color rgb="FFF8696B"/>
        <color rgb="FFFFEB84"/>
        <color rgb="FF63BE7B"/>
      </colorScale>
    </cfRule>
  </conditionalFormatting>
  <conditionalFormatting sqref="AH23">
    <cfRule type="colorScale" priority="253">
      <colorScale>
        <cfvo type="num" val="0.69"/>
        <cfvo type="num" val="0.8"/>
        <cfvo type="num" val="0.9"/>
        <color rgb="FFF8696B"/>
        <color rgb="FFFFEB84"/>
        <color rgb="FF63BE7B"/>
      </colorScale>
    </cfRule>
  </conditionalFormatting>
  <conditionalFormatting sqref="AH28">
    <cfRule type="colorScale" priority="252">
      <colorScale>
        <cfvo type="num" val="0.69"/>
        <cfvo type="num" val="0.8"/>
        <cfvo type="num" val="0.9"/>
        <color rgb="FFF8696B"/>
        <color rgb="FFFFEB84"/>
        <color rgb="FF63BE7B"/>
      </colorScale>
    </cfRule>
  </conditionalFormatting>
  <conditionalFormatting sqref="AH30">
    <cfRule type="colorScale" priority="251">
      <colorScale>
        <cfvo type="num" val="0.69"/>
        <cfvo type="num" val="0.8"/>
        <cfvo type="num" val="0.9"/>
        <color rgb="FFF8696B"/>
        <color rgb="FFFFEB84"/>
        <color rgb="FF63BE7B"/>
      </colorScale>
    </cfRule>
  </conditionalFormatting>
  <conditionalFormatting sqref="AH36">
    <cfRule type="colorScale" priority="250">
      <colorScale>
        <cfvo type="num" val="0.69"/>
        <cfvo type="num" val="0.8"/>
        <cfvo type="num" val="0.9"/>
        <color rgb="FFF8696B"/>
        <color rgb="FFFFEB84"/>
        <color rgb="FF63BE7B"/>
      </colorScale>
    </cfRule>
  </conditionalFormatting>
  <conditionalFormatting sqref="AH42">
    <cfRule type="colorScale" priority="249">
      <colorScale>
        <cfvo type="num" val="0.69"/>
        <cfvo type="num" val="0.8"/>
        <cfvo type="num" val="0.9"/>
        <color rgb="FFF8696B"/>
        <color rgb="FFFFEB84"/>
        <color rgb="FF63BE7B"/>
      </colorScale>
    </cfRule>
  </conditionalFormatting>
  <conditionalFormatting sqref="AN14">
    <cfRule type="colorScale" priority="248">
      <colorScale>
        <cfvo type="num" val="0.69"/>
        <cfvo type="num" val="0.8"/>
        <cfvo type="num" val="0.9"/>
        <color rgb="FFF8696B"/>
        <color rgb="FFFFEB84"/>
        <color rgb="FF63BE7B"/>
      </colorScale>
    </cfRule>
  </conditionalFormatting>
  <conditionalFormatting sqref="AN26">
    <cfRule type="colorScale" priority="247">
      <colorScale>
        <cfvo type="num" val="0.69"/>
        <cfvo type="num" val="0.8"/>
        <cfvo type="num" val="0.9"/>
        <color rgb="FFF8696B"/>
        <color rgb="FFFFEB84"/>
        <color rgb="FF63BE7B"/>
      </colorScale>
    </cfRule>
  </conditionalFormatting>
  <conditionalFormatting sqref="AN31:AN32 AN27">
    <cfRule type="colorScale" priority="246">
      <colorScale>
        <cfvo type="num" val="0.69"/>
        <cfvo type="num" val="0.8"/>
        <cfvo type="num" val="0.9"/>
        <color rgb="FFF8696B"/>
        <color rgb="FFFFEB84"/>
        <color rgb="FF63BE7B"/>
      </colorScale>
    </cfRule>
  </conditionalFormatting>
  <conditionalFormatting sqref="AN34">
    <cfRule type="colorScale" priority="245">
      <colorScale>
        <cfvo type="num" val="0.69"/>
        <cfvo type="num" val="0.8"/>
        <cfvo type="num" val="0.9"/>
        <color rgb="FFF8696B"/>
        <color rgb="FFFFEB84"/>
        <color rgb="FF63BE7B"/>
      </colorScale>
    </cfRule>
  </conditionalFormatting>
  <conditionalFormatting sqref="AN8">
    <cfRule type="colorScale" priority="244">
      <colorScale>
        <cfvo type="num" val="0.69"/>
        <cfvo type="num" val="0.8"/>
        <cfvo type="num" val="0.9"/>
        <color rgb="FFF8696B"/>
        <color rgb="FFFFEB84"/>
        <color rgb="FF63BE7B"/>
      </colorScale>
    </cfRule>
  </conditionalFormatting>
  <conditionalFormatting sqref="AH27">
    <cfRule type="colorScale" priority="243">
      <colorScale>
        <cfvo type="num" val="0.69"/>
        <cfvo type="num" val="0.8"/>
        <cfvo type="num" val="0.9"/>
        <color rgb="FFF8696B"/>
        <color rgb="FFFFEB84"/>
        <color rgb="FF63BE7B"/>
      </colorScale>
    </cfRule>
  </conditionalFormatting>
  <conditionalFormatting sqref="AN11">
    <cfRule type="colorScale" priority="242">
      <colorScale>
        <cfvo type="num" val="0.69"/>
        <cfvo type="num" val="0.8"/>
        <cfvo type="num" val="0.9"/>
        <color rgb="FFF8696B"/>
        <color rgb="FFFFEB84"/>
        <color rgb="FF63BE7B"/>
      </colorScale>
    </cfRule>
  </conditionalFormatting>
  <conditionalFormatting sqref="AN17">
    <cfRule type="colorScale" priority="241">
      <colorScale>
        <cfvo type="num" val="0.69"/>
        <cfvo type="num" val="0.8"/>
        <cfvo type="num" val="0.9"/>
        <color rgb="FFF8696B"/>
        <color rgb="FFFFEB84"/>
        <color rgb="FF63BE7B"/>
      </colorScale>
    </cfRule>
  </conditionalFormatting>
  <conditionalFormatting sqref="AN20">
    <cfRule type="colorScale" priority="240">
      <colorScale>
        <cfvo type="num" val="0.69"/>
        <cfvo type="num" val="0.8"/>
        <cfvo type="num" val="0.9"/>
        <color rgb="FFF8696B"/>
        <color rgb="FFFFEB84"/>
        <color rgb="FF63BE7B"/>
      </colorScale>
    </cfRule>
  </conditionalFormatting>
  <conditionalFormatting sqref="AN23">
    <cfRule type="colorScale" priority="239">
      <colorScale>
        <cfvo type="num" val="0.69"/>
        <cfvo type="num" val="0.8"/>
        <cfvo type="num" val="0.9"/>
        <color rgb="FFF8696B"/>
        <color rgb="FFFFEB84"/>
        <color rgb="FF63BE7B"/>
      </colorScale>
    </cfRule>
  </conditionalFormatting>
  <conditionalFormatting sqref="AN42">
    <cfRule type="colorScale" priority="238">
      <colorScale>
        <cfvo type="num" val="0.69"/>
        <cfvo type="num" val="0.8"/>
        <cfvo type="num" val="0.9"/>
        <color rgb="FFF8696B"/>
        <color rgb="FFFFEB84"/>
        <color rgb="FF63BE7B"/>
      </colorScale>
    </cfRule>
  </conditionalFormatting>
  <conditionalFormatting sqref="AN28">
    <cfRule type="colorScale" priority="237">
      <colorScale>
        <cfvo type="num" val="0.69"/>
        <cfvo type="num" val="0.8"/>
        <cfvo type="num" val="0.9"/>
        <color rgb="FFF8696B"/>
        <color rgb="FFFFEB84"/>
        <color rgb="FF63BE7B"/>
      </colorScale>
    </cfRule>
  </conditionalFormatting>
  <conditionalFormatting sqref="AN30">
    <cfRule type="colorScale" priority="236">
      <colorScale>
        <cfvo type="num" val="0.69"/>
        <cfvo type="num" val="0.8"/>
        <cfvo type="num" val="0.9"/>
        <color rgb="FFF8696B"/>
        <color rgb="FFFFEB84"/>
        <color rgb="FF63BE7B"/>
      </colorScale>
    </cfRule>
  </conditionalFormatting>
  <conditionalFormatting sqref="AT14">
    <cfRule type="colorScale" priority="235">
      <colorScale>
        <cfvo type="num" val="0.69"/>
        <cfvo type="num" val="0.8"/>
        <cfvo type="num" val="0.9"/>
        <color rgb="FFF8696B"/>
        <color rgb="FFFFEB84"/>
        <color rgb="FF63BE7B"/>
      </colorScale>
    </cfRule>
  </conditionalFormatting>
  <conditionalFormatting sqref="AT26">
    <cfRule type="colorScale" priority="234">
      <colorScale>
        <cfvo type="num" val="0.69"/>
        <cfvo type="num" val="0.8"/>
        <cfvo type="num" val="0.9"/>
        <color rgb="FFF8696B"/>
        <color rgb="FFFFEB84"/>
        <color rgb="FF63BE7B"/>
      </colorScale>
    </cfRule>
  </conditionalFormatting>
  <conditionalFormatting sqref="AT8">
    <cfRule type="colorScale" priority="233">
      <colorScale>
        <cfvo type="num" val="0.69"/>
        <cfvo type="num" val="0.8"/>
        <cfvo type="num" val="0.9"/>
        <color rgb="FFF8696B"/>
        <color rgb="FFFFEB84"/>
        <color rgb="FF63BE7B"/>
      </colorScale>
    </cfRule>
  </conditionalFormatting>
  <conditionalFormatting sqref="AT11">
    <cfRule type="colorScale" priority="232">
      <colorScale>
        <cfvo type="num" val="0.69"/>
        <cfvo type="num" val="0.8"/>
        <cfvo type="num" val="0.9"/>
        <color rgb="FFF8696B"/>
        <color rgb="FFFFEB84"/>
        <color rgb="FF63BE7B"/>
      </colorScale>
    </cfRule>
  </conditionalFormatting>
  <conditionalFormatting sqref="AT17">
    <cfRule type="colorScale" priority="231">
      <colorScale>
        <cfvo type="num" val="0.69"/>
        <cfvo type="num" val="0.8"/>
        <cfvo type="num" val="0.9"/>
        <color rgb="FFF8696B"/>
        <color rgb="FFFFEB84"/>
        <color rgb="FF63BE7B"/>
      </colorScale>
    </cfRule>
  </conditionalFormatting>
  <conditionalFormatting sqref="AT20">
    <cfRule type="colorScale" priority="230">
      <colorScale>
        <cfvo type="num" val="0.69"/>
        <cfvo type="num" val="0.8"/>
        <cfvo type="num" val="0.9"/>
        <color rgb="FFF8696B"/>
        <color rgb="FFFFEB84"/>
        <color rgb="FF63BE7B"/>
      </colorScale>
    </cfRule>
  </conditionalFormatting>
  <conditionalFormatting sqref="AT23">
    <cfRule type="colorScale" priority="229">
      <colorScale>
        <cfvo type="num" val="0.69"/>
        <cfvo type="num" val="0.8"/>
        <cfvo type="num" val="0.9"/>
        <color rgb="FFF8696B"/>
        <color rgb="FFFFEB84"/>
        <color rgb="FF63BE7B"/>
      </colorScale>
    </cfRule>
  </conditionalFormatting>
  <conditionalFormatting sqref="AT28">
    <cfRule type="colorScale" priority="228">
      <colorScale>
        <cfvo type="num" val="0.69"/>
        <cfvo type="num" val="0.8"/>
        <cfvo type="num" val="0.9"/>
        <color rgb="FFF8696B"/>
        <color rgb="FFFFEB84"/>
        <color rgb="FF63BE7B"/>
      </colorScale>
    </cfRule>
  </conditionalFormatting>
  <conditionalFormatting sqref="AT30">
    <cfRule type="colorScale" priority="227">
      <colorScale>
        <cfvo type="num" val="0.69"/>
        <cfvo type="num" val="0.8"/>
        <cfvo type="num" val="0.9"/>
        <color rgb="FFF8696B"/>
        <color rgb="FFFFEB84"/>
        <color rgb="FF63BE7B"/>
      </colorScale>
    </cfRule>
  </conditionalFormatting>
  <conditionalFormatting sqref="AT27">
    <cfRule type="colorScale" priority="226">
      <colorScale>
        <cfvo type="num" val="0.69"/>
        <cfvo type="num" val="0.8"/>
        <cfvo type="num" val="0.9"/>
        <color rgb="FFF8696B"/>
        <color rgb="FFFFEB84"/>
        <color rgb="FF63BE7B"/>
      </colorScale>
    </cfRule>
  </conditionalFormatting>
  <conditionalFormatting sqref="AT31:AT32">
    <cfRule type="colorScale" priority="225">
      <colorScale>
        <cfvo type="num" val="0.69"/>
        <cfvo type="num" val="0.8"/>
        <cfvo type="num" val="0.9"/>
        <color rgb="FFF8696B"/>
        <color rgb="FFFFEB84"/>
        <color rgb="FF63BE7B"/>
      </colorScale>
    </cfRule>
  </conditionalFormatting>
  <conditionalFormatting sqref="AT34">
    <cfRule type="colorScale" priority="224">
      <colorScale>
        <cfvo type="num" val="0.69"/>
        <cfvo type="num" val="0.8"/>
        <cfvo type="num" val="0.9"/>
        <color rgb="FFF8696B"/>
        <color rgb="FFFFEB84"/>
        <color rgb="FF63BE7B"/>
      </colorScale>
    </cfRule>
  </conditionalFormatting>
  <conditionalFormatting sqref="AT36">
    <cfRule type="colorScale" priority="223">
      <colorScale>
        <cfvo type="num" val="0.69"/>
        <cfvo type="num" val="0.8"/>
        <cfvo type="num" val="0.9"/>
        <color rgb="FFF8696B"/>
        <color rgb="FFFFEB84"/>
        <color rgb="FF63BE7B"/>
      </colorScale>
    </cfRule>
  </conditionalFormatting>
  <conditionalFormatting sqref="AT42">
    <cfRule type="colorScale" priority="222">
      <colorScale>
        <cfvo type="num" val="0.69"/>
        <cfvo type="num" val="0.8"/>
        <cfvo type="num" val="0.9"/>
        <color rgb="FFF8696B"/>
        <color rgb="FFFFEB84"/>
        <color rgb="FF63BE7B"/>
      </colorScale>
    </cfRule>
  </conditionalFormatting>
  <conditionalFormatting sqref="AZ14">
    <cfRule type="colorScale" priority="221">
      <colorScale>
        <cfvo type="num" val="0.69"/>
        <cfvo type="num" val="0.8"/>
        <cfvo type="num" val="0.9"/>
        <color rgb="FFF8696B"/>
        <color rgb="FFFFEB84"/>
        <color rgb="FF63BE7B"/>
      </colorScale>
    </cfRule>
  </conditionalFormatting>
  <conditionalFormatting sqref="AZ26">
    <cfRule type="colorScale" priority="220">
      <colorScale>
        <cfvo type="num" val="0.69"/>
        <cfvo type="num" val="0.8"/>
        <cfvo type="num" val="0.9"/>
        <color rgb="FFF8696B"/>
        <color rgb="FFFFEB84"/>
        <color rgb="FF63BE7B"/>
      </colorScale>
    </cfRule>
  </conditionalFormatting>
  <conditionalFormatting sqref="AZ27">
    <cfRule type="colorScale" priority="219">
      <colorScale>
        <cfvo type="num" val="0.69"/>
        <cfvo type="num" val="0.8"/>
        <cfvo type="num" val="0.9"/>
        <color rgb="FFF8696B"/>
        <color rgb="FFFFEB84"/>
        <color rgb="FF63BE7B"/>
      </colorScale>
    </cfRule>
  </conditionalFormatting>
  <conditionalFormatting sqref="AZ8">
    <cfRule type="colorScale" priority="218">
      <colorScale>
        <cfvo type="num" val="0.69"/>
        <cfvo type="num" val="0.8"/>
        <cfvo type="num" val="0.9"/>
        <color rgb="FFF8696B"/>
        <color rgb="FFFFEB84"/>
        <color rgb="FF63BE7B"/>
      </colorScale>
    </cfRule>
  </conditionalFormatting>
  <conditionalFormatting sqref="AZ11">
    <cfRule type="colorScale" priority="217">
      <colorScale>
        <cfvo type="num" val="0.69"/>
        <cfvo type="num" val="0.8"/>
        <cfvo type="num" val="0.9"/>
        <color rgb="FFF8696B"/>
        <color rgb="FFFFEB84"/>
        <color rgb="FF63BE7B"/>
      </colorScale>
    </cfRule>
  </conditionalFormatting>
  <conditionalFormatting sqref="AZ17">
    <cfRule type="colorScale" priority="216">
      <colorScale>
        <cfvo type="num" val="0.69"/>
        <cfvo type="num" val="0.8"/>
        <cfvo type="num" val="0.9"/>
        <color rgb="FFF8696B"/>
        <color rgb="FFFFEB84"/>
        <color rgb="FF63BE7B"/>
      </colorScale>
    </cfRule>
  </conditionalFormatting>
  <conditionalFormatting sqref="AZ20">
    <cfRule type="colorScale" priority="215">
      <colorScale>
        <cfvo type="num" val="0.69"/>
        <cfvo type="num" val="0.8"/>
        <cfvo type="num" val="0.9"/>
        <color rgb="FFF8696B"/>
        <color rgb="FFFFEB84"/>
        <color rgb="FF63BE7B"/>
      </colorScale>
    </cfRule>
  </conditionalFormatting>
  <conditionalFormatting sqref="AZ23">
    <cfRule type="colorScale" priority="214">
      <colorScale>
        <cfvo type="num" val="0.69"/>
        <cfvo type="num" val="0.8"/>
        <cfvo type="num" val="0.9"/>
        <color rgb="FFF8696B"/>
        <color rgb="FFFFEB84"/>
        <color rgb="FF63BE7B"/>
      </colorScale>
    </cfRule>
  </conditionalFormatting>
  <conditionalFormatting sqref="AZ28">
    <cfRule type="colorScale" priority="213">
      <colorScale>
        <cfvo type="num" val="0.69"/>
        <cfvo type="num" val="0.8"/>
        <cfvo type="num" val="0.9"/>
        <color rgb="FFF8696B"/>
        <color rgb="FFFFEB84"/>
        <color rgb="FF63BE7B"/>
      </colorScale>
    </cfRule>
  </conditionalFormatting>
  <conditionalFormatting sqref="AZ30">
    <cfRule type="colorScale" priority="212">
      <colorScale>
        <cfvo type="num" val="0.69"/>
        <cfvo type="num" val="0.8"/>
        <cfvo type="num" val="0.9"/>
        <color rgb="FFF8696B"/>
        <color rgb="FFFFEB84"/>
        <color rgb="FF63BE7B"/>
      </colorScale>
    </cfRule>
  </conditionalFormatting>
  <conditionalFormatting sqref="AZ31:AZ32">
    <cfRule type="colorScale" priority="211">
      <colorScale>
        <cfvo type="num" val="0.69"/>
        <cfvo type="num" val="0.8"/>
        <cfvo type="num" val="0.9"/>
        <color rgb="FFF8696B"/>
        <color rgb="FFFFEB84"/>
        <color rgb="FF63BE7B"/>
      </colorScale>
    </cfRule>
  </conditionalFormatting>
  <conditionalFormatting sqref="AZ34">
    <cfRule type="colorScale" priority="210">
      <colorScale>
        <cfvo type="num" val="0.69"/>
        <cfvo type="num" val="0.8"/>
        <cfvo type="num" val="0.9"/>
        <color rgb="FFF8696B"/>
        <color rgb="FFFFEB84"/>
        <color rgb="FF63BE7B"/>
      </colorScale>
    </cfRule>
  </conditionalFormatting>
  <conditionalFormatting sqref="AZ42">
    <cfRule type="colorScale" priority="209">
      <colorScale>
        <cfvo type="num" val="0.69"/>
        <cfvo type="num" val="0.8"/>
        <cfvo type="num" val="0.9"/>
        <color rgb="FFF8696B"/>
        <color rgb="FFFFEB84"/>
        <color rgb="FF63BE7B"/>
      </colorScale>
    </cfRule>
  </conditionalFormatting>
  <conditionalFormatting sqref="AZ53">
    <cfRule type="colorScale" priority="208">
      <colorScale>
        <cfvo type="num" val="0.69"/>
        <cfvo type="num" val="0.8"/>
        <cfvo type="num" val="0.9"/>
        <color rgb="FFF8696B"/>
        <color rgb="FFFFEB84"/>
        <color rgb="FF63BE7B"/>
      </colorScale>
    </cfRule>
  </conditionalFormatting>
  <conditionalFormatting sqref="AZ59">
    <cfRule type="colorScale" priority="207">
      <colorScale>
        <cfvo type="num" val="0.69"/>
        <cfvo type="num" val="0.8"/>
        <cfvo type="num" val="0.9"/>
        <color rgb="FFF8696B"/>
        <color rgb="FFFFEB84"/>
        <color rgb="FF63BE7B"/>
      </colorScale>
    </cfRule>
  </conditionalFormatting>
  <conditionalFormatting sqref="BF14">
    <cfRule type="colorScale" priority="206">
      <colorScale>
        <cfvo type="num" val="0.69"/>
        <cfvo type="num" val="0.8"/>
        <cfvo type="num" val="0.9"/>
        <color rgb="FFF8696B"/>
        <color rgb="FFFFEB84"/>
        <color rgb="FF63BE7B"/>
      </colorScale>
    </cfRule>
  </conditionalFormatting>
  <conditionalFormatting sqref="BF26">
    <cfRule type="colorScale" priority="205">
      <colorScale>
        <cfvo type="num" val="0.69"/>
        <cfvo type="num" val="0.8"/>
        <cfvo type="num" val="0.9"/>
        <color rgb="FFF8696B"/>
        <color rgb="FFFFEB84"/>
        <color rgb="FF63BE7B"/>
      </colorScale>
    </cfRule>
  </conditionalFormatting>
  <conditionalFormatting sqref="BF27">
    <cfRule type="colorScale" priority="204">
      <colorScale>
        <cfvo type="num" val="0.69"/>
        <cfvo type="num" val="0.8"/>
        <cfvo type="num" val="0.9"/>
        <color rgb="FFF8696B"/>
        <color rgb="FFFFEB84"/>
        <color rgb="FF63BE7B"/>
      </colorScale>
    </cfRule>
  </conditionalFormatting>
  <conditionalFormatting sqref="BF8">
    <cfRule type="colorScale" priority="203">
      <colorScale>
        <cfvo type="num" val="0.69"/>
        <cfvo type="num" val="0.8"/>
        <cfvo type="num" val="0.9"/>
        <color rgb="FFF8696B"/>
        <color rgb="FFFFEB84"/>
        <color rgb="FF63BE7B"/>
      </colorScale>
    </cfRule>
  </conditionalFormatting>
  <conditionalFormatting sqref="BF11">
    <cfRule type="colorScale" priority="202">
      <colorScale>
        <cfvo type="num" val="0.69"/>
        <cfvo type="num" val="0.8"/>
        <cfvo type="num" val="0.9"/>
        <color rgb="FFF8696B"/>
        <color rgb="FFFFEB84"/>
        <color rgb="FF63BE7B"/>
      </colorScale>
    </cfRule>
  </conditionalFormatting>
  <conditionalFormatting sqref="BF20">
    <cfRule type="colorScale" priority="201">
      <colorScale>
        <cfvo type="num" val="0.69"/>
        <cfvo type="num" val="0.8"/>
        <cfvo type="num" val="0.9"/>
        <color rgb="FFF8696B"/>
        <color rgb="FFFFEB84"/>
        <color rgb="FF63BE7B"/>
      </colorScale>
    </cfRule>
  </conditionalFormatting>
  <conditionalFormatting sqref="BF23">
    <cfRule type="colorScale" priority="200">
      <colorScale>
        <cfvo type="num" val="0.69"/>
        <cfvo type="num" val="0.8"/>
        <cfvo type="num" val="0.9"/>
        <color rgb="FFF8696B"/>
        <color rgb="FFFFEB84"/>
        <color rgb="FF63BE7B"/>
      </colorScale>
    </cfRule>
  </conditionalFormatting>
  <conditionalFormatting sqref="BF28">
    <cfRule type="colorScale" priority="199">
      <colorScale>
        <cfvo type="num" val="0.69"/>
        <cfvo type="num" val="0.8"/>
        <cfvo type="num" val="0.9"/>
        <color rgb="FFF8696B"/>
        <color rgb="FFFFEB84"/>
        <color rgb="FF63BE7B"/>
      </colorScale>
    </cfRule>
  </conditionalFormatting>
  <conditionalFormatting sqref="BF30">
    <cfRule type="colorScale" priority="198">
      <colorScale>
        <cfvo type="num" val="0.69"/>
        <cfvo type="num" val="0.8"/>
        <cfvo type="num" val="0.9"/>
        <color rgb="FFF8696B"/>
        <color rgb="FFFFEB84"/>
        <color rgb="FF63BE7B"/>
      </colorScale>
    </cfRule>
  </conditionalFormatting>
  <conditionalFormatting sqref="BF31:BF32">
    <cfRule type="colorScale" priority="197">
      <colorScale>
        <cfvo type="num" val="0.69"/>
        <cfvo type="num" val="0.8"/>
        <cfvo type="num" val="0.9"/>
        <color rgb="FFF8696B"/>
        <color rgb="FFFFEB84"/>
        <color rgb="FF63BE7B"/>
      </colorScale>
    </cfRule>
  </conditionalFormatting>
  <conditionalFormatting sqref="BF34">
    <cfRule type="colorScale" priority="196">
      <colorScale>
        <cfvo type="num" val="0.69"/>
        <cfvo type="num" val="0.8"/>
        <cfvo type="num" val="0.9"/>
        <color rgb="FFF8696B"/>
        <color rgb="FFFFEB84"/>
        <color rgb="FF63BE7B"/>
      </colorScale>
    </cfRule>
  </conditionalFormatting>
  <conditionalFormatting sqref="BF42">
    <cfRule type="colorScale" priority="195">
      <colorScale>
        <cfvo type="num" val="0.69"/>
        <cfvo type="num" val="0.8"/>
        <cfvo type="num" val="0.9"/>
        <color rgb="FFF8696B"/>
        <color rgb="FFFFEB84"/>
        <color rgb="FF63BE7B"/>
      </colorScale>
    </cfRule>
  </conditionalFormatting>
  <conditionalFormatting sqref="BL14">
    <cfRule type="colorScale" priority="194">
      <colorScale>
        <cfvo type="num" val="0.69"/>
        <cfvo type="num" val="0.8"/>
        <cfvo type="num" val="0.9"/>
        <color rgb="FFF8696B"/>
        <color rgb="FFFFEB84"/>
        <color rgb="FF63BE7B"/>
      </colorScale>
    </cfRule>
  </conditionalFormatting>
  <conditionalFormatting sqref="BL26">
    <cfRule type="colorScale" priority="193">
      <colorScale>
        <cfvo type="num" val="0.69"/>
        <cfvo type="num" val="0.8"/>
        <cfvo type="num" val="0.9"/>
        <color rgb="FFF8696B"/>
        <color rgb="FFFFEB84"/>
        <color rgb="FF63BE7B"/>
      </colorScale>
    </cfRule>
  </conditionalFormatting>
  <conditionalFormatting sqref="BL27">
    <cfRule type="colorScale" priority="192">
      <colorScale>
        <cfvo type="num" val="0.69"/>
        <cfvo type="num" val="0.8"/>
        <cfvo type="num" val="0.9"/>
        <color rgb="FFF8696B"/>
        <color rgb="FFFFEB84"/>
        <color rgb="FF63BE7B"/>
      </colorScale>
    </cfRule>
  </conditionalFormatting>
  <conditionalFormatting sqref="BL11">
    <cfRule type="colorScale" priority="184">
      <colorScale>
        <cfvo type="num" val="0.69"/>
        <cfvo type="num" val="0.8"/>
        <cfvo type="num" val="0.9"/>
        <color rgb="FFF8696B"/>
        <color rgb="FFFFEB84"/>
        <color rgb="FF63BE7B"/>
      </colorScale>
    </cfRule>
  </conditionalFormatting>
  <conditionalFormatting sqref="BL17">
    <cfRule type="colorScale" priority="191">
      <colorScale>
        <cfvo type="num" val="0.69"/>
        <cfvo type="num" val="0.8"/>
        <cfvo type="num" val="0.9"/>
        <color rgb="FFF8696B"/>
        <color rgb="FFFFEB84"/>
        <color rgb="FF63BE7B"/>
      </colorScale>
    </cfRule>
  </conditionalFormatting>
  <conditionalFormatting sqref="BL23">
    <cfRule type="colorScale" priority="190">
      <colorScale>
        <cfvo type="num" val="0.69"/>
        <cfvo type="num" val="0.8"/>
        <cfvo type="num" val="0.9"/>
        <color rgb="FFF8696B"/>
        <color rgb="FFFFEB84"/>
        <color rgb="FF63BE7B"/>
      </colorScale>
    </cfRule>
  </conditionalFormatting>
  <conditionalFormatting sqref="BL28">
    <cfRule type="colorScale" priority="189">
      <colorScale>
        <cfvo type="num" val="0.69"/>
        <cfvo type="num" val="0.8"/>
        <cfvo type="num" val="0.9"/>
        <color rgb="FFF8696B"/>
        <color rgb="FFFFEB84"/>
        <color rgb="FF63BE7B"/>
      </colorScale>
    </cfRule>
  </conditionalFormatting>
  <conditionalFormatting sqref="BL30">
    <cfRule type="colorScale" priority="188">
      <colorScale>
        <cfvo type="num" val="0.69"/>
        <cfvo type="num" val="0.8"/>
        <cfvo type="num" val="0.9"/>
        <color rgb="FFF8696B"/>
        <color rgb="FFFFEB84"/>
        <color rgb="FF63BE7B"/>
      </colorScale>
    </cfRule>
  </conditionalFormatting>
  <conditionalFormatting sqref="BF17">
    <cfRule type="colorScale" priority="187">
      <colorScale>
        <cfvo type="num" val="0.69"/>
        <cfvo type="num" val="0.8"/>
        <cfvo type="num" val="0.9"/>
        <color rgb="FFF8696B"/>
        <color rgb="FFFFEB84"/>
        <color rgb="FF63BE7B"/>
      </colorScale>
    </cfRule>
  </conditionalFormatting>
  <conditionalFormatting sqref="BF36">
    <cfRule type="colorScale" priority="186">
      <colorScale>
        <cfvo type="num" val="0.69"/>
        <cfvo type="num" val="0.8"/>
        <cfvo type="num" val="0.9"/>
        <color rgb="FFF8696B"/>
        <color rgb="FFFFEB84"/>
        <color rgb="FF63BE7B"/>
      </colorScale>
    </cfRule>
  </conditionalFormatting>
  <conditionalFormatting sqref="BL8">
    <cfRule type="colorScale" priority="185">
      <colorScale>
        <cfvo type="num" val="0.69"/>
        <cfvo type="num" val="0.8"/>
        <cfvo type="num" val="0.9"/>
        <color rgb="FFF8696B"/>
        <color rgb="FFFFEB84"/>
        <color rgb="FF63BE7B"/>
      </colorScale>
    </cfRule>
  </conditionalFormatting>
  <conditionalFormatting sqref="BL36">
    <cfRule type="colorScale" priority="178">
      <colorScale>
        <cfvo type="num" val="0.69"/>
        <cfvo type="num" val="0.8"/>
        <cfvo type="num" val="0.9"/>
        <color rgb="FFF8696B"/>
        <color rgb="FFFFEB84"/>
        <color rgb="FF63BE7B"/>
      </colorScale>
    </cfRule>
  </conditionalFormatting>
  <conditionalFormatting sqref="BL20">
    <cfRule type="colorScale" priority="183">
      <colorScale>
        <cfvo type="num" val="0.69"/>
        <cfvo type="num" val="0.8"/>
        <cfvo type="num" val="0.9"/>
        <color rgb="FFF8696B"/>
        <color rgb="FFFFEB84"/>
        <color rgb="FF63BE7B"/>
      </colorScale>
    </cfRule>
  </conditionalFormatting>
  <conditionalFormatting sqref="BL31">
    <cfRule type="colorScale" priority="182">
      <colorScale>
        <cfvo type="num" val="0.69"/>
        <cfvo type="num" val="0.8"/>
        <cfvo type="num" val="0.9"/>
        <color rgb="FFF8696B"/>
        <color rgb="FFFFEB84"/>
        <color rgb="FF63BE7B"/>
      </colorScale>
    </cfRule>
  </conditionalFormatting>
  <conditionalFormatting sqref="BL32">
    <cfRule type="colorScale" priority="181">
      <colorScale>
        <cfvo type="num" val="0.69"/>
        <cfvo type="num" val="0.8"/>
        <cfvo type="num" val="0.9"/>
        <color rgb="FFF8696B"/>
        <color rgb="FFFFEB84"/>
        <color rgb="FF63BE7B"/>
      </colorScale>
    </cfRule>
  </conditionalFormatting>
  <conditionalFormatting sqref="BL34">
    <cfRule type="colorScale" priority="180">
      <colorScale>
        <cfvo type="num" val="0.69"/>
        <cfvo type="num" val="0.8"/>
        <cfvo type="num" val="0.9"/>
        <color rgb="FFF8696B"/>
        <color rgb="FFFFEB84"/>
        <color rgb="FF63BE7B"/>
      </colorScale>
    </cfRule>
  </conditionalFormatting>
  <conditionalFormatting sqref="BL42">
    <cfRule type="colorScale" priority="179">
      <colorScale>
        <cfvo type="num" val="0.69"/>
        <cfvo type="num" val="0.8"/>
        <cfvo type="num" val="0.9"/>
        <color rgb="FFF8696B"/>
        <color rgb="FFFFEB84"/>
        <color rgb="FF63BE7B"/>
      </colorScale>
    </cfRule>
  </conditionalFormatting>
  <conditionalFormatting sqref="BR14">
    <cfRule type="colorScale" priority="177">
      <colorScale>
        <cfvo type="num" val="0.69"/>
        <cfvo type="num" val="0.8"/>
        <cfvo type="num" val="0.9"/>
        <color rgb="FFF8696B"/>
        <color rgb="FFFFEB84"/>
        <color rgb="FF63BE7B"/>
      </colorScale>
    </cfRule>
  </conditionalFormatting>
  <conditionalFormatting sqref="BR26">
    <cfRule type="colorScale" priority="176">
      <colorScale>
        <cfvo type="num" val="0.69"/>
        <cfvo type="num" val="0.8"/>
        <cfvo type="num" val="0.9"/>
        <color rgb="FFF8696B"/>
        <color rgb="FFFFEB84"/>
        <color rgb="FF63BE7B"/>
      </colorScale>
    </cfRule>
  </conditionalFormatting>
  <conditionalFormatting sqref="BR27">
    <cfRule type="colorScale" priority="175">
      <colorScale>
        <cfvo type="num" val="0.69"/>
        <cfvo type="num" val="0.8"/>
        <cfvo type="num" val="0.9"/>
        <color rgb="FFF8696B"/>
        <color rgb="FFFFEB84"/>
        <color rgb="FF63BE7B"/>
      </colorScale>
    </cfRule>
  </conditionalFormatting>
  <conditionalFormatting sqref="BR11">
    <cfRule type="colorScale" priority="171">
      <colorScale>
        <cfvo type="num" val="0.69"/>
        <cfvo type="num" val="0.8"/>
        <cfvo type="num" val="0.9"/>
        <color rgb="FFF8696B"/>
        <color rgb="FFFFEB84"/>
        <color rgb="FF63BE7B"/>
      </colorScale>
    </cfRule>
  </conditionalFormatting>
  <conditionalFormatting sqref="BR17">
    <cfRule type="colorScale" priority="174">
      <colorScale>
        <cfvo type="num" val="0.69"/>
        <cfvo type="num" val="0.8"/>
        <cfvo type="num" val="0.9"/>
        <color rgb="FFF8696B"/>
        <color rgb="FFFFEB84"/>
        <color rgb="FF63BE7B"/>
      </colorScale>
    </cfRule>
  </conditionalFormatting>
  <conditionalFormatting sqref="BR23">
    <cfRule type="colorScale" priority="173">
      <colorScale>
        <cfvo type="num" val="0.69"/>
        <cfvo type="num" val="0.8"/>
        <cfvo type="num" val="0.9"/>
        <color rgb="FFF8696B"/>
        <color rgb="FFFFEB84"/>
        <color rgb="FF63BE7B"/>
      </colorScale>
    </cfRule>
  </conditionalFormatting>
  <conditionalFormatting sqref="BR28">
    <cfRule type="colorScale" priority="172">
      <colorScale>
        <cfvo type="num" val="0.69"/>
        <cfvo type="num" val="0.8"/>
        <cfvo type="num" val="0.9"/>
        <color rgb="FFF8696B"/>
        <color rgb="FFFFEB84"/>
        <color rgb="FF63BE7B"/>
      </colorScale>
    </cfRule>
  </conditionalFormatting>
  <conditionalFormatting sqref="BR36">
    <cfRule type="colorScale" priority="165">
      <colorScale>
        <cfvo type="num" val="0.69"/>
        <cfvo type="num" val="0.8"/>
        <cfvo type="num" val="0.9"/>
        <color rgb="FFF8696B"/>
        <color rgb="FFFFEB84"/>
        <color rgb="FF63BE7B"/>
      </colorScale>
    </cfRule>
  </conditionalFormatting>
  <conditionalFormatting sqref="BR20">
    <cfRule type="colorScale" priority="170">
      <colorScale>
        <cfvo type="num" val="0.69"/>
        <cfvo type="num" val="0.8"/>
        <cfvo type="num" val="0.9"/>
        <color rgb="FFF8696B"/>
        <color rgb="FFFFEB84"/>
        <color rgb="FF63BE7B"/>
      </colorScale>
    </cfRule>
  </conditionalFormatting>
  <conditionalFormatting sqref="BR31">
    <cfRule type="colorScale" priority="169">
      <colorScale>
        <cfvo type="num" val="0.69"/>
        <cfvo type="num" val="0.8"/>
        <cfvo type="num" val="0.9"/>
        <color rgb="FFF8696B"/>
        <color rgb="FFFFEB84"/>
        <color rgb="FF63BE7B"/>
      </colorScale>
    </cfRule>
  </conditionalFormatting>
  <conditionalFormatting sqref="BR32">
    <cfRule type="colorScale" priority="168">
      <colorScale>
        <cfvo type="num" val="0.69"/>
        <cfvo type="num" val="0.8"/>
        <cfvo type="num" val="0.9"/>
        <color rgb="FFF8696B"/>
        <color rgb="FFFFEB84"/>
        <color rgb="FF63BE7B"/>
      </colorScale>
    </cfRule>
  </conditionalFormatting>
  <conditionalFormatting sqref="BR34">
    <cfRule type="colorScale" priority="167">
      <colorScale>
        <cfvo type="num" val="0.69"/>
        <cfvo type="num" val="0.8"/>
        <cfvo type="num" val="0.9"/>
        <color rgb="FFF8696B"/>
        <color rgb="FFFFEB84"/>
        <color rgb="FF63BE7B"/>
      </colorScale>
    </cfRule>
  </conditionalFormatting>
  <conditionalFormatting sqref="BR42">
    <cfRule type="colorScale" priority="166">
      <colorScale>
        <cfvo type="num" val="0.69"/>
        <cfvo type="num" val="0.8"/>
        <cfvo type="num" val="0.9"/>
        <color rgb="FFF8696B"/>
        <color rgb="FFFFEB84"/>
        <color rgb="FF63BE7B"/>
      </colorScale>
    </cfRule>
  </conditionalFormatting>
  <conditionalFormatting sqref="BR45">
    <cfRule type="colorScale" priority="164">
      <colorScale>
        <cfvo type="num" val="0.69"/>
        <cfvo type="num" val="0.8"/>
        <cfvo type="num" val="0.9"/>
        <color rgb="FFF8696B"/>
        <color rgb="FFFFEB84"/>
        <color rgb="FF63BE7B"/>
      </colorScale>
    </cfRule>
  </conditionalFormatting>
  <conditionalFormatting sqref="BR48">
    <cfRule type="colorScale" priority="163">
      <colorScale>
        <cfvo type="num" val="0.69"/>
        <cfvo type="num" val="0.8"/>
        <cfvo type="num" val="0.9"/>
        <color rgb="FFF8696B"/>
        <color rgb="FFFFEB84"/>
        <color rgb="FF63BE7B"/>
      </colorScale>
    </cfRule>
  </conditionalFormatting>
  <conditionalFormatting sqref="BR39">
    <cfRule type="colorScale" priority="162">
      <colorScale>
        <cfvo type="num" val="0.69"/>
        <cfvo type="num" val="0.8"/>
        <cfvo type="num" val="0.9"/>
        <color rgb="FFF8696B"/>
        <color rgb="FFFFEB84"/>
        <color rgb="FF63BE7B"/>
      </colorScale>
    </cfRule>
  </conditionalFormatting>
  <conditionalFormatting sqref="BR53">
    <cfRule type="colorScale" priority="161">
      <colorScale>
        <cfvo type="num" val="0.69"/>
        <cfvo type="num" val="0.8"/>
        <cfvo type="num" val="0.9"/>
        <color rgb="FFF8696B"/>
        <color rgb="FFFFEB84"/>
        <color rgb="FF63BE7B"/>
      </colorScale>
    </cfRule>
  </conditionalFormatting>
  <conditionalFormatting sqref="BR54">
    <cfRule type="colorScale" priority="160">
      <colorScale>
        <cfvo type="num" val="0.69"/>
        <cfvo type="num" val="0.8"/>
        <cfvo type="num" val="0.9"/>
        <color rgb="FFF8696B"/>
        <color rgb="FFFFEB84"/>
        <color rgb="FF63BE7B"/>
      </colorScale>
    </cfRule>
  </conditionalFormatting>
  <conditionalFormatting sqref="BX14">
    <cfRule type="colorScale" priority="159">
      <colorScale>
        <cfvo type="num" val="0.69"/>
        <cfvo type="num" val="0.8"/>
        <cfvo type="num" val="0.9"/>
        <color rgb="FFF8696B"/>
        <color rgb="FFFFEB84"/>
        <color rgb="FF63BE7B"/>
      </colorScale>
    </cfRule>
  </conditionalFormatting>
  <conditionalFormatting sqref="BX26">
    <cfRule type="colorScale" priority="158">
      <colorScale>
        <cfvo type="num" val="0.69"/>
        <cfvo type="num" val="0.8"/>
        <cfvo type="num" val="0.9"/>
        <color rgb="FFF8696B"/>
        <color rgb="FFFFEB84"/>
        <color rgb="FF63BE7B"/>
      </colorScale>
    </cfRule>
  </conditionalFormatting>
  <conditionalFormatting sqref="BX23">
    <cfRule type="colorScale" priority="157">
      <colorScale>
        <cfvo type="num" val="0.69"/>
        <cfvo type="num" val="0.8"/>
        <cfvo type="num" val="0.9"/>
        <color rgb="FFF8696B"/>
        <color rgb="FFFFEB84"/>
        <color rgb="FF63BE7B"/>
      </colorScale>
    </cfRule>
  </conditionalFormatting>
  <conditionalFormatting sqref="BX28">
    <cfRule type="colorScale" priority="156">
      <colorScale>
        <cfvo type="num" val="0.69"/>
        <cfvo type="num" val="0.8"/>
        <cfvo type="num" val="0.9"/>
        <color rgb="FFF8696B"/>
        <color rgb="FFFFEB84"/>
        <color rgb="FF63BE7B"/>
      </colorScale>
    </cfRule>
  </conditionalFormatting>
  <conditionalFormatting sqref="BX31">
    <cfRule type="colorScale" priority="155">
      <colorScale>
        <cfvo type="num" val="0.69"/>
        <cfvo type="num" val="0.8"/>
        <cfvo type="num" val="0.9"/>
        <color rgb="FFF8696B"/>
        <color rgb="FFFFEB84"/>
        <color rgb="FF63BE7B"/>
      </colorScale>
    </cfRule>
  </conditionalFormatting>
  <conditionalFormatting sqref="BX34">
    <cfRule type="colorScale" priority="154">
      <colorScale>
        <cfvo type="num" val="0.69"/>
        <cfvo type="num" val="0.8"/>
        <cfvo type="num" val="0.9"/>
        <color rgb="FFF8696B"/>
        <color rgb="FFFFEB84"/>
        <color rgb="FF63BE7B"/>
      </colorScale>
    </cfRule>
  </conditionalFormatting>
  <conditionalFormatting sqref="BX20">
    <cfRule type="colorScale" priority="153">
      <colorScale>
        <cfvo type="num" val="0.69"/>
        <cfvo type="num" val="0.8"/>
        <cfvo type="num" val="0.9"/>
        <color rgb="FFF8696B"/>
        <color rgb="FFFFEB84"/>
        <color rgb="FF63BE7B"/>
      </colorScale>
    </cfRule>
  </conditionalFormatting>
  <conditionalFormatting sqref="BX27">
    <cfRule type="colorScale" priority="152">
      <colorScale>
        <cfvo type="num" val="0.69"/>
        <cfvo type="num" val="0.8"/>
        <cfvo type="num" val="0.9"/>
        <color rgb="FFF8696B"/>
        <color rgb="FFFFEB84"/>
        <color rgb="FF63BE7B"/>
      </colorScale>
    </cfRule>
  </conditionalFormatting>
  <conditionalFormatting sqref="BX27">
    <cfRule type="colorScale" priority="151">
      <colorScale>
        <cfvo type="num" val="0.69"/>
        <cfvo type="num" val="0.8"/>
        <cfvo type="num" val="0.9"/>
        <color rgb="FFF8696B"/>
        <color rgb="FFFFEB84"/>
        <color rgb="FF63BE7B"/>
      </colorScale>
    </cfRule>
  </conditionalFormatting>
  <conditionalFormatting sqref="BX30">
    <cfRule type="colorScale" priority="150">
      <colorScale>
        <cfvo type="num" val="0.69"/>
        <cfvo type="num" val="0.8"/>
        <cfvo type="num" val="0.9"/>
        <color rgb="FFF8696B"/>
        <color rgb="FFFFEB84"/>
        <color rgb="FF63BE7B"/>
      </colorScale>
    </cfRule>
  </conditionalFormatting>
  <conditionalFormatting sqref="BX30">
    <cfRule type="colorScale" priority="149">
      <colorScale>
        <cfvo type="num" val="0.69"/>
        <cfvo type="num" val="0.8"/>
        <cfvo type="num" val="0.9"/>
        <color rgb="FFF8696B"/>
        <color rgb="FFFFEB84"/>
        <color rgb="FF63BE7B"/>
      </colorScale>
    </cfRule>
  </conditionalFormatting>
  <conditionalFormatting sqref="BX32">
    <cfRule type="colorScale" priority="148">
      <colorScale>
        <cfvo type="num" val="0.69"/>
        <cfvo type="num" val="0.8"/>
        <cfvo type="num" val="0.9"/>
        <color rgb="FFF8696B"/>
        <color rgb="FFFFEB84"/>
        <color rgb="FF63BE7B"/>
      </colorScale>
    </cfRule>
  </conditionalFormatting>
  <conditionalFormatting sqref="BX32">
    <cfRule type="colorScale" priority="147">
      <colorScale>
        <cfvo type="num" val="0.69"/>
        <cfvo type="num" val="0.8"/>
        <cfvo type="num" val="0.9"/>
        <color rgb="FFF8696B"/>
        <color rgb="FFFFEB84"/>
        <color rgb="FF63BE7B"/>
      </colorScale>
    </cfRule>
  </conditionalFormatting>
  <conditionalFormatting sqref="BY34">
    <cfRule type="colorScale" priority="146">
      <colorScale>
        <cfvo type="num" val="0.69"/>
        <cfvo type="num" val="0.8"/>
        <cfvo type="num" val="0.9"/>
        <color rgb="FFF8696B"/>
        <color rgb="FFFFEB84"/>
        <color rgb="FF63BE7B"/>
      </colorScale>
    </cfRule>
  </conditionalFormatting>
  <conditionalFormatting sqref="BX36">
    <cfRule type="colorScale" priority="145">
      <colorScale>
        <cfvo type="num" val="0.69"/>
        <cfvo type="num" val="0.8"/>
        <cfvo type="num" val="0.9"/>
        <color rgb="FFF8696B"/>
        <color rgb="FFFFEB84"/>
        <color rgb="FF63BE7B"/>
      </colorScale>
    </cfRule>
  </conditionalFormatting>
  <conditionalFormatting sqref="BX42">
    <cfRule type="colorScale" priority="144">
      <colorScale>
        <cfvo type="num" val="0.69"/>
        <cfvo type="num" val="0.8"/>
        <cfvo type="num" val="0.9"/>
        <color rgb="FFF8696B"/>
        <color rgb="FFFFEB84"/>
        <color rgb="FF63BE7B"/>
      </colorScale>
    </cfRule>
  </conditionalFormatting>
  <conditionalFormatting sqref="CD26">
    <cfRule type="colorScale" priority="143">
      <colorScale>
        <cfvo type="num" val="0.69"/>
        <cfvo type="num" val="0.8"/>
        <cfvo type="num" val="0.9"/>
        <color rgb="FFF8696B"/>
        <color rgb="FFFFEB84"/>
        <color rgb="FF63BE7B"/>
      </colorScale>
    </cfRule>
  </conditionalFormatting>
  <conditionalFormatting sqref="CD23">
    <cfRule type="colorScale" priority="142">
      <colorScale>
        <cfvo type="num" val="0.69"/>
        <cfvo type="num" val="0.8"/>
        <cfvo type="num" val="0.9"/>
        <color rgb="FFF8696B"/>
        <color rgb="FFFFEB84"/>
        <color rgb="FF63BE7B"/>
      </colorScale>
    </cfRule>
  </conditionalFormatting>
  <conditionalFormatting sqref="CD27">
    <cfRule type="colorScale" priority="141">
      <colorScale>
        <cfvo type="num" val="0.69"/>
        <cfvo type="num" val="0.8"/>
        <cfvo type="num" val="0.9"/>
        <color rgb="FFF8696B"/>
        <color rgb="FFFFEB84"/>
        <color rgb="FF63BE7B"/>
      </colorScale>
    </cfRule>
  </conditionalFormatting>
  <conditionalFormatting sqref="CD27">
    <cfRule type="colorScale" priority="140">
      <colorScale>
        <cfvo type="num" val="0.69"/>
        <cfvo type="num" val="0.8"/>
        <cfvo type="num" val="0.9"/>
        <color rgb="FFF8696B"/>
        <color rgb="FFFFEB84"/>
        <color rgb="FF63BE7B"/>
      </colorScale>
    </cfRule>
  </conditionalFormatting>
  <conditionalFormatting sqref="CD34">
    <cfRule type="colorScale" priority="139">
      <colorScale>
        <cfvo type="num" val="0.69"/>
        <cfvo type="num" val="0.8"/>
        <cfvo type="num" val="0.9"/>
        <color rgb="FFF8696B"/>
        <color rgb="FFFFEB84"/>
        <color rgb="FF63BE7B"/>
      </colorScale>
    </cfRule>
  </conditionalFormatting>
  <conditionalFormatting sqref="CE34">
    <cfRule type="colorScale" priority="138">
      <colorScale>
        <cfvo type="num" val="0.69"/>
        <cfvo type="num" val="0.8"/>
        <cfvo type="num" val="0.9"/>
        <color rgb="FFF8696B"/>
        <color rgb="FFFFEB84"/>
        <color rgb="FF63BE7B"/>
      </colorScale>
    </cfRule>
  </conditionalFormatting>
  <conditionalFormatting sqref="CD11 CD14 CD17">
    <cfRule type="colorScale" priority="137">
      <colorScale>
        <cfvo type="num" val="0.69"/>
        <cfvo type="num" val="0.8"/>
        <cfvo type="num" val="0.9"/>
        <color rgb="FFF8696B"/>
        <color rgb="FFFFEB84"/>
        <color rgb="FF63BE7B"/>
      </colorScale>
    </cfRule>
  </conditionalFormatting>
  <conditionalFormatting sqref="BR30">
    <cfRule type="colorScale" priority="136">
      <colorScale>
        <cfvo type="num" val="0.69"/>
        <cfvo type="num" val="0.8"/>
        <cfvo type="num" val="0.9"/>
        <color rgb="FFF8696B"/>
        <color rgb="FFFFEB84"/>
        <color rgb="FF63BE7B"/>
      </colorScale>
    </cfRule>
  </conditionalFormatting>
  <conditionalFormatting sqref="CD31:CD32">
    <cfRule type="colorScale" priority="135">
      <colorScale>
        <cfvo type="num" val="0.69"/>
        <cfvo type="num" val="0.8"/>
        <cfvo type="num" val="0.9"/>
        <color rgb="FFF8696B"/>
        <color rgb="FFFFEB84"/>
        <color rgb="FF63BE7B"/>
      </colorScale>
    </cfRule>
  </conditionalFormatting>
  <conditionalFormatting sqref="CD31:CD32">
    <cfRule type="colorScale" priority="134">
      <colorScale>
        <cfvo type="num" val="0.69"/>
        <cfvo type="num" val="0.8"/>
        <cfvo type="num" val="0.9"/>
        <color rgb="FFF8696B"/>
        <color rgb="FFFFEB84"/>
        <color rgb="FF63BE7B"/>
      </colorScale>
    </cfRule>
  </conditionalFormatting>
  <conditionalFormatting sqref="CD39">
    <cfRule type="colorScale" priority="133">
      <colorScale>
        <cfvo type="num" val="0.69"/>
        <cfvo type="num" val="0.8"/>
        <cfvo type="num" val="0.9"/>
        <color rgb="FFF8696B"/>
        <color rgb="FFFFEB84"/>
        <color rgb="FF63BE7B"/>
      </colorScale>
    </cfRule>
  </conditionalFormatting>
  <conditionalFormatting sqref="CD45">
    <cfRule type="colorScale" priority="132">
      <colorScale>
        <cfvo type="num" val="0.69"/>
        <cfvo type="num" val="0.8"/>
        <cfvo type="num" val="0.9"/>
        <color rgb="FFF8696B"/>
        <color rgb="FFFFEB84"/>
        <color rgb="FF63BE7B"/>
      </colorScale>
    </cfRule>
  </conditionalFormatting>
  <conditionalFormatting sqref="CD28">
    <cfRule type="colorScale" priority="131">
      <colorScale>
        <cfvo type="num" val="0.69"/>
        <cfvo type="num" val="0.8"/>
        <cfvo type="num" val="0.9"/>
        <color rgb="FFF8696B"/>
        <color rgb="FFFFEB84"/>
        <color rgb="FF63BE7B"/>
      </colorScale>
    </cfRule>
  </conditionalFormatting>
  <conditionalFormatting sqref="CD28">
    <cfRule type="colorScale" priority="130">
      <colorScale>
        <cfvo type="num" val="0.69"/>
        <cfvo type="num" val="0.8"/>
        <cfvo type="num" val="0.9"/>
        <color rgb="FFF8696B"/>
        <color rgb="FFFFEB84"/>
        <color rgb="FF63BE7B"/>
      </colorScale>
    </cfRule>
  </conditionalFormatting>
  <conditionalFormatting sqref="CJ26">
    <cfRule type="colorScale" priority="129">
      <colorScale>
        <cfvo type="num" val="0.69"/>
        <cfvo type="num" val="0.8"/>
        <cfvo type="num" val="0.9"/>
        <color rgb="FFF8696B"/>
        <color rgb="FFFFEB84"/>
        <color rgb="FF63BE7B"/>
      </colorScale>
    </cfRule>
  </conditionalFormatting>
  <conditionalFormatting sqref="CJ23">
    <cfRule type="colorScale" priority="128">
      <colorScale>
        <cfvo type="num" val="0.69"/>
        <cfvo type="num" val="0.8"/>
        <cfvo type="num" val="0.9"/>
        <color rgb="FFF8696B"/>
        <color rgb="FFFFEB84"/>
        <color rgb="FF63BE7B"/>
      </colorScale>
    </cfRule>
  </conditionalFormatting>
  <conditionalFormatting sqref="CJ17">
    <cfRule type="colorScale" priority="127">
      <colorScale>
        <cfvo type="num" val="0.69"/>
        <cfvo type="num" val="0.8"/>
        <cfvo type="num" val="0.9"/>
        <color rgb="FFF8696B"/>
        <color rgb="FFFFEB84"/>
        <color rgb="FF63BE7B"/>
      </colorScale>
    </cfRule>
  </conditionalFormatting>
  <conditionalFormatting sqref="CJ27">
    <cfRule type="colorScale" priority="126">
      <colorScale>
        <cfvo type="num" val="0.69"/>
        <cfvo type="num" val="0.8"/>
        <cfvo type="num" val="0.9"/>
        <color rgb="FFF8696B"/>
        <color rgb="FFFFEB84"/>
        <color rgb="FF63BE7B"/>
      </colorScale>
    </cfRule>
  </conditionalFormatting>
  <conditionalFormatting sqref="CJ27">
    <cfRule type="colorScale" priority="125">
      <colorScale>
        <cfvo type="num" val="0.69"/>
        <cfvo type="num" val="0.8"/>
        <cfvo type="num" val="0.9"/>
        <color rgb="FFF8696B"/>
        <color rgb="FFFFEB84"/>
        <color rgb="FF63BE7B"/>
      </colorScale>
    </cfRule>
  </conditionalFormatting>
  <conditionalFormatting sqref="CJ34">
    <cfRule type="colorScale" priority="124">
      <colorScale>
        <cfvo type="num" val="0.69"/>
        <cfvo type="num" val="0.8"/>
        <cfvo type="num" val="0.9"/>
        <color rgb="FFF8696B"/>
        <color rgb="FFFFEB84"/>
        <color rgb="FF63BE7B"/>
      </colorScale>
    </cfRule>
  </conditionalFormatting>
  <conditionalFormatting sqref="CK34">
    <cfRule type="colorScale" priority="123">
      <colorScale>
        <cfvo type="num" val="0.69"/>
        <cfvo type="num" val="0.8"/>
        <cfvo type="num" val="0.9"/>
        <color rgb="FFF8696B"/>
        <color rgb="FFFFEB84"/>
        <color rgb="FF63BE7B"/>
      </colorScale>
    </cfRule>
  </conditionalFormatting>
  <conditionalFormatting sqref="CJ31:CJ32">
    <cfRule type="colorScale" priority="122">
      <colorScale>
        <cfvo type="num" val="0.69"/>
        <cfvo type="num" val="0.8"/>
        <cfvo type="num" val="0.9"/>
        <color rgb="FFF8696B"/>
        <color rgb="FFFFEB84"/>
        <color rgb="FF63BE7B"/>
      </colorScale>
    </cfRule>
  </conditionalFormatting>
  <conditionalFormatting sqref="CJ31:CJ32">
    <cfRule type="colorScale" priority="121">
      <colorScale>
        <cfvo type="num" val="0.69"/>
        <cfvo type="num" val="0.8"/>
        <cfvo type="num" val="0.9"/>
        <color rgb="FFF8696B"/>
        <color rgb="FFFFEB84"/>
        <color rgb="FF63BE7B"/>
      </colorScale>
    </cfRule>
  </conditionalFormatting>
  <conditionalFormatting sqref="CJ28">
    <cfRule type="colorScale" priority="120">
      <colorScale>
        <cfvo type="num" val="0.69"/>
        <cfvo type="num" val="0.8"/>
        <cfvo type="num" val="0.9"/>
        <color rgb="FFF8696B"/>
        <color rgb="FFFFEB84"/>
        <color rgb="FF63BE7B"/>
      </colorScale>
    </cfRule>
  </conditionalFormatting>
  <conditionalFormatting sqref="CJ28">
    <cfRule type="colorScale" priority="119">
      <colorScale>
        <cfvo type="num" val="0.69"/>
        <cfvo type="num" val="0.8"/>
        <cfvo type="num" val="0.9"/>
        <color rgb="FFF8696B"/>
        <color rgb="FFFFEB84"/>
        <color rgb="FF63BE7B"/>
      </colorScale>
    </cfRule>
  </conditionalFormatting>
  <conditionalFormatting sqref="CJ39">
    <cfRule type="colorScale" priority="118">
      <colorScale>
        <cfvo type="num" val="0.69"/>
        <cfvo type="num" val="0.8"/>
        <cfvo type="num" val="0.9"/>
        <color rgb="FFF8696B"/>
        <color rgb="FFFFEB84"/>
        <color rgb="FF63BE7B"/>
      </colorScale>
    </cfRule>
  </conditionalFormatting>
  <conditionalFormatting sqref="CJ45">
    <cfRule type="colorScale" priority="117">
      <colorScale>
        <cfvo type="num" val="0.69"/>
        <cfvo type="num" val="0.8"/>
        <cfvo type="num" val="0.9"/>
        <color rgb="FFF8696B"/>
        <color rgb="FFFFEB84"/>
        <color rgb="FF63BE7B"/>
      </colorScale>
    </cfRule>
  </conditionalFormatting>
  <conditionalFormatting sqref="CJ30">
    <cfRule type="colorScale" priority="116">
      <colorScale>
        <cfvo type="num" val="0.69"/>
        <cfvo type="num" val="0.8"/>
        <cfvo type="num" val="0.9"/>
        <color rgb="FFF8696B"/>
        <color rgb="FFFFEB84"/>
        <color rgb="FF63BE7B"/>
      </colorScale>
    </cfRule>
  </conditionalFormatting>
  <conditionalFormatting sqref="CJ30">
    <cfRule type="colorScale" priority="115">
      <colorScale>
        <cfvo type="num" val="0.69"/>
        <cfvo type="num" val="0.8"/>
        <cfvo type="num" val="0.9"/>
        <color rgb="FFF8696B"/>
        <color rgb="FFFFEB84"/>
        <color rgb="FF63BE7B"/>
      </colorScale>
    </cfRule>
  </conditionalFormatting>
  <conditionalFormatting sqref="CJ11">
    <cfRule type="colorScale" priority="114">
      <colorScale>
        <cfvo type="num" val="0.69"/>
        <cfvo type="num" val="0.8"/>
        <cfvo type="num" val="0.9"/>
        <color rgb="FFF8696B"/>
        <color rgb="FFFFEB84"/>
        <color rgb="FF63BE7B"/>
      </colorScale>
    </cfRule>
  </conditionalFormatting>
  <conditionalFormatting sqref="CJ8">
    <cfRule type="colorScale" priority="113">
      <colorScale>
        <cfvo type="num" val="0.69"/>
        <cfvo type="num" val="0.8"/>
        <cfvo type="num" val="0.9"/>
        <color rgb="FFF8696B"/>
        <color rgb="FFFFEB84"/>
        <color rgb="FF63BE7B"/>
      </colorScale>
    </cfRule>
  </conditionalFormatting>
  <conditionalFormatting sqref="CJ14">
    <cfRule type="colorScale" priority="112">
      <colorScale>
        <cfvo type="num" val="0.69"/>
        <cfvo type="num" val="0.8"/>
        <cfvo type="num" val="0.9"/>
        <color rgb="FFF8696B"/>
        <color rgb="FFFFEB84"/>
        <color rgb="FF63BE7B"/>
      </colorScale>
    </cfRule>
  </conditionalFormatting>
  <conditionalFormatting sqref="CJ20">
    <cfRule type="colorScale" priority="111">
      <colorScale>
        <cfvo type="num" val="0.69"/>
        <cfvo type="num" val="0.8"/>
        <cfvo type="num" val="0.9"/>
        <color rgb="FFF8696B"/>
        <color rgb="FFFFEB84"/>
        <color rgb="FF63BE7B"/>
      </colorScale>
    </cfRule>
  </conditionalFormatting>
  <conditionalFormatting sqref="N59">
    <cfRule type="colorScale" priority="110">
      <colorScale>
        <cfvo type="num" val="0.69"/>
        <cfvo type="num" val="0.8"/>
        <cfvo type="num" val="0.9"/>
        <color rgb="FFF8696B"/>
        <color rgb="FFFFEB84"/>
        <color rgb="FF63BE7B"/>
      </colorScale>
    </cfRule>
  </conditionalFormatting>
  <conditionalFormatting sqref="N59">
    <cfRule type="colorScale" priority="109">
      <colorScale>
        <cfvo type="num" val="0.69"/>
        <cfvo type="num" val="0.8"/>
        <cfvo type="num" val="0.9"/>
        <color rgb="FFF8696B"/>
        <color rgb="FFFFEB84"/>
        <color rgb="FF63BE7B"/>
      </colorScale>
    </cfRule>
  </conditionalFormatting>
  <conditionalFormatting sqref="CJ36">
    <cfRule type="colorScale" priority="108">
      <colorScale>
        <cfvo type="num" val="0.69"/>
        <cfvo type="num" val="0.8"/>
        <cfvo type="num" val="0.9"/>
        <color rgb="FFF8696B"/>
        <color rgb="FFFFEB84"/>
        <color rgb="FF63BE7B"/>
      </colorScale>
    </cfRule>
  </conditionalFormatting>
  <conditionalFormatting sqref="CJ48">
    <cfRule type="colorScale" priority="107">
      <colorScale>
        <cfvo type="num" val="0.69"/>
        <cfvo type="num" val="0.8"/>
        <cfvo type="num" val="0.9"/>
        <color rgb="FFF8696B"/>
        <color rgb="FFFFEB84"/>
        <color rgb="FF63BE7B"/>
      </colorScale>
    </cfRule>
  </conditionalFormatting>
  <conditionalFormatting sqref="CJ59">
    <cfRule type="colorScale" priority="106">
      <colorScale>
        <cfvo type="num" val="0.69"/>
        <cfvo type="num" val="0.8"/>
        <cfvo type="num" val="0.9"/>
        <color rgb="FFF8696B"/>
        <color rgb="FFFFEB84"/>
        <color rgb="FF63BE7B"/>
      </colorScale>
    </cfRule>
  </conditionalFormatting>
  <conditionalFormatting sqref="CJ53">
    <cfRule type="colorScale" priority="105">
      <colorScale>
        <cfvo type="num" val="0.69"/>
        <cfvo type="num" val="0.8"/>
        <cfvo type="num" val="0.9"/>
        <color rgb="FFF8696B"/>
        <color rgb="FFFFEB84"/>
        <color rgb="FF63BE7B"/>
      </colorScale>
    </cfRule>
  </conditionalFormatting>
  <conditionalFormatting sqref="CP26">
    <cfRule type="colorScale" priority="104">
      <colorScale>
        <cfvo type="num" val="0.69"/>
        <cfvo type="num" val="0.8"/>
        <cfvo type="num" val="0.9"/>
        <color rgb="FFF8696B"/>
        <color rgb="FFFFEB84"/>
        <color rgb="FF63BE7B"/>
      </colorScale>
    </cfRule>
  </conditionalFormatting>
  <conditionalFormatting sqref="CP23">
    <cfRule type="colorScale" priority="103">
      <colorScale>
        <cfvo type="num" val="0.69"/>
        <cfvo type="num" val="0.8"/>
        <cfvo type="num" val="0.9"/>
        <color rgb="FFF8696B"/>
        <color rgb="FFFFEB84"/>
        <color rgb="FF63BE7B"/>
      </colorScale>
    </cfRule>
  </conditionalFormatting>
  <conditionalFormatting sqref="CP17">
    <cfRule type="colorScale" priority="102">
      <colorScale>
        <cfvo type="num" val="0.69"/>
        <cfvo type="num" val="0.8"/>
        <cfvo type="num" val="0.9"/>
        <color rgb="FFF8696B"/>
        <color rgb="FFFFEB84"/>
        <color rgb="FF63BE7B"/>
      </colorScale>
    </cfRule>
  </conditionalFormatting>
  <conditionalFormatting sqref="CP27:CP30">
    <cfRule type="colorScale" priority="101">
      <colorScale>
        <cfvo type="num" val="0.69"/>
        <cfvo type="num" val="0.8"/>
        <cfvo type="num" val="0.9"/>
        <color rgb="FFF8696B"/>
        <color rgb="FFFFEB84"/>
        <color rgb="FF63BE7B"/>
      </colorScale>
    </cfRule>
  </conditionalFormatting>
  <conditionalFormatting sqref="CP27:CP30">
    <cfRule type="colorScale" priority="100">
      <colorScale>
        <cfvo type="num" val="0.69"/>
        <cfvo type="num" val="0.8"/>
        <cfvo type="num" val="0.9"/>
        <color rgb="FFF8696B"/>
        <color rgb="FFFFEB84"/>
        <color rgb="FF63BE7B"/>
      </colorScale>
    </cfRule>
  </conditionalFormatting>
  <conditionalFormatting sqref="CP34">
    <cfRule type="colorScale" priority="99">
      <colorScale>
        <cfvo type="num" val="0.69"/>
        <cfvo type="num" val="0.8"/>
        <cfvo type="num" val="0.9"/>
        <color rgb="FFF8696B"/>
        <color rgb="FFFFEB84"/>
        <color rgb="FF63BE7B"/>
      </colorScale>
    </cfRule>
  </conditionalFormatting>
  <conditionalFormatting sqref="CQ34">
    <cfRule type="colorScale" priority="98">
      <colorScale>
        <cfvo type="num" val="0.69"/>
        <cfvo type="num" val="0.8"/>
        <cfvo type="num" val="0.9"/>
        <color rgb="FFF8696B"/>
        <color rgb="FFFFEB84"/>
        <color rgb="FF63BE7B"/>
      </colorScale>
    </cfRule>
  </conditionalFormatting>
  <conditionalFormatting sqref="CP32">
    <cfRule type="colorScale" priority="97">
      <colorScale>
        <cfvo type="num" val="0.69"/>
        <cfvo type="num" val="0.8"/>
        <cfvo type="num" val="0.9"/>
        <color rgb="FFF8696B"/>
        <color rgb="FFFFEB84"/>
        <color rgb="FF63BE7B"/>
      </colorScale>
    </cfRule>
  </conditionalFormatting>
  <conditionalFormatting sqref="CP32">
    <cfRule type="colorScale" priority="96">
      <colorScale>
        <cfvo type="num" val="0.69"/>
        <cfvo type="num" val="0.8"/>
        <cfvo type="num" val="0.9"/>
        <color rgb="FFF8696B"/>
        <color rgb="FFFFEB84"/>
        <color rgb="FF63BE7B"/>
      </colorScale>
    </cfRule>
  </conditionalFormatting>
  <conditionalFormatting sqref="CP8">
    <cfRule type="colorScale" priority="95">
      <colorScale>
        <cfvo type="num" val="0.69"/>
        <cfvo type="num" val="0.8"/>
        <cfvo type="num" val="0.9"/>
        <color rgb="FFF8696B"/>
        <color rgb="FFFFEB84"/>
        <color rgb="FF63BE7B"/>
      </colorScale>
    </cfRule>
  </conditionalFormatting>
  <conditionalFormatting sqref="CP14">
    <cfRule type="colorScale" priority="94">
      <colorScale>
        <cfvo type="num" val="0.69"/>
        <cfvo type="num" val="0.8"/>
        <cfvo type="num" val="0.9"/>
        <color rgb="FFF8696B"/>
        <color rgb="FFFFEB84"/>
        <color rgb="FF63BE7B"/>
      </colorScale>
    </cfRule>
  </conditionalFormatting>
  <conditionalFormatting sqref="CP20">
    <cfRule type="colorScale" priority="93">
      <colorScale>
        <cfvo type="num" val="0.69"/>
        <cfvo type="num" val="0.8"/>
        <cfvo type="num" val="0.9"/>
        <color rgb="FFF8696B"/>
        <color rgb="FFFFEB84"/>
        <color rgb="FF63BE7B"/>
      </colorScale>
    </cfRule>
  </conditionalFormatting>
  <conditionalFormatting sqref="CP11">
    <cfRule type="colorScale" priority="92">
      <colorScale>
        <cfvo type="num" val="0.69"/>
        <cfvo type="num" val="0.8"/>
        <cfvo type="num" val="0.9"/>
        <color rgb="FFF8696B"/>
        <color rgb="FFFFEB84"/>
        <color rgb="FF63BE7B"/>
      </colorScale>
    </cfRule>
  </conditionalFormatting>
  <conditionalFormatting sqref="CP48">
    <cfRule type="colorScale" priority="91">
      <colorScale>
        <cfvo type="num" val="0.69"/>
        <cfvo type="num" val="0.8"/>
        <cfvo type="num" val="0.9"/>
        <color rgb="FFF8696B"/>
        <color rgb="FFFFEB84"/>
        <color rgb="FF63BE7B"/>
      </colorScale>
    </cfRule>
  </conditionalFormatting>
  <conditionalFormatting sqref="CP36">
    <cfRule type="colorScale" priority="90">
      <colorScale>
        <cfvo type="num" val="0.69"/>
        <cfvo type="num" val="0.8"/>
        <cfvo type="num" val="0.9"/>
        <color rgb="FFF8696B"/>
        <color rgb="FFFFEB84"/>
        <color rgb="FF63BE7B"/>
      </colorScale>
    </cfRule>
  </conditionalFormatting>
  <conditionalFormatting sqref="CP36">
    <cfRule type="colorScale" priority="89">
      <colorScale>
        <cfvo type="num" val="0.69"/>
        <cfvo type="num" val="0.8"/>
        <cfvo type="num" val="0.9"/>
        <color rgb="FFF8696B"/>
        <color rgb="FFFFEB84"/>
        <color rgb="FF63BE7B"/>
      </colorScale>
    </cfRule>
  </conditionalFormatting>
  <conditionalFormatting sqref="CP31">
    <cfRule type="colorScale" priority="88">
      <colorScale>
        <cfvo type="num" val="0.69"/>
        <cfvo type="num" val="0.8"/>
        <cfvo type="num" val="0.9"/>
        <color rgb="FFF8696B"/>
        <color rgb="FFFFEB84"/>
        <color rgb="FF63BE7B"/>
      </colorScale>
    </cfRule>
  </conditionalFormatting>
  <conditionalFormatting sqref="CP31">
    <cfRule type="colorScale" priority="87">
      <colorScale>
        <cfvo type="num" val="0.69"/>
        <cfvo type="num" val="0.8"/>
        <cfvo type="num" val="0.9"/>
        <color rgb="FFF8696B"/>
        <color rgb="FFFFEB84"/>
        <color rgb="FF63BE7B"/>
      </colorScale>
    </cfRule>
  </conditionalFormatting>
  <conditionalFormatting sqref="CV26">
    <cfRule type="colorScale" priority="86">
      <colorScale>
        <cfvo type="num" val="0.69"/>
        <cfvo type="num" val="0.8"/>
        <cfvo type="num" val="0.9"/>
        <color rgb="FFF8696B"/>
        <color rgb="FFFFEB84"/>
        <color rgb="FF63BE7B"/>
      </colorScale>
    </cfRule>
  </conditionalFormatting>
  <conditionalFormatting sqref="CV23">
    <cfRule type="colorScale" priority="85">
      <colorScale>
        <cfvo type="num" val="0.69"/>
        <cfvo type="num" val="0.8"/>
        <cfvo type="num" val="0.9"/>
        <color rgb="FFF8696B"/>
        <color rgb="FFFFEB84"/>
        <color rgb="FF63BE7B"/>
      </colorScale>
    </cfRule>
  </conditionalFormatting>
  <conditionalFormatting sqref="CV29:CV30 CV27">
    <cfRule type="colorScale" priority="84">
      <colorScale>
        <cfvo type="num" val="0.69"/>
        <cfvo type="num" val="0.8"/>
        <cfvo type="num" val="0.9"/>
        <color rgb="FFF8696B"/>
        <color rgb="FFFFEB84"/>
        <color rgb="FF63BE7B"/>
      </colorScale>
    </cfRule>
  </conditionalFormatting>
  <conditionalFormatting sqref="CV29:CV30 CV27">
    <cfRule type="colorScale" priority="83">
      <colorScale>
        <cfvo type="num" val="0.69"/>
        <cfvo type="num" val="0.8"/>
        <cfvo type="num" val="0.9"/>
        <color rgb="FFF8696B"/>
        <color rgb="FFFFEB84"/>
        <color rgb="FF63BE7B"/>
      </colorScale>
    </cfRule>
  </conditionalFormatting>
  <conditionalFormatting sqref="CV34">
    <cfRule type="colorScale" priority="82">
      <colorScale>
        <cfvo type="num" val="0.69"/>
        <cfvo type="num" val="0.8"/>
        <cfvo type="num" val="0.9"/>
        <color rgb="FFF8696B"/>
        <color rgb="FFFFEB84"/>
        <color rgb="FF63BE7B"/>
      </colorScale>
    </cfRule>
  </conditionalFormatting>
  <conditionalFormatting sqref="CW34">
    <cfRule type="colorScale" priority="81">
      <colorScale>
        <cfvo type="num" val="0.69"/>
        <cfvo type="num" val="0.8"/>
        <cfvo type="num" val="0.9"/>
        <color rgb="FFF8696B"/>
        <color rgb="FFFFEB84"/>
        <color rgb="FF63BE7B"/>
      </colorScale>
    </cfRule>
  </conditionalFormatting>
  <conditionalFormatting sqref="CV32">
    <cfRule type="colorScale" priority="80">
      <colorScale>
        <cfvo type="num" val="0.69"/>
        <cfvo type="num" val="0.8"/>
        <cfvo type="num" val="0.9"/>
        <color rgb="FFF8696B"/>
        <color rgb="FFFFEB84"/>
        <color rgb="FF63BE7B"/>
      </colorScale>
    </cfRule>
  </conditionalFormatting>
  <conditionalFormatting sqref="CV32">
    <cfRule type="colorScale" priority="79">
      <colorScale>
        <cfvo type="num" val="0.69"/>
        <cfvo type="num" val="0.8"/>
        <cfvo type="num" val="0.9"/>
        <color rgb="FFF8696B"/>
        <color rgb="FFFFEB84"/>
        <color rgb="FF63BE7B"/>
      </colorScale>
    </cfRule>
  </conditionalFormatting>
  <conditionalFormatting sqref="CV14">
    <cfRule type="colorScale" priority="78">
      <colorScale>
        <cfvo type="num" val="0.69"/>
        <cfvo type="num" val="0.8"/>
        <cfvo type="num" val="0.9"/>
        <color rgb="FFF8696B"/>
        <color rgb="FFFFEB84"/>
        <color rgb="FF63BE7B"/>
      </colorScale>
    </cfRule>
  </conditionalFormatting>
  <conditionalFormatting sqref="CV11">
    <cfRule type="colorScale" priority="77">
      <colorScale>
        <cfvo type="num" val="0.69"/>
        <cfvo type="num" val="0.8"/>
        <cfvo type="num" val="0.9"/>
        <color rgb="FFF8696B"/>
        <color rgb="FFFFEB84"/>
        <color rgb="FF63BE7B"/>
      </colorScale>
    </cfRule>
  </conditionalFormatting>
  <conditionalFormatting sqref="CV48">
    <cfRule type="colorScale" priority="76">
      <colorScale>
        <cfvo type="num" val="0.69"/>
        <cfvo type="num" val="0.8"/>
        <cfvo type="num" val="0.9"/>
        <color rgb="FFF8696B"/>
        <color rgb="FFFFEB84"/>
        <color rgb="FF63BE7B"/>
      </colorScale>
    </cfRule>
  </conditionalFormatting>
  <conditionalFormatting sqref="CV36">
    <cfRule type="colorScale" priority="75">
      <colorScale>
        <cfvo type="num" val="0.69"/>
        <cfvo type="num" val="0.8"/>
        <cfvo type="num" val="0.9"/>
        <color rgb="FFF8696B"/>
        <color rgb="FFFFEB84"/>
        <color rgb="FF63BE7B"/>
      </colorScale>
    </cfRule>
  </conditionalFormatting>
  <conditionalFormatting sqref="CV36">
    <cfRule type="colorScale" priority="74">
      <colorScale>
        <cfvo type="num" val="0.69"/>
        <cfvo type="num" val="0.8"/>
        <cfvo type="num" val="0.9"/>
        <color rgb="FFF8696B"/>
        <color rgb="FFFFEB84"/>
        <color rgb="FF63BE7B"/>
      </colorScale>
    </cfRule>
  </conditionalFormatting>
  <conditionalFormatting sqref="CV17">
    <cfRule type="colorScale" priority="73">
      <colorScale>
        <cfvo type="num" val="0.69"/>
        <cfvo type="num" val="0.8"/>
        <cfvo type="num" val="0.9"/>
        <color rgb="FFF8696B"/>
        <color rgb="FFFFEB84"/>
        <color rgb="FF63BE7B"/>
      </colorScale>
    </cfRule>
  </conditionalFormatting>
  <conditionalFormatting sqref="CV45">
    <cfRule type="colorScale" priority="72">
      <colorScale>
        <cfvo type="num" val="0.69"/>
        <cfvo type="num" val="0.8"/>
        <cfvo type="num" val="0.9"/>
        <color rgb="FFF8696B"/>
        <color rgb="FFFFEB84"/>
        <color rgb="FF63BE7B"/>
      </colorScale>
    </cfRule>
  </conditionalFormatting>
  <conditionalFormatting sqref="DB26">
    <cfRule type="colorScale" priority="71">
      <colorScale>
        <cfvo type="num" val="0.69"/>
        <cfvo type="num" val="0.8"/>
        <cfvo type="num" val="0.9"/>
        <color rgb="FFF8696B"/>
        <color rgb="FFFFEB84"/>
        <color rgb="FF63BE7B"/>
      </colorScale>
    </cfRule>
  </conditionalFormatting>
  <conditionalFormatting sqref="DB29:DB30 DB27">
    <cfRule type="colorScale" priority="70">
      <colorScale>
        <cfvo type="num" val="0.69"/>
        <cfvo type="num" val="0.8"/>
        <cfvo type="num" val="0.9"/>
        <color rgb="FFF8696B"/>
        <color rgb="FFFFEB84"/>
        <color rgb="FF63BE7B"/>
      </colorScale>
    </cfRule>
  </conditionalFormatting>
  <conditionalFormatting sqref="DB29:DB30 DB27">
    <cfRule type="colorScale" priority="69">
      <colorScale>
        <cfvo type="num" val="0.69"/>
        <cfvo type="num" val="0.8"/>
        <cfvo type="num" val="0.9"/>
        <color rgb="FFF8696B"/>
        <color rgb="FFFFEB84"/>
        <color rgb="FF63BE7B"/>
      </colorScale>
    </cfRule>
  </conditionalFormatting>
  <conditionalFormatting sqref="DB34">
    <cfRule type="colorScale" priority="68">
      <colorScale>
        <cfvo type="num" val="0.69"/>
        <cfvo type="num" val="0.8"/>
        <cfvo type="num" val="0.9"/>
        <color rgb="FFF8696B"/>
        <color rgb="FFFFEB84"/>
        <color rgb="FF63BE7B"/>
      </colorScale>
    </cfRule>
  </conditionalFormatting>
  <conditionalFormatting sqref="DC34">
    <cfRule type="colorScale" priority="67">
      <colorScale>
        <cfvo type="num" val="0.69"/>
        <cfvo type="num" val="0.8"/>
        <cfvo type="num" val="0.9"/>
        <color rgb="FFF8696B"/>
        <color rgb="FFFFEB84"/>
        <color rgb="FF63BE7B"/>
      </colorScale>
    </cfRule>
  </conditionalFormatting>
  <conditionalFormatting sqref="DB32">
    <cfRule type="colorScale" priority="66">
      <colorScale>
        <cfvo type="num" val="0.69"/>
        <cfvo type="num" val="0.8"/>
        <cfvo type="num" val="0.9"/>
        <color rgb="FFF8696B"/>
        <color rgb="FFFFEB84"/>
        <color rgb="FF63BE7B"/>
      </colorScale>
    </cfRule>
  </conditionalFormatting>
  <conditionalFormatting sqref="DB32">
    <cfRule type="colorScale" priority="65">
      <colorScale>
        <cfvo type="num" val="0.69"/>
        <cfvo type="num" val="0.8"/>
        <cfvo type="num" val="0.9"/>
        <color rgb="FFF8696B"/>
        <color rgb="FFFFEB84"/>
        <color rgb="FF63BE7B"/>
      </colorScale>
    </cfRule>
  </conditionalFormatting>
  <conditionalFormatting sqref="DB14">
    <cfRule type="colorScale" priority="64">
      <colorScale>
        <cfvo type="num" val="0.69"/>
        <cfvo type="num" val="0.8"/>
        <cfvo type="num" val="0.9"/>
        <color rgb="FFF8696B"/>
        <color rgb="FFFFEB84"/>
        <color rgb="FF63BE7B"/>
      </colorScale>
    </cfRule>
  </conditionalFormatting>
  <conditionalFormatting sqref="DB11">
    <cfRule type="colorScale" priority="63">
      <colorScale>
        <cfvo type="num" val="0.69"/>
        <cfvo type="num" val="0.8"/>
        <cfvo type="num" val="0.9"/>
        <color rgb="FFF8696B"/>
        <color rgb="FFFFEB84"/>
        <color rgb="FF63BE7B"/>
      </colorScale>
    </cfRule>
  </conditionalFormatting>
  <conditionalFormatting sqref="DB36">
    <cfRule type="colorScale" priority="62">
      <colorScale>
        <cfvo type="num" val="0.69"/>
        <cfvo type="num" val="0.8"/>
        <cfvo type="num" val="0.9"/>
        <color rgb="FFF8696B"/>
        <color rgb="FFFFEB84"/>
        <color rgb="FF63BE7B"/>
      </colorScale>
    </cfRule>
  </conditionalFormatting>
  <conditionalFormatting sqref="DB36">
    <cfRule type="colorScale" priority="61">
      <colorScale>
        <cfvo type="num" val="0.69"/>
        <cfvo type="num" val="0.8"/>
        <cfvo type="num" val="0.9"/>
        <color rgb="FFF8696B"/>
        <color rgb="FFFFEB84"/>
        <color rgb="FF63BE7B"/>
      </colorScale>
    </cfRule>
  </conditionalFormatting>
  <conditionalFormatting sqref="DH26">
    <cfRule type="colorScale" priority="60">
      <colorScale>
        <cfvo type="num" val="0.69"/>
        <cfvo type="num" val="0.8"/>
        <cfvo type="num" val="0.9"/>
        <color rgb="FFF8696B"/>
        <color rgb="FFFFEB84"/>
        <color rgb="FF63BE7B"/>
      </colorScale>
    </cfRule>
  </conditionalFormatting>
  <conditionalFormatting sqref="DH23">
    <cfRule type="colorScale" priority="59">
      <colorScale>
        <cfvo type="num" val="0.69"/>
        <cfvo type="num" val="0.8"/>
        <cfvo type="num" val="0.9"/>
        <color rgb="FFF8696B"/>
        <color rgb="FFFFEB84"/>
        <color rgb="FF63BE7B"/>
      </colorScale>
    </cfRule>
  </conditionalFormatting>
  <conditionalFormatting sqref="DH27:DH30">
    <cfRule type="colorScale" priority="58">
      <colorScale>
        <cfvo type="num" val="0.69"/>
        <cfvo type="num" val="0.8"/>
        <cfvo type="num" val="0.9"/>
        <color rgb="FFF8696B"/>
        <color rgb="FFFFEB84"/>
        <color rgb="FF63BE7B"/>
      </colorScale>
    </cfRule>
  </conditionalFormatting>
  <conditionalFormatting sqref="DH27:DH30">
    <cfRule type="colorScale" priority="57">
      <colorScale>
        <cfvo type="num" val="0.69"/>
        <cfvo type="num" val="0.8"/>
        <cfvo type="num" val="0.9"/>
        <color rgb="FFF8696B"/>
        <color rgb="FFFFEB84"/>
        <color rgb="FF63BE7B"/>
      </colorScale>
    </cfRule>
  </conditionalFormatting>
  <conditionalFormatting sqref="DI34">
    <cfRule type="colorScale" priority="56">
      <colorScale>
        <cfvo type="num" val="0.69"/>
        <cfvo type="num" val="0.8"/>
        <cfvo type="num" val="0.9"/>
        <color rgb="FFF8696B"/>
        <color rgb="FFFFEB84"/>
        <color rgb="FF63BE7B"/>
      </colorScale>
    </cfRule>
  </conditionalFormatting>
  <conditionalFormatting sqref="DH32">
    <cfRule type="colorScale" priority="55">
      <colorScale>
        <cfvo type="num" val="0.69"/>
        <cfvo type="num" val="0.8"/>
        <cfvo type="num" val="0.9"/>
        <color rgb="FFF8696B"/>
        <color rgb="FFFFEB84"/>
        <color rgb="FF63BE7B"/>
      </colorScale>
    </cfRule>
  </conditionalFormatting>
  <conditionalFormatting sqref="DH32">
    <cfRule type="colorScale" priority="54">
      <colorScale>
        <cfvo type="num" val="0.69"/>
        <cfvo type="num" val="0.8"/>
        <cfvo type="num" val="0.9"/>
        <color rgb="FFF8696B"/>
        <color rgb="FFFFEB84"/>
        <color rgb="FF63BE7B"/>
      </colorScale>
    </cfRule>
  </conditionalFormatting>
  <conditionalFormatting sqref="DH11">
    <cfRule type="colorScale" priority="53">
      <colorScale>
        <cfvo type="num" val="0.69"/>
        <cfvo type="num" val="0.8"/>
        <cfvo type="num" val="0.9"/>
        <color rgb="FFF8696B"/>
        <color rgb="FFFFEB84"/>
        <color rgb="FF63BE7B"/>
      </colorScale>
    </cfRule>
  </conditionalFormatting>
  <conditionalFormatting sqref="DH48">
    <cfRule type="colorScale" priority="52">
      <colorScale>
        <cfvo type="num" val="0.69"/>
        <cfvo type="num" val="0.8"/>
        <cfvo type="num" val="0.9"/>
        <color rgb="FFF8696B"/>
        <color rgb="FFFFEB84"/>
        <color rgb="FF63BE7B"/>
      </colorScale>
    </cfRule>
  </conditionalFormatting>
  <conditionalFormatting sqref="DH17">
    <cfRule type="colorScale" priority="51">
      <colorScale>
        <cfvo type="num" val="0.69"/>
        <cfvo type="num" val="0.8"/>
        <cfvo type="num" val="0.9"/>
        <color rgb="FFF8696B"/>
        <color rgb="FFFFEB84"/>
        <color rgb="FF63BE7B"/>
      </colorScale>
    </cfRule>
  </conditionalFormatting>
  <conditionalFormatting sqref="DH45">
    <cfRule type="colorScale" priority="50">
      <colorScale>
        <cfvo type="num" val="0.69"/>
        <cfvo type="num" val="0.8"/>
        <cfvo type="num" val="0.9"/>
        <color rgb="FFF8696B"/>
        <color rgb="FFFFEB84"/>
        <color rgb="FF63BE7B"/>
      </colorScale>
    </cfRule>
  </conditionalFormatting>
  <conditionalFormatting sqref="DH8">
    <cfRule type="colorScale" priority="49">
      <colorScale>
        <cfvo type="num" val="0.69"/>
        <cfvo type="num" val="0.8"/>
        <cfvo type="num" val="0.9"/>
        <color rgb="FFF8696B"/>
        <color rgb="FFFFEB84"/>
        <color rgb="FF63BE7B"/>
      </colorScale>
    </cfRule>
  </conditionalFormatting>
  <conditionalFormatting sqref="DH14">
    <cfRule type="colorScale" priority="48">
      <colorScale>
        <cfvo type="num" val="0.69"/>
        <cfvo type="num" val="0.8"/>
        <cfvo type="num" val="0.9"/>
        <color rgb="FFF8696B"/>
        <color rgb="FFFFEB84"/>
        <color rgb="FF63BE7B"/>
      </colorScale>
    </cfRule>
  </conditionalFormatting>
  <conditionalFormatting sqref="DB17">
    <cfRule type="colorScale" priority="47">
      <colorScale>
        <cfvo type="num" val="0.69"/>
        <cfvo type="num" val="0.8"/>
        <cfvo type="num" val="0.9"/>
        <color rgb="FFF8696B"/>
        <color rgb="FFFFEB84"/>
        <color rgb="FF63BE7B"/>
      </colorScale>
    </cfRule>
  </conditionalFormatting>
  <conditionalFormatting sqref="DH20">
    <cfRule type="colorScale" priority="46">
      <colorScale>
        <cfvo type="num" val="0.69"/>
        <cfvo type="num" val="0.8"/>
        <cfvo type="num" val="0.9"/>
        <color rgb="FFF8696B"/>
        <color rgb="FFFFEB84"/>
        <color rgb="FF63BE7B"/>
      </colorScale>
    </cfRule>
  </conditionalFormatting>
  <conditionalFormatting sqref="DH34">
    <cfRule type="colorScale" priority="45">
      <colorScale>
        <cfvo type="num" val="0.69"/>
        <cfvo type="num" val="0.8"/>
        <cfvo type="num" val="0.9"/>
        <color rgb="FFF8696B"/>
        <color rgb="FFFFEB84"/>
        <color rgb="FF63BE7B"/>
      </colorScale>
    </cfRule>
  </conditionalFormatting>
  <conditionalFormatting sqref="DH34">
    <cfRule type="colorScale" priority="44">
      <colorScale>
        <cfvo type="num" val="0.69"/>
        <cfvo type="num" val="0.8"/>
        <cfvo type="num" val="0.9"/>
        <color rgb="FFF8696B"/>
        <color rgb="FFFFEB84"/>
        <color rgb="FF63BE7B"/>
      </colorScale>
    </cfRule>
  </conditionalFormatting>
  <conditionalFormatting sqref="DH36">
    <cfRule type="colorScale" priority="43">
      <colorScale>
        <cfvo type="num" val="0.69"/>
        <cfvo type="num" val="0.8"/>
        <cfvo type="num" val="0.9"/>
        <color rgb="FFF8696B"/>
        <color rgb="FFFFEB84"/>
        <color rgb="FF63BE7B"/>
      </colorScale>
    </cfRule>
  </conditionalFormatting>
  <conditionalFormatting sqref="DH36">
    <cfRule type="colorScale" priority="42">
      <colorScale>
        <cfvo type="num" val="0.69"/>
        <cfvo type="num" val="0.8"/>
        <cfvo type="num" val="0.9"/>
        <color rgb="FFF8696B"/>
        <color rgb="FFFFEB84"/>
        <color rgb="FF63BE7B"/>
      </colorScale>
    </cfRule>
  </conditionalFormatting>
  <conditionalFormatting sqref="DH39 DH42">
    <cfRule type="colorScale" priority="41">
      <colorScale>
        <cfvo type="num" val="0.69"/>
        <cfvo type="num" val="0.8"/>
        <cfvo type="num" val="0.9"/>
        <color rgb="FFF8696B"/>
        <color rgb="FFFFEB84"/>
        <color rgb="FF63BE7B"/>
      </colorScale>
    </cfRule>
  </conditionalFormatting>
  <conditionalFormatting sqref="DH31">
    <cfRule type="colorScale" priority="40">
      <colorScale>
        <cfvo type="num" val="0.69"/>
        <cfvo type="num" val="0.8"/>
        <cfvo type="num" val="0.9"/>
        <color rgb="FFF8696B"/>
        <color rgb="FFFFEB84"/>
        <color rgb="FF63BE7B"/>
      </colorScale>
    </cfRule>
  </conditionalFormatting>
  <conditionalFormatting sqref="DH31">
    <cfRule type="colorScale" priority="39">
      <colorScale>
        <cfvo type="num" val="0.69"/>
        <cfvo type="num" val="0.8"/>
        <cfvo type="num" val="0.9"/>
        <color rgb="FFF8696B"/>
        <color rgb="FFFFEB84"/>
        <color rgb="FF63BE7B"/>
      </colorScale>
    </cfRule>
  </conditionalFormatting>
  <conditionalFormatting sqref="DH59">
    <cfRule type="colorScale" priority="38">
      <colorScale>
        <cfvo type="num" val="0.69"/>
        <cfvo type="num" val="0.8"/>
        <cfvo type="num" val="0.9"/>
        <color rgb="FFF8696B"/>
        <color rgb="FFFFEB84"/>
        <color rgb="FF63BE7B"/>
      </colorScale>
    </cfRule>
  </conditionalFormatting>
  <conditionalFormatting sqref="DH59">
    <cfRule type="colorScale" priority="37">
      <colorScale>
        <cfvo type="num" val="0.69"/>
        <cfvo type="num" val="0.8"/>
        <cfvo type="num" val="0.9"/>
        <color rgb="FFF8696B"/>
        <color rgb="FFFFEB84"/>
        <color rgb="FF63BE7B"/>
      </colorScale>
    </cfRule>
  </conditionalFormatting>
  <conditionalFormatting sqref="DB39">
    <cfRule type="colorScale" priority="36">
      <colorScale>
        <cfvo type="num" val="0.69"/>
        <cfvo type="num" val="0.8"/>
        <cfvo type="num" val="0.9"/>
        <color rgb="FFF8696B"/>
        <color rgb="FFFFEB84"/>
        <color rgb="FF63BE7B"/>
      </colorScale>
    </cfRule>
  </conditionalFormatting>
  <conditionalFormatting sqref="DB59">
    <cfRule type="colorScale" priority="35">
      <colorScale>
        <cfvo type="num" val="0.69"/>
        <cfvo type="num" val="0.8"/>
        <cfvo type="num" val="0.9"/>
        <color rgb="FFF8696B"/>
        <color rgb="FFFFEB84"/>
        <color rgb="FF63BE7B"/>
      </colorScale>
    </cfRule>
  </conditionalFormatting>
  <conditionalFormatting sqref="BR8">
    <cfRule type="colorScale" priority="34">
      <colorScale>
        <cfvo type="num" val="0.69"/>
        <cfvo type="num" val="0.8"/>
        <cfvo type="num" val="0.9"/>
        <color rgb="FFF8696B"/>
        <color rgb="FFFFEB84"/>
        <color rgb="FF63BE7B"/>
      </colorScale>
    </cfRule>
  </conditionalFormatting>
  <conditionalFormatting sqref="DH54">
    <cfRule type="colorScale" priority="33">
      <colorScale>
        <cfvo type="num" val="0.69"/>
        <cfvo type="num" val="0.8"/>
        <cfvo type="num" val="0.9"/>
        <color rgb="FFF8696B"/>
        <color rgb="FFFFEB84"/>
        <color rgb="FF63BE7B"/>
      </colorScale>
    </cfRule>
  </conditionalFormatting>
  <conditionalFormatting sqref="DB54">
    <cfRule type="colorScale" priority="32">
      <colorScale>
        <cfvo type="num" val="0.69"/>
        <cfvo type="num" val="0.8"/>
        <cfvo type="num" val="0.9"/>
        <color rgb="FFF8696B"/>
        <color rgb="FFFFEB84"/>
        <color rgb="FF63BE7B"/>
      </colorScale>
    </cfRule>
  </conditionalFormatting>
  <conditionalFormatting sqref="DT52">
    <cfRule type="colorScale" priority="31">
      <colorScale>
        <cfvo type="num" val="0.69"/>
        <cfvo type="num" val="0.8"/>
        <cfvo type="num" val="0.9"/>
        <color rgb="FFF8696B"/>
        <color rgb="FFFFEB84"/>
        <color rgb="FF63BE7B"/>
      </colorScale>
    </cfRule>
  </conditionalFormatting>
  <conditionalFormatting sqref="DH53">
    <cfRule type="colorScale" priority="30">
      <colorScale>
        <cfvo type="num" val="0.69"/>
        <cfvo type="num" val="0.8"/>
        <cfvo type="num" val="0.9"/>
        <color rgb="FFF8696B"/>
        <color rgb="FFFFEB84"/>
        <color rgb="FF63BE7B"/>
      </colorScale>
    </cfRule>
  </conditionalFormatting>
  <conditionalFormatting sqref="DH52">
    <cfRule type="colorScale" priority="29">
      <colorScale>
        <cfvo type="num" val="0.69"/>
        <cfvo type="num" val="0.8"/>
        <cfvo type="num" val="0.9"/>
        <color rgb="FFF8696B"/>
        <color rgb="FFFFEB84"/>
        <color rgb="FF63BE7B"/>
      </colorScale>
    </cfRule>
  </conditionalFormatting>
  <conditionalFormatting sqref="DB53">
    <cfRule type="colorScale" priority="28">
      <colorScale>
        <cfvo type="num" val="0.69"/>
        <cfvo type="num" val="0.8"/>
        <cfvo type="num" val="0.9"/>
        <color rgb="FFF8696B"/>
        <color rgb="FFFFEB84"/>
        <color rgb="FF63BE7B"/>
      </colorScale>
    </cfRule>
  </conditionalFormatting>
  <conditionalFormatting sqref="DB20">
    <cfRule type="colorScale" priority="27">
      <colorScale>
        <cfvo type="num" val="0.69"/>
        <cfvo type="num" val="0.8"/>
        <cfvo type="num" val="0.9"/>
        <color rgb="FFF8696B"/>
        <color rgb="FFFFEB84"/>
        <color rgb="FF63BE7B"/>
      </colorScale>
    </cfRule>
  </conditionalFormatting>
  <conditionalFormatting sqref="DN26">
    <cfRule type="colorScale" priority="26">
      <colorScale>
        <cfvo type="num" val="0.69"/>
        <cfvo type="num" val="0.8"/>
        <cfvo type="num" val="0.9"/>
        <color rgb="FFF8696B"/>
        <color rgb="FFFFEB84"/>
        <color rgb="FF63BE7B"/>
      </colorScale>
    </cfRule>
  </conditionalFormatting>
  <conditionalFormatting sqref="DN23">
    <cfRule type="colorScale" priority="25">
      <colorScale>
        <cfvo type="num" val="0.69"/>
        <cfvo type="num" val="0.8"/>
        <cfvo type="num" val="0.9"/>
        <color rgb="FFF8696B"/>
        <color rgb="FFFFEB84"/>
        <color rgb="FF63BE7B"/>
      </colorScale>
    </cfRule>
  </conditionalFormatting>
  <conditionalFormatting sqref="DN27:DN30">
    <cfRule type="colorScale" priority="24">
      <colorScale>
        <cfvo type="num" val="0.69"/>
        <cfvo type="num" val="0.8"/>
        <cfvo type="num" val="0.9"/>
        <color rgb="FFF8696B"/>
        <color rgb="FFFFEB84"/>
        <color rgb="FF63BE7B"/>
      </colorScale>
    </cfRule>
  </conditionalFormatting>
  <conditionalFormatting sqref="DN27:DN30">
    <cfRule type="colorScale" priority="23">
      <colorScale>
        <cfvo type="num" val="0.69"/>
        <cfvo type="num" val="0.8"/>
        <cfvo type="num" val="0.9"/>
        <color rgb="FFF8696B"/>
        <color rgb="FFFFEB84"/>
        <color rgb="FF63BE7B"/>
      </colorScale>
    </cfRule>
  </conditionalFormatting>
  <conditionalFormatting sqref="DO34">
    <cfRule type="colorScale" priority="22">
      <colorScale>
        <cfvo type="num" val="0.69"/>
        <cfvo type="num" val="0.8"/>
        <cfvo type="num" val="0.9"/>
        <color rgb="FFF8696B"/>
        <color rgb="FFFFEB84"/>
        <color rgb="FF63BE7B"/>
      </colorScale>
    </cfRule>
  </conditionalFormatting>
  <conditionalFormatting sqref="DN32">
    <cfRule type="colorScale" priority="21">
      <colorScale>
        <cfvo type="num" val="0.69"/>
        <cfvo type="num" val="0.8"/>
        <cfvo type="num" val="0.9"/>
        <color rgb="FFF8696B"/>
        <color rgb="FFFFEB84"/>
        <color rgb="FF63BE7B"/>
      </colorScale>
    </cfRule>
  </conditionalFormatting>
  <conditionalFormatting sqref="DN32">
    <cfRule type="colorScale" priority="20">
      <colorScale>
        <cfvo type="num" val="0.69"/>
        <cfvo type="num" val="0.8"/>
        <cfvo type="num" val="0.9"/>
        <color rgb="FFF8696B"/>
        <color rgb="FFFFEB84"/>
        <color rgb="FF63BE7B"/>
      </colorScale>
    </cfRule>
  </conditionalFormatting>
  <conditionalFormatting sqref="DN11">
    <cfRule type="colorScale" priority="19">
      <colorScale>
        <cfvo type="num" val="0.69"/>
        <cfvo type="num" val="0.8"/>
        <cfvo type="num" val="0.9"/>
        <color rgb="FFF8696B"/>
        <color rgb="FFFFEB84"/>
        <color rgb="FF63BE7B"/>
      </colorScale>
    </cfRule>
  </conditionalFormatting>
  <conditionalFormatting sqref="DN48">
    <cfRule type="colorScale" priority="18">
      <colorScale>
        <cfvo type="num" val="0.69"/>
        <cfvo type="num" val="0.8"/>
        <cfvo type="num" val="0.9"/>
        <color rgb="FFF8696B"/>
        <color rgb="FFFFEB84"/>
        <color rgb="FF63BE7B"/>
      </colorScale>
    </cfRule>
  </conditionalFormatting>
  <conditionalFormatting sqref="DN17">
    <cfRule type="colorScale" priority="17">
      <colorScale>
        <cfvo type="num" val="0.69"/>
        <cfvo type="num" val="0.8"/>
        <cfvo type="num" val="0.9"/>
        <color rgb="FFF8696B"/>
        <color rgb="FFFFEB84"/>
        <color rgb="FF63BE7B"/>
      </colorScale>
    </cfRule>
  </conditionalFormatting>
  <conditionalFormatting sqref="DN45">
    <cfRule type="colorScale" priority="16">
      <colorScale>
        <cfvo type="num" val="0.69"/>
        <cfvo type="num" val="0.8"/>
        <cfvo type="num" val="0.9"/>
        <color rgb="FFF8696B"/>
        <color rgb="FFFFEB84"/>
        <color rgb="FF63BE7B"/>
      </colorScale>
    </cfRule>
  </conditionalFormatting>
  <conditionalFormatting sqref="DN8">
    <cfRule type="colorScale" priority="15">
      <colorScale>
        <cfvo type="num" val="0.69"/>
        <cfvo type="num" val="0.8"/>
        <cfvo type="num" val="0.9"/>
        <color rgb="FFF8696B"/>
        <color rgb="FFFFEB84"/>
        <color rgb="FF63BE7B"/>
      </colorScale>
    </cfRule>
  </conditionalFormatting>
  <conditionalFormatting sqref="DN14">
    <cfRule type="colorScale" priority="14">
      <colorScale>
        <cfvo type="num" val="0.69"/>
        <cfvo type="num" val="0.8"/>
        <cfvo type="num" val="0.9"/>
        <color rgb="FFF8696B"/>
        <color rgb="FFFFEB84"/>
        <color rgb="FF63BE7B"/>
      </colorScale>
    </cfRule>
  </conditionalFormatting>
  <conditionalFormatting sqref="DN20">
    <cfRule type="colorScale" priority="13">
      <colorScale>
        <cfvo type="num" val="0.69"/>
        <cfvo type="num" val="0.8"/>
        <cfvo type="num" val="0.9"/>
        <color rgb="FFF8696B"/>
        <color rgb="FFFFEB84"/>
        <color rgb="FF63BE7B"/>
      </colorScale>
    </cfRule>
  </conditionalFormatting>
  <conditionalFormatting sqref="DN34">
    <cfRule type="colorScale" priority="12">
      <colorScale>
        <cfvo type="num" val="0.69"/>
        <cfvo type="num" val="0.8"/>
        <cfvo type="num" val="0.9"/>
        <color rgb="FFF8696B"/>
        <color rgb="FFFFEB84"/>
        <color rgb="FF63BE7B"/>
      </colorScale>
    </cfRule>
  </conditionalFormatting>
  <conditionalFormatting sqref="DN34">
    <cfRule type="colorScale" priority="11">
      <colorScale>
        <cfvo type="num" val="0.69"/>
        <cfvo type="num" val="0.8"/>
        <cfvo type="num" val="0.9"/>
        <color rgb="FFF8696B"/>
        <color rgb="FFFFEB84"/>
        <color rgb="FF63BE7B"/>
      </colorScale>
    </cfRule>
  </conditionalFormatting>
  <conditionalFormatting sqref="DN36">
    <cfRule type="colorScale" priority="10">
      <colorScale>
        <cfvo type="num" val="0.69"/>
        <cfvo type="num" val="0.8"/>
        <cfvo type="num" val="0.9"/>
        <color rgb="FFF8696B"/>
        <color rgb="FFFFEB84"/>
        <color rgb="FF63BE7B"/>
      </colorScale>
    </cfRule>
  </conditionalFormatting>
  <conditionalFormatting sqref="DN36">
    <cfRule type="colorScale" priority="9">
      <colorScale>
        <cfvo type="num" val="0.69"/>
        <cfvo type="num" val="0.8"/>
        <cfvo type="num" val="0.9"/>
        <color rgb="FFF8696B"/>
        <color rgb="FFFFEB84"/>
        <color rgb="FF63BE7B"/>
      </colorScale>
    </cfRule>
  </conditionalFormatting>
  <conditionalFormatting sqref="DN39 DN42">
    <cfRule type="colorScale" priority="8">
      <colorScale>
        <cfvo type="num" val="0.69"/>
        <cfvo type="num" val="0.8"/>
        <cfvo type="num" val="0.9"/>
        <color rgb="FFF8696B"/>
        <color rgb="FFFFEB84"/>
        <color rgb="FF63BE7B"/>
      </colorScale>
    </cfRule>
  </conditionalFormatting>
  <conditionalFormatting sqref="DN31">
    <cfRule type="colorScale" priority="7">
      <colorScale>
        <cfvo type="num" val="0.69"/>
        <cfvo type="num" val="0.8"/>
        <cfvo type="num" val="0.9"/>
        <color rgb="FFF8696B"/>
        <color rgb="FFFFEB84"/>
        <color rgb="FF63BE7B"/>
      </colorScale>
    </cfRule>
  </conditionalFormatting>
  <conditionalFormatting sqref="DN31">
    <cfRule type="colorScale" priority="6">
      <colorScale>
        <cfvo type="num" val="0.69"/>
        <cfvo type="num" val="0.8"/>
        <cfvo type="num" val="0.9"/>
        <color rgb="FFF8696B"/>
        <color rgb="FFFFEB84"/>
        <color rgb="FF63BE7B"/>
      </colorScale>
    </cfRule>
  </conditionalFormatting>
  <conditionalFormatting sqref="DN59">
    <cfRule type="colorScale" priority="5">
      <colorScale>
        <cfvo type="num" val="0.69"/>
        <cfvo type="num" val="0.8"/>
        <cfvo type="num" val="0.9"/>
        <color rgb="FFF8696B"/>
        <color rgb="FFFFEB84"/>
        <color rgb="FF63BE7B"/>
      </colorScale>
    </cfRule>
  </conditionalFormatting>
  <conditionalFormatting sqref="DN59">
    <cfRule type="colorScale" priority="4">
      <colorScale>
        <cfvo type="num" val="0.69"/>
        <cfvo type="num" val="0.8"/>
        <cfvo type="num" val="0.9"/>
        <color rgb="FFF8696B"/>
        <color rgb="FFFFEB84"/>
        <color rgb="FF63BE7B"/>
      </colorScale>
    </cfRule>
  </conditionalFormatting>
  <conditionalFormatting sqref="DN54">
    <cfRule type="colorScale" priority="3">
      <colorScale>
        <cfvo type="num" val="0.69"/>
        <cfvo type="num" val="0.8"/>
        <cfvo type="num" val="0.9"/>
        <color rgb="FFF8696B"/>
        <color rgb="FFFFEB84"/>
        <color rgb="FF63BE7B"/>
      </colorScale>
    </cfRule>
  </conditionalFormatting>
  <conditionalFormatting sqref="DN53">
    <cfRule type="colorScale" priority="2">
      <colorScale>
        <cfvo type="num" val="0.69"/>
        <cfvo type="num" val="0.8"/>
        <cfvo type="num" val="0.9"/>
        <color rgb="FFF8696B"/>
        <color rgb="FFFFEB84"/>
        <color rgb="FF63BE7B"/>
      </colorScale>
    </cfRule>
  </conditionalFormatting>
  <conditionalFormatting sqref="DN52">
    <cfRule type="colorScale" priority="1">
      <colorScale>
        <cfvo type="num" val="0.69"/>
        <cfvo type="num" val="0.8"/>
        <cfvo type="num" val="0.9"/>
        <color rgb="FFF8696B"/>
        <color rgb="FFFFEB84"/>
        <color rgb="FF63BE7B"/>
      </colorScale>
    </cfRule>
  </conditionalFormatting>
  <dataValidations count="2">
    <dataValidation allowBlank="1" showInputMessage="1" showErrorMessage="1" prompt="Producto intermedio: que contribuye a la construcción del producto final_x000a__x000a_Hito: tarea que simboliza o representa avances relevantes  en la obtención del producto o servicio. _x000a_" sqref="G45"/>
    <dataValidation allowBlank="1" showInputMessage="1" showErrorMessage="1" prompt="Grupo de actividades definidas secuencialmente_x000a_" sqref="F45:F46"/>
  </dataValidations>
  <printOptions horizontalCentered="1" verticalCentered="1"/>
  <pageMargins left="0.19685039370078741" right="0.19685039370078741" top="0.74803149606299213" bottom="0.74803149606299213" header="0.31496062992125984" footer="0.31496062992125984"/>
  <pageSetup paperSize="362" scale="13" fitToHeight="0" orientation="landscape" r:id="rId1"/>
  <headerFooter alignWithMargins="0"/>
  <rowBreaks count="4" manualBreakCount="4">
    <brk id="25" max="112" man="1"/>
    <brk id="33" max="112" man="1"/>
    <brk id="47" max="112" man="1"/>
    <brk id="56" max="112"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Z26"/>
  <sheetViews>
    <sheetView showGridLines="0" view="pageBreakPreview" zoomScale="75" zoomScaleNormal="100" zoomScaleSheetLayoutView="75" workbookViewId="0">
      <pane xSplit="1" ySplit="7" topLeftCell="D8" activePane="bottomRight" state="frozen"/>
      <selection pane="topRight" activeCell="B1" sqref="B1"/>
      <selection pane="bottomLeft" activeCell="A8" sqref="A8"/>
      <selection pane="bottomRight" activeCell="S8" sqref="S8"/>
    </sheetView>
  </sheetViews>
  <sheetFormatPr baseColWidth="10" defaultRowHeight="12.75"/>
  <cols>
    <col min="1" max="1" width="1.140625" style="15" customWidth="1"/>
    <col min="2" max="2" width="14.140625" style="15" customWidth="1"/>
    <col min="3" max="3" width="5.42578125" style="2" customWidth="1"/>
    <col min="4" max="4" width="16.140625" style="15" customWidth="1"/>
    <col min="5" max="5" width="14.7109375" style="15" customWidth="1"/>
    <col min="6" max="6" width="15" style="15" customWidth="1"/>
    <col min="7" max="7" width="9.28515625" style="15" customWidth="1"/>
    <col min="8" max="8" width="18.85546875" style="15" customWidth="1"/>
    <col min="9" max="9" width="16.7109375" style="15" customWidth="1"/>
    <col min="10" max="10" width="10" style="15" customWidth="1"/>
    <col min="11" max="22" width="4.7109375" style="15" customWidth="1"/>
    <col min="23" max="23" width="9.5703125" style="15" hidden="1" customWidth="1"/>
    <col min="24" max="24" width="9.28515625" style="15" hidden="1" customWidth="1"/>
    <col min="25" max="25" width="11" style="15" hidden="1" customWidth="1"/>
    <col min="26" max="27" width="8.140625" style="15" hidden="1" customWidth="1"/>
    <col min="28" max="28" width="11.5703125" style="15" hidden="1" customWidth="1"/>
    <col min="29" max="29" width="55.42578125" style="15" hidden="1" customWidth="1"/>
    <col min="30" max="30" width="9.28515625" style="15" hidden="1" customWidth="1"/>
    <col min="31" max="31" width="11" style="15" hidden="1" customWidth="1"/>
    <col min="32" max="33" width="8.140625" style="15" hidden="1" customWidth="1"/>
    <col min="34" max="34" width="11.5703125" style="15" hidden="1" customWidth="1"/>
    <col min="35" max="35" width="55.42578125" style="15" hidden="1" customWidth="1"/>
    <col min="36" max="36" width="19.28515625" style="15" hidden="1" customWidth="1"/>
    <col min="37" max="37" width="18.42578125" style="15" hidden="1" customWidth="1"/>
    <col min="38" max="39" width="8.140625" style="15" hidden="1" customWidth="1"/>
    <col min="40" max="40" width="11.5703125" style="15" hidden="1" customWidth="1"/>
    <col min="41" max="41" width="55.42578125" style="15" hidden="1" customWidth="1"/>
    <col min="42" max="42" width="9.28515625" style="15" hidden="1" customWidth="1"/>
    <col min="43" max="43" width="11" style="15" hidden="1" customWidth="1"/>
    <col min="44" max="45" width="8.140625" style="15" hidden="1" customWidth="1"/>
    <col min="46" max="46" width="11.5703125" style="15" hidden="1" customWidth="1"/>
    <col min="47" max="47" width="55.42578125" style="15" hidden="1" customWidth="1"/>
    <col min="48" max="48" width="9.28515625" style="15" hidden="1" customWidth="1"/>
    <col min="49" max="49" width="11" style="15" hidden="1" customWidth="1"/>
    <col min="50" max="51" width="8.140625" style="15" hidden="1" customWidth="1"/>
    <col min="52" max="52" width="11.5703125" style="15" hidden="1" customWidth="1"/>
    <col min="53" max="53" width="55.42578125" style="15" hidden="1" customWidth="1"/>
    <col min="54" max="54" width="17.7109375" style="15" customWidth="1"/>
    <col min="55" max="55" width="16.85546875" style="15" customWidth="1"/>
    <col min="56" max="57" width="8.140625" style="15" customWidth="1"/>
    <col min="58" max="58" width="13.42578125" style="15" customWidth="1"/>
    <col min="59" max="59" width="53.42578125" style="15" customWidth="1"/>
    <col min="60" max="60" width="9.28515625" style="15" hidden="1" customWidth="1"/>
    <col min="61" max="61" width="11" style="15" hidden="1" customWidth="1"/>
    <col min="62" max="63" width="8.140625" style="15" hidden="1" customWidth="1"/>
    <col min="64" max="64" width="11.5703125" style="15" hidden="1" customWidth="1"/>
    <col min="65" max="65" width="55.42578125" style="15" hidden="1" customWidth="1"/>
    <col min="66" max="66" width="9.28515625" style="15" hidden="1" customWidth="1"/>
    <col min="67" max="67" width="11" style="15" hidden="1" customWidth="1"/>
    <col min="68" max="69" width="8.140625" style="15" hidden="1" customWidth="1"/>
    <col min="70" max="70" width="11.5703125" style="15" hidden="1" customWidth="1"/>
    <col min="71" max="71" width="55.42578125" style="15" hidden="1" customWidth="1"/>
    <col min="72" max="72" width="9.28515625" style="15" hidden="1" customWidth="1"/>
    <col min="73" max="73" width="11" style="15" hidden="1" customWidth="1"/>
    <col min="74" max="75" width="8.140625" style="15" hidden="1" customWidth="1"/>
    <col min="76" max="76" width="11.5703125" style="15" hidden="1" customWidth="1"/>
    <col min="77" max="77" width="55.42578125" style="15" hidden="1" customWidth="1"/>
    <col min="78" max="78" width="9.28515625" style="15" hidden="1" customWidth="1"/>
    <col min="79" max="79" width="11" style="15" hidden="1" customWidth="1"/>
    <col min="80" max="81" width="8.140625" style="15" hidden="1" customWidth="1"/>
    <col min="82" max="82" width="11.5703125" style="15" hidden="1" customWidth="1"/>
    <col min="83" max="83" width="55.42578125" style="15" hidden="1" customWidth="1"/>
    <col min="84" max="84" width="9.28515625" style="15" hidden="1" customWidth="1"/>
    <col min="85" max="85" width="11" style="15" hidden="1" customWidth="1"/>
    <col min="86" max="87" width="8.140625" style="15" hidden="1" customWidth="1"/>
    <col min="88" max="88" width="11.5703125" style="15" hidden="1" customWidth="1"/>
    <col min="89" max="89" width="55.42578125" style="15" hidden="1" customWidth="1"/>
    <col min="90" max="90" width="9.28515625" style="15" hidden="1" customWidth="1"/>
    <col min="91" max="91" width="11" style="15" hidden="1" customWidth="1"/>
    <col min="92" max="93" width="8.140625" style="15" hidden="1" customWidth="1"/>
    <col min="94" max="94" width="11.5703125" style="15" hidden="1" customWidth="1"/>
    <col min="95" max="95" width="55.42578125" style="15" hidden="1" customWidth="1"/>
    <col min="96" max="96" width="10" style="15" customWidth="1"/>
    <col min="97" max="97" width="12.140625" style="15" customWidth="1"/>
    <col min="98" max="98" width="9.42578125" style="15" customWidth="1"/>
    <col min="99" max="99" width="10.85546875" style="15" customWidth="1"/>
    <col min="100" max="100" width="12.85546875" style="15" customWidth="1"/>
    <col min="101" max="101" width="55.42578125" style="15" customWidth="1"/>
    <col min="102" max="102" width="19" style="15" bestFit="1" customWidth="1"/>
    <col min="103" max="103" width="27.28515625" style="15" customWidth="1"/>
    <col min="104" max="104" width="21.140625" style="15" customWidth="1"/>
    <col min="105" max="16384" width="11.42578125" style="15"/>
  </cols>
  <sheetData>
    <row r="1" spans="1:104" s="4" customFormat="1" ht="24.75" customHeight="1">
      <c r="A1" s="10"/>
      <c r="B1" s="1991" t="s">
        <v>332</v>
      </c>
      <c r="C1" s="1991"/>
      <c r="D1" s="1991"/>
      <c r="E1" s="1991"/>
      <c r="F1" s="1991"/>
      <c r="G1" s="1991"/>
      <c r="H1" s="1991"/>
      <c r="I1" s="1991"/>
      <c r="J1" s="1991"/>
      <c r="K1" s="1991"/>
      <c r="L1" s="1991"/>
      <c r="M1" s="1991"/>
      <c r="N1" s="1991"/>
      <c r="O1" s="1983"/>
      <c r="P1" s="1984"/>
      <c r="Q1" s="1984"/>
      <c r="R1" s="1984"/>
      <c r="S1" s="1982"/>
      <c r="T1" s="1982"/>
      <c r="U1" s="1982"/>
      <c r="V1" s="1982"/>
    </row>
    <row r="2" spans="1:104"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row>
    <row r="3" spans="1:104" ht="5.25" customHeight="1"/>
    <row r="4" spans="1:104" ht="19.5" customHeight="1">
      <c r="B4" s="49" t="s">
        <v>18</v>
      </c>
      <c r="C4" s="1979" t="s">
        <v>3076</v>
      </c>
      <c r="D4" s="1979"/>
      <c r="E4" s="1979"/>
      <c r="F4" s="1979"/>
      <c r="G4" s="1979"/>
      <c r="H4" s="1979"/>
      <c r="I4" s="1979"/>
      <c r="J4" s="1979"/>
      <c r="K4" s="1996" t="s">
        <v>21</v>
      </c>
      <c r="L4" s="1996"/>
      <c r="M4" s="1996"/>
      <c r="N4" s="1999"/>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4"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4" ht="6" customHeight="1">
      <c r="A5" s="128"/>
      <c r="B5" s="128"/>
      <c r="C5" s="44"/>
      <c r="D5" s="128"/>
      <c r="E5" s="128"/>
      <c r="F5" s="128"/>
      <c r="G5" s="128"/>
      <c r="H5" s="128"/>
      <c r="I5" s="128"/>
      <c r="J5" s="128"/>
      <c r="K5" s="128"/>
      <c r="L5" s="128"/>
      <c r="M5" s="128"/>
      <c r="N5" s="128"/>
      <c r="O5" s="128"/>
      <c r="P5" s="128"/>
      <c r="Q5" s="128"/>
      <c r="R5" s="128"/>
      <c r="S5" s="128"/>
      <c r="T5" s="128"/>
      <c r="U5" s="128"/>
      <c r="V5" s="128"/>
      <c r="W5" s="128"/>
      <c r="BB5" s="128"/>
      <c r="BC5" s="128"/>
      <c r="BD5" s="128"/>
      <c r="BE5" s="128"/>
      <c r="BF5" s="128"/>
      <c r="BG5" s="683"/>
    </row>
    <row r="6" spans="1:104"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3077</v>
      </c>
      <c r="AK6" s="1977"/>
      <c r="AL6" s="1977"/>
      <c r="AM6" s="1977"/>
      <c r="AN6" s="1977"/>
      <c r="AO6" s="1977"/>
      <c r="AP6" s="1962" t="s">
        <v>40</v>
      </c>
      <c r="AQ6" s="1963"/>
      <c r="AR6" s="1963"/>
      <c r="AS6" s="1963"/>
      <c r="AT6" s="1963"/>
      <c r="AU6" s="1963"/>
      <c r="AV6" s="1986" t="s">
        <v>41</v>
      </c>
      <c r="AW6" s="1987"/>
      <c r="AX6" s="1987"/>
      <c r="AY6" s="1987"/>
      <c r="AZ6" s="1987"/>
      <c r="BA6" s="1987"/>
      <c r="BB6" s="1997" t="s">
        <v>3078</v>
      </c>
      <c r="BC6" s="1998"/>
      <c r="BD6" s="1998"/>
      <c r="BE6" s="1998"/>
      <c r="BF6" s="1998"/>
      <c r="BG6" s="1998"/>
      <c r="BH6" s="2691"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4"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5" t="s">
        <v>65</v>
      </c>
      <c r="X7" s="56" t="s">
        <v>31</v>
      </c>
      <c r="Y7" s="56" t="s">
        <v>32</v>
      </c>
      <c r="Z7" s="57" t="s">
        <v>33</v>
      </c>
      <c r="AA7" s="56" t="s">
        <v>34</v>
      </c>
      <c r="AB7" s="19" t="s">
        <v>35</v>
      </c>
      <c r="AC7" s="57" t="s">
        <v>36</v>
      </c>
      <c r="AD7" s="56" t="s">
        <v>31</v>
      </c>
      <c r="AE7" s="56" t="s">
        <v>32</v>
      </c>
      <c r="AF7" s="57" t="s">
        <v>33</v>
      </c>
      <c r="AG7" s="56" t="s">
        <v>34</v>
      </c>
      <c r="AH7" s="19" t="s">
        <v>35</v>
      </c>
      <c r="AI7" s="57" t="s">
        <v>36</v>
      </c>
      <c r="AJ7" s="56" t="s">
        <v>31</v>
      </c>
      <c r="AK7" s="56" t="s">
        <v>32</v>
      </c>
      <c r="AL7" s="57" t="s">
        <v>33</v>
      </c>
      <c r="AM7" s="56" t="s">
        <v>34</v>
      </c>
      <c r="AN7" s="19" t="s">
        <v>35</v>
      </c>
      <c r="AO7" s="57" t="s">
        <v>36</v>
      </c>
      <c r="AP7" s="56" t="s">
        <v>31</v>
      </c>
      <c r="AQ7" s="56" t="s">
        <v>32</v>
      </c>
      <c r="AR7" s="57" t="s">
        <v>33</v>
      </c>
      <c r="AS7" s="56" t="s">
        <v>34</v>
      </c>
      <c r="AT7" s="19" t="s">
        <v>35</v>
      </c>
      <c r="AU7" s="57" t="s">
        <v>36</v>
      </c>
      <c r="AV7" s="56" t="s">
        <v>31</v>
      </c>
      <c r="AW7" s="56" t="s">
        <v>32</v>
      </c>
      <c r="AX7" s="57" t="s">
        <v>33</v>
      </c>
      <c r="AY7" s="56" t="s">
        <v>34</v>
      </c>
      <c r="AZ7" s="19" t="s">
        <v>35</v>
      </c>
      <c r="BA7" s="57" t="s">
        <v>36</v>
      </c>
      <c r="BB7" s="56" t="s">
        <v>31</v>
      </c>
      <c r="BC7" s="56" t="s">
        <v>32</v>
      </c>
      <c r="BD7" s="57" t="s">
        <v>33</v>
      </c>
      <c r="BE7" s="56" t="s">
        <v>34</v>
      </c>
      <c r="BF7" s="19" t="s">
        <v>35</v>
      </c>
      <c r="BG7" s="57" t="s">
        <v>36</v>
      </c>
      <c r="BH7" s="1402" t="s">
        <v>31</v>
      </c>
      <c r="BI7" s="56" t="s">
        <v>32</v>
      </c>
      <c r="BJ7" s="57" t="s">
        <v>33</v>
      </c>
      <c r="BK7" s="56" t="s">
        <v>34</v>
      </c>
      <c r="BL7" s="19" t="s">
        <v>35</v>
      </c>
      <c r="BM7" s="57" t="s">
        <v>36</v>
      </c>
      <c r="BN7" s="56" t="s">
        <v>31</v>
      </c>
      <c r="BO7" s="56" t="s">
        <v>32</v>
      </c>
      <c r="BP7" s="57" t="s">
        <v>33</v>
      </c>
      <c r="BQ7" s="56" t="s">
        <v>34</v>
      </c>
      <c r="BR7" s="19" t="s">
        <v>35</v>
      </c>
      <c r="BS7" s="57" t="s">
        <v>36</v>
      </c>
      <c r="BT7" s="56" t="s">
        <v>31</v>
      </c>
      <c r="BU7" s="56" t="s">
        <v>32</v>
      </c>
      <c r="BV7" s="57" t="s">
        <v>33</v>
      </c>
      <c r="BW7" s="56" t="s">
        <v>34</v>
      </c>
      <c r="BX7" s="19" t="s">
        <v>35</v>
      </c>
      <c r="BY7" s="57" t="s">
        <v>36</v>
      </c>
      <c r="BZ7" s="56" t="s">
        <v>31</v>
      </c>
      <c r="CA7" s="56" t="s">
        <v>32</v>
      </c>
      <c r="CB7" s="57" t="s">
        <v>33</v>
      </c>
      <c r="CC7" s="56" t="s">
        <v>34</v>
      </c>
      <c r="CD7" s="19" t="s">
        <v>35</v>
      </c>
      <c r="CE7" s="57" t="s">
        <v>36</v>
      </c>
      <c r="CF7" s="56" t="s">
        <v>31</v>
      </c>
      <c r="CG7" s="56" t="s">
        <v>32</v>
      </c>
      <c r="CH7" s="57" t="s">
        <v>33</v>
      </c>
      <c r="CI7" s="56" t="s">
        <v>34</v>
      </c>
      <c r="CJ7" s="19" t="s">
        <v>35</v>
      </c>
      <c r="CK7" s="57" t="s">
        <v>36</v>
      </c>
      <c r="CL7" s="56" t="s">
        <v>31</v>
      </c>
      <c r="CM7" s="56" t="s">
        <v>32</v>
      </c>
      <c r="CN7" s="57" t="s">
        <v>33</v>
      </c>
      <c r="CO7" s="56" t="s">
        <v>34</v>
      </c>
      <c r="CP7" s="19" t="s">
        <v>35</v>
      </c>
      <c r="CQ7" s="57" t="s">
        <v>36</v>
      </c>
      <c r="CR7" s="56" t="s">
        <v>31</v>
      </c>
      <c r="CS7" s="56" t="s">
        <v>32</v>
      </c>
      <c r="CT7" s="57" t="s">
        <v>33</v>
      </c>
      <c r="CU7" s="56" t="s">
        <v>34</v>
      </c>
      <c r="CV7" s="19" t="s">
        <v>35</v>
      </c>
      <c r="CW7" s="57" t="s">
        <v>36</v>
      </c>
    </row>
    <row r="8" spans="1:104" ht="134.25" customHeight="1">
      <c r="B8" s="59" t="s">
        <v>3079</v>
      </c>
      <c r="C8" s="59"/>
      <c r="D8" s="59" t="s">
        <v>3080</v>
      </c>
      <c r="E8" s="59" t="s">
        <v>3081</v>
      </c>
      <c r="F8" s="59" t="s">
        <v>3082</v>
      </c>
      <c r="G8" s="59" t="s">
        <v>352</v>
      </c>
      <c r="H8" s="59" t="s">
        <v>3083</v>
      </c>
      <c r="I8" s="59" t="s">
        <v>3084</v>
      </c>
      <c r="J8" s="59" t="s">
        <v>3085</v>
      </c>
      <c r="K8" s="7"/>
      <c r="L8" s="7"/>
      <c r="M8" s="12">
        <v>0.01</v>
      </c>
      <c r="N8" s="7"/>
      <c r="O8" s="7"/>
      <c r="P8" s="14">
        <v>0.01</v>
      </c>
      <c r="Q8" s="14"/>
      <c r="R8" s="14"/>
      <c r="S8" s="14">
        <v>0.01</v>
      </c>
      <c r="T8" s="14"/>
      <c r="U8" s="14"/>
      <c r="V8" s="14">
        <v>0.01</v>
      </c>
      <c r="W8" s="75" t="s">
        <v>3086</v>
      </c>
      <c r="X8" s="21">
        <v>100</v>
      </c>
      <c r="Y8" s="21">
        <v>200</v>
      </c>
      <c r="Z8" s="22">
        <f>IF(Y8=0," ",X8/Y8)</f>
        <v>0.5</v>
      </c>
      <c r="AA8" s="58">
        <v>1</v>
      </c>
      <c r="AB8" s="24">
        <f>IF(Y8=0," ",Z8/AA8)</f>
        <v>0.5</v>
      </c>
      <c r="AC8" s="25"/>
      <c r="AD8" s="21"/>
      <c r="AE8" s="21"/>
      <c r="AF8" s="22" t="str">
        <f>IF(AE8=0," ",AD8/AE8)</f>
        <v xml:space="preserve"> </v>
      </c>
      <c r="AG8" s="58"/>
      <c r="AH8" s="24" t="str">
        <f>IF(AE8=0," ",AF8/AG8)</f>
        <v xml:space="preserve"> </v>
      </c>
      <c r="AI8" s="25"/>
      <c r="AJ8" s="434">
        <v>136431429</v>
      </c>
      <c r="AK8" s="434">
        <v>21483214474</v>
      </c>
      <c r="AL8" s="1668">
        <f>IF(AK8=0," ",AJ8/AK8)</f>
        <v>6.3506059191056237E-3</v>
      </c>
      <c r="AM8" s="437">
        <v>0.01</v>
      </c>
      <c r="AN8" s="438">
        <f>IF(AK8=0," ",AL8/AM8)</f>
        <v>0.63506059191056241</v>
      </c>
      <c r="AO8" s="1669" t="s">
        <v>3087</v>
      </c>
      <c r="AP8" s="21"/>
      <c r="AQ8" s="21"/>
      <c r="AR8" s="22" t="str">
        <f>IF(AQ8=0," ",AP8/AQ8)</f>
        <v xml:space="preserve"> </v>
      </c>
      <c r="AS8" s="58"/>
      <c r="AT8" s="24" t="str">
        <f>IF(AQ8=0," ",AR8/AS8)</f>
        <v xml:space="preserve"> </v>
      </c>
      <c r="AU8" s="25"/>
      <c r="AV8" s="21"/>
      <c r="AW8" s="21"/>
      <c r="AX8" s="22" t="str">
        <f>IF(AW8=0," ",AV8/AW8)</f>
        <v xml:space="preserve"> </v>
      </c>
      <c r="AY8" s="58"/>
      <c r="AZ8" s="24" t="str">
        <f>IF(AW8=0," ",AX8/AY8)</f>
        <v xml:space="preserve"> </v>
      </c>
      <c r="BA8" s="25"/>
      <c r="BB8" s="434">
        <v>225646336</v>
      </c>
      <c r="BC8" s="446">
        <v>21483214474</v>
      </c>
      <c r="BD8" s="1670">
        <f>IF(BC8=0," ",BB8/BC8)</f>
        <v>1.0503378638847918E-2</v>
      </c>
      <c r="BE8" s="437">
        <v>0.01</v>
      </c>
      <c r="BF8" s="438">
        <f>IF(BC8=0," ",BD8/BE8)</f>
        <v>1.0503378638847918</v>
      </c>
      <c r="BG8" s="1669" t="s">
        <v>3088</v>
      </c>
      <c r="BH8" s="26"/>
      <c r="BI8" s="21"/>
      <c r="BJ8" s="22" t="str">
        <f>IF(BI8=0," ",BH8/BI8)</f>
        <v xml:space="preserve"> </v>
      </c>
      <c r="BK8" s="58"/>
      <c r="BL8" s="24" t="str">
        <f>IF(BI8=0," ",BJ8/BK8)</f>
        <v xml:space="preserve"> </v>
      </c>
      <c r="BM8" s="25"/>
      <c r="BN8" s="21"/>
      <c r="BO8" s="21"/>
      <c r="BP8" s="22" t="str">
        <f>IF(BO8=0," ",BN8/BO8)</f>
        <v xml:space="preserve"> </v>
      </c>
      <c r="BQ8" s="58"/>
      <c r="BR8" s="24" t="str">
        <f>IF(BO8=0," ",BP8/BQ8)</f>
        <v xml:space="preserve"> </v>
      </c>
      <c r="BS8" s="25"/>
      <c r="BT8" s="21"/>
      <c r="BU8" s="21"/>
      <c r="BV8" s="22" t="str">
        <f>IF(BU8=0," ",BT8/BU8)</f>
        <v xml:space="preserve"> </v>
      </c>
      <c r="BW8" s="58"/>
      <c r="BX8" s="24" t="str">
        <f>IF(BU8=0," ",BV8/BW8)</f>
        <v xml:space="preserve"> </v>
      </c>
      <c r="BY8" s="25"/>
      <c r="BZ8" s="21"/>
      <c r="CA8" s="21"/>
      <c r="CB8" s="22" t="str">
        <f>IF(CA8=0," ",BZ8/CA8)</f>
        <v xml:space="preserve"> </v>
      </c>
      <c r="CC8" s="58"/>
      <c r="CD8" s="24" t="str">
        <f>IF(CA8=0," ",CB8/CC8)</f>
        <v xml:space="preserve"> </v>
      </c>
      <c r="CE8" s="25"/>
      <c r="CF8" s="21"/>
      <c r="CG8" s="21"/>
      <c r="CH8" s="22" t="str">
        <f>IF(CG8=0," ",CF8/CG8)</f>
        <v xml:space="preserve"> </v>
      </c>
      <c r="CI8" s="58"/>
      <c r="CJ8" s="24" t="str">
        <f>IF(CG8=0," ",CH8/CI8)</f>
        <v xml:space="preserve"> </v>
      </c>
      <c r="CK8" s="25"/>
      <c r="CL8" s="21"/>
      <c r="CM8" s="21"/>
      <c r="CN8" s="22" t="str">
        <f>IF(CM8=0," ",CL8/CM8)</f>
        <v xml:space="preserve"> </v>
      </c>
      <c r="CO8" s="58"/>
      <c r="CP8" s="24" t="str">
        <f>IF(CM8=0," ",CN8/CO8)</f>
        <v xml:space="preserve"> </v>
      </c>
      <c r="CQ8" s="25"/>
      <c r="CR8" s="21"/>
      <c r="CS8" s="21"/>
      <c r="CT8" s="22" t="str">
        <f>IF(CS8=0," ",CR8/CS8)</f>
        <v xml:space="preserve"> </v>
      </c>
      <c r="CU8" s="58"/>
      <c r="CV8" s="24" t="str">
        <f>IF(CS8=0," ",CT8/CU8)</f>
        <v xml:space="preserve"> </v>
      </c>
      <c r="CW8" s="25">
        <f>+BC8*4/100</f>
        <v>859328578.96000004</v>
      </c>
      <c r="CX8" s="1671">
        <f>+BC8*0.04</f>
        <v>859328578.96000004</v>
      </c>
      <c r="CY8" s="1672"/>
    </row>
    <row r="9" spans="1:104" ht="104.25" customHeight="1">
      <c r="B9" s="59" t="s">
        <v>3079</v>
      </c>
      <c r="C9" s="59"/>
      <c r="D9" s="59" t="s">
        <v>3089</v>
      </c>
      <c r="E9" s="59" t="s">
        <v>3081</v>
      </c>
      <c r="F9" s="59" t="s">
        <v>3082</v>
      </c>
      <c r="G9" s="59" t="s">
        <v>352</v>
      </c>
      <c r="H9" s="59" t="s">
        <v>3083</v>
      </c>
      <c r="I9" s="59" t="s">
        <v>3084</v>
      </c>
      <c r="J9" s="59" t="s">
        <v>3085</v>
      </c>
      <c r="K9" s="7"/>
      <c r="L9" s="7"/>
      <c r="M9" s="392">
        <v>7.4999999999999997E-2</v>
      </c>
      <c r="N9" s="7"/>
      <c r="O9" s="7"/>
      <c r="P9" s="1673">
        <v>7.4999999999999997E-2</v>
      </c>
      <c r="Q9" s="14"/>
      <c r="R9" s="14"/>
      <c r="S9" s="1673">
        <v>7.4999999999999997E-2</v>
      </c>
      <c r="T9" s="14"/>
      <c r="U9" s="14"/>
      <c r="V9" s="1673">
        <v>7.4999999999999997E-2</v>
      </c>
      <c r="W9" s="75" t="s">
        <v>3086</v>
      </c>
      <c r="X9" s="21"/>
      <c r="Y9" s="21"/>
      <c r="Z9" s="22" t="str">
        <f>IF(Y9=0," ",X9/Y9)</f>
        <v xml:space="preserve"> </v>
      </c>
      <c r="AA9" s="58"/>
      <c r="AB9" s="24" t="str">
        <f>IF(Y9=0," ",Z9/AA9)</f>
        <v xml:space="preserve"> </v>
      </c>
      <c r="AC9" s="25"/>
      <c r="AD9" s="21"/>
      <c r="AE9" s="21"/>
      <c r="AF9" s="22" t="str">
        <f>IF(AE9=0," ",AD9/AE9)</f>
        <v xml:space="preserve"> </v>
      </c>
      <c r="AG9" s="58"/>
      <c r="AH9" s="24" t="str">
        <f>IF(AE9=0," ",AF9/AG9)</f>
        <v xml:space="preserve"> </v>
      </c>
      <c r="AI9" s="25"/>
      <c r="AJ9" s="434">
        <v>638393305</v>
      </c>
      <c r="AK9" s="434">
        <v>22848701647</v>
      </c>
      <c r="AL9" s="436">
        <f>IF(AK9=0," ",AJ9/AK9)</f>
        <v>2.7940025427388784E-2</v>
      </c>
      <c r="AM9" s="1674">
        <v>7.4999999999999997E-2</v>
      </c>
      <c r="AN9" s="438">
        <f>IF(AK9=0," ",AL9/AM9)</f>
        <v>0.37253367236518381</v>
      </c>
      <c r="AO9" s="1669" t="s">
        <v>3090</v>
      </c>
      <c r="AP9" s="21"/>
      <c r="AQ9" s="21"/>
      <c r="AR9" s="22" t="str">
        <f>IF(AQ9=0," ",AP9/AQ9)</f>
        <v xml:space="preserve"> </v>
      </c>
      <c r="AS9" s="58"/>
      <c r="AT9" s="24" t="str">
        <f>IF(AQ9=0," ",AR9/AS9)</f>
        <v xml:space="preserve"> </v>
      </c>
      <c r="AU9" s="25"/>
      <c r="AV9" s="21"/>
      <c r="AW9" s="21"/>
      <c r="AX9" s="22" t="str">
        <f>IF(AW9=0," ",AV9/AW9)</f>
        <v xml:space="preserve"> </v>
      </c>
      <c r="AY9" s="58"/>
      <c r="AZ9" s="24" t="str">
        <f>IF(AW9=0," ",AX9/AY9)</f>
        <v xml:space="preserve"> </v>
      </c>
      <c r="BA9" s="25"/>
      <c r="BB9" s="434">
        <v>1659510927</v>
      </c>
      <c r="BC9" s="446">
        <v>22848701647</v>
      </c>
      <c r="BD9" s="1670">
        <f>IF(BC9=0," ",BB9/BC9)</f>
        <v>7.2630425686261754E-2</v>
      </c>
      <c r="BE9" s="1674">
        <v>7.4999999999999997E-2</v>
      </c>
      <c r="BF9" s="438">
        <f>IF(BC9=0," ",BD9/BE9)</f>
        <v>0.96840567581682346</v>
      </c>
      <c r="BG9" s="1669" t="s">
        <v>3091</v>
      </c>
      <c r="BH9" s="26"/>
      <c r="BI9" s="21"/>
      <c r="BJ9" s="22" t="str">
        <f>IF(BI9=0," ",BH9/BI9)</f>
        <v xml:space="preserve"> </v>
      </c>
      <c r="BK9" s="58"/>
      <c r="BL9" s="24" t="str">
        <f>IF(BI9=0," ",BJ9/BK9)</f>
        <v xml:space="preserve"> </v>
      </c>
      <c r="BM9" s="25"/>
      <c r="BN9" s="21"/>
      <c r="BO9" s="21"/>
      <c r="BP9" s="22" t="str">
        <f>IF(BO9=0," ",BN9/BO9)</f>
        <v xml:space="preserve"> </v>
      </c>
      <c r="BQ9" s="58"/>
      <c r="BR9" s="24" t="str">
        <f>IF(BO9=0," ",BP9/BQ9)</f>
        <v xml:space="preserve"> </v>
      </c>
      <c r="BS9" s="25"/>
      <c r="BT9" s="21"/>
      <c r="BU9" s="21"/>
      <c r="BV9" s="22" t="str">
        <f>IF(BU9=0," ",BT9/BU9)</f>
        <v xml:space="preserve"> </v>
      </c>
      <c r="BW9" s="58"/>
      <c r="BX9" s="24" t="str">
        <f>IF(BU9=0," ",BV9/BW9)</f>
        <v xml:space="preserve"> </v>
      </c>
      <c r="BY9" s="25"/>
      <c r="BZ9" s="21"/>
      <c r="CA9" s="21"/>
      <c r="CB9" s="22" t="str">
        <f>IF(CA9=0," ",BZ9/CA9)</f>
        <v xml:space="preserve"> </v>
      </c>
      <c r="CC9" s="58"/>
      <c r="CD9" s="24" t="str">
        <f>IF(CA9=0," ",CB9/CC9)</f>
        <v xml:space="preserve"> </v>
      </c>
      <c r="CE9" s="25"/>
      <c r="CF9" s="21"/>
      <c r="CG9" s="21"/>
      <c r="CH9" s="22" t="str">
        <f>IF(CG9=0," ",CF9/CG9)</f>
        <v xml:space="preserve"> </v>
      </c>
      <c r="CI9" s="58"/>
      <c r="CJ9" s="24" t="str">
        <f>IF(CG9=0," ",CH9/CI9)</f>
        <v xml:space="preserve"> </v>
      </c>
      <c r="CK9" s="25"/>
      <c r="CL9" s="21"/>
      <c r="CM9" s="21"/>
      <c r="CN9" s="22" t="str">
        <f>IF(CM9=0," ",CL9/CM9)</f>
        <v xml:space="preserve"> </v>
      </c>
      <c r="CO9" s="58"/>
      <c r="CP9" s="24" t="str">
        <f>IF(CM9=0," ",CN9/CO9)</f>
        <v xml:space="preserve"> </v>
      </c>
      <c r="CQ9" s="25"/>
      <c r="CR9" s="21"/>
      <c r="CS9" s="21"/>
      <c r="CT9" s="22" t="str">
        <f>IF(CS9=0," ",CR9/CS9)</f>
        <v xml:space="preserve"> </v>
      </c>
      <c r="CU9" s="58"/>
      <c r="CV9" s="24" t="str">
        <f>IF(CS9=0," ",CT9/CU9)</f>
        <v xml:space="preserve"> </v>
      </c>
      <c r="CW9" s="25">
        <f>+BC9*30/100</f>
        <v>6854610494.1000004</v>
      </c>
      <c r="CX9" s="1671">
        <f>+BC9*0.3</f>
        <v>6854610494.0999994</v>
      </c>
      <c r="CY9" s="1671">
        <f>+CX9*7.5/100</f>
        <v>514095787.05749995</v>
      </c>
      <c r="CZ9" s="1675"/>
    </row>
    <row r="10" spans="1:104" ht="135" customHeight="1">
      <c r="B10" s="59" t="s">
        <v>3079</v>
      </c>
      <c r="C10" s="59"/>
      <c r="D10" s="59" t="s">
        <v>3092</v>
      </c>
      <c r="E10" s="59" t="s">
        <v>3081</v>
      </c>
      <c r="F10" s="59" t="s">
        <v>3082</v>
      </c>
      <c r="G10" s="59" t="s">
        <v>352</v>
      </c>
      <c r="H10" s="59" t="s">
        <v>3083</v>
      </c>
      <c r="I10" s="59" t="s">
        <v>3084</v>
      </c>
      <c r="J10" s="59" t="s">
        <v>3085</v>
      </c>
      <c r="K10" s="7"/>
      <c r="L10" s="7"/>
      <c r="M10" s="12">
        <v>0.03</v>
      </c>
      <c r="N10" s="7"/>
      <c r="O10" s="7"/>
      <c r="P10" s="14">
        <v>0.03</v>
      </c>
      <c r="Q10" s="14"/>
      <c r="R10" s="14"/>
      <c r="S10" s="14">
        <v>0.03</v>
      </c>
      <c r="T10" s="14"/>
      <c r="U10" s="14"/>
      <c r="V10" s="14">
        <v>0.03</v>
      </c>
      <c r="W10" s="75" t="s">
        <v>3086</v>
      </c>
      <c r="X10" s="21"/>
      <c r="Y10" s="21"/>
      <c r="Z10" s="22" t="str">
        <f>IF(Y10=0," ",X10/Y10)</f>
        <v xml:space="preserve"> </v>
      </c>
      <c r="AA10" s="58"/>
      <c r="AB10" s="24" t="str">
        <f>IF(Y10=0," ",Z10/AA10)</f>
        <v xml:space="preserve"> </v>
      </c>
      <c r="AC10" s="25"/>
      <c r="AD10" s="21"/>
      <c r="AE10" s="21"/>
      <c r="AF10" s="22" t="str">
        <f>IF(AE10=0," ",AD10/AE10)</f>
        <v xml:space="preserve"> </v>
      </c>
      <c r="AG10" s="58"/>
      <c r="AH10" s="24" t="str">
        <f>IF(AE10=0," ",AF10/AG10)</f>
        <v xml:space="preserve"> </v>
      </c>
      <c r="AI10" s="25"/>
      <c r="AJ10" s="434">
        <v>279810327</v>
      </c>
      <c r="AK10" s="434">
        <v>2738564420</v>
      </c>
      <c r="AL10" s="436">
        <f>IF(AK10=0," ",AJ10/AK10)</f>
        <v>0.10217408981016411</v>
      </c>
      <c r="AM10" s="437">
        <v>0.03</v>
      </c>
      <c r="AN10" s="438">
        <f>IF(AK10=0," ",AL10/AM10)</f>
        <v>3.405802993672137</v>
      </c>
      <c r="AO10" s="1669" t="s">
        <v>3093</v>
      </c>
      <c r="AP10" s="21"/>
      <c r="AQ10" s="21"/>
      <c r="AR10" s="22" t="str">
        <f>IF(AQ10=0," ",AP10/AQ10)</f>
        <v xml:space="preserve"> </v>
      </c>
      <c r="AS10" s="58"/>
      <c r="AT10" s="24" t="str">
        <f>IF(AQ10=0," ",AR10/AS10)</f>
        <v xml:space="preserve"> </v>
      </c>
      <c r="AU10" s="25"/>
      <c r="AV10" s="21"/>
      <c r="AW10" s="21"/>
      <c r="AX10" s="22" t="str">
        <f>IF(AW10=0," ",AV10/AW10)</f>
        <v xml:space="preserve"> </v>
      </c>
      <c r="AY10" s="58"/>
      <c r="AZ10" s="24" t="str">
        <f>IF(AW10=0," ",AX10/AY10)</f>
        <v xml:space="preserve"> </v>
      </c>
      <c r="BA10" s="25"/>
      <c r="BB10" s="434">
        <v>227735201</v>
      </c>
      <c r="BC10" s="446">
        <v>2738564420</v>
      </c>
      <c r="BD10" s="1670">
        <f>IF(BC10=0," ",BB10/BC10)</f>
        <v>8.315860650814999E-2</v>
      </c>
      <c r="BE10" s="437">
        <v>0.03</v>
      </c>
      <c r="BF10" s="438">
        <f>IF(BC10=0," ",BD10/BE10)</f>
        <v>2.7719535502716663</v>
      </c>
      <c r="BG10" s="1669" t="s">
        <v>3094</v>
      </c>
      <c r="BH10" s="26"/>
      <c r="BI10" s="21"/>
      <c r="BJ10" s="22" t="str">
        <f>IF(BI10=0," ",BH10/BI10)</f>
        <v xml:space="preserve"> </v>
      </c>
      <c r="BK10" s="58"/>
      <c r="BL10" s="24" t="str">
        <f>IF(BI10=0," ",BJ10/BK10)</f>
        <v xml:space="preserve"> </v>
      </c>
      <c r="BM10" s="25"/>
      <c r="BN10" s="21"/>
      <c r="BO10" s="21"/>
      <c r="BP10" s="22" t="str">
        <f>IF(BO10=0," ",BN10/BO10)</f>
        <v xml:space="preserve"> </v>
      </c>
      <c r="BQ10" s="58"/>
      <c r="BR10" s="24" t="str">
        <f>IF(BO10=0," ",BP10/BQ10)</f>
        <v xml:space="preserve"> </v>
      </c>
      <c r="BS10" s="25"/>
      <c r="BT10" s="21"/>
      <c r="BU10" s="21"/>
      <c r="BV10" s="22" t="str">
        <f>IF(BU10=0," ",BT10/BU10)</f>
        <v xml:space="preserve"> </v>
      </c>
      <c r="BW10" s="58"/>
      <c r="BX10" s="24" t="str">
        <f>IF(BU10=0," ",BV10/BW10)</f>
        <v xml:space="preserve"> </v>
      </c>
      <c r="BY10" s="25"/>
      <c r="BZ10" s="21"/>
      <c r="CA10" s="21"/>
      <c r="CB10" s="22" t="str">
        <f>IF(CA10=0," ",BZ10/CA10)</f>
        <v xml:space="preserve"> </v>
      </c>
      <c r="CC10" s="58"/>
      <c r="CD10" s="24" t="str">
        <f>IF(CA10=0," ",CB10/CC10)</f>
        <v xml:space="preserve"> </v>
      </c>
      <c r="CE10" s="25"/>
      <c r="CF10" s="21"/>
      <c r="CG10" s="21"/>
      <c r="CH10" s="22" t="str">
        <f>IF(CG10=0," ",CF10/CG10)</f>
        <v xml:space="preserve"> </v>
      </c>
      <c r="CI10" s="58"/>
      <c r="CJ10" s="24" t="str">
        <f>IF(CG10=0," ",CH10/CI10)</f>
        <v xml:space="preserve"> </v>
      </c>
      <c r="CK10" s="25"/>
      <c r="CL10" s="21"/>
      <c r="CM10" s="21"/>
      <c r="CN10" s="22" t="str">
        <f>IF(CM10=0," ",CL10/CM10)</f>
        <v xml:space="preserve"> </v>
      </c>
      <c r="CO10" s="58"/>
      <c r="CP10" s="24" t="str">
        <f>IF(CM10=0," ",CN10/CO10)</f>
        <v xml:space="preserve"> </v>
      </c>
      <c r="CQ10" s="25"/>
      <c r="CR10" s="21"/>
      <c r="CS10" s="21"/>
      <c r="CT10" s="22" t="str">
        <f>IF(CS10=0," ",CR10/CS10)</f>
        <v xml:space="preserve"> </v>
      </c>
      <c r="CU10" s="58"/>
      <c r="CV10" s="24" t="str">
        <f>IF(CS10=0," ",CT10/CU10)</f>
        <v xml:space="preserve"> </v>
      </c>
      <c r="CW10" s="25"/>
      <c r="CX10" s="1671">
        <f>+BC10*12/100</f>
        <v>328627730.39999998</v>
      </c>
      <c r="CY10" s="1672">
        <f>+BB10*12/CX10</f>
        <v>8.315860650814999</v>
      </c>
    </row>
    <row r="11" spans="1:104" ht="291.75" customHeight="1">
      <c r="B11" s="59" t="s">
        <v>3079</v>
      </c>
      <c r="C11" s="59"/>
      <c r="D11" s="59" t="s">
        <v>3095</v>
      </c>
      <c r="E11" s="59" t="s">
        <v>3096</v>
      </c>
      <c r="F11" s="59" t="s">
        <v>3097</v>
      </c>
      <c r="G11" s="59" t="s">
        <v>352</v>
      </c>
      <c r="H11" s="59" t="s">
        <v>3098</v>
      </c>
      <c r="I11" s="59" t="s">
        <v>3099</v>
      </c>
      <c r="J11" s="59" t="s">
        <v>3100</v>
      </c>
      <c r="K11" s="7"/>
      <c r="L11" s="7"/>
      <c r="M11" s="12"/>
      <c r="N11" s="7"/>
      <c r="O11" s="7"/>
      <c r="P11" s="14"/>
      <c r="Q11" s="14"/>
      <c r="R11" s="14"/>
      <c r="S11" s="14"/>
      <c r="T11" s="14"/>
      <c r="U11" s="14"/>
      <c r="V11" s="14">
        <v>0.5</v>
      </c>
      <c r="W11" s="75" t="s">
        <v>3086</v>
      </c>
      <c r="X11" s="21"/>
      <c r="Y11" s="21"/>
      <c r="Z11" s="22" t="str">
        <f>IF(Y11=0," ",X11/Y11)</f>
        <v xml:space="preserve"> </v>
      </c>
      <c r="AA11" s="58"/>
      <c r="AB11" s="24" t="str">
        <f>IF(Y11=0," ",Z11/AA11)</f>
        <v xml:space="preserve"> </v>
      </c>
      <c r="AD11" s="21"/>
      <c r="AE11" s="21"/>
      <c r="AF11" s="22" t="str">
        <f>IF(AE11=0," ",AD11/AE11)</f>
        <v xml:space="preserve"> </v>
      </c>
      <c r="AG11" s="58"/>
      <c r="AH11" s="24" t="str">
        <f>IF(AE11=0," ",AF11/AG11)</f>
        <v xml:space="preserve"> </v>
      </c>
      <c r="AI11" s="25"/>
      <c r="AJ11" s="435"/>
      <c r="AK11" s="435"/>
      <c r="AL11" s="436" t="str">
        <f>IF(AK11=0," ",AJ11/AK11)</f>
        <v xml:space="preserve"> </v>
      </c>
      <c r="AM11" s="437"/>
      <c r="AN11" s="438" t="str">
        <f>IF(AK11=0," ",AL11/AM11)</f>
        <v xml:space="preserve"> </v>
      </c>
      <c r="AO11" s="1669" t="s">
        <v>3101</v>
      </c>
      <c r="AP11" s="21"/>
      <c r="AQ11" s="21"/>
      <c r="AR11" s="22" t="str">
        <f>IF(AQ11=0," ",AP11/AQ11)</f>
        <v xml:space="preserve"> </v>
      </c>
      <c r="AS11" s="58"/>
      <c r="AT11" s="24" t="str">
        <f>IF(AQ11=0," ",AR11/AS11)</f>
        <v xml:space="preserve"> </v>
      </c>
      <c r="AU11" s="25"/>
      <c r="AV11" s="21"/>
      <c r="AW11" s="21"/>
      <c r="AX11" s="22" t="str">
        <f>IF(AW11=0," ",AV11/AW11)</f>
        <v xml:space="preserve"> </v>
      </c>
      <c r="AY11" s="58"/>
      <c r="AZ11" s="24" t="str">
        <f>IF(AW11=0," ",AX11/AY11)</f>
        <v xml:space="preserve"> </v>
      </c>
      <c r="BA11" s="25"/>
      <c r="BB11" s="435"/>
      <c r="BC11" s="435"/>
      <c r="BD11" s="436" t="str">
        <f>IF(BC11=0," ",BB11/BC11)</f>
        <v xml:space="preserve"> </v>
      </c>
      <c r="BE11" s="437"/>
      <c r="BF11" s="438" t="str">
        <f>IF(BC11=0," ",BD11/BE11)</f>
        <v xml:space="preserve"> </v>
      </c>
      <c r="BG11" s="1676" t="s">
        <v>3102</v>
      </c>
      <c r="BH11" s="26"/>
      <c r="BI11" s="21"/>
      <c r="BJ11" s="22" t="str">
        <f>IF(BI11=0," ",BH11/BI11)</f>
        <v xml:space="preserve"> </v>
      </c>
      <c r="BK11" s="58"/>
      <c r="BL11" s="24" t="str">
        <f>IF(BI11=0," ",BJ11/BK11)</f>
        <v xml:space="preserve"> </v>
      </c>
      <c r="BM11" s="25"/>
      <c r="BN11" s="21"/>
      <c r="BO11" s="21"/>
      <c r="BP11" s="22" t="str">
        <f>IF(BO11=0," ",BN11/BO11)</f>
        <v xml:space="preserve"> </v>
      </c>
      <c r="BQ11" s="58"/>
      <c r="BR11" s="24" t="str">
        <f>IF(BO11=0," ",BP11/BQ11)</f>
        <v xml:space="preserve"> </v>
      </c>
      <c r="BS11" s="25"/>
      <c r="BT11" s="21"/>
      <c r="BU11" s="21"/>
      <c r="BV11" s="22" t="str">
        <f>IF(BU11=0," ",BT11/BU11)</f>
        <v xml:space="preserve"> </v>
      </c>
      <c r="BW11" s="58"/>
      <c r="BX11" s="24" t="str">
        <f>IF(BU11=0," ",BV11/BW11)</f>
        <v xml:space="preserve"> </v>
      </c>
      <c r="BY11" s="25"/>
      <c r="BZ11" s="21"/>
      <c r="CA11" s="21"/>
      <c r="CB11" s="22" t="str">
        <f>IF(CA11=0," ",BZ11/CA11)</f>
        <v xml:space="preserve"> </v>
      </c>
      <c r="CC11" s="58"/>
      <c r="CD11" s="24" t="str">
        <f>IF(CA11=0," ",CB11/CC11)</f>
        <v xml:space="preserve"> </v>
      </c>
      <c r="CE11" s="25"/>
      <c r="CF11" s="21"/>
      <c r="CG11" s="21"/>
      <c r="CH11" s="22" t="str">
        <f>IF(CG11=0," ",CF11/CG11)</f>
        <v xml:space="preserve"> </v>
      </c>
      <c r="CI11" s="58"/>
      <c r="CJ11" s="24" t="str">
        <f>IF(CG11=0," ",CH11/CI11)</f>
        <v xml:space="preserve"> </v>
      </c>
      <c r="CK11" s="25"/>
      <c r="CL11" s="21"/>
      <c r="CM11" s="21"/>
      <c r="CN11" s="22" t="str">
        <f>IF(CM11=0," ",CL11/CM11)</f>
        <v xml:space="preserve"> </v>
      </c>
      <c r="CO11" s="58"/>
      <c r="CP11" s="24" t="str">
        <f>IF(CM11=0," ",CN11/CO11)</f>
        <v xml:space="preserve"> </v>
      </c>
      <c r="CQ11" s="25"/>
      <c r="CR11" s="21"/>
      <c r="CS11" s="21"/>
      <c r="CT11" s="22" t="str">
        <f>IF(CS11=0," ",CR11/CS11)</f>
        <v xml:space="preserve"> </v>
      </c>
      <c r="CU11" s="58"/>
      <c r="CV11" s="24" t="str">
        <f>IF(CS11=0," ",CT11/CU11)</f>
        <v xml:space="preserve"> </v>
      </c>
      <c r="CW11" s="25"/>
    </row>
    <row r="12" spans="1:104" ht="174.75" customHeight="1">
      <c r="B12" s="59" t="s">
        <v>3079</v>
      </c>
      <c r="C12" s="59"/>
      <c r="D12" s="59" t="s">
        <v>3103</v>
      </c>
      <c r="E12" s="59" t="s">
        <v>3104</v>
      </c>
      <c r="F12" s="59" t="s">
        <v>3105</v>
      </c>
      <c r="G12" s="59" t="s">
        <v>352</v>
      </c>
      <c r="H12" s="59" t="s">
        <v>3106</v>
      </c>
      <c r="I12" s="59" t="s">
        <v>3099</v>
      </c>
      <c r="J12" s="59" t="s">
        <v>3107</v>
      </c>
      <c r="K12" s="7"/>
      <c r="L12" s="7"/>
      <c r="M12" s="12"/>
      <c r="N12" s="7"/>
      <c r="O12" s="7"/>
      <c r="P12" s="14"/>
      <c r="Q12" s="14"/>
      <c r="R12" s="14"/>
      <c r="S12" s="14"/>
      <c r="T12" s="14"/>
      <c r="U12" s="14"/>
      <c r="V12" s="14">
        <v>1</v>
      </c>
      <c r="W12" s="75" t="s">
        <v>3086</v>
      </c>
      <c r="X12" s="21"/>
      <c r="Y12" s="21"/>
      <c r="Z12" s="22" t="str">
        <f>IF(Y12=0," ",X12/Y12)</f>
        <v xml:space="preserve"> </v>
      </c>
      <c r="AA12" s="58"/>
      <c r="AB12" s="24" t="str">
        <f>IF(Y12=0," ",Z12/AA12)</f>
        <v xml:space="preserve"> </v>
      </c>
      <c r="AD12" s="21"/>
      <c r="AE12" s="21"/>
      <c r="AF12" s="22" t="str">
        <f>IF(AE12=0," ",AD12/AE12)</f>
        <v xml:space="preserve"> </v>
      </c>
      <c r="AG12" s="58"/>
      <c r="AH12" s="24" t="str">
        <f>IF(AE12=0," ",AF12/AG12)</f>
        <v xml:space="preserve"> </v>
      </c>
      <c r="AI12" s="25"/>
      <c r="AJ12" s="435"/>
      <c r="AK12" s="435"/>
      <c r="AL12" s="436" t="str">
        <f>IF(AK12=0," ",AJ12/AK12)</f>
        <v xml:space="preserve"> </v>
      </c>
      <c r="AM12" s="437"/>
      <c r="AN12" s="438" t="str">
        <f>IF(AK12=0," ",AL12/AM12)</f>
        <v xml:space="preserve"> </v>
      </c>
      <c r="AO12" s="1669" t="s">
        <v>3101</v>
      </c>
      <c r="AP12" s="21"/>
      <c r="AQ12" s="21"/>
      <c r="AR12" s="22" t="str">
        <f>IF(AQ12=0," ",AP12/AQ12)</f>
        <v xml:space="preserve"> </v>
      </c>
      <c r="AS12" s="58"/>
      <c r="AT12" s="24" t="str">
        <f>IF(AQ12=0," ",AR12/AS12)</f>
        <v xml:space="preserve"> </v>
      </c>
      <c r="AU12" s="25"/>
      <c r="AV12" s="21"/>
      <c r="AW12" s="21"/>
      <c r="AX12" s="22" t="str">
        <f>IF(AW12=0," ",AV12/AW12)</f>
        <v xml:space="preserve"> </v>
      </c>
      <c r="AY12" s="58"/>
      <c r="AZ12" s="24" t="str">
        <f>IF(AW12=0," ",AX12/AY12)</f>
        <v xml:space="preserve"> </v>
      </c>
      <c r="BA12" s="25"/>
      <c r="BB12" s="435"/>
      <c r="BC12" s="435"/>
      <c r="BD12" s="436" t="str">
        <f>IF(BC12=0," ",BB12/BC12)</f>
        <v xml:space="preserve"> </v>
      </c>
      <c r="BE12" s="437"/>
      <c r="BF12" s="438" t="str">
        <f>IF(BC12=0," ",BD12/BE12)</f>
        <v xml:space="preserve"> </v>
      </c>
      <c r="BG12" s="1669" t="s">
        <v>3108</v>
      </c>
      <c r="BH12" s="26"/>
      <c r="BI12" s="21"/>
      <c r="BJ12" s="22" t="str">
        <f>IF(BI12=0," ",BH12/BI12)</f>
        <v xml:space="preserve"> </v>
      </c>
      <c r="BK12" s="58"/>
      <c r="BL12" s="24" t="str">
        <f>IF(BI12=0," ",BJ12/BK12)</f>
        <v xml:space="preserve"> </v>
      </c>
      <c r="BM12" s="25"/>
      <c r="BN12" s="21"/>
      <c r="BO12" s="21"/>
      <c r="BP12" s="22" t="str">
        <f>IF(BO12=0," ",BN12/BO12)</f>
        <v xml:space="preserve"> </v>
      </c>
      <c r="BQ12" s="58"/>
      <c r="BR12" s="24" t="str">
        <f>IF(BO12=0," ",BP12/BQ12)</f>
        <v xml:space="preserve"> </v>
      </c>
      <c r="BS12" s="25"/>
      <c r="BT12" s="21"/>
      <c r="BU12" s="21"/>
      <c r="BV12" s="22" t="str">
        <f>IF(BU12=0," ",BT12/BU12)</f>
        <v xml:space="preserve"> </v>
      </c>
      <c r="BW12" s="58"/>
      <c r="BX12" s="24" t="str">
        <f>IF(BU12=0," ",BV12/BW12)</f>
        <v xml:space="preserve"> </v>
      </c>
      <c r="BY12" s="25"/>
      <c r="BZ12" s="21"/>
      <c r="CA12" s="21"/>
      <c r="CB12" s="22" t="str">
        <f>IF(CA12=0," ",BZ12/CA12)</f>
        <v xml:space="preserve"> </v>
      </c>
      <c r="CC12" s="58"/>
      <c r="CD12" s="24" t="str">
        <f>IF(CA12=0," ",CB12/CC12)</f>
        <v xml:space="preserve"> </v>
      </c>
      <c r="CE12" s="25"/>
      <c r="CF12" s="21"/>
      <c r="CG12" s="21"/>
      <c r="CH12" s="22" t="str">
        <f>IF(CG12=0," ",CF12/CG12)</f>
        <v xml:space="preserve"> </v>
      </c>
      <c r="CI12" s="58"/>
      <c r="CJ12" s="24" t="str">
        <f>IF(CG12=0," ",CH12/CI12)</f>
        <v xml:space="preserve"> </v>
      </c>
      <c r="CK12" s="25"/>
      <c r="CL12" s="21"/>
      <c r="CM12" s="21"/>
      <c r="CN12" s="22" t="str">
        <f>IF(CM12=0," ",CL12/CM12)</f>
        <v xml:space="preserve"> </v>
      </c>
      <c r="CO12" s="58"/>
      <c r="CP12" s="24" t="str">
        <f>IF(CM12=0," ",CN12/CO12)</f>
        <v xml:space="preserve"> </v>
      </c>
      <c r="CQ12" s="25"/>
      <c r="CR12" s="21"/>
      <c r="CS12" s="21"/>
      <c r="CT12" s="22" t="str">
        <f>IF(CS12=0," ",CR12/CS12)</f>
        <v xml:space="preserve"> </v>
      </c>
      <c r="CU12" s="58"/>
      <c r="CV12" s="24" t="str">
        <f>IF(CS12=0," ",CT12/CU12)</f>
        <v xml:space="preserve"> </v>
      </c>
      <c r="CW12" s="25"/>
    </row>
    <row r="13" spans="1:104" ht="14.25" customHeight="1">
      <c r="B13" s="33"/>
      <c r="C13" s="34"/>
      <c r="D13" s="35"/>
      <c r="E13" s="35"/>
      <c r="F13" s="36"/>
      <c r="G13" s="36"/>
      <c r="H13" s="35" t="s">
        <v>49</v>
      </c>
      <c r="I13" s="36"/>
      <c r="J13" s="36"/>
      <c r="K13" s="37"/>
      <c r="L13" s="37"/>
      <c r="M13" s="38"/>
      <c r="N13" s="37"/>
      <c r="O13" s="37"/>
      <c r="P13" s="39"/>
      <c r="Q13" s="39"/>
      <c r="R13" s="39"/>
      <c r="S13" s="39"/>
      <c r="T13" s="39"/>
      <c r="U13" s="39"/>
      <c r="V13" s="39"/>
      <c r="W13" s="36"/>
      <c r="X13" s="709"/>
      <c r="Y13" s="709"/>
      <c r="Z13" s="22"/>
      <c r="AA13" s="24"/>
      <c r="AB13" s="24"/>
      <c r="AC13" s="1203"/>
      <c r="AD13" s="1203"/>
      <c r="AE13" s="709"/>
      <c r="AF13" s="709"/>
      <c r="AG13" s="22"/>
      <c r="AH13" s="24"/>
      <c r="AI13" s="24"/>
      <c r="AJ13" s="482"/>
      <c r="AK13" s="1677"/>
      <c r="AL13" s="1677"/>
      <c r="AM13" s="436"/>
      <c r="AN13" s="438"/>
      <c r="AO13" s="1669"/>
      <c r="AP13" s="709"/>
      <c r="AQ13" s="709"/>
      <c r="AR13" s="22"/>
      <c r="AS13" s="24"/>
      <c r="AT13" s="24"/>
      <c r="AU13" s="710"/>
      <c r="AV13" s="1203"/>
      <c r="AW13" s="709"/>
      <c r="AX13" s="709"/>
      <c r="AY13" s="22"/>
      <c r="AZ13" s="24"/>
      <c r="BA13" s="24"/>
      <c r="BB13" s="1677"/>
      <c r="BC13" s="1677"/>
      <c r="BD13" s="436"/>
      <c r="BE13" s="438"/>
      <c r="BF13" s="438"/>
      <c r="BG13" s="1678"/>
      <c r="BH13" s="48"/>
      <c r="BI13" s="709"/>
      <c r="BJ13" s="709"/>
      <c r="BK13" s="22"/>
      <c r="BL13" s="24"/>
      <c r="BM13" s="24"/>
      <c r="BN13" s="709"/>
      <c r="BO13" s="709"/>
      <c r="BP13" s="22"/>
      <c r="BQ13" s="24"/>
      <c r="BR13" s="24"/>
      <c r="BS13" s="710"/>
      <c r="BT13" s="1203"/>
      <c r="BU13" s="709"/>
      <c r="BV13" s="709"/>
      <c r="BW13" s="22"/>
      <c r="BX13" s="24"/>
      <c r="BY13" s="24"/>
      <c r="BZ13" s="709"/>
      <c r="CA13" s="709"/>
      <c r="CB13" s="22"/>
      <c r="CC13" s="24"/>
      <c r="CD13" s="24"/>
      <c r="CE13" s="710"/>
      <c r="CF13" s="1203"/>
      <c r="CG13" s="709"/>
      <c r="CH13" s="709"/>
      <c r="CI13" s="22"/>
      <c r="CJ13" s="24"/>
      <c r="CK13" s="24"/>
      <c r="CL13" s="709"/>
      <c r="CM13" s="709"/>
      <c r="CN13" s="22"/>
      <c r="CO13" s="24"/>
      <c r="CP13" s="24"/>
      <c r="CQ13" s="710"/>
      <c r="CR13" s="1203"/>
      <c r="CS13" s="709"/>
      <c r="CT13" s="709"/>
      <c r="CU13" s="22"/>
      <c r="CV13" s="24"/>
      <c r="CW13" s="24"/>
    </row>
    <row r="14" spans="1:104" ht="98.25" customHeight="1">
      <c r="B14" s="8" t="s">
        <v>155</v>
      </c>
      <c r="C14" s="8" t="s">
        <v>156</v>
      </c>
      <c r="D14" s="13" t="s">
        <v>157</v>
      </c>
      <c r="E14" s="13" t="s">
        <v>158</v>
      </c>
      <c r="F14" s="8" t="s">
        <v>159</v>
      </c>
      <c r="G14" s="8" t="s">
        <v>53</v>
      </c>
      <c r="H14" s="13" t="s">
        <v>160</v>
      </c>
      <c r="I14" s="8" t="s">
        <v>161</v>
      </c>
      <c r="J14" s="8" t="s">
        <v>54</v>
      </c>
      <c r="K14" s="7"/>
      <c r="L14" s="7"/>
      <c r="M14" s="12"/>
      <c r="N14" s="7">
        <v>100</v>
      </c>
      <c r="O14" s="7"/>
      <c r="P14" s="7">
        <v>100</v>
      </c>
      <c r="Q14" s="74"/>
      <c r="R14" s="74"/>
      <c r="S14" s="7">
        <v>100</v>
      </c>
      <c r="T14" s="74"/>
      <c r="U14" s="74"/>
      <c r="V14" s="7">
        <v>100</v>
      </c>
      <c r="W14" s="75" t="s">
        <v>79</v>
      </c>
      <c r="X14" s="21"/>
      <c r="Y14" s="21"/>
      <c r="Z14" s="22" t="str">
        <f>IF(Y14=0," ",X14/Y14)</f>
        <v xml:space="preserve"> </v>
      </c>
      <c r="AA14" s="58"/>
      <c r="AB14" s="24" t="str">
        <f>IF(Y14=0," ",Z14/AA14)</f>
        <v xml:space="preserve"> </v>
      </c>
      <c r="AC14" s="25"/>
      <c r="AD14" s="21"/>
      <c r="AE14" s="21"/>
      <c r="AF14" s="22" t="str">
        <f>IF(AE14=0," ",AD14/AE14)</f>
        <v xml:space="preserve"> </v>
      </c>
      <c r="AG14" s="58"/>
      <c r="AH14" s="24" t="str">
        <f>IF(AE14=0," ",AF14/AG14)</f>
        <v xml:space="preserve"> </v>
      </c>
      <c r="AI14" s="25"/>
      <c r="AJ14" s="435">
        <v>1</v>
      </c>
      <c r="AK14" s="435">
        <v>2</v>
      </c>
      <c r="AL14" s="436">
        <f>IF(AK14=0," ",AJ14/AK14)</f>
        <v>0.5</v>
      </c>
      <c r="AM14" s="437">
        <v>1</v>
      </c>
      <c r="AN14" s="438">
        <f>IF(AK14=0," ",AL14/AM14)</f>
        <v>0.5</v>
      </c>
      <c r="AO14" s="1669" t="s">
        <v>3109</v>
      </c>
      <c r="AP14" s="21"/>
      <c r="AQ14" s="21"/>
      <c r="AR14" s="22" t="str">
        <f>IF(AQ14=0," ",AP14/AQ14)</f>
        <v xml:space="preserve"> </v>
      </c>
      <c r="AS14" s="58"/>
      <c r="AT14" s="24" t="str">
        <f>IF(AQ14=0," ",AR14/AS14)</f>
        <v xml:space="preserve"> </v>
      </c>
      <c r="AU14" s="25"/>
      <c r="AV14" s="21"/>
      <c r="AW14" s="21"/>
      <c r="AX14" s="22" t="str">
        <f>IF(AW14=0," ",AV14/AW14)</f>
        <v xml:space="preserve"> </v>
      </c>
      <c r="AY14" s="58"/>
      <c r="AZ14" s="24" t="str">
        <f>IF(AW14=0," ",AX14/AY14)</f>
        <v xml:space="preserve"> </v>
      </c>
      <c r="BA14" s="25"/>
      <c r="BB14" s="435">
        <v>2</v>
      </c>
      <c r="BC14" s="435">
        <v>2</v>
      </c>
      <c r="BD14" s="436">
        <f>IF(BC14=0," ",BB14/BC14)</f>
        <v>1</v>
      </c>
      <c r="BE14" s="437"/>
      <c r="BF14" s="438">
        <v>1</v>
      </c>
      <c r="BG14" s="1669" t="s">
        <v>1421</v>
      </c>
      <c r="BH14" s="26"/>
      <c r="BI14" s="21"/>
      <c r="BJ14" s="22" t="str">
        <f>IF(BI14=0," ",BH14/BI14)</f>
        <v xml:space="preserve"> </v>
      </c>
      <c r="BK14" s="58"/>
      <c r="BL14" s="24" t="str">
        <f>IF(BI14=0," ",BJ14/BK14)</f>
        <v xml:space="preserve"> </v>
      </c>
      <c r="BM14" s="25"/>
      <c r="BN14" s="21"/>
      <c r="BO14" s="21"/>
      <c r="BP14" s="22" t="str">
        <f>IF(BO14=0," ",BN14/BO14)</f>
        <v xml:space="preserve"> </v>
      </c>
      <c r="BQ14" s="58"/>
      <c r="BR14" s="24" t="str">
        <f>IF(BO14=0," ",BP14/BQ14)</f>
        <v xml:space="preserve"> </v>
      </c>
      <c r="BS14" s="25"/>
      <c r="BT14" s="21"/>
      <c r="BU14" s="21"/>
      <c r="BV14" s="22" t="str">
        <f>IF(BU14=0," ",BT14/BU14)</f>
        <v xml:space="preserve"> </v>
      </c>
      <c r="BW14" s="58"/>
      <c r="BX14" s="24" t="str">
        <f>IF(BU14=0," ",BV14/BW14)</f>
        <v xml:space="preserve"> </v>
      </c>
      <c r="BY14" s="25"/>
      <c r="BZ14" s="21"/>
      <c r="CA14" s="21"/>
      <c r="CB14" s="22" t="str">
        <f>IF(CA14=0," ",BZ14/CA14)</f>
        <v xml:space="preserve"> </v>
      </c>
      <c r="CC14" s="58"/>
      <c r="CD14" s="24" t="str">
        <f>IF(CA14=0," ",CB14/CC14)</f>
        <v xml:space="preserve"> </v>
      </c>
      <c r="CE14" s="25"/>
      <c r="CF14" s="21"/>
      <c r="CG14" s="21"/>
      <c r="CH14" s="22" t="str">
        <f>IF(CG14=0," ",CF14/CG14)</f>
        <v xml:space="preserve"> </v>
      </c>
      <c r="CI14" s="58"/>
      <c r="CJ14" s="24" t="str">
        <f>IF(CG14=0," ",CH14/CI14)</f>
        <v xml:space="preserve"> </v>
      </c>
      <c r="CK14" s="25"/>
      <c r="CL14" s="21"/>
      <c r="CM14" s="21"/>
      <c r="CN14" s="22" t="str">
        <f>IF(CM14=0," ",CL14/CM14)</f>
        <v xml:space="preserve"> </v>
      </c>
      <c r="CO14" s="58"/>
      <c r="CP14" s="24" t="str">
        <f>IF(CM14=0," ",CN14/CO14)</f>
        <v xml:space="preserve"> </v>
      </c>
      <c r="CQ14" s="25"/>
      <c r="CR14" s="21">
        <v>2</v>
      </c>
      <c r="CS14" s="21">
        <v>2</v>
      </c>
      <c r="CT14" s="22">
        <f>IF(CS14=0," ",CR14/CS14)</f>
        <v>1</v>
      </c>
      <c r="CU14" s="58">
        <v>1</v>
      </c>
      <c r="CV14" s="24">
        <f>IF(CS14=0," ",CT14/CU14)</f>
        <v>1</v>
      </c>
      <c r="CW14" s="25" t="s">
        <v>1421</v>
      </c>
    </row>
    <row r="15" spans="1:104" ht="150" customHeight="1">
      <c r="B15" s="8" t="s">
        <v>55</v>
      </c>
      <c r="C15" s="8" t="s">
        <v>89</v>
      </c>
      <c r="D15" s="8" t="s">
        <v>56</v>
      </c>
      <c r="E15" s="8" t="s">
        <v>57</v>
      </c>
      <c r="F15" s="403" t="s">
        <v>58</v>
      </c>
      <c r="G15" s="8" t="s">
        <v>53</v>
      </c>
      <c r="H15" s="403" t="s">
        <v>59</v>
      </c>
      <c r="I15" s="8" t="s">
        <v>60</v>
      </c>
      <c r="J15" s="135" t="s">
        <v>54</v>
      </c>
      <c r="K15" s="7"/>
      <c r="L15" s="7"/>
      <c r="M15" s="12">
        <v>1</v>
      </c>
      <c r="N15" s="7"/>
      <c r="O15" s="7"/>
      <c r="P15" s="12">
        <v>1</v>
      </c>
      <c r="Q15" s="12"/>
      <c r="R15" s="7"/>
      <c r="S15" s="12">
        <v>1</v>
      </c>
      <c r="T15" s="12"/>
      <c r="U15" s="7"/>
      <c r="V15" s="12">
        <v>1</v>
      </c>
      <c r="W15" s="1247" t="s">
        <v>79</v>
      </c>
      <c r="X15" s="21"/>
      <c r="Y15" s="21"/>
      <c r="Z15" s="22" t="str">
        <f>IF(Y15=0," ",X15/Y15)</f>
        <v xml:space="preserve"> </v>
      </c>
      <c r="AA15" s="58"/>
      <c r="AB15" s="24" t="str">
        <f>IF(Y15=0," ",Z15/AA15)</f>
        <v xml:space="preserve"> </v>
      </c>
      <c r="AC15" s="25"/>
      <c r="AD15" s="21"/>
      <c r="AE15" s="21"/>
      <c r="AF15" s="22" t="str">
        <f>IF(AE15=0," ",AD15/AE15)</f>
        <v xml:space="preserve"> </v>
      </c>
      <c r="AG15" s="58"/>
      <c r="AH15" s="24" t="str">
        <f>IF(AE15=0," ",AF15/AG15)</f>
        <v xml:space="preserve"> </v>
      </c>
      <c r="AI15" s="25"/>
      <c r="AJ15" s="435">
        <v>1</v>
      </c>
      <c r="AK15" s="435">
        <v>1</v>
      </c>
      <c r="AL15" s="436">
        <f>IF(AK15=0," ",AJ15/AK15)</f>
        <v>1</v>
      </c>
      <c r="AM15" s="437">
        <v>1</v>
      </c>
      <c r="AN15" s="438">
        <f>IF(AK15=0," ",AL15/AM15)</f>
        <v>1</v>
      </c>
      <c r="AO15" s="1669" t="s">
        <v>3110</v>
      </c>
      <c r="AP15" s="21"/>
      <c r="AQ15" s="21"/>
      <c r="AR15" s="22" t="str">
        <f>IF(AQ15=0," ",AP15/AQ15)</f>
        <v xml:space="preserve"> </v>
      </c>
      <c r="AS15" s="58"/>
      <c r="AT15" s="24" t="str">
        <f>IF(AQ15=0," ",AR15/AS15)</f>
        <v xml:space="preserve"> </v>
      </c>
      <c r="AU15" s="25"/>
      <c r="AV15" s="21"/>
      <c r="AW15" s="21"/>
      <c r="AX15" s="22" t="str">
        <f>IF(AW15=0," ",AV15/AW15)</f>
        <v xml:space="preserve"> </v>
      </c>
      <c r="AY15" s="58"/>
      <c r="AZ15" s="24" t="str">
        <f>IF(AW15=0," ",AX15/AY15)</f>
        <v xml:space="preserve"> </v>
      </c>
      <c r="BA15" s="25"/>
      <c r="BB15" s="435">
        <v>1</v>
      </c>
      <c r="BC15" s="435">
        <v>1</v>
      </c>
      <c r="BD15" s="1679">
        <v>1</v>
      </c>
      <c r="BE15" s="437">
        <v>1</v>
      </c>
      <c r="BF15" s="438">
        <v>1</v>
      </c>
      <c r="BG15" s="1669" t="s">
        <v>3111</v>
      </c>
      <c r="BH15" s="26"/>
      <c r="BI15" s="21"/>
      <c r="BJ15" s="22" t="str">
        <f>IF(BI15=0," ",BH15/BI15)</f>
        <v xml:space="preserve"> </v>
      </c>
      <c r="BK15" s="58"/>
      <c r="BL15" s="24" t="str">
        <f>IF(BI15=0," ",BJ15/BK15)</f>
        <v xml:space="preserve"> </v>
      </c>
      <c r="BM15" s="25"/>
      <c r="BN15" s="21"/>
      <c r="BO15" s="21"/>
      <c r="BP15" s="22" t="str">
        <f>IF(BO15=0," ",BN15/BO15)</f>
        <v xml:space="preserve"> </v>
      </c>
      <c r="BQ15" s="58"/>
      <c r="BR15" s="24" t="str">
        <f>IF(BO15=0," ",BP15/BQ15)</f>
        <v xml:space="preserve"> </v>
      </c>
      <c r="BS15" s="25"/>
      <c r="BT15" s="21"/>
      <c r="BU15" s="21"/>
      <c r="BV15" s="22" t="str">
        <f>IF(BU15=0," ",BT15/BU15)</f>
        <v xml:space="preserve"> </v>
      </c>
      <c r="BW15" s="58"/>
      <c r="BX15" s="24" t="str">
        <f>IF(BU15=0," ",BV15/BW15)</f>
        <v xml:space="preserve"> </v>
      </c>
      <c r="BY15" s="25"/>
      <c r="BZ15" s="21"/>
      <c r="CA15" s="21"/>
      <c r="CB15" s="22" t="str">
        <f>IF(CA15=0," ",BZ15/CA15)</f>
        <v xml:space="preserve"> </v>
      </c>
      <c r="CC15" s="58"/>
      <c r="CD15" s="24" t="str">
        <f>IF(CA15=0," ",CB15/CC15)</f>
        <v xml:space="preserve"> </v>
      </c>
      <c r="CE15" s="25"/>
      <c r="CF15" s="21"/>
      <c r="CG15" s="21"/>
      <c r="CH15" s="22" t="str">
        <f>IF(CG15=0," ",CF15/CG15)</f>
        <v xml:space="preserve"> </v>
      </c>
      <c r="CI15" s="58"/>
      <c r="CJ15" s="24" t="str">
        <f>IF(CG15=0," ",CH15/CI15)</f>
        <v xml:space="preserve"> </v>
      </c>
      <c r="CK15" s="25"/>
      <c r="CL15" s="21"/>
      <c r="CM15" s="21"/>
      <c r="CN15" s="22" t="str">
        <f>IF(CM15=0," ",CL15/CM15)</f>
        <v xml:space="preserve"> </v>
      </c>
      <c r="CO15" s="58"/>
      <c r="CP15" s="24" t="str">
        <f>IF(CM15=0," ",CN15/CO15)</f>
        <v xml:space="preserve"> </v>
      </c>
      <c r="CQ15" s="25"/>
      <c r="CR15" s="21"/>
      <c r="CS15" s="21"/>
      <c r="CT15" s="22" t="str">
        <f>IF(CS15=0," ",CR15/CS15)</f>
        <v xml:space="preserve"> </v>
      </c>
      <c r="CU15" s="58"/>
      <c r="CV15" s="24" t="str">
        <f>IF(CS15=0," ",CT15/CU15)</f>
        <v xml:space="preserve"> </v>
      </c>
      <c r="CW15" s="25"/>
    </row>
    <row r="16" spans="1:104" ht="91.5" customHeight="1">
      <c r="B16" s="8" t="s">
        <v>55</v>
      </c>
      <c r="C16" s="8" t="s">
        <v>88</v>
      </c>
      <c r="D16" s="8" t="s">
        <v>61</v>
      </c>
      <c r="E16" s="8" t="s">
        <v>57</v>
      </c>
      <c r="F16" s="403" t="s">
        <v>62</v>
      </c>
      <c r="G16" s="8" t="s">
        <v>53</v>
      </c>
      <c r="H16" s="8" t="s">
        <v>63</v>
      </c>
      <c r="I16" s="8" t="s">
        <v>64</v>
      </c>
      <c r="J16" s="135" t="s">
        <v>54</v>
      </c>
      <c r="K16" s="713"/>
      <c r="L16" s="714">
        <v>1</v>
      </c>
      <c r="M16" s="714"/>
      <c r="N16" s="714">
        <v>1</v>
      </c>
      <c r="O16" s="713"/>
      <c r="P16" s="60">
        <v>1</v>
      </c>
      <c r="Q16" s="715"/>
      <c r="R16" s="60">
        <v>1</v>
      </c>
      <c r="S16" s="715"/>
      <c r="T16" s="60">
        <v>1</v>
      </c>
      <c r="U16" s="716"/>
      <c r="V16" s="60">
        <v>1</v>
      </c>
      <c r="W16" s="1247" t="s">
        <v>79</v>
      </c>
      <c r="X16" s="21"/>
      <c r="Y16" s="21"/>
      <c r="Z16" s="22" t="str">
        <f>IF(Y16=0," ",X16/Y16)</f>
        <v xml:space="preserve"> </v>
      </c>
      <c r="AA16" s="58"/>
      <c r="AB16" s="24" t="str">
        <f>IF(Y16=0," ",Z16/AA16)</f>
        <v xml:space="preserve"> </v>
      </c>
      <c r="AD16" s="21"/>
      <c r="AE16" s="21"/>
      <c r="AF16" s="22" t="str">
        <f>IF(AE16=0," ",AD16/AE16)</f>
        <v xml:space="preserve"> </v>
      </c>
      <c r="AG16" s="58"/>
      <c r="AH16" s="24" t="str">
        <f>IF(AE16=0," ",AF16/AG16)</f>
        <v xml:space="preserve"> </v>
      </c>
      <c r="AI16" s="25"/>
      <c r="AJ16" s="435"/>
      <c r="AK16" s="435"/>
      <c r="AL16" s="436" t="str">
        <f>IF(AK16=0," ",AJ16/AK16)</f>
        <v xml:space="preserve"> </v>
      </c>
      <c r="AM16" s="437"/>
      <c r="AN16" s="438" t="str">
        <f>IF(AK16=0," ",AL16/AM16)</f>
        <v xml:space="preserve"> </v>
      </c>
      <c r="AO16" s="1669" t="s">
        <v>3112</v>
      </c>
      <c r="AP16" s="21"/>
      <c r="AQ16" s="21"/>
      <c r="AR16" s="22" t="str">
        <f>IF(AQ16=0," ",AP16/AQ16)</f>
        <v xml:space="preserve"> </v>
      </c>
      <c r="AS16" s="58"/>
      <c r="AT16" s="24" t="str">
        <f>IF(AQ16=0," ",AR16/AS16)</f>
        <v xml:space="preserve"> </v>
      </c>
      <c r="AU16" s="25"/>
      <c r="AV16" s="21"/>
      <c r="AW16" s="21"/>
      <c r="AX16" s="22" t="str">
        <f>IF(AW16=0," ",AV16/AW16)</f>
        <v xml:space="preserve"> </v>
      </c>
      <c r="AY16" s="58"/>
      <c r="AZ16" s="24" t="str">
        <f>IF(AW16=0," ",AX16/AY16)</f>
        <v xml:space="preserve"> </v>
      </c>
      <c r="BA16" s="25"/>
      <c r="BB16" s="1680" t="s">
        <v>385</v>
      </c>
      <c r="BC16" s="435"/>
      <c r="BD16" s="22"/>
      <c r="BE16" s="437" t="s">
        <v>385</v>
      </c>
      <c r="BF16" s="24" t="s">
        <v>332</v>
      </c>
      <c r="BG16" s="1669" t="s">
        <v>2692</v>
      </c>
      <c r="BH16" s="26"/>
      <c r="BI16" s="21"/>
      <c r="BJ16" s="22" t="str">
        <f>IF(BI16=0," ",BH16/BI16)</f>
        <v xml:space="preserve"> </v>
      </c>
      <c r="BK16" s="58"/>
      <c r="BL16" s="24" t="str">
        <f>IF(BI16=0," ",BJ16/BK16)</f>
        <v xml:space="preserve"> </v>
      </c>
      <c r="BM16" s="25"/>
      <c r="BN16" s="21"/>
      <c r="BO16" s="21"/>
      <c r="BP16" s="22" t="str">
        <f>IF(BO16=0," ",BN16/BO16)</f>
        <v xml:space="preserve"> </v>
      </c>
      <c r="BQ16" s="58"/>
      <c r="BR16" s="24" t="str">
        <f>IF(BO16=0," ",BP16/BQ16)</f>
        <v xml:space="preserve"> </v>
      </c>
      <c r="BS16" s="25"/>
      <c r="BT16" s="21"/>
      <c r="BU16" s="21"/>
      <c r="BV16" s="22" t="str">
        <f>IF(BU16=0," ",BT16/BU16)</f>
        <v xml:space="preserve"> </v>
      </c>
      <c r="BW16" s="58"/>
      <c r="BX16" s="24" t="str">
        <f>IF(BU16=0," ",BV16/BW16)</f>
        <v xml:space="preserve"> </v>
      </c>
      <c r="BY16" s="25"/>
      <c r="BZ16" s="21"/>
      <c r="CA16" s="21"/>
      <c r="CB16" s="22" t="str">
        <f>IF(CA16=0," ",BZ16/CA16)</f>
        <v xml:space="preserve"> </v>
      </c>
      <c r="CC16" s="58"/>
      <c r="CD16" s="24" t="str">
        <f>IF(CA16=0," ",CB16/CC16)</f>
        <v xml:space="preserve"> </v>
      </c>
      <c r="CE16" s="25"/>
      <c r="CF16" s="21"/>
      <c r="CG16" s="21"/>
      <c r="CH16" s="22" t="str">
        <f>IF(CG16=0," ",CF16/CG16)</f>
        <v xml:space="preserve"> </v>
      </c>
      <c r="CI16" s="58"/>
      <c r="CJ16" s="24" t="str">
        <f>IF(CG16=0," ",CH16/CI16)</f>
        <v xml:space="preserve"> </v>
      </c>
      <c r="CK16" s="25"/>
      <c r="CL16" s="21"/>
      <c r="CM16" s="21"/>
      <c r="CN16" s="22" t="str">
        <f>IF(CM16=0," ",CL16/CM16)</f>
        <v xml:space="preserve"> </v>
      </c>
      <c r="CO16" s="58"/>
      <c r="CP16" s="24" t="str">
        <f>IF(CM16=0," ",CN16/CO16)</f>
        <v xml:space="preserve"> </v>
      </c>
      <c r="CQ16" s="25"/>
      <c r="CR16" s="21" t="s">
        <v>385</v>
      </c>
      <c r="CS16" s="21"/>
      <c r="CT16" s="22" t="str">
        <f>IF(CS16=0," ",CR16/CS16)</f>
        <v xml:space="preserve"> </v>
      </c>
      <c r="CU16" s="58" t="s">
        <v>385</v>
      </c>
      <c r="CV16" s="24" t="str">
        <f>IF(CS16=0," ",CT16/CU16)</f>
        <v xml:space="preserve"> </v>
      </c>
      <c r="CW16" s="1669" t="s">
        <v>2692</v>
      </c>
    </row>
    <row r="17" spans="2:101" ht="103.5" customHeight="1">
      <c r="B17" s="391" t="s">
        <v>81</v>
      </c>
      <c r="C17" s="8" t="s">
        <v>92</v>
      </c>
      <c r="D17" s="1136" t="s">
        <v>83</v>
      </c>
      <c r="E17" s="8" t="s">
        <v>84</v>
      </c>
      <c r="F17" s="403" t="s">
        <v>1322</v>
      </c>
      <c r="G17" s="8" t="s">
        <v>66</v>
      </c>
      <c r="H17" s="8" t="s">
        <v>3113</v>
      </c>
      <c r="I17" s="8" t="s">
        <v>85</v>
      </c>
      <c r="J17" s="8" t="s">
        <v>54</v>
      </c>
      <c r="K17" s="12"/>
      <c r="L17" s="12"/>
      <c r="M17" s="12">
        <v>1</v>
      </c>
      <c r="N17" s="12"/>
      <c r="O17" s="12"/>
      <c r="P17" s="12">
        <v>1</v>
      </c>
      <c r="Q17" s="12"/>
      <c r="R17" s="12"/>
      <c r="S17" s="12">
        <v>1</v>
      </c>
      <c r="T17" s="12"/>
      <c r="U17" s="12"/>
      <c r="V17" s="12">
        <v>1</v>
      </c>
      <c r="W17" s="1137" t="s">
        <v>79</v>
      </c>
      <c r="X17" s="21">
        <v>121</v>
      </c>
      <c r="Y17" s="21">
        <v>121</v>
      </c>
      <c r="Z17" s="22">
        <f>IF(Y17=0," ",X17/Y17)</f>
        <v>1</v>
      </c>
      <c r="AA17" s="58">
        <v>1</v>
      </c>
      <c r="AB17" s="24">
        <f>IF(Y17=0," ",Z17/AA17)</f>
        <v>1</v>
      </c>
      <c r="AC17" s="25"/>
      <c r="AD17" s="21">
        <v>122</v>
      </c>
      <c r="AE17" s="21">
        <v>122</v>
      </c>
      <c r="AF17" s="22">
        <f>IF(AE17=0," ",AD17/AE17)</f>
        <v>1</v>
      </c>
      <c r="AG17" s="58">
        <v>1</v>
      </c>
      <c r="AH17" s="24">
        <f>IF(AE17=0," ",AF17/AG17)</f>
        <v>1</v>
      </c>
      <c r="AI17" s="25"/>
      <c r="AJ17" s="435">
        <v>72</v>
      </c>
      <c r="AK17" s="435">
        <v>72</v>
      </c>
      <c r="AL17" s="436">
        <f>IF(AK17=0," ",AJ17/AK17)</f>
        <v>1</v>
      </c>
      <c r="AM17" s="437">
        <v>1</v>
      </c>
      <c r="AN17" s="438">
        <f>IF(AK17=0," ",AL17/AM17)</f>
        <v>1</v>
      </c>
      <c r="AO17" s="1669" t="s">
        <v>1871</v>
      </c>
      <c r="AP17" s="21"/>
      <c r="AQ17" s="21"/>
      <c r="AR17" s="22" t="str">
        <f>IF(AQ17=0," ",AP17/AQ17)</f>
        <v xml:space="preserve"> </v>
      </c>
      <c r="AS17" s="58"/>
      <c r="AT17" s="24" t="str">
        <f>IF(AQ17=0," ",AR17/AS17)</f>
        <v xml:space="preserve"> </v>
      </c>
      <c r="AU17" s="25"/>
      <c r="AV17" s="21"/>
      <c r="AW17" s="21"/>
      <c r="AX17" s="22" t="str">
        <f>IF(AW17=0," ",AV17/AW17)</f>
        <v xml:space="preserve"> </v>
      </c>
      <c r="AY17" s="58"/>
      <c r="AZ17" s="24" t="str">
        <f>IF(AW17=0," ",AX17/AY17)</f>
        <v xml:space="preserve"> </v>
      </c>
      <c r="BA17" s="25"/>
      <c r="BB17" s="1680">
        <v>365</v>
      </c>
      <c r="BC17" s="1680">
        <v>365</v>
      </c>
      <c r="BD17" s="436">
        <v>1</v>
      </c>
      <c r="BE17" s="437">
        <v>1</v>
      </c>
      <c r="BF17" s="438">
        <v>1</v>
      </c>
      <c r="BG17" s="1669" t="s">
        <v>3114</v>
      </c>
      <c r="BH17" s="26"/>
      <c r="BI17" s="21"/>
      <c r="BJ17" s="22" t="str">
        <f>IF(BI17=0," ",BH17/BI17)</f>
        <v xml:space="preserve"> </v>
      </c>
      <c r="BK17" s="58"/>
      <c r="BL17" s="24" t="str">
        <f>IF(BI17=0," ",BJ17/BK17)</f>
        <v xml:space="preserve"> </v>
      </c>
      <c r="BM17" s="25"/>
      <c r="BN17" s="21"/>
      <c r="BO17" s="21"/>
      <c r="BP17" s="22" t="str">
        <f>IF(BO17=0," ",BN17/BO17)</f>
        <v xml:space="preserve"> </v>
      </c>
      <c r="BQ17" s="58"/>
      <c r="BR17" s="24" t="str">
        <f>IF(BO17=0," ",BP17/BQ17)</f>
        <v xml:space="preserve"> </v>
      </c>
      <c r="BS17" s="25"/>
      <c r="BT17" s="21"/>
      <c r="BU17" s="21"/>
      <c r="BV17" s="22" t="str">
        <f>IF(BU17=0," ",BT17/BU17)</f>
        <v xml:space="preserve"> </v>
      </c>
      <c r="BW17" s="58"/>
      <c r="BX17" s="24" t="str">
        <f>IF(BU17=0," ",BV17/BW17)</f>
        <v xml:space="preserve"> </v>
      </c>
      <c r="BY17" s="25"/>
      <c r="BZ17" s="21"/>
      <c r="CA17" s="21"/>
      <c r="CB17" s="22" t="str">
        <f>IF(CA17=0," ",BZ17/CA17)</f>
        <v xml:space="preserve"> </v>
      </c>
      <c r="CC17" s="58"/>
      <c r="CD17" s="24" t="str">
        <f>IF(CA17=0," ",CB17/CC17)</f>
        <v xml:space="preserve"> </v>
      </c>
      <c r="CE17" s="25"/>
      <c r="CF17" s="21"/>
      <c r="CG17" s="21"/>
      <c r="CH17" s="22" t="str">
        <f>IF(CG17=0," ",CF17/CG17)</f>
        <v xml:space="preserve"> </v>
      </c>
      <c r="CI17" s="58"/>
      <c r="CJ17" s="24" t="str">
        <f>IF(CG17=0," ",CH17/CI17)</f>
        <v xml:space="preserve"> </v>
      </c>
      <c r="CK17" s="25"/>
      <c r="CL17" s="21"/>
      <c r="CM17" s="21"/>
      <c r="CN17" s="22" t="str">
        <f>IF(CM17=0," ",CL17/CM17)</f>
        <v xml:space="preserve"> </v>
      </c>
      <c r="CO17" s="58"/>
      <c r="CP17" s="24" t="str">
        <f>IF(CM17=0," ",CN17/CO17)</f>
        <v xml:space="preserve"> </v>
      </c>
      <c r="CQ17" s="25"/>
      <c r="CR17" s="21">
        <v>97</v>
      </c>
      <c r="CS17" s="21">
        <v>100</v>
      </c>
      <c r="CT17" s="22">
        <f>IF(CS17=0," ",CR17/CS17)</f>
        <v>0.97</v>
      </c>
      <c r="CU17" s="58">
        <v>1</v>
      </c>
      <c r="CV17" s="24">
        <f>IF(CS17=0," ",CT17/CU17)</f>
        <v>0.97</v>
      </c>
      <c r="CW17" s="1669" t="s">
        <v>315</v>
      </c>
    </row>
    <row r="18" spans="2:101" ht="15.75" customHeight="1">
      <c r="B18" s="1972" t="s">
        <v>17</v>
      </c>
      <c r="C18" s="1972"/>
      <c r="D18" s="1972"/>
      <c r="E18" s="1972"/>
      <c r="F18" s="5"/>
      <c r="G18" s="5"/>
      <c r="H18" s="5"/>
      <c r="I18" s="5"/>
      <c r="J18" s="5"/>
      <c r="K18" s="6"/>
      <c r="L18" s="6"/>
      <c r="M18" s="6"/>
      <c r="N18" s="6"/>
      <c r="O18" s="6"/>
      <c r="P18" s="6"/>
      <c r="Q18" s="6"/>
      <c r="R18" s="6"/>
      <c r="S18" s="6"/>
      <c r="T18" s="6"/>
      <c r="U18" s="6"/>
      <c r="V18" s="6"/>
    </row>
    <row r="20" spans="2:101">
      <c r="E20" s="1971"/>
      <c r="F20" s="1971"/>
      <c r="G20" s="1971"/>
      <c r="H20" s="1971"/>
      <c r="K20" s="15" t="s">
        <v>28</v>
      </c>
    </row>
    <row r="21" spans="2:101">
      <c r="E21" s="1972" t="s">
        <v>3115</v>
      </c>
      <c r="F21" s="1972"/>
      <c r="G21" s="1972"/>
      <c r="H21" s="1972"/>
    </row>
    <row r="22" spans="2:101" ht="26.25" customHeight="1">
      <c r="E22" s="2692" t="s">
        <v>3116</v>
      </c>
      <c r="F22" s="2692"/>
      <c r="G22" s="2692"/>
      <c r="H22" s="2692"/>
    </row>
    <row r="23" spans="2:101">
      <c r="C23" s="15"/>
      <c r="E23" s="128"/>
      <c r="F23" s="128"/>
      <c r="G23" s="128"/>
      <c r="H23" s="128"/>
    </row>
    <row r="24" spans="2:101" ht="34.5" customHeight="1">
      <c r="B24" s="2693" t="s">
        <v>3117</v>
      </c>
      <c r="C24" s="2693"/>
      <c r="D24" s="2693"/>
      <c r="E24" s="2693"/>
      <c r="F24" s="2693"/>
      <c r="G24" s="2693"/>
      <c r="H24" s="2693"/>
      <c r="I24" s="2693"/>
      <c r="J24" s="2693"/>
      <c r="K24" s="2693"/>
      <c r="L24" s="2693"/>
      <c r="M24" s="2693"/>
      <c r="N24" s="2693"/>
      <c r="O24" s="2693"/>
      <c r="P24" s="2693"/>
      <c r="Q24" s="2693"/>
      <c r="R24" s="2693"/>
      <c r="S24" s="2693"/>
      <c r="T24" s="2693"/>
      <c r="U24" s="2693"/>
      <c r="V24" s="2693"/>
      <c r="W24" s="2693"/>
    </row>
    <row r="25" spans="2:101" ht="12.75" customHeight="1">
      <c r="C25" s="15"/>
    </row>
    <row r="26" spans="2:101" ht="12.75" customHeight="1">
      <c r="C26" s="15"/>
    </row>
  </sheetData>
  <mergeCells count="50">
    <mergeCell ref="E20:H20"/>
    <mergeCell ref="E21:H21"/>
    <mergeCell ref="E22:H22"/>
    <mergeCell ref="B24:W24"/>
    <mergeCell ref="BT6:BY6"/>
    <mergeCell ref="BZ6:CE6"/>
    <mergeCell ref="H6:H7"/>
    <mergeCell ref="I6:I7"/>
    <mergeCell ref="J6:J7"/>
    <mergeCell ref="K6:V6"/>
    <mergeCell ref="CF6:CK6"/>
    <mergeCell ref="CL6:CQ6"/>
    <mergeCell ref="CR6:CW6"/>
    <mergeCell ref="B18:E18"/>
    <mergeCell ref="AJ6:AO6"/>
    <mergeCell ref="AP6:AU6"/>
    <mergeCell ref="AV6:BA6"/>
    <mergeCell ref="BB6:BG6"/>
    <mergeCell ref="BH6:BM6"/>
    <mergeCell ref="BN6:BS6"/>
    <mergeCell ref="X6:AC6"/>
    <mergeCell ref="AD6:AI6"/>
    <mergeCell ref="BZ4:CE4"/>
    <mergeCell ref="CF4:CK4"/>
    <mergeCell ref="CL4:CQ4"/>
    <mergeCell ref="CR4:CW4"/>
    <mergeCell ref="AP4:AU4"/>
    <mergeCell ref="AV4:BA4"/>
    <mergeCell ref="BB4:BG4"/>
    <mergeCell ref="BH4:BM4"/>
    <mergeCell ref="B6:B7"/>
    <mergeCell ref="C6:C7"/>
    <mergeCell ref="D6:D7"/>
    <mergeCell ref="E6:E7"/>
    <mergeCell ref="F6:F7"/>
    <mergeCell ref="G6:G7"/>
    <mergeCell ref="BN4:BS4"/>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14:AB17 AB11 AH14:AH17 AT14:AT17 AZ14:AZ17 BF14 BL14:BL17 BR14:BR17 BX14:BX17 CD14:CD17 CJ14:CJ17 CP14:CP17 CV14:CV17 AN16:AN17 BF17">
    <cfRule type="colorScale" priority="82">
      <colorScale>
        <cfvo type="num" val="0.69"/>
        <cfvo type="num" val="0.8"/>
        <cfvo type="num" val="0.9"/>
        <color rgb="FFF8696B"/>
        <color rgb="FFFFEB84"/>
        <color rgb="FF63BE7B"/>
      </colorScale>
    </cfRule>
  </conditionalFormatting>
  <conditionalFormatting sqref="AH11">
    <cfRule type="colorScale" priority="81">
      <colorScale>
        <cfvo type="num" val="0.69"/>
        <cfvo type="num" val="0.8"/>
        <cfvo type="num" val="0.9"/>
        <color rgb="FFF8696B"/>
        <color rgb="FFFFEB84"/>
        <color rgb="FF63BE7B"/>
      </colorScale>
    </cfRule>
  </conditionalFormatting>
  <conditionalFormatting sqref="AN11">
    <cfRule type="colorScale" priority="80">
      <colorScale>
        <cfvo type="num" val="0.69"/>
        <cfvo type="num" val="0.8"/>
        <cfvo type="num" val="0.9"/>
        <color rgb="FFF8696B"/>
        <color rgb="FFFFEB84"/>
        <color rgb="FF63BE7B"/>
      </colorScale>
    </cfRule>
  </conditionalFormatting>
  <conditionalFormatting sqref="AT11">
    <cfRule type="colorScale" priority="79">
      <colorScale>
        <cfvo type="num" val="0.69"/>
        <cfvo type="num" val="0.8"/>
        <cfvo type="num" val="0.9"/>
        <color rgb="FFF8696B"/>
        <color rgb="FFFFEB84"/>
        <color rgb="FF63BE7B"/>
      </colorScale>
    </cfRule>
  </conditionalFormatting>
  <conditionalFormatting sqref="AZ11">
    <cfRule type="colorScale" priority="78">
      <colorScale>
        <cfvo type="num" val="0.69"/>
        <cfvo type="num" val="0.8"/>
        <cfvo type="num" val="0.9"/>
        <color rgb="FFF8696B"/>
        <color rgb="FFFFEB84"/>
        <color rgb="FF63BE7B"/>
      </colorScale>
    </cfRule>
  </conditionalFormatting>
  <conditionalFormatting sqref="BF11">
    <cfRule type="colorScale" priority="77">
      <colorScale>
        <cfvo type="num" val="0.69"/>
        <cfvo type="num" val="0.8"/>
        <cfvo type="num" val="0.9"/>
        <color rgb="FFF8696B"/>
        <color rgb="FFFFEB84"/>
        <color rgb="FF63BE7B"/>
      </colorScale>
    </cfRule>
  </conditionalFormatting>
  <conditionalFormatting sqref="BL11">
    <cfRule type="colorScale" priority="76">
      <colorScale>
        <cfvo type="num" val="0.69"/>
        <cfvo type="num" val="0.8"/>
        <cfvo type="num" val="0.9"/>
        <color rgb="FFF8696B"/>
        <color rgb="FFFFEB84"/>
        <color rgb="FF63BE7B"/>
      </colorScale>
    </cfRule>
  </conditionalFormatting>
  <conditionalFormatting sqref="BR11">
    <cfRule type="colorScale" priority="75">
      <colorScale>
        <cfvo type="num" val="0.69"/>
        <cfvo type="num" val="0.8"/>
        <cfvo type="num" val="0.9"/>
        <color rgb="FFF8696B"/>
        <color rgb="FFFFEB84"/>
        <color rgb="FF63BE7B"/>
      </colorScale>
    </cfRule>
  </conditionalFormatting>
  <conditionalFormatting sqref="BX11">
    <cfRule type="colorScale" priority="74">
      <colorScale>
        <cfvo type="num" val="0.69"/>
        <cfvo type="num" val="0.8"/>
        <cfvo type="num" val="0.9"/>
        <color rgb="FFF8696B"/>
        <color rgb="FFFFEB84"/>
        <color rgb="FF63BE7B"/>
      </colorScale>
    </cfRule>
  </conditionalFormatting>
  <conditionalFormatting sqref="CD11">
    <cfRule type="colorScale" priority="73">
      <colorScale>
        <cfvo type="num" val="0.69"/>
        <cfvo type="num" val="0.8"/>
        <cfvo type="num" val="0.9"/>
        <color rgb="FFF8696B"/>
        <color rgb="FFFFEB84"/>
        <color rgb="FF63BE7B"/>
      </colorScale>
    </cfRule>
  </conditionalFormatting>
  <conditionalFormatting sqref="CJ11">
    <cfRule type="colorScale" priority="72">
      <colorScale>
        <cfvo type="num" val="0.69"/>
        <cfvo type="num" val="0.8"/>
        <cfvo type="num" val="0.9"/>
        <color rgb="FFF8696B"/>
        <color rgb="FFFFEB84"/>
        <color rgb="FF63BE7B"/>
      </colorScale>
    </cfRule>
  </conditionalFormatting>
  <conditionalFormatting sqref="CP11">
    <cfRule type="colorScale" priority="71">
      <colorScale>
        <cfvo type="num" val="0.69"/>
        <cfvo type="num" val="0.8"/>
        <cfvo type="num" val="0.9"/>
        <color rgb="FFF8696B"/>
        <color rgb="FFFFEB84"/>
        <color rgb="FF63BE7B"/>
      </colorScale>
    </cfRule>
  </conditionalFormatting>
  <conditionalFormatting sqref="CV11">
    <cfRule type="colorScale" priority="70">
      <colorScale>
        <cfvo type="num" val="0.69"/>
        <cfvo type="num" val="0.8"/>
        <cfvo type="num" val="0.9"/>
        <color rgb="FFF8696B"/>
        <color rgb="FFFFEB84"/>
        <color rgb="FF63BE7B"/>
      </colorScale>
    </cfRule>
  </conditionalFormatting>
  <conditionalFormatting sqref="AB13">
    <cfRule type="colorScale" priority="69">
      <colorScale>
        <cfvo type="num" val="0.69"/>
        <cfvo type="num" val="0.8"/>
        <cfvo type="num" val="0.9"/>
        <color rgb="FFF8696B"/>
        <color rgb="FFFFEB84"/>
        <color rgb="FF63BE7B"/>
      </colorScale>
    </cfRule>
  </conditionalFormatting>
  <conditionalFormatting sqref="AT13">
    <cfRule type="colorScale" priority="68">
      <colorScale>
        <cfvo type="num" val="0.69"/>
        <cfvo type="num" val="0.8"/>
        <cfvo type="num" val="0.9"/>
        <color rgb="FFF8696B"/>
        <color rgb="FFFFEB84"/>
        <color rgb="FF63BE7B"/>
      </colorScale>
    </cfRule>
  </conditionalFormatting>
  <conditionalFormatting sqref="BF13">
    <cfRule type="colorScale" priority="67">
      <colorScale>
        <cfvo type="num" val="0.69"/>
        <cfvo type="num" val="0.8"/>
        <cfvo type="num" val="0.9"/>
        <color rgb="FFF8696B"/>
        <color rgb="FFFFEB84"/>
        <color rgb="FF63BE7B"/>
      </colorScale>
    </cfRule>
  </conditionalFormatting>
  <conditionalFormatting sqref="BR13">
    <cfRule type="colorScale" priority="66">
      <colorScale>
        <cfvo type="num" val="0.69"/>
        <cfvo type="num" val="0.8"/>
        <cfvo type="num" val="0.9"/>
        <color rgb="FFF8696B"/>
        <color rgb="FFFFEB84"/>
        <color rgb="FF63BE7B"/>
      </colorScale>
    </cfRule>
  </conditionalFormatting>
  <conditionalFormatting sqref="CD13">
    <cfRule type="colorScale" priority="65">
      <colorScale>
        <cfvo type="num" val="0.69"/>
        <cfvo type="num" val="0.8"/>
        <cfvo type="num" val="0.9"/>
        <color rgb="FFF8696B"/>
        <color rgb="FFFFEB84"/>
        <color rgb="FF63BE7B"/>
      </colorScale>
    </cfRule>
  </conditionalFormatting>
  <conditionalFormatting sqref="CP13">
    <cfRule type="colorScale" priority="64">
      <colorScale>
        <cfvo type="num" val="0.69"/>
        <cfvo type="num" val="0.8"/>
        <cfvo type="num" val="0.9"/>
        <color rgb="FFF8696B"/>
        <color rgb="FFFFEB84"/>
        <color rgb="FF63BE7B"/>
      </colorScale>
    </cfRule>
  </conditionalFormatting>
  <conditionalFormatting sqref="AI13">
    <cfRule type="colorScale" priority="63">
      <colorScale>
        <cfvo type="num" val="0.69"/>
        <cfvo type="num" val="0.8"/>
        <cfvo type="num" val="0.9"/>
        <color rgb="FFF8696B"/>
        <color rgb="FFFFEB84"/>
        <color rgb="FF63BE7B"/>
      </colorScale>
    </cfRule>
  </conditionalFormatting>
  <conditionalFormatting sqref="BA13">
    <cfRule type="colorScale" priority="62">
      <colorScale>
        <cfvo type="num" val="0.69"/>
        <cfvo type="num" val="0.8"/>
        <cfvo type="num" val="0.9"/>
        <color rgb="FFF8696B"/>
        <color rgb="FFFFEB84"/>
        <color rgb="FF63BE7B"/>
      </colorScale>
    </cfRule>
  </conditionalFormatting>
  <conditionalFormatting sqref="BM13">
    <cfRule type="colorScale" priority="61">
      <colorScale>
        <cfvo type="num" val="0.69"/>
        <cfvo type="num" val="0.8"/>
        <cfvo type="num" val="0.9"/>
        <color rgb="FFF8696B"/>
        <color rgb="FFFFEB84"/>
        <color rgb="FF63BE7B"/>
      </colorScale>
    </cfRule>
  </conditionalFormatting>
  <conditionalFormatting sqref="BY13">
    <cfRule type="colorScale" priority="60">
      <colorScale>
        <cfvo type="num" val="0.69"/>
        <cfvo type="num" val="0.8"/>
        <cfvo type="num" val="0.9"/>
        <color rgb="FFF8696B"/>
        <color rgb="FFFFEB84"/>
        <color rgb="FF63BE7B"/>
      </colorScale>
    </cfRule>
  </conditionalFormatting>
  <conditionalFormatting sqref="CK13">
    <cfRule type="colorScale" priority="59">
      <colorScale>
        <cfvo type="num" val="0.69"/>
        <cfvo type="num" val="0.8"/>
        <cfvo type="num" val="0.9"/>
        <color rgb="FFF8696B"/>
        <color rgb="FFFFEB84"/>
        <color rgb="FF63BE7B"/>
      </colorScale>
    </cfRule>
  </conditionalFormatting>
  <conditionalFormatting sqref="CW13">
    <cfRule type="colorScale" priority="58">
      <colorScale>
        <cfvo type="num" val="0.69"/>
        <cfvo type="num" val="0.8"/>
        <cfvo type="num" val="0.9"/>
        <color rgb="FFF8696B"/>
        <color rgb="FFFFEB84"/>
        <color rgb="FF63BE7B"/>
      </colorScale>
    </cfRule>
  </conditionalFormatting>
  <conditionalFormatting sqref="AB8">
    <cfRule type="colorScale" priority="57">
      <colorScale>
        <cfvo type="num" val="0.69"/>
        <cfvo type="num" val="0.8"/>
        <cfvo type="num" val="0.9"/>
        <color rgb="FFF8696B"/>
        <color rgb="FFFFEB84"/>
        <color rgb="FF63BE7B"/>
      </colorScale>
    </cfRule>
  </conditionalFormatting>
  <conditionalFormatting sqref="AH8">
    <cfRule type="colorScale" priority="56">
      <colorScale>
        <cfvo type="num" val="0.69"/>
        <cfvo type="num" val="0.8"/>
        <cfvo type="num" val="0.9"/>
        <color rgb="FFF8696B"/>
        <color rgb="FFFFEB84"/>
        <color rgb="FF63BE7B"/>
      </colorScale>
    </cfRule>
  </conditionalFormatting>
  <conditionalFormatting sqref="AN8">
    <cfRule type="colorScale" priority="55">
      <colorScale>
        <cfvo type="num" val="0.69"/>
        <cfvo type="num" val="0.8"/>
        <cfvo type="num" val="0.9"/>
        <color rgb="FFF8696B"/>
        <color rgb="FFFFEB84"/>
        <color rgb="FF63BE7B"/>
      </colorScale>
    </cfRule>
  </conditionalFormatting>
  <conditionalFormatting sqref="AT8">
    <cfRule type="colorScale" priority="54">
      <colorScale>
        <cfvo type="num" val="0.69"/>
        <cfvo type="num" val="0.8"/>
        <cfvo type="num" val="0.9"/>
        <color rgb="FFF8696B"/>
        <color rgb="FFFFEB84"/>
        <color rgb="FF63BE7B"/>
      </colorScale>
    </cfRule>
  </conditionalFormatting>
  <conditionalFormatting sqref="AZ8">
    <cfRule type="colorScale" priority="53">
      <colorScale>
        <cfvo type="num" val="0.69"/>
        <cfvo type="num" val="0.8"/>
        <cfvo type="num" val="0.9"/>
        <color rgb="FFF8696B"/>
        <color rgb="FFFFEB84"/>
        <color rgb="FF63BE7B"/>
      </colorScale>
    </cfRule>
  </conditionalFormatting>
  <conditionalFormatting sqref="BF8">
    <cfRule type="colorScale" priority="52">
      <colorScale>
        <cfvo type="num" val="0.69"/>
        <cfvo type="num" val="0.8"/>
        <cfvo type="num" val="0.9"/>
        <color rgb="FFF8696B"/>
        <color rgb="FFFFEB84"/>
        <color rgb="FF63BE7B"/>
      </colorScale>
    </cfRule>
  </conditionalFormatting>
  <conditionalFormatting sqref="BL8">
    <cfRule type="colorScale" priority="51">
      <colorScale>
        <cfvo type="num" val="0.69"/>
        <cfvo type="num" val="0.8"/>
        <cfvo type="num" val="0.9"/>
        <color rgb="FFF8696B"/>
        <color rgb="FFFFEB84"/>
        <color rgb="FF63BE7B"/>
      </colorScale>
    </cfRule>
  </conditionalFormatting>
  <conditionalFormatting sqref="BR8">
    <cfRule type="colorScale" priority="50">
      <colorScale>
        <cfvo type="num" val="0.69"/>
        <cfvo type="num" val="0.8"/>
        <cfvo type="num" val="0.9"/>
        <color rgb="FFF8696B"/>
        <color rgb="FFFFEB84"/>
        <color rgb="FF63BE7B"/>
      </colorScale>
    </cfRule>
  </conditionalFormatting>
  <conditionalFormatting sqref="BX8">
    <cfRule type="colorScale" priority="49">
      <colorScale>
        <cfvo type="num" val="0.69"/>
        <cfvo type="num" val="0.8"/>
        <cfvo type="num" val="0.9"/>
        <color rgb="FFF8696B"/>
        <color rgb="FFFFEB84"/>
        <color rgb="FF63BE7B"/>
      </colorScale>
    </cfRule>
  </conditionalFormatting>
  <conditionalFormatting sqref="CD8">
    <cfRule type="colorScale" priority="48">
      <colorScale>
        <cfvo type="num" val="0.69"/>
        <cfvo type="num" val="0.8"/>
        <cfvo type="num" val="0.9"/>
        <color rgb="FFF8696B"/>
        <color rgb="FFFFEB84"/>
        <color rgb="FF63BE7B"/>
      </colorScale>
    </cfRule>
  </conditionalFormatting>
  <conditionalFormatting sqref="CJ8">
    <cfRule type="colorScale" priority="47">
      <colorScale>
        <cfvo type="num" val="0.69"/>
        <cfvo type="num" val="0.8"/>
        <cfvo type="num" val="0.9"/>
        <color rgb="FFF8696B"/>
        <color rgb="FFFFEB84"/>
        <color rgb="FF63BE7B"/>
      </colorScale>
    </cfRule>
  </conditionalFormatting>
  <conditionalFormatting sqref="CP8">
    <cfRule type="colorScale" priority="46">
      <colorScale>
        <cfvo type="num" val="0.69"/>
        <cfvo type="num" val="0.8"/>
        <cfvo type="num" val="0.9"/>
        <color rgb="FFF8696B"/>
        <color rgb="FFFFEB84"/>
        <color rgb="FF63BE7B"/>
      </colorScale>
    </cfRule>
  </conditionalFormatting>
  <conditionalFormatting sqref="CV8">
    <cfRule type="colorScale" priority="45">
      <colorScale>
        <cfvo type="num" val="0.69"/>
        <cfvo type="num" val="0.8"/>
        <cfvo type="num" val="0.9"/>
        <color rgb="FFF8696B"/>
        <color rgb="FFFFEB84"/>
        <color rgb="FF63BE7B"/>
      </colorScale>
    </cfRule>
  </conditionalFormatting>
  <conditionalFormatting sqref="AB9">
    <cfRule type="colorScale" priority="44">
      <colorScale>
        <cfvo type="num" val="0.69"/>
        <cfvo type="num" val="0.8"/>
        <cfvo type="num" val="0.9"/>
        <color rgb="FFF8696B"/>
        <color rgb="FFFFEB84"/>
        <color rgb="FF63BE7B"/>
      </colorScale>
    </cfRule>
  </conditionalFormatting>
  <conditionalFormatting sqref="AH9">
    <cfRule type="colorScale" priority="43">
      <colorScale>
        <cfvo type="num" val="0.69"/>
        <cfvo type="num" val="0.8"/>
        <cfvo type="num" val="0.9"/>
        <color rgb="FFF8696B"/>
        <color rgb="FFFFEB84"/>
        <color rgb="FF63BE7B"/>
      </colorScale>
    </cfRule>
  </conditionalFormatting>
  <conditionalFormatting sqref="AN9">
    <cfRule type="colorScale" priority="42">
      <colorScale>
        <cfvo type="num" val="0.69"/>
        <cfvo type="num" val="0.8"/>
        <cfvo type="num" val="0.9"/>
        <color rgb="FFF8696B"/>
        <color rgb="FFFFEB84"/>
        <color rgb="FF63BE7B"/>
      </colorScale>
    </cfRule>
  </conditionalFormatting>
  <conditionalFormatting sqref="AT9">
    <cfRule type="colorScale" priority="41">
      <colorScale>
        <cfvo type="num" val="0.69"/>
        <cfvo type="num" val="0.8"/>
        <cfvo type="num" val="0.9"/>
        <color rgb="FFF8696B"/>
        <color rgb="FFFFEB84"/>
        <color rgb="FF63BE7B"/>
      </colorScale>
    </cfRule>
  </conditionalFormatting>
  <conditionalFormatting sqref="AZ9">
    <cfRule type="colorScale" priority="40">
      <colorScale>
        <cfvo type="num" val="0.69"/>
        <cfvo type="num" val="0.8"/>
        <cfvo type="num" val="0.9"/>
        <color rgb="FFF8696B"/>
        <color rgb="FFFFEB84"/>
        <color rgb="FF63BE7B"/>
      </colorScale>
    </cfRule>
  </conditionalFormatting>
  <conditionalFormatting sqref="BF9">
    <cfRule type="colorScale" priority="39">
      <colorScale>
        <cfvo type="num" val="0.69"/>
        <cfvo type="num" val="0.8"/>
        <cfvo type="num" val="0.9"/>
        <color rgb="FFF8696B"/>
        <color rgb="FFFFEB84"/>
        <color rgb="FF63BE7B"/>
      </colorScale>
    </cfRule>
  </conditionalFormatting>
  <conditionalFormatting sqref="BL9">
    <cfRule type="colorScale" priority="38">
      <colorScale>
        <cfvo type="num" val="0.69"/>
        <cfvo type="num" val="0.8"/>
        <cfvo type="num" val="0.9"/>
        <color rgb="FFF8696B"/>
        <color rgb="FFFFEB84"/>
        <color rgb="FF63BE7B"/>
      </colorScale>
    </cfRule>
  </conditionalFormatting>
  <conditionalFormatting sqref="BR9">
    <cfRule type="colorScale" priority="37">
      <colorScale>
        <cfvo type="num" val="0.69"/>
        <cfvo type="num" val="0.8"/>
        <cfvo type="num" val="0.9"/>
        <color rgb="FFF8696B"/>
        <color rgb="FFFFEB84"/>
        <color rgb="FF63BE7B"/>
      </colorScale>
    </cfRule>
  </conditionalFormatting>
  <conditionalFormatting sqref="BX9">
    <cfRule type="colorScale" priority="36">
      <colorScale>
        <cfvo type="num" val="0.69"/>
        <cfvo type="num" val="0.8"/>
        <cfvo type="num" val="0.9"/>
        <color rgb="FFF8696B"/>
        <color rgb="FFFFEB84"/>
        <color rgb="FF63BE7B"/>
      </colorScale>
    </cfRule>
  </conditionalFormatting>
  <conditionalFormatting sqref="CD9">
    <cfRule type="colorScale" priority="35">
      <colorScale>
        <cfvo type="num" val="0.69"/>
        <cfvo type="num" val="0.8"/>
        <cfvo type="num" val="0.9"/>
        <color rgb="FFF8696B"/>
        <color rgb="FFFFEB84"/>
        <color rgb="FF63BE7B"/>
      </colorScale>
    </cfRule>
  </conditionalFormatting>
  <conditionalFormatting sqref="CJ9">
    <cfRule type="colorScale" priority="34">
      <colorScale>
        <cfvo type="num" val="0.69"/>
        <cfvo type="num" val="0.8"/>
        <cfvo type="num" val="0.9"/>
        <color rgb="FFF8696B"/>
        <color rgb="FFFFEB84"/>
        <color rgb="FF63BE7B"/>
      </colorScale>
    </cfRule>
  </conditionalFormatting>
  <conditionalFormatting sqref="CP9">
    <cfRule type="colorScale" priority="33">
      <colorScale>
        <cfvo type="num" val="0.69"/>
        <cfvo type="num" val="0.8"/>
        <cfvo type="num" val="0.9"/>
        <color rgb="FFF8696B"/>
        <color rgb="FFFFEB84"/>
        <color rgb="FF63BE7B"/>
      </colorScale>
    </cfRule>
  </conditionalFormatting>
  <conditionalFormatting sqref="CV9">
    <cfRule type="colorScale" priority="32">
      <colorScale>
        <cfvo type="num" val="0.69"/>
        <cfvo type="num" val="0.8"/>
        <cfvo type="num" val="0.9"/>
        <color rgb="FFF8696B"/>
        <color rgb="FFFFEB84"/>
        <color rgb="FF63BE7B"/>
      </colorScale>
    </cfRule>
  </conditionalFormatting>
  <conditionalFormatting sqref="AB10">
    <cfRule type="colorScale" priority="31">
      <colorScale>
        <cfvo type="num" val="0.69"/>
        <cfvo type="num" val="0.8"/>
        <cfvo type="num" val="0.9"/>
        <color rgb="FFF8696B"/>
        <color rgb="FFFFEB84"/>
        <color rgb="FF63BE7B"/>
      </colorScale>
    </cfRule>
  </conditionalFormatting>
  <conditionalFormatting sqref="AH10">
    <cfRule type="colorScale" priority="30">
      <colorScale>
        <cfvo type="num" val="0.69"/>
        <cfvo type="num" val="0.8"/>
        <cfvo type="num" val="0.9"/>
        <color rgb="FFF8696B"/>
        <color rgb="FFFFEB84"/>
        <color rgb="FF63BE7B"/>
      </colorScale>
    </cfRule>
  </conditionalFormatting>
  <conditionalFormatting sqref="AN10">
    <cfRule type="colorScale" priority="29">
      <colorScale>
        <cfvo type="num" val="0.69"/>
        <cfvo type="num" val="0.8"/>
        <cfvo type="num" val="0.9"/>
        <color rgb="FFF8696B"/>
        <color rgb="FFFFEB84"/>
        <color rgb="FF63BE7B"/>
      </colorScale>
    </cfRule>
  </conditionalFormatting>
  <conditionalFormatting sqref="AT10">
    <cfRule type="colorScale" priority="28">
      <colorScale>
        <cfvo type="num" val="0.69"/>
        <cfvo type="num" val="0.8"/>
        <cfvo type="num" val="0.9"/>
        <color rgb="FFF8696B"/>
        <color rgb="FFFFEB84"/>
        <color rgb="FF63BE7B"/>
      </colorScale>
    </cfRule>
  </conditionalFormatting>
  <conditionalFormatting sqref="AZ10">
    <cfRule type="colorScale" priority="27">
      <colorScale>
        <cfvo type="num" val="0.69"/>
        <cfvo type="num" val="0.8"/>
        <cfvo type="num" val="0.9"/>
        <color rgb="FFF8696B"/>
        <color rgb="FFFFEB84"/>
        <color rgb="FF63BE7B"/>
      </colorScale>
    </cfRule>
  </conditionalFormatting>
  <conditionalFormatting sqref="BF10">
    <cfRule type="colorScale" priority="26">
      <colorScale>
        <cfvo type="num" val="0.69"/>
        <cfvo type="num" val="0.8"/>
        <cfvo type="num" val="0.9"/>
        <color rgb="FFF8696B"/>
        <color rgb="FFFFEB84"/>
        <color rgb="FF63BE7B"/>
      </colorScale>
    </cfRule>
  </conditionalFormatting>
  <conditionalFormatting sqref="BL10">
    <cfRule type="colorScale" priority="25">
      <colorScale>
        <cfvo type="num" val="0.69"/>
        <cfvo type="num" val="0.8"/>
        <cfvo type="num" val="0.9"/>
        <color rgb="FFF8696B"/>
        <color rgb="FFFFEB84"/>
        <color rgb="FF63BE7B"/>
      </colorScale>
    </cfRule>
  </conditionalFormatting>
  <conditionalFormatting sqref="BR10">
    <cfRule type="colorScale" priority="24">
      <colorScale>
        <cfvo type="num" val="0.69"/>
        <cfvo type="num" val="0.8"/>
        <cfvo type="num" val="0.9"/>
        <color rgb="FFF8696B"/>
        <color rgb="FFFFEB84"/>
        <color rgb="FF63BE7B"/>
      </colorScale>
    </cfRule>
  </conditionalFormatting>
  <conditionalFormatting sqref="BX10">
    <cfRule type="colorScale" priority="23">
      <colorScale>
        <cfvo type="num" val="0.69"/>
        <cfvo type="num" val="0.8"/>
        <cfvo type="num" val="0.9"/>
        <color rgb="FFF8696B"/>
        <color rgb="FFFFEB84"/>
        <color rgb="FF63BE7B"/>
      </colorScale>
    </cfRule>
  </conditionalFormatting>
  <conditionalFormatting sqref="CD10">
    <cfRule type="colorScale" priority="22">
      <colorScale>
        <cfvo type="num" val="0.69"/>
        <cfvo type="num" val="0.8"/>
        <cfvo type="num" val="0.9"/>
        <color rgb="FFF8696B"/>
        <color rgb="FFFFEB84"/>
        <color rgb="FF63BE7B"/>
      </colorScale>
    </cfRule>
  </conditionalFormatting>
  <conditionalFormatting sqref="CJ10">
    <cfRule type="colorScale" priority="21">
      <colorScale>
        <cfvo type="num" val="0.69"/>
        <cfvo type="num" val="0.8"/>
        <cfvo type="num" val="0.9"/>
        <color rgb="FFF8696B"/>
        <color rgb="FFFFEB84"/>
        <color rgb="FF63BE7B"/>
      </colorScale>
    </cfRule>
  </conditionalFormatting>
  <conditionalFormatting sqref="CP10">
    <cfRule type="colorScale" priority="20">
      <colorScale>
        <cfvo type="num" val="0.69"/>
        <cfvo type="num" val="0.8"/>
        <cfvo type="num" val="0.9"/>
        <color rgb="FFF8696B"/>
        <color rgb="FFFFEB84"/>
        <color rgb="FF63BE7B"/>
      </colorScale>
    </cfRule>
  </conditionalFormatting>
  <conditionalFormatting sqref="CV10">
    <cfRule type="colorScale" priority="19">
      <colorScale>
        <cfvo type="num" val="0.69"/>
        <cfvo type="num" val="0.8"/>
        <cfvo type="num" val="0.9"/>
        <color rgb="FFF8696B"/>
        <color rgb="FFFFEB84"/>
        <color rgb="FF63BE7B"/>
      </colorScale>
    </cfRule>
  </conditionalFormatting>
  <conditionalFormatting sqref="CV12">
    <cfRule type="colorScale" priority="6">
      <colorScale>
        <cfvo type="num" val="0.69"/>
        <cfvo type="num" val="0.8"/>
        <cfvo type="num" val="0.9"/>
        <color rgb="FFF8696B"/>
        <color rgb="FFFFEB84"/>
        <color rgb="FF63BE7B"/>
      </colorScale>
    </cfRule>
  </conditionalFormatting>
  <conditionalFormatting sqref="AB12">
    <cfRule type="colorScale" priority="18">
      <colorScale>
        <cfvo type="num" val="0.69"/>
        <cfvo type="num" val="0.8"/>
        <cfvo type="num" val="0.9"/>
        <color rgb="FFF8696B"/>
        <color rgb="FFFFEB84"/>
        <color rgb="FF63BE7B"/>
      </colorScale>
    </cfRule>
  </conditionalFormatting>
  <conditionalFormatting sqref="AH12">
    <cfRule type="colorScale" priority="17">
      <colorScale>
        <cfvo type="num" val="0.69"/>
        <cfvo type="num" val="0.8"/>
        <cfvo type="num" val="0.9"/>
        <color rgb="FFF8696B"/>
        <color rgb="FFFFEB84"/>
        <color rgb="FF63BE7B"/>
      </colorScale>
    </cfRule>
  </conditionalFormatting>
  <conditionalFormatting sqref="AN12">
    <cfRule type="colorScale" priority="16">
      <colorScale>
        <cfvo type="num" val="0.69"/>
        <cfvo type="num" val="0.8"/>
        <cfvo type="num" val="0.9"/>
        <color rgb="FFF8696B"/>
        <color rgb="FFFFEB84"/>
        <color rgb="FF63BE7B"/>
      </colorScale>
    </cfRule>
  </conditionalFormatting>
  <conditionalFormatting sqref="AT12">
    <cfRule type="colorScale" priority="15">
      <colorScale>
        <cfvo type="num" val="0.69"/>
        <cfvo type="num" val="0.8"/>
        <cfvo type="num" val="0.9"/>
        <color rgb="FFF8696B"/>
        <color rgb="FFFFEB84"/>
        <color rgb="FF63BE7B"/>
      </colorScale>
    </cfRule>
  </conditionalFormatting>
  <conditionalFormatting sqref="AZ12">
    <cfRule type="colorScale" priority="14">
      <colorScale>
        <cfvo type="num" val="0.69"/>
        <cfvo type="num" val="0.8"/>
        <cfvo type="num" val="0.9"/>
        <color rgb="FFF8696B"/>
        <color rgb="FFFFEB84"/>
        <color rgb="FF63BE7B"/>
      </colorScale>
    </cfRule>
  </conditionalFormatting>
  <conditionalFormatting sqref="BF12">
    <cfRule type="colorScale" priority="13">
      <colorScale>
        <cfvo type="num" val="0.69"/>
        <cfvo type="num" val="0.8"/>
        <cfvo type="num" val="0.9"/>
        <color rgb="FFF8696B"/>
        <color rgb="FFFFEB84"/>
        <color rgb="FF63BE7B"/>
      </colorScale>
    </cfRule>
  </conditionalFormatting>
  <conditionalFormatting sqref="BL12">
    <cfRule type="colorScale" priority="12">
      <colorScale>
        <cfvo type="num" val="0.69"/>
        <cfvo type="num" val="0.8"/>
        <cfvo type="num" val="0.9"/>
        <color rgb="FFF8696B"/>
        <color rgb="FFFFEB84"/>
        <color rgb="FF63BE7B"/>
      </colorScale>
    </cfRule>
  </conditionalFormatting>
  <conditionalFormatting sqref="BR12">
    <cfRule type="colorScale" priority="11">
      <colorScale>
        <cfvo type="num" val="0.69"/>
        <cfvo type="num" val="0.8"/>
        <cfvo type="num" val="0.9"/>
        <color rgb="FFF8696B"/>
        <color rgb="FFFFEB84"/>
        <color rgb="FF63BE7B"/>
      </colorScale>
    </cfRule>
  </conditionalFormatting>
  <conditionalFormatting sqref="BX12">
    <cfRule type="colorScale" priority="10">
      <colorScale>
        <cfvo type="num" val="0.69"/>
        <cfvo type="num" val="0.8"/>
        <cfvo type="num" val="0.9"/>
        <color rgb="FFF8696B"/>
        <color rgb="FFFFEB84"/>
        <color rgb="FF63BE7B"/>
      </colorScale>
    </cfRule>
  </conditionalFormatting>
  <conditionalFormatting sqref="CD12">
    <cfRule type="colorScale" priority="9">
      <colorScale>
        <cfvo type="num" val="0.69"/>
        <cfvo type="num" val="0.8"/>
        <cfvo type="num" val="0.9"/>
        <color rgb="FFF8696B"/>
        <color rgb="FFFFEB84"/>
        <color rgb="FF63BE7B"/>
      </colorScale>
    </cfRule>
  </conditionalFormatting>
  <conditionalFormatting sqref="CJ12">
    <cfRule type="colorScale" priority="8">
      <colorScale>
        <cfvo type="num" val="0.69"/>
        <cfvo type="num" val="0.8"/>
        <cfvo type="num" val="0.9"/>
        <color rgb="FFF8696B"/>
        <color rgb="FFFFEB84"/>
        <color rgb="FF63BE7B"/>
      </colorScale>
    </cfRule>
  </conditionalFormatting>
  <conditionalFormatting sqref="CP12">
    <cfRule type="colorScale" priority="7">
      <colorScale>
        <cfvo type="num" val="0.69"/>
        <cfvo type="num" val="0.8"/>
        <cfvo type="num" val="0.9"/>
        <color rgb="FFF8696B"/>
        <color rgb="FFFFEB84"/>
        <color rgb="FF63BE7B"/>
      </colorScale>
    </cfRule>
  </conditionalFormatting>
  <conditionalFormatting sqref="AN15">
    <cfRule type="colorScale" priority="5">
      <colorScale>
        <cfvo type="num" val="0.69"/>
        <cfvo type="num" val="0.8"/>
        <cfvo type="num" val="0.9"/>
        <color rgb="FFF8696B"/>
        <color rgb="FFFFEB84"/>
        <color rgb="FF63BE7B"/>
      </colorScale>
    </cfRule>
  </conditionalFormatting>
  <conditionalFormatting sqref="AN14">
    <cfRule type="colorScale" priority="4">
      <colorScale>
        <cfvo type="num" val="0.69"/>
        <cfvo type="num" val="0.8"/>
        <cfvo type="num" val="0.9"/>
        <color rgb="FFF8696B"/>
        <color rgb="FFFFEB84"/>
        <color rgb="FF63BE7B"/>
      </colorScale>
    </cfRule>
  </conditionalFormatting>
  <conditionalFormatting sqref="BF16">
    <cfRule type="colorScale" priority="3">
      <colorScale>
        <cfvo type="num" val="0.69"/>
        <cfvo type="num" val="0.8"/>
        <cfvo type="num" val="0.9"/>
        <color rgb="FFF8696B"/>
        <color rgb="FFFFEB84"/>
        <color rgb="FF63BE7B"/>
      </colorScale>
    </cfRule>
  </conditionalFormatting>
  <conditionalFormatting sqref="BF16">
    <cfRule type="colorScale" priority="2">
      <colorScale>
        <cfvo type="num" val="0.69"/>
        <cfvo type="num" val="0.8"/>
        <cfvo type="num" val="0.9"/>
        <color rgb="FFF8696B"/>
        <color rgb="FFFFEB84"/>
        <color rgb="FF63BE7B"/>
      </colorScale>
    </cfRule>
  </conditionalFormatting>
  <conditionalFormatting sqref="BF15">
    <cfRule type="colorScale" priority="1">
      <colorScale>
        <cfvo type="num" val="0.69"/>
        <cfvo type="num" val="0.8"/>
        <cfvo type="num" val="0.9"/>
        <color rgb="FFF8696B"/>
        <color rgb="FFFFEB84"/>
        <color rgb="FF63BE7B"/>
      </colorScale>
    </cfRule>
  </conditionalFormatting>
  <printOptions horizontalCentered="1" verticalCentered="1"/>
  <pageMargins left="0.59055118110236227" right="0" top="0" bottom="0" header="0.31496062992125984" footer="0.31496062992125984"/>
  <pageSetup paperSize="14" scale="50" fitToHeight="2" orientation="landscape" r:id="rId1"/>
  <headerFooter alignWithMargins="0"/>
  <rowBreaks count="1" manualBreakCount="1">
    <brk id="12" max="100" man="1"/>
  </rowBreaks>
  <colBreaks count="2" manualBreakCount="2">
    <brk id="59" max="23" man="1"/>
    <brk id="95" max="23"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29"/>
  <sheetViews>
    <sheetView workbookViewId="0">
      <selection activeCell="C4" sqref="C4:J4"/>
    </sheetView>
  </sheetViews>
  <sheetFormatPr baseColWidth="10" defaultColWidth="11.5703125" defaultRowHeight="25.15" customHeight="1"/>
  <cols>
    <col min="1" max="1" width="4.28515625" style="15" customWidth="1"/>
    <col min="2" max="2" width="12" style="15" hidden="1" customWidth="1"/>
    <col min="3" max="3" width="12.5703125" style="2" hidden="1" customWidth="1"/>
    <col min="4" max="4" width="19.85546875" style="15" bestFit="1" customWidth="1"/>
    <col min="5" max="5" width="17.28515625" style="15" bestFit="1" customWidth="1"/>
    <col min="6" max="6" width="32.140625" style="15" bestFit="1" customWidth="1"/>
    <col min="7" max="7" width="10.5703125" style="15" bestFit="1" customWidth="1"/>
    <col min="8" max="8" width="22.7109375" style="15" bestFit="1" customWidth="1"/>
    <col min="9" max="9" width="19.5703125" style="15" bestFit="1" customWidth="1"/>
    <col min="10" max="10" width="8.85546875" style="15" bestFit="1" customWidth="1"/>
    <col min="11" max="12" width="8" style="15" hidden="1" customWidth="1"/>
    <col min="13" max="15" width="7.85546875" style="15" hidden="1" customWidth="1"/>
    <col min="16" max="18" width="7.7109375" style="15" hidden="1" customWidth="1"/>
    <col min="19" max="20" width="5.140625" style="15" hidden="1" customWidth="1"/>
    <col min="21" max="21" width="5" style="15" hidden="1" customWidth="1"/>
    <col min="22" max="22" width="5.140625" style="15" hidden="1" customWidth="1"/>
    <col min="23" max="23" width="6.7109375" style="15" hidden="1" customWidth="1"/>
    <col min="24" max="24" width="9.7109375" style="15" hidden="1" customWidth="1"/>
    <col min="25" max="25" width="11.42578125" style="15" hidden="1" customWidth="1"/>
    <col min="26" max="26" width="9.85546875" style="15" hidden="1" customWidth="1"/>
    <col min="27" max="27" width="10" style="15" hidden="1" customWidth="1"/>
    <col min="28" max="28" width="12.28515625" style="15" hidden="1" customWidth="1"/>
    <col min="29" max="29" width="41" style="15" hidden="1" customWidth="1"/>
    <col min="30" max="30" width="9.7109375" style="15" hidden="1" customWidth="1"/>
    <col min="31" max="31" width="11.42578125" style="15" hidden="1" customWidth="1"/>
    <col min="32" max="32" width="9.85546875" style="15" hidden="1" customWidth="1"/>
    <col min="33" max="33" width="10" style="15" hidden="1" customWidth="1"/>
    <col min="34" max="34" width="12.28515625" style="15" hidden="1" customWidth="1"/>
    <col min="35" max="35" width="51.28515625" style="15" hidden="1" customWidth="1"/>
    <col min="36" max="36" width="9.7109375" style="15" hidden="1" customWidth="1"/>
    <col min="37" max="37" width="11.42578125" style="15" hidden="1" customWidth="1"/>
    <col min="38" max="38" width="9.85546875" style="15" hidden="1" customWidth="1"/>
    <col min="39" max="39" width="10" style="15" hidden="1" customWidth="1"/>
    <col min="40" max="40" width="12.28515625" style="15" hidden="1" customWidth="1"/>
    <col min="41" max="41" width="51.5703125" style="15" hidden="1" customWidth="1"/>
    <col min="42" max="42" width="9.7109375" style="15" hidden="1" customWidth="1"/>
    <col min="43" max="43" width="11.42578125" style="15" hidden="1" customWidth="1"/>
    <col min="44" max="44" width="9.85546875" style="15" hidden="1" customWidth="1"/>
    <col min="45" max="45" width="10" style="15" hidden="1" customWidth="1"/>
    <col min="46" max="46" width="12.28515625" style="15" hidden="1" customWidth="1"/>
    <col min="47" max="47" width="50.5703125" style="15" hidden="1" customWidth="1"/>
    <col min="48" max="48" width="9.7109375" style="15" hidden="1" customWidth="1"/>
    <col min="49" max="49" width="11.42578125" style="15" hidden="1" customWidth="1"/>
    <col min="50" max="50" width="9.85546875" style="15" hidden="1" customWidth="1"/>
    <col min="51" max="51" width="10" style="15" hidden="1" customWidth="1"/>
    <col min="52" max="52" width="12.28515625" style="15" hidden="1" customWidth="1"/>
    <col min="53" max="53" width="50.42578125" style="15" hidden="1" customWidth="1"/>
    <col min="54" max="54" width="9.7109375" style="15" hidden="1" customWidth="1"/>
    <col min="55" max="55" width="11.42578125" style="15" hidden="1" customWidth="1"/>
    <col min="56" max="56" width="9.85546875" style="15" hidden="1" customWidth="1"/>
    <col min="57" max="57" width="10" style="15" hidden="1" customWidth="1"/>
    <col min="58" max="58" width="12.28515625" style="15" hidden="1" customWidth="1"/>
    <col min="59" max="59" width="50.85546875" style="15" hidden="1" customWidth="1"/>
    <col min="60" max="60" width="9.7109375" style="15" hidden="1" customWidth="1"/>
    <col min="61" max="61" width="11.42578125" style="15" hidden="1" customWidth="1"/>
    <col min="62" max="62" width="9.85546875" style="15" hidden="1" customWidth="1"/>
    <col min="63" max="63" width="10" style="15" hidden="1" customWidth="1"/>
    <col min="64" max="64" width="12.28515625" style="15" hidden="1" customWidth="1"/>
    <col min="65" max="65" width="51.42578125" style="15" hidden="1" customWidth="1"/>
    <col min="66" max="66" width="9.7109375" style="15" hidden="1" customWidth="1"/>
    <col min="67" max="67" width="11.42578125" style="15" hidden="1" customWidth="1"/>
    <col min="68" max="68" width="9.85546875" style="15" hidden="1" customWidth="1"/>
    <col min="69" max="69" width="10" style="15" hidden="1" customWidth="1"/>
    <col min="70" max="70" width="12.28515625" style="15" hidden="1" customWidth="1"/>
    <col min="71" max="71" width="48.5703125" style="15" hidden="1" customWidth="1"/>
    <col min="72" max="72" width="9.7109375" style="15" hidden="1" customWidth="1"/>
    <col min="73" max="73" width="11.42578125" style="15" hidden="1" customWidth="1"/>
    <col min="74" max="74" width="9.85546875" style="15" hidden="1" customWidth="1"/>
    <col min="75" max="75" width="10" style="15" hidden="1" customWidth="1"/>
    <col min="76" max="76" width="12.28515625" style="15" hidden="1" customWidth="1"/>
    <col min="77" max="77" width="34.7109375" style="15" hidden="1" customWidth="1"/>
    <col min="78" max="78" width="9.7109375" style="15" hidden="1" customWidth="1"/>
    <col min="79" max="79" width="11.42578125" style="15" hidden="1" customWidth="1"/>
    <col min="80" max="80" width="9.85546875" style="15" hidden="1" customWidth="1"/>
    <col min="81" max="81" width="10" style="15" hidden="1" customWidth="1"/>
    <col min="82" max="82" width="12.28515625" style="15" hidden="1" customWidth="1"/>
    <col min="83" max="83" width="32.7109375" style="15" hidden="1" customWidth="1"/>
    <col min="84" max="84" width="9.7109375" style="15" hidden="1" customWidth="1"/>
    <col min="85" max="85" width="11.42578125" style="15" hidden="1" customWidth="1"/>
    <col min="86" max="86" width="9.85546875" style="15" hidden="1" customWidth="1"/>
    <col min="87" max="87" width="10" style="15" hidden="1" customWidth="1"/>
    <col min="88" max="88" width="12.28515625" style="15" hidden="1" customWidth="1"/>
    <col min="89" max="89" width="45.5703125" style="15" hidden="1" customWidth="1"/>
    <col min="90" max="90" width="9.7109375" style="15" bestFit="1" customWidth="1"/>
    <col min="91" max="91" width="11.42578125" style="15" bestFit="1" customWidth="1"/>
    <col min="92" max="92" width="9.85546875" style="15" bestFit="1" customWidth="1"/>
    <col min="93" max="93" width="9.28515625" style="15" bestFit="1" customWidth="1"/>
    <col min="94" max="94" width="12.28515625" style="15" bestFit="1" customWidth="1"/>
    <col min="95" max="95" width="31.42578125" style="15" bestFit="1" customWidth="1"/>
    <col min="96" max="96" width="9.7109375" style="15" bestFit="1" customWidth="1"/>
    <col min="97" max="97" width="11" style="15" customWidth="1"/>
    <col min="98" max="98" width="8.140625" style="15" customWidth="1"/>
    <col min="99" max="99" width="9.140625" style="15" customWidth="1"/>
    <col min="100" max="100" width="12.85546875" style="15" customWidth="1"/>
    <col min="101" max="101" width="37.7109375" style="15" customWidth="1"/>
    <col min="102" max="102" width="5.85546875" style="15" customWidth="1"/>
    <col min="103" max="16384" width="11.5703125" style="15"/>
  </cols>
  <sheetData>
    <row r="1" spans="1:256" ht="19.899999999999999" customHeight="1">
      <c r="A1" s="2"/>
      <c r="B1" s="2422" t="s">
        <v>22</v>
      </c>
      <c r="C1" s="2422"/>
      <c r="D1" s="2422"/>
      <c r="E1" s="2422"/>
      <c r="F1" s="2422"/>
      <c r="G1" s="2422"/>
      <c r="H1" s="2422"/>
      <c r="I1" s="2422"/>
      <c r="J1" s="2422"/>
      <c r="K1" s="2422"/>
      <c r="L1" s="2422"/>
      <c r="M1" s="2422"/>
      <c r="N1" s="2422"/>
      <c r="O1" s="1984"/>
      <c r="P1" s="1984"/>
      <c r="Q1" s="1984"/>
      <c r="R1" s="1984"/>
      <c r="S1" s="1982"/>
      <c r="T1" s="1982"/>
      <c r="U1" s="1982"/>
      <c r="V1" s="1982"/>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ht="19.899999999999999" customHeight="1">
      <c r="A2" s="2"/>
      <c r="B2" s="2"/>
      <c r="C2" s="582"/>
      <c r="D2" s="1978" t="s">
        <v>50</v>
      </c>
      <c r="E2" s="1978"/>
      <c r="F2" s="1978"/>
      <c r="G2" s="1978"/>
      <c r="H2" s="1978"/>
      <c r="I2" s="1978"/>
      <c r="J2" s="1978"/>
      <c r="K2" s="1978"/>
      <c r="L2" s="1978"/>
      <c r="M2" s="1978"/>
      <c r="N2" s="1978"/>
      <c r="O2" s="1978" t="s">
        <v>48</v>
      </c>
      <c r="P2" s="1978"/>
      <c r="Q2" s="1978"/>
      <c r="R2" s="1978"/>
      <c r="S2" s="1982"/>
      <c r="T2" s="1982"/>
      <c r="U2" s="1982"/>
      <c r="V2" s="1982"/>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13.15" customHeight="1">
      <c r="A3" s="2"/>
      <c r="B3" s="2"/>
      <c r="C3" s="687"/>
      <c r="D3" s="1097"/>
      <c r="E3" s="1097"/>
      <c r="F3" s="1097"/>
      <c r="G3" s="1097"/>
      <c r="H3" s="1097"/>
      <c r="I3" s="1097"/>
      <c r="J3" s="1097"/>
      <c r="K3" s="1097"/>
      <c r="L3" s="1097"/>
      <c r="M3" s="1097"/>
      <c r="N3" s="1097"/>
      <c r="O3" s="1097"/>
      <c r="P3" s="1097"/>
      <c r="Q3" s="1097"/>
      <c r="R3" s="1097"/>
      <c r="S3" s="1097"/>
      <c r="T3" s="1097"/>
      <c r="U3" s="1097"/>
      <c r="V3" s="1097"/>
      <c r="W3" s="1229"/>
      <c r="X3" s="1229"/>
      <c r="Y3" s="1229"/>
      <c r="Z3" s="1229"/>
      <c r="AA3" s="1229"/>
      <c r="AB3" s="1229"/>
      <c r="AC3" s="1229"/>
      <c r="AD3" s="1229"/>
      <c r="AE3" s="1229"/>
      <c r="AF3" s="1229"/>
      <c r="AG3" s="1229"/>
      <c r="AH3" s="1229"/>
      <c r="AI3" s="1229"/>
      <c r="AJ3" s="1229"/>
      <c r="AK3" s="1229"/>
      <c r="AL3" s="1229"/>
      <c r="AM3" s="1229"/>
      <c r="AN3" s="1229"/>
      <c r="AO3" s="1229"/>
      <c r="AP3" s="1229"/>
      <c r="AQ3" s="1229"/>
      <c r="AR3" s="1229"/>
      <c r="AS3" s="1229"/>
      <c r="AT3" s="1229"/>
      <c r="AU3" s="1229"/>
      <c r="AV3" s="1229"/>
      <c r="AW3" s="1229"/>
      <c r="AX3" s="1229"/>
      <c r="AY3" s="1229"/>
      <c r="AZ3" s="1229"/>
      <c r="BA3" s="1229"/>
      <c r="BB3" s="1229"/>
      <c r="BC3" s="1229"/>
      <c r="BD3" s="1229"/>
      <c r="BE3" s="1229"/>
      <c r="BF3" s="1229"/>
      <c r="BG3" s="1229"/>
      <c r="BH3" s="1229"/>
      <c r="BI3" s="1229"/>
      <c r="BJ3" s="1229"/>
      <c r="BK3" s="1229"/>
      <c r="BL3" s="1229"/>
      <c r="BM3" s="1229"/>
      <c r="BN3" s="1229"/>
      <c r="BO3" s="1229"/>
      <c r="BP3" s="1229"/>
      <c r="BQ3" s="1229"/>
      <c r="BR3" s="1229"/>
      <c r="BS3" s="1229"/>
      <c r="BT3" s="1229"/>
      <c r="BU3" s="1229"/>
      <c r="BV3" s="1229"/>
      <c r="BW3" s="1229"/>
      <c r="BX3" s="1229"/>
      <c r="BY3" s="1229"/>
      <c r="BZ3" s="1229"/>
      <c r="CA3" s="1229"/>
      <c r="CB3" s="1229"/>
      <c r="CC3" s="1229"/>
      <c r="CD3" s="1229"/>
      <c r="CE3" s="1229"/>
      <c r="CF3" s="1229"/>
      <c r="CG3" s="1229"/>
      <c r="CH3" s="1229"/>
      <c r="CI3" s="1229"/>
      <c r="CJ3" s="1229"/>
      <c r="CK3" s="1229"/>
      <c r="CL3" s="1229"/>
      <c r="CM3" s="1229"/>
      <c r="CN3" s="1229"/>
      <c r="CO3" s="1229"/>
      <c r="CP3" s="1229"/>
      <c r="CQ3" s="1229"/>
      <c r="CR3" s="1229"/>
      <c r="CS3" s="1229"/>
      <c r="CT3" s="1229"/>
      <c r="CU3" s="1229"/>
      <c r="CV3" s="1229"/>
      <c r="CW3" s="1289"/>
    </row>
    <row r="4" spans="1:256" ht="13.15" customHeight="1">
      <c r="A4" s="2"/>
      <c r="B4" s="2" t="s">
        <v>18</v>
      </c>
      <c r="C4" s="1979" t="s">
        <v>3976</v>
      </c>
      <c r="D4" s="1979"/>
      <c r="E4" s="1979"/>
      <c r="F4" s="1979"/>
      <c r="G4" s="1979"/>
      <c r="H4" s="1979"/>
      <c r="I4" s="1979"/>
      <c r="J4" s="1979"/>
      <c r="K4" s="1996" t="s">
        <v>21</v>
      </c>
      <c r="L4" s="1996"/>
      <c r="M4" s="1996"/>
      <c r="N4" s="1996">
        <v>2014</v>
      </c>
      <c r="O4" s="1996"/>
      <c r="P4" s="1996"/>
      <c r="Q4" s="1996"/>
      <c r="R4" s="1996"/>
      <c r="S4" s="1996"/>
      <c r="T4" s="1996"/>
      <c r="U4" s="1996"/>
      <c r="V4" s="1996"/>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5"/>
    </row>
    <row r="5" spans="1:256" ht="13.15" customHeight="1">
      <c r="A5" s="128"/>
      <c r="B5" s="893"/>
      <c r="C5" s="44"/>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683"/>
    </row>
    <row r="6" spans="1:256" ht="25.15" customHeight="1">
      <c r="A6" s="2"/>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5.15" customHeight="1">
      <c r="A7" s="2"/>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0" t="s">
        <v>27</v>
      </c>
      <c r="X7" s="16" t="s">
        <v>31</v>
      </c>
      <c r="Y7" s="16" t="s">
        <v>32</v>
      </c>
      <c r="Z7" s="17" t="s">
        <v>33</v>
      </c>
      <c r="AA7" s="18" t="s">
        <v>34</v>
      </c>
      <c r="AB7" s="19" t="s">
        <v>35</v>
      </c>
      <c r="AC7" s="20" t="s">
        <v>36</v>
      </c>
      <c r="AD7" s="16" t="s">
        <v>31</v>
      </c>
      <c r="AE7" s="16" t="s">
        <v>32</v>
      </c>
      <c r="AF7" s="17" t="s">
        <v>33</v>
      </c>
      <c r="AG7" s="18" t="s">
        <v>34</v>
      </c>
      <c r="AH7" s="19" t="s">
        <v>35</v>
      </c>
      <c r="AI7" s="20" t="s">
        <v>36</v>
      </c>
      <c r="AJ7" s="16" t="s">
        <v>31</v>
      </c>
      <c r="AK7" s="16" t="s">
        <v>32</v>
      </c>
      <c r="AL7" s="17" t="s">
        <v>33</v>
      </c>
      <c r="AM7" s="18" t="s">
        <v>34</v>
      </c>
      <c r="AN7" s="19" t="s">
        <v>35</v>
      </c>
      <c r="AO7" s="20" t="s">
        <v>36</v>
      </c>
      <c r="AP7" s="16" t="s">
        <v>31</v>
      </c>
      <c r="AQ7" s="16" t="s">
        <v>32</v>
      </c>
      <c r="AR7" s="17" t="s">
        <v>33</v>
      </c>
      <c r="AS7" s="18" t="s">
        <v>34</v>
      </c>
      <c r="AT7" s="19" t="s">
        <v>35</v>
      </c>
      <c r="AU7" s="20" t="s">
        <v>36</v>
      </c>
      <c r="AV7" s="16" t="s">
        <v>31</v>
      </c>
      <c r="AW7" s="16" t="s">
        <v>32</v>
      </c>
      <c r="AX7" s="17" t="s">
        <v>33</v>
      </c>
      <c r="AY7" s="18" t="s">
        <v>34</v>
      </c>
      <c r="AZ7" s="19" t="s">
        <v>35</v>
      </c>
      <c r="BA7" s="20" t="s">
        <v>36</v>
      </c>
      <c r="BB7" s="16" t="s">
        <v>31</v>
      </c>
      <c r="BC7" s="16" t="s">
        <v>32</v>
      </c>
      <c r="BD7" s="17" t="s">
        <v>33</v>
      </c>
      <c r="BE7" s="18" t="s">
        <v>34</v>
      </c>
      <c r="BF7" s="19" t="s">
        <v>35</v>
      </c>
      <c r="BG7" s="20" t="s">
        <v>36</v>
      </c>
      <c r="BH7" s="16" t="s">
        <v>31</v>
      </c>
      <c r="BI7" s="16" t="s">
        <v>32</v>
      </c>
      <c r="BJ7" s="17" t="s">
        <v>33</v>
      </c>
      <c r="BK7" s="18" t="s">
        <v>34</v>
      </c>
      <c r="BL7" s="19" t="s">
        <v>35</v>
      </c>
      <c r="BM7" s="20" t="s">
        <v>36</v>
      </c>
      <c r="BN7" s="16" t="s">
        <v>31</v>
      </c>
      <c r="BO7" s="16" t="s">
        <v>32</v>
      </c>
      <c r="BP7" s="17" t="s">
        <v>33</v>
      </c>
      <c r="BQ7" s="18" t="s">
        <v>34</v>
      </c>
      <c r="BR7" s="19" t="s">
        <v>35</v>
      </c>
      <c r="BS7" s="20" t="s">
        <v>36</v>
      </c>
      <c r="BT7" s="16" t="s">
        <v>31</v>
      </c>
      <c r="BU7" s="16" t="s">
        <v>32</v>
      </c>
      <c r="BV7" s="17" t="s">
        <v>33</v>
      </c>
      <c r="BW7" s="18" t="s">
        <v>34</v>
      </c>
      <c r="BX7" s="19" t="s">
        <v>35</v>
      </c>
      <c r="BY7" s="20" t="s">
        <v>36</v>
      </c>
      <c r="BZ7" s="16" t="s">
        <v>31</v>
      </c>
      <c r="CA7" s="16" t="s">
        <v>32</v>
      </c>
      <c r="CB7" s="17" t="s">
        <v>33</v>
      </c>
      <c r="CC7" s="18" t="s">
        <v>34</v>
      </c>
      <c r="CD7" s="19" t="s">
        <v>35</v>
      </c>
      <c r="CE7" s="20" t="s">
        <v>36</v>
      </c>
      <c r="CF7" s="16" t="s">
        <v>31</v>
      </c>
      <c r="CG7" s="16" t="s">
        <v>32</v>
      </c>
      <c r="CH7" s="17" t="s">
        <v>33</v>
      </c>
      <c r="CI7" s="18" t="s">
        <v>34</v>
      </c>
      <c r="CJ7" s="19" t="s">
        <v>35</v>
      </c>
      <c r="CK7" s="20" t="s">
        <v>36</v>
      </c>
      <c r="CL7" s="16" t="s">
        <v>31</v>
      </c>
      <c r="CM7" s="16" t="s">
        <v>32</v>
      </c>
      <c r="CN7" s="17" t="s">
        <v>33</v>
      </c>
      <c r="CO7" s="18" t="s">
        <v>34</v>
      </c>
      <c r="CP7" s="19" t="s">
        <v>35</v>
      </c>
      <c r="CQ7" s="20" t="s">
        <v>36</v>
      </c>
      <c r="CR7" s="16" t="s">
        <v>31</v>
      </c>
      <c r="CS7" s="16" t="s">
        <v>32</v>
      </c>
      <c r="CT7" s="17" t="s">
        <v>33</v>
      </c>
      <c r="CU7" s="18" t="s">
        <v>34</v>
      </c>
      <c r="CV7" s="19" t="s">
        <v>35</v>
      </c>
      <c r="CW7" s="20" t="s">
        <v>36</v>
      </c>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5.15" customHeight="1">
      <c r="B8" s="8" t="s">
        <v>416</v>
      </c>
      <c r="C8" s="9"/>
      <c r="D8" s="13" t="s">
        <v>3118</v>
      </c>
      <c r="E8" s="13" t="s">
        <v>1548</v>
      </c>
      <c r="F8" s="8" t="s">
        <v>1549</v>
      </c>
      <c r="G8" s="8" t="s">
        <v>53</v>
      </c>
      <c r="H8" s="13" t="s">
        <v>1550</v>
      </c>
      <c r="I8" s="8" t="s">
        <v>1551</v>
      </c>
      <c r="J8" s="8" t="s">
        <v>54</v>
      </c>
      <c r="K8" s="848">
        <v>0</v>
      </c>
      <c r="L8" s="848">
        <v>1</v>
      </c>
      <c r="M8" s="848">
        <v>0</v>
      </c>
      <c r="N8" s="848">
        <v>0</v>
      </c>
      <c r="O8" s="848">
        <v>0</v>
      </c>
      <c r="P8" s="1681">
        <v>0</v>
      </c>
      <c r="Q8" s="1681">
        <v>0</v>
      </c>
      <c r="R8" s="1681">
        <v>0</v>
      </c>
      <c r="S8" s="1681">
        <v>0</v>
      </c>
      <c r="T8" s="1681">
        <v>0</v>
      </c>
      <c r="U8" s="1681">
        <v>0</v>
      </c>
      <c r="V8" s="1681">
        <v>0</v>
      </c>
      <c r="W8" s="8"/>
      <c r="X8" s="26"/>
      <c r="Y8" s="653"/>
      <c r="Z8" s="694" t="str">
        <f>IF(Y8=0," ",X8/Y8)</f>
        <v xml:space="preserve"> </v>
      </c>
      <c r="AA8" s="23"/>
      <c r="AB8" s="24" t="str">
        <f>IF(Y8=0," ",Z8/AA8)</f>
        <v xml:space="preserve"> </v>
      </c>
      <c r="AC8" s="25" t="s">
        <v>1555</v>
      </c>
      <c r="AD8" s="26">
        <v>4</v>
      </c>
      <c r="AE8" s="653">
        <v>4</v>
      </c>
      <c r="AF8" s="694">
        <f>IF(AE8=0," ",AD8/AE8)</f>
        <v>1</v>
      </c>
      <c r="AG8" s="23">
        <f>+L8</f>
        <v>1</v>
      </c>
      <c r="AH8" s="24">
        <f>IF(AE8=0," ",AF8/AG8)</f>
        <v>1</v>
      </c>
      <c r="AI8" s="25" t="s">
        <v>3119</v>
      </c>
      <c r="AJ8" s="26"/>
      <c r="AK8" s="653"/>
      <c r="AL8" s="694" t="str">
        <f>IF(AK8=0," ",AJ8/AK8)</f>
        <v xml:space="preserve"> </v>
      </c>
      <c r="AM8" s="23"/>
      <c r="AN8" s="24" t="str">
        <f>IF(AK8=0," ",AL8/AM8)</f>
        <v xml:space="preserve"> </v>
      </c>
      <c r="AO8" s="25"/>
      <c r="AP8" s="26"/>
      <c r="AQ8" s="21"/>
      <c r="AR8" s="694" t="str">
        <f>IF(AQ8=0," ",AP8/AQ8)</f>
        <v xml:space="preserve"> </v>
      </c>
      <c r="AS8" s="23"/>
      <c r="AT8" s="24" t="str">
        <f>IF(AQ8=0," ",AR8/AS8)</f>
        <v xml:space="preserve"> </v>
      </c>
      <c r="AU8" s="25"/>
      <c r="AV8" s="26"/>
      <c r="AW8" s="21"/>
      <c r="AX8" s="694" t="str">
        <f>IF(AW8=0," ",AV8/AW8)</f>
        <v xml:space="preserve"> </v>
      </c>
      <c r="AY8" s="23"/>
      <c r="AZ8" s="24" t="str">
        <f>IF(AW8=0," ",AX8/AY8)</f>
        <v xml:space="preserve"> </v>
      </c>
      <c r="BA8" s="25" t="s">
        <v>1555</v>
      </c>
      <c r="BB8" s="26"/>
      <c r="BC8" s="21"/>
      <c r="BD8" s="694" t="str">
        <f>IF(BC8=0," ",BB8/BC8)</f>
        <v xml:space="preserve"> </v>
      </c>
      <c r="BE8" s="23"/>
      <c r="BF8" s="24" t="str">
        <f>IF(BC8=0," ",BD8/BE8)</f>
        <v xml:space="preserve"> </v>
      </c>
      <c r="BG8" s="25" t="s">
        <v>1641</v>
      </c>
      <c r="BH8" s="26"/>
      <c r="BI8" s="21"/>
      <c r="BJ8" s="694" t="str">
        <f>IF(BI8=0," ",BH8/BI8)</f>
        <v xml:space="preserve"> </v>
      </c>
      <c r="BK8" s="23"/>
      <c r="BL8" s="24" t="str">
        <f>IF(BI8=0," ",BJ8/BK8)</f>
        <v xml:space="preserve"> </v>
      </c>
      <c r="BM8" s="25" t="s">
        <v>1555</v>
      </c>
      <c r="BN8" s="26"/>
      <c r="BO8" s="21">
        <f>+R8</f>
        <v>0</v>
      </c>
      <c r="BP8" s="694" t="str">
        <f>IF(BO8=0," ",BN8/BO8)</f>
        <v xml:space="preserve"> </v>
      </c>
      <c r="BQ8" s="23">
        <f>+R8</f>
        <v>0</v>
      </c>
      <c r="BR8" s="24" t="str">
        <f>IF(BO8=0," ",BP8/BQ8)</f>
        <v xml:space="preserve"> </v>
      </c>
      <c r="BS8" s="25" t="s">
        <v>3120</v>
      </c>
      <c r="BT8" s="26">
        <v>0</v>
      </c>
      <c r="BU8" s="21">
        <v>0</v>
      </c>
      <c r="BV8" s="694">
        <v>0</v>
      </c>
      <c r="BW8" s="23">
        <v>0</v>
      </c>
      <c r="BX8" s="24">
        <v>0</v>
      </c>
      <c r="BY8" s="25" t="s">
        <v>1557</v>
      </c>
      <c r="BZ8" s="26">
        <v>0</v>
      </c>
      <c r="CA8" s="21">
        <v>0</v>
      </c>
      <c r="CB8" s="694">
        <v>0</v>
      </c>
      <c r="CC8" s="23">
        <v>0</v>
      </c>
      <c r="CD8" s="24">
        <v>0</v>
      </c>
      <c r="CE8" s="25" t="s">
        <v>1557</v>
      </c>
      <c r="CF8" s="26">
        <v>0</v>
      </c>
      <c r="CG8" s="21">
        <v>0</v>
      </c>
      <c r="CH8" s="694">
        <v>0</v>
      </c>
      <c r="CI8" s="23">
        <v>0</v>
      </c>
      <c r="CJ8" s="24">
        <v>0</v>
      </c>
      <c r="CK8" s="25" t="s">
        <v>1557</v>
      </c>
      <c r="CL8" s="26"/>
      <c r="CM8" s="21"/>
      <c r="CN8" s="694" t="str">
        <f>IF(CM8=0," ",CL8/CM8)</f>
        <v xml:space="preserve"> </v>
      </c>
      <c r="CO8" s="23"/>
      <c r="CP8" s="24" t="str">
        <f>IF(CM8=0," ",CN8/CO8)</f>
        <v xml:space="preserve"> </v>
      </c>
      <c r="CQ8" s="25" t="s">
        <v>1555</v>
      </c>
      <c r="CR8" s="26">
        <f>+X8+AD8+AJ8+AP8+AV8+BB8+BH8+BN8</f>
        <v>4</v>
      </c>
      <c r="CS8" s="21">
        <f>+Y8+AE8+AK8+AQ8+AW8+BC8+BI8+BO8</f>
        <v>4</v>
      </c>
      <c r="CT8" s="694">
        <f>IF(CS8=0," ",CR8/CS8)</f>
        <v>1</v>
      </c>
      <c r="CU8" s="23">
        <f>+K8+L8+M8+N8+O8+P8+Q8+R8</f>
        <v>1</v>
      </c>
      <c r="CV8" s="24">
        <f>IF(CS8=0," ",CT8/CU8)</f>
        <v>1</v>
      </c>
      <c r="CW8" s="25" t="s">
        <v>3121</v>
      </c>
      <c r="CX8" s="15">
        <v>100</v>
      </c>
    </row>
    <row r="9" spans="1:256" ht="25.15" customHeight="1">
      <c r="B9" s="8" t="s">
        <v>416</v>
      </c>
      <c r="C9" s="9"/>
      <c r="D9" s="13" t="s">
        <v>3122</v>
      </c>
      <c r="E9" s="13" t="s">
        <v>472</v>
      </c>
      <c r="F9" s="8" t="s">
        <v>3123</v>
      </c>
      <c r="G9" s="8" t="s">
        <v>53</v>
      </c>
      <c r="H9" s="13" t="s">
        <v>3124</v>
      </c>
      <c r="I9" s="8" t="s">
        <v>1562</v>
      </c>
      <c r="J9" s="8" t="s">
        <v>54</v>
      </c>
      <c r="K9" s="848">
        <v>0</v>
      </c>
      <c r="L9" s="848">
        <v>0.25</v>
      </c>
      <c r="M9" s="848">
        <v>0.38</v>
      </c>
      <c r="N9" s="848">
        <v>0.13</v>
      </c>
      <c r="O9" s="848">
        <v>0</v>
      </c>
      <c r="P9" s="1681">
        <v>0</v>
      </c>
      <c r="Q9" s="1681">
        <v>0</v>
      </c>
      <c r="R9" s="1681">
        <v>0.13</v>
      </c>
      <c r="S9" s="1681">
        <v>0</v>
      </c>
      <c r="T9" s="1681">
        <v>0.13</v>
      </c>
      <c r="U9" s="1681">
        <v>0</v>
      </c>
      <c r="V9" s="1681">
        <v>0</v>
      </c>
      <c r="W9" s="8"/>
      <c r="X9" s="26"/>
      <c r="Y9" s="653"/>
      <c r="Z9" s="694" t="str">
        <f t="shared" ref="Z9:Z14" si="0">IF(Y9=0," ",X9/Y9)</f>
        <v xml:space="preserve"> </v>
      </c>
      <c r="AA9" s="23"/>
      <c r="AB9" s="24" t="str">
        <f>IF(Y9=0," ",Z9/AA9)</f>
        <v xml:space="preserve"> </v>
      </c>
      <c r="AC9" s="25" t="s">
        <v>1555</v>
      </c>
      <c r="AD9" s="26">
        <v>4</v>
      </c>
      <c r="AE9" s="653">
        <v>4</v>
      </c>
      <c r="AF9" s="694">
        <f t="shared" ref="AF9:AF14" si="1">IF(AE9=0," ",AD9/AE9)</f>
        <v>1</v>
      </c>
      <c r="AG9" s="23">
        <f t="shared" ref="AG9:AG14" si="2">+L9</f>
        <v>0.25</v>
      </c>
      <c r="AH9" s="24">
        <v>1</v>
      </c>
      <c r="AI9" s="25" t="s">
        <v>3125</v>
      </c>
      <c r="AJ9" s="26">
        <v>2</v>
      </c>
      <c r="AK9" s="653">
        <v>6</v>
      </c>
      <c r="AL9" s="694">
        <f t="shared" ref="AL9:AL14" si="3">IF(AK9=0," ",AJ9/AK9)</f>
        <v>0.33333333333333331</v>
      </c>
      <c r="AM9" s="23">
        <f>+M9</f>
        <v>0.38</v>
      </c>
      <c r="AN9" s="24">
        <v>0.33</v>
      </c>
      <c r="AO9" s="25" t="s">
        <v>3126</v>
      </c>
      <c r="AP9" s="26">
        <v>0</v>
      </c>
      <c r="AQ9" s="653">
        <v>2</v>
      </c>
      <c r="AR9" s="694">
        <f t="shared" ref="AR9:AR14" si="4">IF(AQ9=0," ",AP9/AQ9)</f>
        <v>0</v>
      </c>
      <c r="AS9" s="23">
        <f>+N9</f>
        <v>0.13</v>
      </c>
      <c r="AT9" s="24">
        <f>IF(AQ9=0," ",AR9/AS9)</f>
        <v>0</v>
      </c>
      <c r="AU9" s="25" t="s">
        <v>3127</v>
      </c>
      <c r="AV9" s="26">
        <v>4</v>
      </c>
      <c r="AW9" s="653">
        <f t="shared" ref="AW9:AW14" si="5">+O9</f>
        <v>0</v>
      </c>
      <c r="AX9" s="694" t="str">
        <f t="shared" ref="AX9:AX19" si="6">IF(AW9=0," ",AV9/AW9)</f>
        <v xml:space="preserve"> </v>
      </c>
      <c r="AY9" s="23">
        <f>+O9</f>
        <v>0</v>
      </c>
      <c r="AZ9" s="24" t="str">
        <f t="shared" ref="AZ9:AZ19" si="7">IF(AW9=0," ",AX9/AY9)</f>
        <v xml:space="preserve"> </v>
      </c>
      <c r="BA9" s="25" t="s">
        <v>3128</v>
      </c>
      <c r="BB9" s="26"/>
      <c r="BC9" s="21"/>
      <c r="BD9" s="694" t="str">
        <f t="shared" ref="BD9:BD14" si="8">IF(BC9=0," ",BB9/BC9)</f>
        <v xml:space="preserve"> </v>
      </c>
      <c r="BE9" s="23"/>
      <c r="BF9" s="24" t="str">
        <f t="shared" ref="BF9:BF14" si="9">IF(BC9=0," ",BD9/BE9)</f>
        <v xml:space="preserve"> </v>
      </c>
      <c r="BG9" s="25" t="s">
        <v>1641</v>
      </c>
      <c r="BH9" s="26">
        <v>2</v>
      </c>
      <c r="BI9" s="21">
        <v>0</v>
      </c>
      <c r="BJ9" s="694" t="str">
        <f t="shared" ref="BJ9:BJ14" si="10">IF(BI9=0," ",BH9/BI9)</f>
        <v xml:space="preserve"> </v>
      </c>
      <c r="BK9" s="23">
        <f>+Q9</f>
        <v>0</v>
      </c>
      <c r="BL9" s="24" t="str">
        <f t="shared" ref="BL9:BL14" si="11">IF(BI9=0," ",BJ9/BK9)</f>
        <v xml:space="preserve"> </v>
      </c>
      <c r="BM9" s="25" t="s">
        <v>3129</v>
      </c>
      <c r="BN9" s="26">
        <v>0</v>
      </c>
      <c r="BO9" s="21">
        <v>2</v>
      </c>
      <c r="BP9" s="694">
        <f t="shared" ref="BP9:BP14" si="12">IF(BO9=0," ",BN9/BO9)</f>
        <v>0</v>
      </c>
      <c r="BQ9" s="23">
        <f>+R9</f>
        <v>0.13</v>
      </c>
      <c r="BR9" s="24">
        <f t="shared" ref="BR9:BR14" si="13">IF(BO9=0," ",BP9/BQ9)</f>
        <v>0</v>
      </c>
      <c r="BS9" s="25" t="s">
        <v>3130</v>
      </c>
      <c r="BT9" s="26">
        <v>0</v>
      </c>
      <c r="BU9" s="21">
        <v>0</v>
      </c>
      <c r="BV9" s="694">
        <v>0</v>
      </c>
      <c r="BW9" s="23">
        <v>0</v>
      </c>
      <c r="BX9" s="24">
        <v>0</v>
      </c>
      <c r="BY9" s="25" t="s">
        <v>1557</v>
      </c>
      <c r="BZ9" s="26">
        <v>4</v>
      </c>
      <c r="CA9" s="21">
        <v>2</v>
      </c>
      <c r="CB9" s="694">
        <v>1</v>
      </c>
      <c r="CC9" s="23">
        <v>0.13</v>
      </c>
      <c r="CD9" s="24">
        <v>1</v>
      </c>
      <c r="CE9" s="25" t="s">
        <v>3131</v>
      </c>
      <c r="CF9" s="26">
        <v>0</v>
      </c>
      <c r="CG9" s="21">
        <v>0</v>
      </c>
      <c r="CH9" s="694">
        <v>0</v>
      </c>
      <c r="CI9" s="23">
        <v>0</v>
      </c>
      <c r="CJ9" s="24">
        <v>0</v>
      </c>
      <c r="CK9" s="25" t="s">
        <v>1557</v>
      </c>
      <c r="CL9" s="26"/>
      <c r="CM9" s="21"/>
      <c r="CN9" s="694"/>
      <c r="CO9" s="23"/>
      <c r="CP9" s="24"/>
      <c r="CQ9" s="25" t="s">
        <v>1555</v>
      </c>
      <c r="CR9" s="26">
        <f>+X9+AD9+AJ9+AP9+AV9+BB9+BH9+BN9+BZ9</f>
        <v>16</v>
      </c>
      <c r="CS9" s="21">
        <f>+Y9+AE9+AK9+AQ9+AW9+BC9+BI9+BO9+CA9</f>
        <v>16</v>
      </c>
      <c r="CT9" s="694">
        <f t="shared" ref="CT9:CT14" si="14">IF(CS9=0," ",CR9/CS9)</f>
        <v>1</v>
      </c>
      <c r="CU9" s="23">
        <v>1</v>
      </c>
      <c r="CV9" s="24">
        <v>1</v>
      </c>
      <c r="CW9" s="25" t="s">
        <v>3132</v>
      </c>
      <c r="CX9" s="15">
        <v>100</v>
      </c>
    </row>
    <row r="10" spans="1:256" ht="49.15" customHeight="1">
      <c r="B10" s="8" t="s">
        <v>3133</v>
      </c>
      <c r="C10" s="9"/>
      <c r="D10" s="13" t="s">
        <v>3134</v>
      </c>
      <c r="E10" s="13" t="s">
        <v>508</v>
      </c>
      <c r="F10" s="8" t="s">
        <v>1575</v>
      </c>
      <c r="G10" s="8" t="s">
        <v>352</v>
      </c>
      <c r="H10" s="13" t="s">
        <v>1576</v>
      </c>
      <c r="I10" s="8" t="s">
        <v>1577</v>
      </c>
      <c r="J10" s="8" t="s">
        <v>54</v>
      </c>
      <c r="K10" s="848">
        <v>0</v>
      </c>
      <c r="L10" s="848">
        <v>0</v>
      </c>
      <c r="M10" s="848">
        <v>0.38</v>
      </c>
      <c r="N10" s="848">
        <v>0</v>
      </c>
      <c r="O10" s="848">
        <v>0</v>
      </c>
      <c r="P10" s="1681">
        <v>0.13</v>
      </c>
      <c r="Q10" s="1681">
        <v>0</v>
      </c>
      <c r="R10" s="1681">
        <v>0</v>
      </c>
      <c r="S10" s="1681">
        <v>0.13</v>
      </c>
      <c r="T10" s="1681">
        <v>0</v>
      </c>
      <c r="U10" s="1681">
        <v>0</v>
      </c>
      <c r="V10" s="1681">
        <v>0.38</v>
      </c>
      <c r="W10" s="8"/>
      <c r="X10" s="26"/>
      <c r="Y10" s="653"/>
      <c r="Z10" s="694" t="str">
        <f t="shared" si="0"/>
        <v xml:space="preserve"> </v>
      </c>
      <c r="AA10" s="23"/>
      <c r="AB10" s="24" t="str">
        <f>IF(Y10=0," ",Z10/AA10)</f>
        <v xml:space="preserve"> </v>
      </c>
      <c r="AC10" s="25" t="s">
        <v>1555</v>
      </c>
      <c r="AD10" s="26"/>
      <c r="AE10" s="653"/>
      <c r="AF10" s="694" t="str">
        <f t="shared" si="1"/>
        <v xml:space="preserve"> </v>
      </c>
      <c r="AG10" s="23">
        <f t="shared" si="2"/>
        <v>0</v>
      </c>
      <c r="AH10" s="24" t="str">
        <f>IF(AE10=0," ",AF10/AG10)</f>
        <v xml:space="preserve"> </v>
      </c>
      <c r="AI10" s="1205" t="s">
        <v>1555</v>
      </c>
      <c r="AJ10" s="26">
        <v>0</v>
      </c>
      <c r="AK10" s="653">
        <v>3</v>
      </c>
      <c r="AL10" s="694">
        <f t="shared" si="3"/>
        <v>0</v>
      </c>
      <c r="AM10" s="23">
        <f>+M10</f>
        <v>0.38</v>
      </c>
      <c r="AN10" s="24">
        <f>IF(AK10=0," ",AL10/AM10)</f>
        <v>0</v>
      </c>
      <c r="AO10" s="25" t="s">
        <v>3135</v>
      </c>
      <c r="AP10" s="26"/>
      <c r="AQ10" s="653"/>
      <c r="AR10" s="694" t="str">
        <f t="shared" si="4"/>
        <v xml:space="preserve"> </v>
      </c>
      <c r="AS10" s="23"/>
      <c r="AT10" s="24" t="str">
        <f>IF(AQ10=0," ",AR10/AS10)</f>
        <v xml:space="preserve"> </v>
      </c>
      <c r="AU10" s="25"/>
      <c r="AV10" s="26"/>
      <c r="AW10" s="653">
        <f t="shared" si="5"/>
        <v>0</v>
      </c>
      <c r="AX10" s="694" t="str">
        <f t="shared" si="6"/>
        <v xml:space="preserve"> </v>
      </c>
      <c r="AY10" s="23"/>
      <c r="AZ10" s="24" t="str">
        <f t="shared" si="7"/>
        <v xml:space="preserve"> </v>
      </c>
      <c r="BA10" s="25" t="s">
        <v>1555</v>
      </c>
      <c r="BB10" s="26">
        <v>0</v>
      </c>
      <c r="BC10" s="21">
        <v>1</v>
      </c>
      <c r="BD10" s="694">
        <f t="shared" si="8"/>
        <v>0</v>
      </c>
      <c r="BE10" s="23">
        <f>+P10</f>
        <v>0.13</v>
      </c>
      <c r="BF10" s="24">
        <f t="shared" si="9"/>
        <v>0</v>
      </c>
      <c r="BG10" s="25" t="s">
        <v>3136</v>
      </c>
      <c r="BH10" s="26">
        <v>0</v>
      </c>
      <c r="BI10" s="21">
        <f>+Q10</f>
        <v>0</v>
      </c>
      <c r="BJ10" s="694" t="str">
        <f t="shared" si="10"/>
        <v xml:space="preserve"> </v>
      </c>
      <c r="BK10" s="23">
        <v>0</v>
      </c>
      <c r="BL10" s="24" t="str">
        <f t="shared" si="11"/>
        <v xml:space="preserve"> </v>
      </c>
      <c r="BM10" s="25" t="s">
        <v>1555</v>
      </c>
      <c r="BN10" s="26"/>
      <c r="BO10" s="21">
        <f>+R10</f>
        <v>0</v>
      </c>
      <c r="BP10" s="694" t="str">
        <f t="shared" si="12"/>
        <v xml:space="preserve"> </v>
      </c>
      <c r="BQ10" s="23"/>
      <c r="BR10" s="24" t="str">
        <f t="shared" si="13"/>
        <v xml:space="preserve"> </v>
      </c>
      <c r="BS10" s="25" t="s">
        <v>1555</v>
      </c>
      <c r="BT10" s="26">
        <v>0</v>
      </c>
      <c r="BU10" s="21">
        <v>1</v>
      </c>
      <c r="BV10" s="694">
        <v>0</v>
      </c>
      <c r="BW10" s="23">
        <v>0.13</v>
      </c>
      <c r="BX10" s="24">
        <v>0</v>
      </c>
      <c r="BY10" s="215" t="s">
        <v>3137</v>
      </c>
      <c r="BZ10" s="26">
        <v>0</v>
      </c>
      <c r="CA10" s="21">
        <v>0</v>
      </c>
      <c r="CB10" s="694">
        <v>0</v>
      </c>
      <c r="CC10" s="23">
        <v>0</v>
      </c>
      <c r="CD10" s="24">
        <v>0</v>
      </c>
      <c r="CE10" s="25" t="s">
        <v>1557</v>
      </c>
      <c r="CF10" s="26">
        <v>0</v>
      </c>
      <c r="CG10" s="21">
        <v>0</v>
      </c>
      <c r="CH10" s="694">
        <v>0</v>
      </c>
      <c r="CI10" s="23">
        <v>0</v>
      </c>
      <c r="CJ10" s="24">
        <v>0</v>
      </c>
      <c r="CK10" s="25" t="s">
        <v>1557</v>
      </c>
      <c r="CL10" s="26">
        <v>2</v>
      </c>
      <c r="CM10" s="21">
        <v>3</v>
      </c>
      <c r="CN10" s="694">
        <v>0.25</v>
      </c>
      <c r="CO10" s="23">
        <v>0.38</v>
      </c>
      <c r="CP10" s="24">
        <v>0.67</v>
      </c>
      <c r="CQ10" s="25" t="s">
        <v>3138</v>
      </c>
      <c r="CR10" s="26">
        <f>+X10+AD10+AJ10+AP10+AV10+BB10+BH10+BN10+CL10</f>
        <v>2</v>
      </c>
      <c r="CS10" s="21">
        <v>8</v>
      </c>
      <c r="CT10" s="694">
        <f t="shared" si="14"/>
        <v>0.25</v>
      </c>
      <c r="CU10" s="23">
        <v>1</v>
      </c>
      <c r="CV10" s="1682">
        <f>IF(CS10=0," ",CT10/CU10)</f>
        <v>0.25</v>
      </c>
      <c r="CW10" s="25" t="s">
        <v>3139</v>
      </c>
      <c r="CX10" s="15">
        <v>25</v>
      </c>
    </row>
    <row r="11" spans="1:256" ht="49.15" customHeight="1">
      <c r="B11" s="8" t="s">
        <v>416</v>
      </c>
      <c r="C11" s="9"/>
      <c r="D11" s="13" t="s">
        <v>3140</v>
      </c>
      <c r="E11" s="13" t="s">
        <v>3141</v>
      </c>
      <c r="F11" s="8" t="s">
        <v>3142</v>
      </c>
      <c r="G11" s="8" t="s">
        <v>53</v>
      </c>
      <c r="H11" s="13" t="s">
        <v>3141</v>
      </c>
      <c r="I11" s="8" t="s">
        <v>1591</v>
      </c>
      <c r="J11" s="8" t="s">
        <v>3143</v>
      </c>
      <c r="K11" s="1683">
        <v>8.17</v>
      </c>
      <c r="L11" s="1684">
        <v>5.04</v>
      </c>
      <c r="M11" s="1684">
        <v>0.11700000000000001</v>
      </c>
      <c r="N11" s="1684">
        <v>0.11700000000000001</v>
      </c>
      <c r="O11" s="1684">
        <v>0.11700000000000001</v>
      </c>
      <c r="P11" s="1684">
        <v>0</v>
      </c>
      <c r="Q11" s="1684">
        <v>0</v>
      </c>
      <c r="R11" s="1684">
        <v>1.05</v>
      </c>
      <c r="S11" s="1684">
        <v>0</v>
      </c>
      <c r="T11" s="1684">
        <v>0</v>
      </c>
      <c r="U11" s="1684">
        <v>0</v>
      </c>
      <c r="V11" s="1684">
        <v>0</v>
      </c>
      <c r="W11" s="8"/>
      <c r="X11" s="809">
        <v>8.17</v>
      </c>
      <c r="Y11" s="653">
        <f>+K11</f>
        <v>8.17</v>
      </c>
      <c r="Z11" s="694">
        <f t="shared" si="0"/>
        <v>1</v>
      </c>
      <c r="AA11" s="812">
        <v>0.55920000000000003</v>
      </c>
      <c r="AB11" s="24">
        <v>1</v>
      </c>
      <c r="AC11" s="25" t="s">
        <v>3144</v>
      </c>
      <c r="AD11" s="809">
        <v>5.04</v>
      </c>
      <c r="AE11" s="653">
        <f>+L11</f>
        <v>5.04</v>
      </c>
      <c r="AF11" s="694">
        <f t="shared" si="1"/>
        <v>1</v>
      </c>
      <c r="AG11" s="812">
        <v>0.34489999999999998</v>
      </c>
      <c r="AH11" s="24">
        <v>1</v>
      </c>
      <c r="AI11" s="65" t="s">
        <v>3144</v>
      </c>
      <c r="AJ11" s="26">
        <v>2.33</v>
      </c>
      <c r="AK11" s="653">
        <f>+M11</f>
        <v>0.11700000000000001</v>
      </c>
      <c r="AL11" s="694">
        <v>1</v>
      </c>
      <c r="AM11" s="812">
        <v>8.0000000000000002E-3</v>
      </c>
      <c r="AN11" s="24">
        <v>1</v>
      </c>
      <c r="AO11" s="25" t="s">
        <v>3144</v>
      </c>
      <c r="AP11" s="809">
        <v>0.96</v>
      </c>
      <c r="AQ11" s="653">
        <f>+N11</f>
        <v>0.11700000000000001</v>
      </c>
      <c r="AR11" s="694">
        <v>1</v>
      </c>
      <c r="AS11" s="812">
        <v>8.0000000000000002E-3</v>
      </c>
      <c r="AT11" s="24">
        <v>1</v>
      </c>
      <c r="AU11" s="25" t="s">
        <v>3144</v>
      </c>
      <c r="AV11" s="809">
        <v>0.12</v>
      </c>
      <c r="AW11" s="653">
        <f t="shared" si="5"/>
        <v>0.11700000000000001</v>
      </c>
      <c r="AX11" s="694">
        <v>1</v>
      </c>
      <c r="AY11" s="812">
        <v>8.0000000000000002E-3</v>
      </c>
      <c r="AZ11" s="24">
        <v>1</v>
      </c>
      <c r="BA11" s="25" t="s">
        <v>3144</v>
      </c>
      <c r="BB11" s="809">
        <v>0.01</v>
      </c>
      <c r="BC11" s="21">
        <f>+P11</f>
        <v>0</v>
      </c>
      <c r="BD11" s="694" t="str">
        <f t="shared" si="8"/>
        <v xml:space="preserve"> </v>
      </c>
      <c r="BE11" s="23">
        <f>+P11</f>
        <v>0</v>
      </c>
      <c r="BF11" s="24" t="str">
        <f t="shared" si="9"/>
        <v xml:space="preserve"> </v>
      </c>
      <c r="BG11" s="25" t="s">
        <v>1635</v>
      </c>
      <c r="BH11" s="26">
        <v>0.12</v>
      </c>
      <c r="BI11" s="21">
        <f>+Q11</f>
        <v>0</v>
      </c>
      <c r="BJ11" s="694" t="str">
        <f t="shared" si="10"/>
        <v xml:space="preserve"> </v>
      </c>
      <c r="BK11" s="23">
        <v>0</v>
      </c>
      <c r="BL11" s="24" t="str">
        <f t="shared" si="11"/>
        <v xml:space="preserve"> </v>
      </c>
      <c r="BM11" s="25" t="s">
        <v>1555</v>
      </c>
      <c r="BN11" s="26">
        <v>0.1</v>
      </c>
      <c r="BO11" s="21">
        <f>+R11</f>
        <v>1.05</v>
      </c>
      <c r="BP11" s="694">
        <f t="shared" si="12"/>
        <v>9.5238095238095233E-2</v>
      </c>
      <c r="BQ11" s="23">
        <v>7.1900000000000006E-2</v>
      </c>
      <c r="BR11" s="24">
        <v>0.1</v>
      </c>
      <c r="BS11" s="25"/>
      <c r="BT11" s="26">
        <v>0</v>
      </c>
      <c r="BU11" s="653">
        <f>+S11</f>
        <v>0</v>
      </c>
      <c r="BV11" s="22">
        <v>0</v>
      </c>
      <c r="BW11" s="23">
        <v>0</v>
      </c>
      <c r="BX11" s="24">
        <v>0</v>
      </c>
      <c r="BY11" s="215" t="s">
        <v>3145</v>
      </c>
      <c r="BZ11" s="26">
        <v>0</v>
      </c>
      <c r="CA11" s="21">
        <v>0</v>
      </c>
      <c r="CB11" s="694">
        <v>0</v>
      </c>
      <c r="CC11" s="23">
        <v>0</v>
      </c>
      <c r="CD11" s="24">
        <v>0</v>
      </c>
      <c r="CE11" s="25" t="s">
        <v>1557</v>
      </c>
      <c r="CF11" s="26">
        <v>0</v>
      </c>
      <c r="CG11" s="21">
        <v>0</v>
      </c>
      <c r="CH11" s="694">
        <v>0</v>
      </c>
      <c r="CI11" s="23">
        <v>0</v>
      </c>
      <c r="CJ11" s="24">
        <v>0</v>
      </c>
      <c r="CK11" s="25" t="s">
        <v>1557</v>
      </c>
      <c r="CL11" s="26">
        <v>0</v>
      </c>
      <c r="CM11" s="21">
        <v>0</v>
      </c>
      <c r="CN11" s="694">
        <v>0</v>
      </c>
      <c r="CO11" s="23">
        <v>0</v>
      </c>
      <c r="CP11" s="24">
        <v>0</v>
      </c>
      <c r="CQ11" s="25" t="s">
        <v>3146</v>
      </c>
      <c r="CR11" s="26">
        <f t="shared" ref="CR11:CS14" si="15">+X11+AD11+AJ11+AP11+AV11+BB11+BH11+BN11</f>
        <v>16.850000000000005</v>
      </c>
      <c r="CS11" s="21">
        <f t="shared" si="15"/>
        <v>14.611000000000004</v>
      </c>
      <c r="CT11" s="694">
        <v>1</v>
      </c>
      <c r="CU11" s="1685">
        <f>+K11+L11+M11+N11+O11+P11+Q11+R11</f>
        <v>14.611000000000004</v>
      </c>
      <c r="CV11" s="24">
        <v>1</v>
      </c>
      <c r="CW11" s="25" t="s">
        <v>3147</v>
      </c>
    </row>
    <row r="12" spans="1:256" ht="49.15" customHeight="1">
      <c r="B12" s="8" t="s">
        <v>416</v>
      </c>
      <c r="C12" s="9"/>
      <c r="D12" s="8" t="s">
        <v>3148</v>
      </c>
      <c r="E12" s="13" t="s">
        <v>3149</v>
      </c>
      <c r="F12" s="8" t="s">
        <v>3150</v>
      </c>
      <c r="G12" s="8" t="s">
        <v>53</v>
      </c>
      <c r="H12" s="13" t="s">
        <v>3149</v>
      </c>
      <c r="I12" s="8" t="s">
        <v>1591</v>
      </c>
      <c r="J12" s="8" t="s">
        <v>3143</v>
      </c>
      <c r="K12" s="1683">
        <v>3.06</v>
      </c>
      <c r="L12" s="1684">
        <v>3.48</v>
      </c>
      <c r="M12" s="1684">
        <v>1.51</v>
      </c>
      <c r="N12" s="1684">
        <v>1</v>
      </c>
      <c r="O12" s="1684">
        <v>0.91</v>
      </c>
      <c r="P12" s="1684">
        <v>0.85</v>
      </c>
      <c r="Q12" s="1684">
        <v>1.34</v>
      </c>
      <c r="R12" s="1684">
        <v>0.25</v>
      </c>
      <c r="S12" s="1684">
        <v>0.21</v>
      </c>
      <c r="T12" s="1684">
        <v>0.21</v>
      </c>
      <c r="U12" s="1684">
        <v>0</v>
      </c>
      <c r="V12" s="1684">
        <v>0</v>
      </c>
      <c r="W12" s="8"/>
      <c r="X12" s="809">
        <v>3.38</v>
      </c>
      <c r="Y12" s="653">
        <f>+K12</f>
        <v>3.06</v>
      </c>
      <c r="Z12" s="694">
        <v>1</v>
      </c>
      <c r="AA12" s="812">
        <v>0.2387</v>
      </c>
      <c r="AB12" s="24">
        <v>1</v>
      </c>
      <c r="AC12" s="25" t="s">
        <v>3144</v>
      </c>
      <c r="AD12" s="809">
        <v>3.8</v>
      </c>
      <c r="AE12" s="653">
        <f>+L12</f>
        <v>3.48</v>
      </c>
      <c r="AF12" s="694">
        <v>1</v>
      </c>
      <c r="AG12" s="812">
        <v>0.27150000000000002</v>
      </c>
      <c r="AH12" s="24">
        <v>1</v>
      </c>
      <c r="AI12" s="65" t="s">
        <v>3144</v>
      </c>
      <c r="AJ12" s="809">
        <v>2.27</v>
      </c>
      <c r="AK12" s="653">
        <f>+M12</f>
        <v>1.51</v>
      </c>
      <c r="AL12" s="694">
        <v>1</v>
      </c>
      <c r="AM12" s="812">
        <v>0.1178</v>
      </c>
      <c r="AN12" s="24">
        <v>1</v>
      </c>
      <c r="AO12" s="25" t="s">
        <v>1595</v>
      </c>
      <c r="AP12" s="809">
        <v>1.61</v>
      </c>
      <c r="AQ12" s="653">
        <f>+N12</f>
        <v>1</v>
      </c>
      <c r="AR12" s="694">
        <v>1</v>
      </c>
      <c r="AS12" s="812">
        <v>7.8E-2</v>
      </c>
      <c r="AT12" s="24">
        <v>1</v>
      </c>
      <c r="AU12" s="25" t="s">
        <v>3144</v>
      </c>
      <c r="AV12" s="809">
        <v>1.07</v>
      </c>
      <c r="AW12" s="653">
        <f t="shared" si="5"/>
        <v>0.91</v>
      </c>
      <c r="AX12" s="694">
        <v>1</v>
      </c>
      <c r="AY12" s="812">
        <v>7.0999999999999994E-2</v>
      </c>
      <c r="AZ12" s="24">
        <v>1</v>
      </c>
      <c r="BA12" s="25" t="s">
        <v>3144</v>
      </c>
      <c r="BB12" s="809">
        <v>2.68</v>
      </c>
      <c r="BC12" s="653">
        <f>+P12</f>
        <v>0.85</v>
      </c>
      <c r="BD12" s="694">
        <v>1</v>
      </c>
      <c r="BE12" s="812">
        <v>6.6299999999999998E-2</v>
      </c>
      <c r="BF12" s="24">
        <v>1</v>
      </c>
      <c r="BG12" s="25" t="s">
        <v>3144</v>
      </c>
      <c r="BH12" s="26">
        <v>6.22</v>
      </c>
      <c r="BI12" s="21">
        <f>+Q12</f>
        <v>1.34</v>
      </c>
      <c r="BJ12" s="694">
        <v>1</v>
      </c>
      <c r="BK12" s="23">
        <v>0.1045</v>
      </c>
      <c r="BL12" s="24">
        <v>1</v>
      </c>
      <c r="BM12" s="25" t="s">
        <v>3151</v>
      </c>
      <c r="BN12" s="26">
        <v>6.18</v>
      </c>
      <c r="BO12" s="21">
        <f>+R12</f>
        <v>0.25</v>
      </c>
      <c r="BP12" s="694">
        <v>1</v>
      </c>
      <c r="BQ12" s="23">
        <v>1.95E-2</v>
      </c>
      <c r="BR12" s="24">
        <v>1</v>
      </c>
      <c r="BS12" s="25"/>
      <c r="BT12" s="809">
        <v>2.4300000000000002</v>
      </c>
      <c r="BU12" s="653">
        <f>+S12</f>
        <v>0.21</v>
      </c>
      <c r="BV12" s="22">
        <v>1</v>
      </c>
      <c r="BW12" s="812">
        <v>1E-4</v>
      </c>
      <c r="BX12" s="24">
        <v>1</v>
      </c>
      <c r="BY12" s="1686" t="s">
        <v>3152</v>
      </c>
      <c r="BZ12" s="26">
        <v>11.9</v>
      </c>
      <c r="CA12" s="21">
        <v>0.21</v>
      </c>
      <c r="CB12" s="694">
        <v>1</v>
      </c>
      <c r="CC12" s="23">
        <v>1.6299999999999999E-2</v>
      </c>
      <c r="CD12" s="24">
        <v>1</v>
      </c>
      <c r="CE12" s="215" t="s">
        <v>3153</v>
      </c>
      <c r="CF12" s="809">
        <v>1.39</v>
      </c>
      <c r="CG12" s="653">
        <v>0</v>
      </c>
      <c r="CH12" s="694">
        <v>0</v>
      </c>
      <c r="CI12" s="23">
        <v>0.14599999999999999</v>
      </c>
      <c r="CJ12" s="24">
        <v>1</v>
      </c>
      <c r="CK12" s="25" t="s">
        <v>3154</v>
      </c>
      <c r="CL12" s="26">
        <v>7.7</v>
      </c>
      <c r="CM12" s="21">
        <v>0</v>
      </c>
      <c r="CN12" s="694">
        <v>0.6</v>
      </c>
      <c r="CO12" s="23">
        <v>0.15</v>
      </c>
      <c r="CP12" s="24">
        <v>1</v>
      </c>
      <c r="CQ12" s="25" t="s">
        <v>1603</v>
      </c>
      <c r="CR12" s="26">
        <f>+X12+AD12+AJ12+AP12+AV12+BB12+BH12+BN12+BT12+BZ12+CF12+CL12</f>
        <v>50.63</v>
      </c>
      <c r="CS12" s="21">
        <f>+Y12+AE12+AK12+AQ12+AW12+BC12+BI12+BO12+BU12+CA12+CG12+CM12</f>
        <v>12.820000000000002</v>
      </c>
      <c r="CT12" s="694">
        <v>1</v>
      </c>
      <c r="CU12" s="1685">
        <f>+K12+L12+M12+N12+O12+P12+Q12+R12+S12+T12+U12+V12</f>
        <v>12.820000000000002</v>
      </c>
      <c r="CV12" s="24">
        <v>1</v>
      </c>
      <c r="CW12" s="25" t="s">
        <v>3155</v>
      </c>
    </row>
    <row r="13" spans="1:256" ht="49.15" customHeight="1">
      <c r="B13" s="8" t="s">
        <v>416</v>
      </c>
      <c r="C13" s="9"/>
      <c r="D13" s="8" t="s">
        <v>3156</v>
      </c>
      <c r="E13" s="13" t="s">
        <v>3157</v>
      </c>
      <c r="F13" s="8" t="s">
        <v>3158</v>
      </c>
      <c r="G13" s="8" t="s">
        <v>53</v>
      </c>
      <c r="H13" s="13" t="s">
        <v>3157</v>
      </c>
      <c r="I13" s="8" t="s">
        <v>1591</v>
      </c>
      <c r="J13" s="8" t="s">
        <v>3159</v>
      </c>
      <c r="K13" s="1687">
        <v>5402.19</v>
      </c>
      <c r="L13" s="1687">
        <v>5402.19</v>
      </c>
      <c r="M13" s="1687">
        <v>3138.12</v>
      </c>
      <c r="N13" s="1687">
        <v>3138.14</v>
      </c>
      <c r="O13" s="1687">
        <v>3138.14</v>
      </c>
      <c r="P13" s="1687">
        <v>2717.97</v>
      </c>
      <c r="Q13" s="1687">
        <v>2717.97</v>
      </c>
      <c r="R13" s="1687">
        <v>2717.97</v>
      </c>
      <c r="S13" s="1687">
        <v>0</v>
      </c>
      <c r="T13" s="1687">
        <v>0</v>
      </c>
      <c r="U13" s="1687">
        <v>0</v>
      </c>
      <c r="V13" s="1687">
        <v>0</v>
      </c>
      <c r="W13" s="1688"/>
      <c r="X13" s="26">
        <v>2717.97</v>
      </c>
      <c r="Y13" s="653">
        <f>+K13</f>
        <v>5402.19</v>
      </c>
      <c r="Z13" s="694">
        <f t="shared" si="0"/>
        <v>0.5031237331526659</v>
      </c>
      <c r="AA13" s="812">
        <v>0.19040000000000001</v>
      </c>
      <c r="AB13" s="24">
        <v>0.5</v>
      </c>
      <c r="AC13" s="25" t="s">
        <v>1609</v>
      </c>
      <c r="AD13" s="26">
        <v>2717.97</v>
      </c>
      <c r="AE13" s="653">
        <f>+L13</f>
        <v>5402.19</v>
      </c>
      <c r="AF13" s="694">
        <f t="shared" si="1"/>
        <v>0.5031237331526659</v>
      </c>
      <c r="AG13" s="812">
        <v>0.19040000000000001</v>
      </c>
      <c r="AH13" s="24">
        <v>0.5</v>
      </c>
      <c r="AI13" s="65" t="s">
        <v>3160</v>
      </c>
      <c r="AJ13" s="26">
        <v>3138.12</v>
      </c>
      <c r="AK13" s="653">
        <f>+M13</f>
        <v>3138.12</v>
      </c>
      <c r="AL13" s="694">
        <f t="shared" si="3"/>
        <v>1</v>
      </c>
      <c r="AM13" s="812">
        <v>0.1106</v>
      </c>
      <c r="AN13" s="24">
        <v>1</v>
      </c>
      <c r="AO13" s="25" t="s">
        <v>3144</v>
      </c>
      <c r="AP13" s="26">
        <v>12859.882</v>
      </c>
      <c r="AQ13" s="653">
        <f>+N13</f>
        <v>3138.14</v>
      </c>
      <c r="AR13" s="694">
        <v>1</v>
      </c>
      <c r="AS13" s="812">
        <v>0.1106</v>
      </c>
      <c r="AT13" s="24">
        <v>1</v>
      </c>
      <c r="AU13" s="25" t="s">
        <v>3161</v>
      </c>
      <c r="AV13" s="26">
        <v>3180.16</v>
      </c>
      <c r="AW13" s="653">
        <f t="shared" si="5"/>
        <v>3138.14</v>
      </c>
      <c r="AX13" s="694">
        <v>1</v>
      </c>
      <c r="AY13" s="812">
        <v>0.1106</v>
      </c>
      <c r="AZ13" s="24">
        <v>1</v>
      </c>
      <c r="BA13" s="25" t="s">
        <v>3144</v>
      </c>
      <c r="BB13" s="26">
        <v>3040.84</v>
      </c>
      <c r="BC13" s="21">
        <f>+P13</f>
        <v>2717.97</v>
      </c>
      <c r="BD13" s="694">
        <v>1</v>
      </c>
      <c r="BE13" s="812">
        <v>9.5799999999999996E-2</v>
      </c>
      <c r="BF13" s="24">
        <v>1</v>
      </c>
      <c r="BG13" s="25" t="s">
        <v>3144</v>
      </c>
      <c r="BH13" s="26">
        <v>3697.39</v>
      </c>
      <c r="BI13" s="21">
        <f>+Q13</f>
        <v>2717.97</v>
      </c>
      <c r="BJ13" s="694">
        <v>1</v>
      </c>
      <c r="BK13" s="23">
        <v>9.5799999999999996E-2</v>
      </c>
      <c r="BL13" s="24">
        <v>1</v>
      </c>
      <c r="BM13" s="25" t="s">
        <v>3162</v>
      </c>
      <c r="BN13" s="26"/>
      <c r="BO13" s="21">
        <f>+R13</f>
        <v>2717.97</v>
      </c>
      <c r="BP13" s="694">
        <f t="shared" si="12"/>
        <v>0</v>
      </c>
      <c r="BQ13" s="23">
        <v>9.5799999999999996E-2</v>
      </c>
      <c r="BR13" s="24">
        <f t="shared" si="13"/>
        <v>0</v>
      </c>
      <c r="BS13" s="25"/>
      <c r="BT13" s="26">
        <v>0</v>
      </c>
      <c r="BU13" s="21">
        <f>+S13</f>
        <v>0</v>
      </c>
      <c r="BV13" s="22">
        <v>0</v>
      </c>
      <c r="BW13" s="23">
        <v>0</v>
      </c>
      <c r="BX13" s="24">
        <v>0</v>
      </c>
      <c r="BY13" s="1686" t="s">
        <v>3163</v>
      </c>
      <c r="BZ13" s="26">
        <v>0</v>
      </c>
      <c r="CA13" s="21">
        <v>0</v>
      </c>
      <c r="CB13" s="694">
        <v>0</v>
      </c>
      <c r="CC13" s="23">
        <v>0</v>
      </c>
      <c r="CD13" s="24">
        <v>0</v>
      </c>
      <c r="CE13" s="25" t="s">
        <v>1557</v>
      </c>
      <c r="CF13" s="26">
        <v>0</v>
      </c>
      <c r="CG13" s="21">
        <v>0</v>
      </c>
      <c r="CH13" s="694">
        <v>0</v>
      </c>
      <c r="CI13" s="23">
        <v>0</v>
      </c>
      <c r="CJ13" s="24">
        <v>0</v>
      </c>
      <c r="CK13" s="25" t="s">
        <v>1557</v>
      </c>
      <c r="CL13" s="26">
        <v>0</v>
      </c>
      <c r="CM13" s="21">
        <v>0</v>
      </c>
      <c r="CN13" s="694">
        <v>0</v>
      </c>
      <c r="CO13" s="23">
        <v>0</v>
      </c>
      <c r="CP13" s="24">
        <v>0</v>
      </c>
      <c r="CQ13" s="25" t="s">
        <v>1555</v>
      </c>
      <c r="CR13" s="26">
        <f t="shared" si="15"/>
        <v>31352.331999999999</v>
      </c>
      <c r="CS13" s="21">
        <f t="shared" si="15"/>
        <v>28372.690000000002</v>
      </c>
      <c r="CT13" s="694">
        <v>1</v>
      </c>
      <c r="CU13" s="1689">
        <f>+K13+L13+M13+N13+O13+P13+Q13+R13</f>
        <v>28372.690000000002</v>
      </c>
      <c r="CV13" s="24">
        <v>1</v>
      </c>
      <c r="CW13" s="25" t="s">
        <v>3164</v>
      </c>
    </row>
    <row r="14" spans="1:256" ht="49.15" customHeight="1">
      <c r="B14" s="8" t="s">
        <v>416</v>
      </c>
      <c r="C14" s="9"/>
      <c r="D14" s="13" t="s">
        <v>3165</v>
      </c>
      <c r="E14" s="13" t="s">
        <v>1631</v>
      </c>
      <c r="F14" s="8" t="s">
        <v>3166</v>
      </c>
      <c r="G14" s="8" t="s">
        <v>53</v>
      </c>
      <c r="H14" s="13" t="s">
        <v>1631</v>
      </c>
      <c r="I14" s="8" t="s">
        <v>1591</v>
      </c>
      <c r="J14" s="8" t="s">
        <v>3167</v>
      </c>
      <c r="K14" s="1690">
        <v>1</v>
      </c>
      <c r="L14" s="1690">
        <v>0</v>
      </c>
      <c r="M14" s="1690">
        <v>1</v>
      </c>
      <c r="N14" s="1690">
        <v>1</v>
      </c>
      <c r="O14" s="1690">
        <v>1</v>
      </c>
      <c r="P14" s="1690">
        <v>0</v>
      </c>
      <c r="Q14" s="1690">
        <v>0</v>
      </c>
      <c r="R14" s="1690">
        <v>0</v>
      </c>
      <c r="S14" s="1690">
        <v>0</v>
      </c>
      <c r="T14" s="1690">
        <v>0</v>
      </c>
      <c r="U14" s="1690">
        <v>0</v>
      </c>
      <c r="V14" s="1690">
        <v>0</v>
      </c>
      <c r="W14" s="8"/>
      <c r="X14" s="26">
        <v>1</v>
      </c>
      <c r="Y14" s="653">
        <f>+K14</f>
        <v>1</v>
      </c>
      <c r="Z14" s="694">
        <f t="shared" si="0"/>
        <v>1</v>
      </c>
      <c r="AA14" s="812">
        <v>0.25</v>
      </c>
      <c r="AB14" s="24">
        <v>1</v>
      </c>
      <c r="AC14" s="25" t="s">
        <v>3144</v>
      </c>
      <c r="AD14" s="26">
        <v>0</v>
      </c>
      <c r="AE14" s="653">
        <f>+L14</f>
        <v>0</v>
      </c>
      <c r="AF14" s="694" t="str">
        <f t="shared" si="1"/>
        <v xml:space="preserve"> </v>
      </c>
      <c r="AG14" s="23">
        <f t="shared" si="2"/>
        <v>0</v>
      </c>
      <c r="AH14" s="24" t="str">
        <f>IF(AE14=0," ",AF14/AG14)</f>
        <v xml:space="preserve"> </v>
      </c>
      <c r="AI14" s="65" t="s">
        <v>1625</v>
      </c>
      <c r="AJ14" s="26">
        <v>0</v>
      </c>
      <c r="AK14" s="653">
        <f>+M14</f>
        <v>1</v>
      </c>
      <c r="AL14" s="694">
        <f t="shared" si="3"/>
        <v>0</v>
      </c>
      <c r="AM14" s="812">
        <v>0.25</v>
      </c>
      <c r="AN14" s="24">
        <f>IF(AK14=0," ",AL14/AM14)</f>
        <v>0</v>
      </c>
      <c r="AO14" s="65" t="s">
        <v>1633</v>
      </c>
      <c r="AP14" s="26">
        <v>1</v>
      </c>
      <c r="AQ14" s="653">
        <f>+N14</f>
        <v>1</v>
      </c>
      <c r="AR14" s="694">
        <f t="shared" si="4"/>
        <v>1</v>
      </c>
      <c r="AS14" s="812">
        <v>0.25</v>
      </c>
      <c r="AT14" s="24">
        <v>1</v>
      </c>
      <c r="AU14" s="25" t="s">
        <v>3144</v>
      </c>
      <c r="AV14" s="26">
        <v>2</v>
      </c>
      <c r="AW14" s="653">
        <f t="shared" si="5"/>
        <v>1</v>
      </c>
      <c r="AX14" s="694">
        <v>1</v>
      </c>
      <c r="AY14" s="812">
        <v>0.25</v>
      </c>
      <c r="AZ14" s="24">
        <v>1</v>
      </c>
      <c r="BA14" s="25" t="s">
        <v>1634</v>
      </c>
      <c r="BB14" s="26">
        <v>0</v>
      </c>
      <c r="BC14" s="21"/>
      <c r="BD14" s="694" t="str">
        <f t="shared" si="8"/>
        <v xml:space="preserve"> </v>
      </c>
      <c r="BE14" s="23">
        <f>+P14</f>
        <v>0</v>
      </c>
      <c r="BF14" s="24" t="str">
        <f t="shared" si="9"/>
        <v xml:space="preserve"> </v>
      </c>
      <c r="BG14" s="25" t="s">
        <v>1635</v>
      </c>
      <c r="BH14" s="26">
        <v>0</v>
      </c>
      <c r="BI14" s="21">
        <f>+Q14</f>
        <v>0</v>
      </c>
      <c r="BJ14" s="694" t="str">
        <f t="shared" si="10"/>
        <v xml:space="preserve"> </v>
      </c>
      <c r="BK14" s="23">
        <v>0</v>
      </c>
      <c r="BL14" s="24" t="str">
        <f t="shared" si="11"/>
        <v xml:space="preserve"> </v>
      </c>
      <c r="BM14" s="25" t="s">
        <v>1555</v>
      </c>
      <c r="BN14" s="26">
        <v>0</v>
      </c>
      <c r="BO14" s="21">
        <f>+R14</f>
        <v>0</v>
      </c>
      <c r="BP14" s="694" t="str">
        <f t="shared" si="12"/>
        <v xml:space="preserve"> </v>
      </c>
      <c r="BQ14" s="23">
        <v>0</v>
      </c>
      <c r="BR14" s="24" t="str">
        <f t="shared" si="13"/>
        <v xml:space="preserve"> </v>
      </c>
      <c r="BS14" s="25"/>
      <c r="BT14" s="26">
        <v>0</v>
      </c>
      <c r="BU14" s="21">
        <v>0</v>
      </c>
      <c r="BV14" s="22">
        <v>0</v>
      </c>
      <c r="BW14" s="23">
        <v>0</v>
      </c>
      <c r="BX14" s="24">
        <v>0</v>
      </c>
      <c r="BY14" s="1691" t="s">
        <v>3163</v>
      </c>
      <c r="BZ14" s="26">
        <v>0</v>
      </c>
      <c r="CA14" s="21">
        <v>0</v>
      </c>
      <c r="CB14" s="694">
        <v>0</v>
      </c>
      <c r="CC14" s="23">
        <v>0</v>
      </c>
      <c r="CD14" s="24">
        <v>0</v>
      </c>
      <c r="CE14" s="25" t="s">
        <v>1557</v>
      </c>
      <c r="CF14" s="26">
        <v>0</v>
      </c>
      <c r="CG14" s="21">
        <v>0</v>
      </c>
      <c r="CH14" s="694">
        <v>0</v>
      </c>
      <c r="CI14" s="23">
        <v>0</v>
      </c>
      <c r="CJ14" s="24">
        <v>0</v>
      </c>
      <c r="CK14" s="25" t="s">
        <v>1557</v>
      </c>
      <c r="CL14" s="26">
        <v>0</v>
      </c>
      <c r="CM14" s="21">
        <v>0</v>
      </c>
      <c r="CN14" s="694">
        <v>0</v>
      </c>
      <c r="CO14" s="23">
        <v>0</v>
      </c>
      <c r="CP14" s="24">
        <v>0</v>
      </c>
      <c r="CQ14" s="25" t="s">
        <v>1555</v>
      </c>
      <c r="CR14" s="26">
        <f t="shared" si="15"/>
        <v>4</v>
      </c>
      <c r="CS14" s="21">
        <f t="shared" si="15"/>
        <v>4</v>
      </c>
      <c r="CT14" s="694">
        <f t="shared" si="14"/>
        <v>1</v>
      </c>
      <c r="CU14" s="1689">
        <f>+K14+L14+M14+N14+O14+P14+Q14+R14</f>
        <v>4</v>
      </c>
      <c r="CV14" s="24">
        <v>1</v>
      </c>
      <c r="CW14" s="25" t="s">
        <v>3168</v>
      </c>
      <c r="CX14" s="15">
        <v>100</v>
      </c>
    </row>
    <row r="15" spans="1:256" ht="25.15" customHeight="1">
      <c r="A15" s="128"/>
      <c r="B15" s="33"/>
      <c r="C15" s="34"/>
      <c r="D15" s="35"/>
      <c r="E15" s="35"/>
      <c r="F15" s="36"/>
      <c r="G15" s="36"/>
      <c r="H15" s="35" t="s">
        <v>49</v>
      </c>
      <c r="I15" s="36"/>
      <c r="J15" s="36"/>
      <c r="K15" s="1692"/>
      <c r="L15" s="1692"/>
      <c r="M15" s="1693"/>
      <c r="N15" s="1692"/>
      <c r="O15" s="1692"/>
      <c r="P15" s="1694"/>
      <c r="Q15" s="1694"/>
      <c r="R15" s="1694"/>
      <c r="S15" s="1694"/>
      <c r="T15" s="1694"/>
      <c r="U15" s="1694"/>
      <c r="V15" s="1694"/>
      <c r="W15" s="36"/>
      <c r="X15" s="40"/>
      <c r="Y15" s="40"/>
      <c r="Z15" s="1695"/>
      <c r="AA15" s="42"/>
      <c r="AB15" s="42"/>
      <c r="AC15" s="34"/>
      <c r="AD15" s="34"/>
      <c r="AE15" s="40"/>
      <c r="AF15" s="40"/>
      <c r="AG15" s="1695"/>
      <c r="AH15" s="42"/>
      <c r="AI15" s="42"/>
      <c r="AJ15" s="34"/>
      <c r="AK15" s="40"/>
      <c r="AL15" s="40"/>
      <c r="AM15" s="1695"/>
      <c r="AN15" s="42"/>
      <c r="AO15" s="42"/>
      <c r="AP15" s="40"/>
      <c r="AQ15" s="40"/>
      <c r="AR15" s="1695"/>
      <c r="AS15" s="42"/>
      <c r="AT15" s="42"/>
      <c r="AU15" s="730"/>
      <c r="AV15" s="40"/>
      <c r="AW15" s="40"/>
      <c r="AX15" s="1695" t="str">
        <f t="shared" si="6"/>
        <v xml:space="preserve"> </v>
      </c>
      <c r="AY15" s="42"/>
      <c r="AZ15" s="42" t="str">
        <f t="shared" si="7"/>
        <v xml:space="preserve"> </v>
      </c>
      <c r="BA15" s="42"/>
      <c r="BB15" s="40"/>
      <c r="BC15" s="40"/>
      <c r="BD15" s="1695"/>
      <c r="BE15" s="42"/>
      <c r="BF15" s="42"/>
      <c r="BG15" s="25"/>
      <c r="BH15" s="34"/>
      <c r="BI15" s="40"/>
      <c r="BJ15" s="40"/>
      <c r="BK15" s="1695"/>
      <c r="BL15" s="42"/>
      <c r="BM15" s="42"/>
      <c r="BN15" s="40"/>
      <c r="BO15" s="40"/>
      <c r="BP15" s="1695"/>
      <c r="BQ15" s="42"/>
      <c r="BR15" s="42"/>
      <c r="BS15" s="730"/>
      <c r="BT15" s="34"/>
      <c r="BU15" s="40"/>
      <c r="BV15" s="40"/>
      <c r="BW15" s="1695"/>
      <c r="BX15" s="42"/>
      <c r="BY15" s="42"/>
      <c r="BZ15" s="40"/>
      <c r="CA15" s="40"/>
      <c r="CB15" s="1695"/>
      <c r="CC15" s="42"/>
      <c r="CD15" s="42"/>
      <c r="CE15" s="730"/>
      <c r="CF15" s="34"/>
      <c r="CG15" s="40"/>
      <c r="CH15" s="40"/>
      <c r="CI15" s="1695"/>
      <c r="CJ15" s="42"/>
      <c r="CK15" s="42"/>
      <c r="CL15" s="40"/>
      <c r="CM15" s="40"/>
      <c r="CN15" s="1695"/>
      <c r="CO15" s="42"/>
      <c r="CP15" s="42"/>
      <c r="CQ15" s="730"/>
      <c r="CR15" s="40"/>
      <c r="CS15" s="40"/>
      <c r="CT15" s="40"/>
      <c r="CU15" s="1695"/>
      <c r="CV15" s="42"/>
      <c r="CW15" s="1696"/>
    </row>
    <row r="16" spans="1:256" ht="42" customHeight="1">
      <c r="B16" s="8" t="s">
        <v>55</v>
      </c>
      <c r="C16" s="8" t="s">
        <v>89</v>
      </c>
      <c r="D16" s="8" t="s">
        <v>56</v>
      </c>
      <c r="E16" s="8" t="s">
        <v>57</v>
      </c>
      <c r="F16" s="403" t="s">
        <v>58</v>
      </c>
      <c r="G16" s="8" t="s">
        <v>53</v>
      </c>
      <c r="H16" s="403" t="s">
        <v>59</v>
      </c>
      <c r="I16" s="8" t="s">
        <v>60</v>
      </c>
      <c r="J16" s="135" t="s">
        <v>54</v>
      </c>
      <c r="K16" s="1690"/>
      <c r="L16" s="1690"/>
      <c r="M16" s="848">
        <v>1</v>
      </c>
      <c r="N16" s="1690"/>
      <c r="O16" s="1690"/>
      <c r="P16" s="1681">
        <v>1</v>
      </c>
      <c r="Q16" s="1681"/>
      <c r="R16" s="1681"/>
      <c r="S16" s="1681">
        <v>1</v>
      </c>
      <c r="T16" s="1681"/>
      <c r="U16" s="1681"/>
      <c r="V16" s="1681">
        <v>1</v>
      </c>
      <c r="W16" s="8"/>
      <c r="X16" s="26"/>
      <c r="Y16" s="21"/>
      <c r="Z16" s="694" t="str">
        <f>IF(Y16=0," ",X16/Y16)</f>
        <v xml:space="preserve"> </v>
      </c>
      <c r="AA16" s="23"/>
      <c r="AB16" s="24" t="str">
        <f>IF(Y16=0," ",Z16/AA16)</f>
        <v xml:space="preserve"> </v>
      </c>
      <c r="AC16" s="57" t="s">
        <v>1555</v>
      </c>
      <c r="AD16" s="26"/>
      <c r="AE16" s="21"/>
      <c r="AF16" s="694" t="str">
        <f>IF(AE16=0," ",AD16/AE16)</f>
        <v xml:space="preserve"> </v>
      </c>
      <c r="AG16" s="23">
        <f>+L16</f>
        <v>0</v>
      </c>
      <c r="AH16" s="24" t="str">
        <f>IF(AE16=0," ",AF16/AG16)</f>
        <v xml:space="preserve"> </v>
      </c>
      <c r="AI16" s="57" t="s">
        <v>1555</v>
      </c>
      <c r="AJ16" s="26"/>
      <c r="AK16" s="21"/>
      <c r="AL16" s="694" t="str">
        <f>IF(AK16=0," ",AJ16/AK16)</f>
        <v xml:space="preserve"> </v>
      </c>
      <c r="AM16" s="23">
        <f>+P16</f>
        <v>1</v>
      </c>
      <c r="AN16" s="24" t="str">
        <f>IF(AK16=0," ",AL16/AM16)</f>
        <v xml:space="preserve"> </v>
      </c>
      <c r="AO16" s="25"/>
      <c r="AP16" s="26"/>
      <c r="AQ16" s="21"/>
      <c r="AR16" s="694" t="str">
        <f>IF(AQ16=0," ",AP16/AQ16)</f>
        <v xml:space="preserve"> </v>
      </c>
      <c r="AS16" s="23"/>
      <c r="AT16" s="24" t="str">
        <f>IF(AQ16=0," ",AR16/AS16)</f>
        <v xml:space="preserve"> </v>
      </c>
      <c r="AU16" s="1697" t="s">
        <v>3169</v>
      </c>
      <c r="AV16" s="26"/>
      <c r="AW16" s="21">
        <f>+O16</f>
        <v>0</v>
      </c>
      <c r="AX16" s="694" t="str">
        <f t="shared" si="6"/>
        <v xml:space="preserve"> </v>
      </c>
      <c r="AY16" s="23"/>
      <c r="AZ16" s="24" t="str">
        <f t="shared" si="7"/>
        <v xml:space="preserve"> </v>
      </c>
      <c r="BA16" s="57" t="s">
        <v>1555</v>
      </c>
      <c r="BB16" s="26">
        <v>0</v>
      </c>
      <c r="BC16" s="21">
        <v>0</v>
      </c>
      <c r="BD16" s="694" t="str">
        <f>IF(BC16=0," ",BB16/BC16)</f>
        <v xml:space="preserve"> </v>
      </c>
      <c r="BE16" s="23">
        <f>+P16</f>
        <v>1</v>
      </c>
      <c r="BF16" s="24" t="str">
        <f>IF(BC16=0," ",BD16/BE16)</f>
        <v xml:space="preserve"> </v>
      </c>
      <c r="BG16" s="25" t="s">
        <v>1281</v>
      </c>
      <c r="BH16" s="26"/>
      <c r="BI16" s="21"/>
      <c r="BJ16" s="694"/>
      <c r="BK16" s="23"/>
      <c r="BL16" s="24"/>
      <c r="BM16" s="25" t="s">
        <v>1555</v>
      </c>
      <c r="BN16" s="26"/>
      <c r="BO16" s="21"/>
      <c r="BP16" s="694" t="str">
        <f>IF(BO16=0," ",BN16/BO16)</f>
        <v xml:space="preserve"> </v>
      </c>
      <c r="BQ16" s="23"/>
      <c r="BR16" s="24" t="str">
        <f>IF(BO16=0," ",BP16/BQ16)</f>
        <v xml:space="preserve"> </v>
      </c>
      <c r="BS16" s="57" t="s">
        <v>325</v>
      </c>
      <c r="BT16" s="26">
        <v>0</v>
      </c>
      <c r="BU16" s="21">
        <v>0</v>
      </c>
      <c r="BV16" s="694">
        <v>0</v>
      </c>
      <c r="BW16" s="23">
        <v>0</v>
      </c>
      <c r="BX16" s="24">
        <v>0</v>
      </c>
      <c r="BY16" s="1345" t="s">
        <v>324</v>
      </c>
      <c r="BZ16" s="26"/>
      <c r="CA16" s="21"/>
      <c r="CB16" s="694"/>
      <c r="CC16" s="23"/>
      <c r="CD16" s="24"/>
      <c r="CE16" s="25"/>
      <c r="CF16" s="26"/>
      <c r="CG16" s="21"/>
      <c r="CH16" s="694"/>
      <c r="CI16" s="23"/>
      <c r="CJ16" s="24"/>
      <c r="CK16" s="25"/>
      <c r="CL16" s="26">
        <v>0</v>
      </c>
      <c r="CM16" s="21">
        <v>0</v>
      </c>
      <c r="CN16" s="694">
        <v>0</v>
      </c>
      <c r="CO16" s="23">
        <v>0</v>
      </c>
      <c r="CP16" s="24">
        <v>0</v>
      </c>
      <c r="CQ16" s="25" t="s">
        <v>325</v>
      </c>
      <c r="CR16" s="26">
        <f t="shared" ref="CR16:CS19" si="16">+X16+AD16+AJ16+AP16+AV16+BB16+BH16+BN16</f>
        <v>0</v>
      </c>
      <c r="CS16" s="21">
        <f t="shared" si="16"/>
        <v>0</v>
      </c>
      <c r="CT16" s="694">
        <v>1</v>
      </c>
      <c r="CU16" s="23">
        <v>1</v>
      </c>
      <c r="CV16" s="24">
        <v>1</v>
      </c>
      <c r="CW16" s="25" t="s">
        <v>3170</v>
      </c>
    </row>
    <row r="17" spans="1:256" ht="42" customHeight="1">
      <c r="B17" s="8" t="s">
        <v>55</v>
      </c>
      <c r="C17" s="8" t="s">
        <v>88</v>
      </c>
      <c r="D17" s="8" t="s">
        <v>61</v>
      </c>
      <c r="E17" s="8" t="s">
        <v>57</v>
      </c>
      <c r="F17" s="403" t="s">
        <v>62</v>
      </c>
      <c r="G17" s="8" t="s">
        <v>53</v>
      </c>
      <c r="H17" s="8" t="s">
        <v>63</v>
      </c>
      <c r="I17" s="8" t="s">
        <v>64</v>
      </c>
      <c r="J17" s="135" t="s">
        <v>54</v>
      </c>
      <c r="K17" s="1690"/>
      <c r="L17" s="1698">
        <v>1</v>
      </c>
      <c r="M17" s="848"/>
      <c r="N17" s="1698">
        <v>1</v>
      </c>
      <c r="O17" s="1690"/>
      <c r="P17" s="1698">
        <v>1</v>
      </c>
      <c r="Q17" s="1698"/>
      <c r="R17" s="1698">
        <v>1</v>
      </c>
      <c r="S17" s="1698"/>
      <c r="T17" s="1698">
        <v>1</v>
      </c>
      <c r="U17" s="1698"/>
      <c r="V17" s="1698">
        <v>1</v>
      </c>
      <c r="W17" s="8"/>
      <c r="X17" s="26"/>
      <c r="Y17" s="21"/>
      <c r="Z17" s="694" t="str">
        <f>IF(Y17=0," ",X17/Y17)</f>
        <v xml:space="preserve"> </v>
      </c>
      <c r="AA17" s="23"/>
      <c r="AB17" s="24" t="str">
        <f>IF(Y17=0," ",Z17/AA17)</f>
        <v xml:space="preserve"> </v>
      </c>
      <c r="AC17" s="57" t="s">
        <v>1555</v>
      </c>
      <c r="AD17" s="26"/>
      <c r="AE17" s="21"/>
      <c r="AF17" s="694" t="str">
        <f>IF(AE17=0," ",AD17/AE17)</f>
        <v xml:space="preserve"> </v>
      </c>
      <c r="AG17" s="23">
        <f>+L17</f>
        <v>1</v>
      </c>
      <c r="AH17" s="24" t="str">
        <f>IF(AE17=0," ",AF17/AG17)</f>
        <v xml:space="preserve"> </v>
      </c>
      <c r="AI17" s="25" t="s">
        <v>325</v>
      </c>
      <c r="AJ17" s="26"/>
      <c r="AK17" s="21"/>
      <c r="AL17" s="694" t="str">
        <f>IF(AK17=0," ",AJ17/AK17)</f>
        <v xml:space="preserve"> </v>
      </c>
      <c r="AM17" s="23"/>
      <c r="AN17" s="24" t="str">
        <f>IF(AK17=0," ",AL17/AM17)</f>
        <v xml:space="preserve"> </v>
      </c>
      <c r="AO17" s="25" t="s">
        <v>1555</v>
      </c>
      <c r="AP17" s="26"/>
      <c r="AQ17" s="21"/>
      <c r="AR17" s="694" t="str">
        <f>IF(AQ17=0," ",AP17/AQ17)</f>
        <v xml:space="preserve"> </v>
      </c>
      <c r="AS17" s="23">
        <f>+N17</f>
        <v>1</v>
      </c>
      <c r="AT17" s="24" t="str">
        <f>IF(AQ17=0," ",AR17/AS17)</f>
        <v xml:space="preserve"> </v>
      </c>
      <c r="AU17" s="1697" t="s">
        <v>3171</v>
      </c>
      <c r="AV17" s="26"/>
      <c r="AW17" s="21">
        <f>+O17</f>
        <v>0</v>
      </c>
      <c r="AX17" s="694" t="str">
        <f t="shared" si="6"/>
        <v xml:space="preserve"> </v>
      </c>
      <c r="AY17" s="23"/>
      <c r="AZ17" s="24" t="str">
        <f t="shared" si="7"/>
        <v xml:space="preserve"> </v>
      </c>
      <c r="BA17" s="57" t="s">
        <v>1555</v>
      </c>
      <c r="BB17" s="26">
        <v>0</v>
      </c>
      <c r="BC17" s="21">
        <v>0</v>
      </c>
      <c r="BD17" s="694" t="str">
        <f>IF(BC17=0," ",BB17/BC17)</f>
        <v xml:space="preserve"> </v>
      </c>
      <c r="BE17" s="23">
        <f>+P17</f>
        <v>1</v>
      </c>
      <c r="BF17" s="24" t="str">
        <f>IF(BC17=0," ",BD17/BE17)</f>
        <v xml:space="preserve"> </v>
      </c>
      <c r="BG17" s="25" t="s">
        <v>1281</v>
      </c>
      <c r="BH17" s="26"/>
      <c r="BI17" s="21"/>
      <c r="BJ17" s="694"/>
      <c r="BK17" s="23"/>
      <c r="BL17" s="24"/>
      <c r="BM17" s="25" t="s">
        <v>1555</v>
      </c>
      <c r="BN17" s="26"/>
      <c r="BO17" s="21"/>
      <c r="BP17" s="694" t="str">
        <f>IF(BO17=0," ",BN17/BO17)</f>
        <v xml:space="preserve"> </v>
      </c>
      <c r="BQ17" s="23"/>
      <c r="BR17" s="24" t="str">
        <f>IF(BO17=0," ",BP17/BQ17)</f>
        <v xml:space="preserve"> </v>
      </c>
      <c r="BS17" s="57" t="s">
        <v>325</v>
      </c>
      <c r="BT17" s="26">
        <v>0</v>
      </c>
      <c r="BU17" s="21">
        <v>0</v>
      </c>
      <c r="BV17" s="694">
        <v>0</v>
      </c>
      <c r="BW17" s="23">
        <v>0</v>
      </c>
      <c r="BX17" s="24">
        <v>0</v>
      </c>
      <c r="BY17" s="1345" t="s">
        <v>324</v>
      </c>
      <c r="BZ17" s="26">
        <v>0</v>
      </c>
      <c r="CA17" s="21">
        <v>0</v>
      </c>
      <c r="CB17" s="694">
        <v>0</v>
      </c>
      <c r="CC17" s="23">
        <v>0</v>
      </c>
      <c r="CD17" s="24">
        <v>0</v>
      </c>
      <c r="CE17" s="25" t="s">
        <v>148</v>
      </c>
      <c r="CF17" s="26">
        <v>0</v>
      </c>
      <c r="CG17" s="21">
        <v>0</v>
      </c>
      <c r="CH17" s="694">
        <v>0</v>
      </c>
      <c r="CI17" s="23">
        <v>0</v>
      </c>
      <c r="CJ17" s="24">
        <v>0</v>
      </c>
      <c r="CK17" s="25" t="s">
        <v>148</v>
      </c>
      <c r="CL17" s="26">
        <v>0</v>
      </c>
      <c r="CM17" s="21">
        <v>0</v>
      </c>
      <c r="CN17" s="694">
        <v>0</v>
      </c>
      <c r="CO17" s="23">
        <v>0</v>
      </c>
      <c r="CP17" s="24">
        <v>0</v>
      </c>
      <c r="CQ17" s="25" t="s">
        <v>162</v>
      </c>
      <c r="CR17" s="26">
        <f t="shared" si="16"/>
        <v>0</v>
      </c>
      <c r="CS17" s="21">
        <f t="shared" si="16"/>
        <v>0</v>
      </c>
      <c r="CT17" s="694">
        <v>1</v>
      </c>
      <c r="CU17" s="23">
        <v>1</v>
      </c>
      <c r="CV17" s="24">
        <v>1</v>
      </c>
      <c r="CW17" s="25" t="s">
        <v>162</v>
      </c>
    </row>
    <row r="18" spans="1:256" ht="42" customHeight="1">
      <c r="A18" s="2"/>
      <c r="B18" s="391" t="s">
        <v>81</v>
      </c>
      <c r="C18" s="403"/>
      <c r="D18" s="1136" t="s">
        <v>83</v>
      </c>
      <c r="E18" s="8" t="s">
        <v>84</v>
      </c>
      <c r="F18" s="403" t="s">
        <v>82</v>
      </c>
      <c r="G18" s="8" t="s">
        <v>66</v>
      </c>
      <c r="H18" s="8" t="s">
        <v>86</v>
      </c>
      <c r="I18" s="8" t="s">
        <v>85</v>
      </c>
      <c r="J18" s="8" t="s">
        <v>54</v>
      </c>
      <c r="K18" s="848"/>
      <c r="L18" s="848"/>
      <c r="M18" s="848">
        <v>1</v>
      </c>
      <c r="N18" s="848"/>
      <c r="O18" s="848"/>
      <c r="P18" s="848">
        <v>1</v>
      </c>
      <c r="Q18" s="848"/>
      <c r="R18" s="848"/>
      <c r="S18" s="848">
        <v>1</v>
      </c>
      <c r="T18" s="848"/>
      <c r="U18" s="848"/>
      <c r="V18" s="848">
        <v>1</v>
      </c>
      <c r="W18" s="685"/>
      <c r="X18" s="57"/>
      <c r="Y18" s="57"/>
      <c r="Z18" s="694" t="str">
        <f>IF(Y18=0," ",X18/Y18)</f>
        <v xml:space="preserve"> </v>
      </c>
      <c r="AA18" s="57"/>
      <c r="AB18" s="24" t="str">
        <f>IF(Y18=0," ",Z18/AA18)</f>
        <v xml:space="preserve"> </v>
      </c>
      <c r="AC18" s="57" t="s">
        <v>1555</v>
      </c>
      <c r="AD18" s="57"/>
      <c r="AE18" s="57"/>
      <c r="AF18" s="22" t="str">
        <f>IF(AE18=0," ",AD18/AE18)</f>
        <v xml:space="preserve"> </v>
      </c>
      <c r="AG18" s="57"/>
      <c r="AH18" s="24" t="str">
        <f>IF(AE18=0," ",AF18/AG18)</f>
        <v xml:space="preserve"> </v>
      </c>
      <c r="AI18" s="57" t="s">
        <v>1555</v>
      </c>
      <c r="AJ18" s="57">
        <v>40</v>
      </c>
      <c r="AK18" s="57">
        <v>40</v>
      </c>
      <c r="AL18" s="694">
        <f>IF(AK18=0," ",AJ18/AK18)</f>
        <v>1</v>
      </c>
      <c r="AM18" s="1699">
        <f>+M18</f>
        <v>1</v>
      </c>
      <c r="AN18" s="24">
        <f>IF(AK18=0," ",AL18/AM18)</f>
        <v>1</v>
      </c>
      <c r="AO18" s="1205" t="s">
        <v>3172</v>
      </c>
      <c r="AP18" s="57"/>
      <c r="AQ18" s="57"/>
      <c r="AR18" s="22" t="str">
        <f>IF(AQ18=0," ",AP18/AQ18)</f>
        <v xml:space="preserve"> </v>
      </c>
      <c r="AS18" s="57"/>
      <c r="AT18" s="24" t="str">
        <f>IF(AQ18=0," ",AR18/AS18)</f>
        <v xml:space="preserve"> </v>
      </c>
      <c r="AU18" s="57" t="s">
        <v>3169</v>
      </c>
      <c r="AV18" s="57"/>
      <c r="AW18" s="1699">
        <f>+O18</f>
        <v>0</v>
      </c>
      <c r="AX18" s="694" t="str">
        <f t="shared" si="6"/>
        <v xml:space="preserve"> </v>
      </c>
      <c r="AY18" s="57"/>
      <c r="AZ18" s="24" t="str">
        <f t="shared" si="7"/>
        <v xml:space="preserve"> </v>
      </c>
      <c r="BA18" s="57" t="s">
        <v>1555</v>
      </c>
      <c r="BB18" s="1205">
        <v>41</v>
      </c>
      <c r="BC18" s="1205">
        <v>41</v>
      </c>
      <c r="BD18" s="694">
        <f>IF(BC18=0," ",BB18/BC18)</f>
        <v>1</v>
      </c>
      <c r="BE18" s="23">
        <f>+P18</f>
        <v>1</v>
      </c>
      <c r="BF18" s="24">
        <f>IF(BC18=0," ",BD18/BE18)</f>
        <v>1</v>
      </c>
      <c r="BG18" s="116" t="s">
        <v>3173</v>
      </c>
      <c r="BH18" s="57"/>
      <c r="BI18" s="57"/>
      <c r="BJ18" s="57"/>
      <c r="BK18" s="57"/>
      <c r="BL18" s="57"/>
      <c r="BM18" s="25" t="s">
        <v>1555</v>
      </c>
      <c r="BN18" s="57"/>
      <c r="BO18" s="57"/>
      <c r="BP18" s="694" t="str">
        <f>IF(BO18=0," ",BN18/BO18)</f>
        <v xml:space="preserve"> </v>
      </c>
      <c r="BQ18" s="23"/>
      <c r="BR18" s="24" t="str">
        <f>IF(BO18=0," ",BP18/BQ18)</f>
        <v xml:space="preserve"> </v>
      </c>
      <c r="BS18" s="57" t="s">
        <v>1555</v>
      </c>
      <c r="BT18" s="57">
        <v>56</v>
      </c>
      <c r="BU18" s="57">
        <v>56</v>
      </c>
      <c r="BV18" s="694">
        <v>1</v>
      </c>
      <c r="BW18" s="23">
        <v>1</v>
      </c>
      <c r="BX18" s="24">
        <v>1</v>
      </c>
      <c r="BY18" s="1345" t="s">
        <v>3174</v>
      </c>
      <c r="BZ18" s="731">
        <v>0</v>
      </c>
      <c r="CA18" s="732">
        <v>0</v>
      </c>
      <c r="CB18" s="1700">
        <v>0</v>
      </c>
      <c r="CC18" s="734">
        <v>0</v>
      </c>
      <c r="CD18" s="735">
        <v>0</v>
      </c>
      <c r="CE18" s="1205" t="s">
        <v>3175</v>
      </c>
      <c r="CF18" s="731">
        <v>0</v>
      </c>
      <c r="CG18" s="732">
        <v>0</v>
      </c>
      <c r="CH18" s="1700">
        <v>0</v>
      </c>
      <c r="CI18" s="734">
        <v>0</v>
      </c>
      <c r="CJ18" s="735">
        <v>0</v>
      </c>
      <c r="CK18" s="1205" t="s">
        <v>3175</v>
      </c>
      <c r="CL18" s="26">
        <v>69</v>
      </c>
      <c r="CM18" s="21">
        <v>69</v>
      </c>
      <c r="CN18" s="694">
        <v>1</v>
      </c>
      <c r="CO18" s="23">
        <v>1</v>
      </c>
      <c r="CP18" s="24">
        <v>1</v>
      </c>
      <c r="CQ18" s="26" t="s">
        <v>3174</v>
      </c>
      <c r="CR18" s="26">
        <f t="shared" si="16"/>
        <v>81</v>
      </c>
      <c r="CS18" s="21">
        <f t="shared" si="16"/>
        <v>81</v>
      </c>
      <c r="CT18" s="694">
        <f>IF(CS18=0," ",CR18/CS18)</f>
        <v>1</v>
      </c>
      <c r="CU18" s="23">
        <v>1</v>
      </c>
      <c r="CV18" s="24">
        <f>IF(CS18=0," ",CT18/CU18)</f>
        <v>1</v>
      </c>
      <c r="CW18" s="1345" t="s">
        <v>3176</v>
      </c>
      <c r="CX18" s="2">
        <v>100</v>
      </c>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42" customHeight="1">
      <c r="B19" s="8" t="s">
        <v>155</v>
      </c>
      <c r="C19" s="9"/>
      <c r="D19" s="13" t="s">
        <v>157</v>
      </c>
      <c r="E19" s="13" t="s">
        <v>158</v>
      </c>
      <c r="F19" s="8" t="s">
        <v>159</v>
      </c>
      <c r="G19" s="8" t="s">
        <v>53</v>
      </c>
      <c r="H19" s="13" t="s">
        <v>160</v>
      </c>
      <c r="I19" s="8" t="s">
        <v>161</v>
      </c>
      <c r="J19" s="8" t="s">
        <v>54</v>
      </c>
      <c r="K19" s="1698"/>
      <c r="L19" s="1698"/>
      <c r="M19" s="1698"/>
      <c r="N19" s="1698">
        <v>1</v>
      </c>
      <c r="O19" s="1698"/>
      <c r="P19" s="1698">
        <v>1</v>
      </c>
      <c r="Q19" s="1698"/>
      <c r="R19" s="1698"/>
      <c r="S19" s="1698">
        <v>1</v>
      </c>
      <c r="T19" s="1698"/>
      <c r="U19" s="1698"/>
      <c r="V19" s="1698">
        <v>1</v>
      </c>
      <c r="W19" s="8" t="s">
        <v>2202</v>
      </c>
      <c r="X19" s="731"/>
      <c r="Y19" s="732"/>
      <c r="Z19" s="694" t="str">
        <f>IF(Y19=0," ",X19/Y19)</f>
        <v xml:space="preserve"> </v>
      </c>
      <c r="AA19" s="734"/>
      <c r="AB19" s="24" t="str">
        <f>IF(Y19=0," ",Z19/AA19)</f>
        <v xml:space="preserve"> </v>
      </c>
      <c r="AC19" s="20" t="s">
        <v>1555</v>
      </c>
      <c r="AD19" s="731"/>
      <c r="AE19" s="732"/>
      <c r="AF19" s="1700" t="str">
        <f>IF(AE19=0," ",AD19/AE19)</f>
        <v xml:space="preserve"> </v>
      </c>
      <c r="AG19" s="734"/>
      <c r="AH19" s="735" t="str">
        <f>IF(AE19=0," ",AF19/AG19)</f>
        <v xml:space="preserve"> </v>
      </c>
      <c r="AI19" s="57" t="s">
        <v>1555</v>
      </c>
      <c r="AJ19" s="731"/>
      <c r="AK19" s="732"/>
      <c r="AL19" s="1700" t="str">
        <f>IF(AK19=0," ",AJ19/AK19)</f>
        <v xml:space="preserve"> </v>
      </c>
      <c r="AM19" s="734"/>
      <c r="AN19" s="735" t="str">
        <f>IF(AK19=0," ",AL19/AM19)</f>
        <v xml:space="preserve"> </v>
      </c>
      <c r="AO19" s="57" t="s">
        <v>1555</v>
      </c>
      <c r="AP19" s="731"/>
      <c r="AQ19" s="732"/>
      <c r="AR19" s="1700" t="str">
        <f>IF(AQ19=0," ",AP19/AQ19)</f>
        <v xml:space="preserve"> </v>
      </c>
      <c r="AS19" s="734">
        <f>+N19</f>
        <v>1</v>
      </c>
      <c r="AT19" s="735" t="str">
        <f>IF(AQ19=0," ",AR19/AS19)</f>
        <v xml:space="preserve"> </v>
      </c>
      <c r="AU19" s="736" t="s">
        <v>3177</v>
      </c>
      <c r="AV19" s="731"/>
      <c r="AW19" s="732">
        <f>+O19</f>
        <v>0</v>
      </c>
      <c r="AX19" s="694" t="str">
        <f t="shared" si="6"/>
        <v xml:space="preserve"> </v>
      </c>
      <c r="AY19" s="734"/>
      <c r="AZ19" s="24" t="str">
        <f t="shared" si="7"/>
        <v xml:space="preserve"> </v>
      </c>
      <c r="BA19" s="57" t="s">
        <v>1555</v>
      </c>
      <c r="BB19" s="731">
        <v>2</v>
      </c>
      <c r="BC19" s="732">
        <v>2</v>
      </c>
      <c r="BD19" s="694">
        <f>IF(BC19=0," ",BB19/BC19)</f>
        <v>1</v>
      </c>
      <c r="BE19" s="23">
        <f>+P19</f>
        <v>1</v>
      </c>
      <c r="BF19" s="24">
        <f>IF(BC19=0," ",BD19/BE19)</f>
        <v>1</v>
      </c>
      <c r="BG19" s="116" t="s">
        <v>3178</v>
      </c>
      <c r="BH19" s="731"/>
      <c r="BI19" s="732"/>
      <c r="BJ19" s="1700" t="str">
        <f>IF(BI19=0," ",BH19/BI19)</f>
        <v xml:space="preserve"> </v>
      </c>
      <c r="BK19" s="734"/>
      <c r="BL19" s="735" t="str">
        <f>IF(BI19=0," ",BJ19/BK19)</f>
        <v xml:space="preserve"> </v>
      </c>
      <c r="BM19" s="25" t="s">
        <v>1555</v>
      </c>
      <c r="BN19" s="731"/>
      <c r="BO19" s="732"/>
      <c r="BP19" s="694" t="str">
        <f>IF(BO19=0," ",BN19/BO19)</f>
        <v xml:space="preserve"> </v>
      </c>
      <c r="BQ19" s="23"/>
      <c r="BR19" s="24" t="str">
        <f>IF(BO19=0," ",BP19/BQ19)</f>
        <v xml:space="preserve"> </v>
      </c>
      <c r="BS19" s="20" t="s">
        <v>1555</v>
      </c>
      <c r="BT19" s="731">
        <v>2</v>
      </c>
      <c r="BU19" s="732">
        <v>3</v>
      </c>
      <c r="BV19" s="1700">
        <f>IF(BU19=0," ",BT19/BU19)</f>
        <v>0.66666666666666663</v>
      </c>
      <c r="BW19" s="734"/>
      <c r="BX19" s="735">
        <v>0.67</v>
      </c>
      <c r="BY19" s="25" t="s">
        <v>3179</v>
      </c>
      <c r="BZ19" s="731">
        <v>0</v>
      </c>
      <c r="CA19" s="732">
        <v>0</v>
      </c>
      <c r="CB19" s="1700">
        <v>0</v>
      </c>
      <c r="CC19" s="734">
        <v>0</v>
      </c>
      <c r="CD19" s="735">
        <v>0</v>
      </c>
      <c r="CE19" s="736" t="s">
        <v>3175</v>
      </c>
      <c r="CF19" s="731">
        <v>0</v>
      </c>
      <c r="CG19" s="732">
        <v>0</v>
      </c>
      <c r="CH19" s="1700">
        <v>0</v>
      </c>
      <c r="CI19" s="734">
        <v>0</v>
      </c>
      <c r="CJ19" s="735">
        <v>0</v>
      </c>
      <c r="CK19" s="736" t="s">
        <v>3175</v>
      </c>
      <c r="CL19" s="731"/>
      <c r="CM19" s="732"/>
      <c r="CN19" s="1700"/>
      <c r="CO19" s="734"/>
      <c r="CP19" s="735"/>
      <c r="CQ19" s="736" t="s">
        <v>1557</v>
      </c>
      <c r="CR19" s="26">
        <f t="shared" si="16"/>
        <v>2</v>
      </c>
      <c r="CS19" s="21">
        <v>3</v>
      </c>
      <c r="CT19" s="694">
        <f>IF(CS19=0," ",CR19/CS19)</f>
        <v>0.66666666666666663</v>
      </c>
      <c r="CU19" s="23">
        <v>1</v>
      </c>
      <c r="CV19" s="24">
        <f>IF(CS19=0," ",CT19/CU19)</f>
        <v>0.66666666666666663</v>
      </c>
      <c r="CW19" s="25" t="s">
        <v>1645</v>
      </c>
      <c r="CX19" s="15">
        <v>67</v>
      </c>
    </row>
    <row r="20" spans="1:256" ht="25.15" customHeight="1">
      <c r="B20" s="2694" t="s">
        <v>17</v>
      </c>
      <c r="C20" s="1972"/>
      <c r="D20" s="1972"/>
      <c r="E20" s="1972"/>
      <c r="F20" s="5"/>
      <c r="G20" s="5"/>
      <c r="H20" s="5"/>
      <c r="I20" s="5"/>
      <c r="J20" s="5"/>
      <c r="K20" s="6"/>
      <c r="L20" s="6"/>
      <c r="M20" s="6"/>
      <c r="N20" s="6"/>
      <c r="O20" s="6"/>
      <c r="P20" s="6"/>
      <c r="Q20" s="6"/>
      <c r="R20" s="6"/>
      <c r="S20" s="6"/>
      <c r="T20" s="6"/>
      <c r="U20" s="6"/>
      <c r="V20" s="6"/>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701">
        <f>+(CD9+CD12)/2</f>
        <v>1</v>
      </c>
      <c r="CE20" s="128"/>
      <c r="CF20" s="128"/>
      <c r="CG20" s="128"/>
      <c r="CH20" s="128"/>
      <c r="CI20" s="128"/>
      <c r="CJ20" s="128"/>
      <c r="CK20" s="128"/>
      <c r="CL20" s="128"/>
      <c r="CM20" s="128"/>
      <c r="CN20" s="128"/>
      <c r="CO20" s="128"/>
      <c r="CP20" s="128"/>
      <c r="CQ20" s="128"/>
      <c r="CR20" s="128"/>
      <c r="CS20" s="128"/>
      <c r="CT20" s="128"/>
      <c r="CU20" s="128"/>
      <c r="CV20" s="1702">
        <f>+(CV8+CV9+CV10+CV11+CV12+CV13+CV14+CV16+CV17+CV18+CV19)/11</f>
        <v>0.90151515151515149</v>
      </c>
      <c r="CW20" s="683"/>
    </row>
    <row r="21" spans="1:256" ht="25.15" customHeight="1">
      <c r="B21" s="893"/>
      <c r="C21" s="679"/>
      <c r="D21" s="128"/>
      <c r="E21" s="128"/>
      <c r="F21" s="128"/>
      <c r="G21" s="128"/>
      <c r="H21" s="128"/>
      <c r="I21" s="128"/>
      <c r="J21" s="128"/>
      <c r="K21" s="128"/>
      <c r="L21" s="128"/>
      <c r="M21" s="128"/>
      <c r="N21" s="128"/>
      <c r="O21" s="128"/>
      <c r="P21" s="128"/>
      <c r="Q21" s="128"/>
      <c r="R21" s="128"/>
      <c r="S21" s="128"/>
      <c r="T21" s="128"/>
      <c r="U21" s="128"/>
      <c r="V21" s="128"/>
      <c r="W21" s="128"/>
      <c r="X21" s="128"/>
      <c r="Y21" s="128"/>
      <c r="Z21" s="1702">
        <f>SUM(Z8:Z19)/4</f>
        <v>0.87578093328816653</v>
      </c>
      <c r="AA21" s="128"/>
      <c r="AB21" s="128"/>
      <c r="AC21" s="128"/>
      <c r="AD21" s="128"/>
      <c r="AE21" s="128"/>
      <c r="AF21" s="1702">
        <f>SUM(AF8:AF19)/5</f>
        <v>0.90062474663053327</v>
      </c>
      <c r="AG21" s="128"/>
      <c r="AH21" s="128"/>
      <c r="AI21" s="128"/>
      <c r="AJ21" s="128"/>
      <c r="AK21" s="128"/>
      <c r="AL21" s="1702">
        <f>SUM(AL8:AL19)/7</f>
        <v>0.61904761904761896</v>
      </c>
      <c r="AM21" s="128"/>
      <c r="AN21" s="128"/>
      <c r="AO21" s="128"/>
      <c r="AP21" s="128"/>
      <c r="AQ21" s="128"/>
      <c r="AR21" s="1702">
        <f>SUM(AR8:AR19)/5</f>
        <v>0.8</v>
      </c>
      <c r="AS21" s="128"/>
      <c r="AT21" s="128"/>
      <c r="AU21" s="128"/>
      <c r="AV21" s="128"/>
      <c r="AW21" s="128"/>
      <c r="AX21" s="1702">
        <f>SUM(AX8:AX19)/4</f>
        <v>1</v>
      </c>
      <c r="AY21" s="128"/>
      <c r="AZ21" s="128"/>
      <c r="BA21" s="128"/>
      <c r="BB21" s="128"/>
      <c r="BC21" s="128"/>
      <c r="BD21" s="128"/>
      <c r="BE21" s="128"/>
      <c r="BF21" s="128"/>
      <c r="BG21" s="128"/>
      <c r="BH21" s="128"/>
      <c r="BI21" s="128"/>
      <c r="BJ21" s="128"/>
      <c r="BK21" s="128"/>
      <c r="BL21" s="1701">
        <f>+(BL12+BL13)/2</f>
        <v>1</v>
      </c>
      <c r="BM21" s="128"/>
      <c r="BN21" s="128"/>
      <c r="BO21" s="128"/>
      <c r="BP21" s="128"/>
      <c r="BQ21" s="128"/>
      <c r="BR21" s="128"/>
      <c r="BS21" s="128"/>
      <c r="BT21" s="128"/>
      <c r="BU21" s="128"/>
      <c r="BV21" s="1702">
        <f>+(BV10+BX12+BX18+BX19)/4</f>
        <v>0.66749999999999998</v>
      </c>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702"/>
      <c r="CU21" s="128"/>
      <c r="CV21" s="128"/>
      <c r="CW21" s="683"/>
    </row>
    <row r="22" spans="1:256" ht="25.15" customHeight="1">
      <c r="B22" s="893"/>
      <c r="C22" s="679"/>
      <c r="D22" s="128"/>
      <c r="E22" s="1971"/>
      <c r="F22" s="1971"/>
      <c r="G22" s="1971"/>
      <c r="H22" s="1971"/>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752"/>
      <c r="AH22" s="752"/>
      <c r="AI22" s="752"/>
      <c r="AJ22" s="752"/>
      <c r="AK22" s="752"/>
      <c r="AL22" s="752"/>
      <c r="AM22" s="752"/>
      <c r="AN22" s="752"/>
      <c r="AO22" s="752"/>
      <c r="AP22" s="752"/>
      <c r="AQ22" s="752"/>
      <c r="AR22" s="752"/>
      <c r="AS22" s="752"/>
      <c r="AT22" s="752"/>
      <c r="AU22" s="752"/>
      <c r="AV22" s="752"/>
      <c r="AW22" s="752"/>
      <c r="AX22" s="752"/>
      <c r="AY22" s="752"/>
      <c r="AZ22" s="752"/>
      <c r="BA22" s="752"/>
      <c r="BB22" s="752"/>
      <c r="BC22" s="752"/>
      <c r="BD22" s="752"/>
      <c r="BE22" s="752"/>
      <c r="BF22" s="752"/>
      <c r="BG22" s="752"/>
      <c r="BH22" s="752"/>
      <c r="BI22" s="752"/>
      <c r="BJ22" s="752"/>
      <c r="BK22" s="752"/>
      <c r="BL22" s="752"/>
      <c r="BM22" s="752"/>
      <c r="BN22" s="752"/>
      <c r="BO22" s="752"/>
      <c r="BP22" s="752"/>
      <c r="BQ22" s="752"/>
      <c r="BR22" s="752"/>
      <c r="BS22" s="752"/>
      <c r="BT22" s="752"/>
      <c r="BU22" s="752"/>
      <c r="BV22" s="752"/>
      <c r="BW22" s="752"/>
      <c r="BX22" s="752"/>
      <c r="BY22" s="752"/>
      <c r="BZ22" s="752"/>
      <c r="CA22" s="752"/>
      <c r="CB22" s="752"/>
      <c r="CC22" s="752"/>
      <c r="CD22" s="752"/>
      <c r="CE22" s="752"/>
      <c r="CF22" s="752"/>
      <c r="CG22" s="752"/>
      <c r="CH22" s="752"/>
      <c r="CI22" s="752"/>
      <c r="CJ22" s="128"/>
      <c r="CK22" s="128"/>
      <c r="CL22" s="128"/>
      <c r="CM22" s="128"/>
      <c r="CN22" s="128"/>
      <c r="CO22" s="128"/>
      <c r="CP22" s="128"/>
      <c r="CQ22" s="128"/>
      <c r="CR22" s="128"/>
      <c r="CS22" s="128"/>
      <c r="CT22" s="128"/>
      <c r="CU22" s="128"/>
      <c r="CV22" s="128"/>
      <c r="CW22" s="683"/>
    </row>
    <row r="23" spans="1:256" ht="25.15" customHeight="1">
      <c r="B23" s="893"/>
      <c r="C23" s="679"/>
      <c r="D23" s="128"/>
      <c r="E23" s="2008" t="s">
        <v>3180</v>
      </c>
      <c r="F23" s="2008"/>
      <c r="G23" s="2008"/>
      <c r="H23" s="2008"/>
      <c r="I23" s="2008"/>
      <c r="J23" s="2008"/>
      <c r="K23" s="2008"/>
      <c r="L23" s="2008"/>
      <c r="M23" s="2008"/>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c r="AL23" s="2008"/>
      <c r="AM23" s="2008"/>
      <c r="AN23" s="2008"/>
      <c r="AO23" s="2008"/>
      <c r="AP23" s="2008"/>
      <c r="AQ23" s="2008"/>
      <c r="AR23" s="2008"/>
      <c r="AS23" s="2008"/>
      <c r="AT23" s="2008"/>
      <c r="AU23" s="2008"/>
      <c r="AV23" s="2008"/>
      <c r="AW23" s="2008"/>
      <c r="AX23" s="2008"/>
      <c r="AY23" s="2008"/>
      <c r="AZ23" s="2008"/>
      <c r="BA23" s="2008"/>
      <c r="BB23" s="2008"/>
      <c r="BC23" s="2008"/>
      <c r="BD23" s="2008"/>
      <c r="BE23" s="2008"/>
      <c r="BF23" s="2008"/>
      <c r="BG23" s="2008"/>
      <c r="BH23" s="2008"/>
      <c r="BI23" s="2008"/>
      <c r="BJ23" s="2008"/>
      <c r="BK23" s="2008"/>
      <c r="BL23" s="2008"/>
      <c r="BM23" s="2008"/>
      <c r="BN23" s="2008"/>
      <c r="BO23" s="2008"/>
      <c r="BP23" s="2008"/>
      <c r="BQ23" s="2008"/>
      <c r="BR23" s="2008"/>
      <c r="BS23" s="2008"/>
      <c r="BT23" s="2008"/>
      <c r="BU23" s="2008"/>
      <c r="BV23" s="2008"/>
      <c r="BW23" s="2008"/>
      <c r="BX23" s="2008"/>
      <c r="BY23" s="2008"/>
      <c r="BZ23" s="2008"/>
      <c r="CA23" s="2008"/>
      <c r="CB23" s="2008"/>
      <c r="CC23" s="2008"/>
      <c r="CD23" s="2008"/>
      <c r="CE23" s="2008"/>
      <c r="CF23" s="2008"/>
      <c r="CG23" s="2008"/>
      <c r="CH23" s="2008"/>
      <c r="CI23" s="2008"/>
      <c r="CJ23" s="128"/>
      <c r="CK23" s="128"/>
      <c r="CL23" s="128"/>
      <c r="CM23" s="128"/>
      <c r="CN23" s="128"/>
      <c r="CO23" s="128"/>
      <c r="CP23" s="128"/>
      <c r="CQ23" s="128"/>
      <c r="CR23" s="128"/>
      <c r="CS23" s="128"/>
      <c r="CT23" s="128"/>
      <c r="CU23" s="128"/>
      <c r="CV23" s="128"/>
      <c r="CW23" s="683"/>
    </row>
    <row r="24" spans="1:256" ht="25.15" customHeight="1">
      <c r="B24" s="893"/>
      <c r="C24" s="679"/>
      <c r="D24" s="128"/>
      <c r="E24" s="2695" t="s">
        <v>3181</v>
      </c>
      <c r="F24" s="2695"/>
      <c r="G24" s="2695"/>
      <c r="H24" s="2695"/>
      <c r="I24" s="2695"/>
      <c r="J24" s="2695"/>
      <c r="K24" s="2695"/>
      <c r="L24" s="2695"/>
      <c r="M24" s="2695"/>
      <c r="N24" s="2695"/>
      <c r="O24" s="2695"/>
      <c r="P24" s="2695"/>
      <c r="Q24" s="2695"/>
      <c r="R24" s="2695"/>
      <c r="S24" s="2695"/>
      <c r="T24" s="2695"/>
      <c r="U24" s="2695"/>
      <c r="V24" s="2695"/>
      <c r="W24" s="2695"/>
      <c r="X24" s="2695"/>
      <c r="Y24" s="2695"/>
      <c r="Z24" s="2695"/>
      <c r="AA24" s="2695"/>
      <c r="AB24" s="2695"/>
      <c r="AC24" s="2695"/>
      <c r="AD24" s="2695"/>
      <c r="AE24" s="2695"/>
      <c r="AF24" s="2695"/>
      <c r="AG24" s="2695"/>
      <c r="AH24" s="2695"/>
      <c r="AI24" s="2695"/>
      <c r="AJ24" s="2695"/>
      <c r="AK24" s="2695"/>
      <c r="AL24" s="2695"/>
      <c r="AM24" s="2695"/>
      <c r="AN24" s="2695"/>
      <c r="AO24" s="2695"/>
      <c r="AP24" s="2695"/>
      <c r="AQ24" s="2695"/>
      <c r="AR24" s="2695"/>
      <c r="AS24" s="2695"/>
      <c r="AT24" s="2695"/>
      <c r="AU24" s="2695"/>
      <c r="AV24" s="2695"/>
      <c r="AW24" s="2695"/>
      <c r="AX24" s="2695"/>
      <c r="AY24" s="2695"/>
      <c r="AZ24" s="2695"/>
      <c r="BA24" s="2695"/>
      <c r="BB24" s="2695"/>
      <c r="BC24" s="2695"/>
      <c r="BD24" s="2695"/>
      <c r="BE24" s="2695"/>
      <c r="BF24" s="2695"/>
      <c r="BG24" s="2695"/>
      <c r="BH24" s="2695"/>
      <c r="BI24" s="2695"/>
      <c r="BJ24" s="2695"/>
      <c r="BK24" s="2695"/>
      <c r="BL24" s="2695"/>
      <c r="BM24" s="2695"/>
      <c r="BN24" s="2695"/>
      <c r="BO24" s="2695"/>
      <c r="BP24" s="2695"/>
      <c r="BQ24" s="2695"/>
      <c r="BR24" s="2695"/>
      <c r="BS24" s="2695"/>
      <c r="BT24" s="2695"/>
      <c r="BU24" s="2695"/>
      <c r="BV24" s="2695"/>
      <c r="BW24" s="2695"/>
      <c r="BX24" s="2695"/>
      <c r="BY24" s="2695"/>
      <c r="BZ24" s="2695"/>
      <c r="CA24" s="2695"/>
      <c r="CB24" s="2695"/>
      <c r="CC24" s="2695"/>
      <c r="CD24" s="2695"/>
      <c r="CE24" s="2695"/>
      <c r="CF24" s="2695"/>
      <c r="CG24" s="2695"/>
      <c r="CH24" s="2695"/>
      <c r="CI24" s="2695"/>
      <c r="CJ24" s="128"/>
      <c r="CK24" s="128"/>
      <c r="CL24" s="128"/>
      <c r="CM24" s="128"/>
      <c r="CN24" s="128"/>
      <c r="CO24" s="128"/>
      <c r="CP24" s="128"/>
      <c r="CQ24" s="128"/>
      <c r="CR24" s="128"/>
      <c r="CS24" s="128"/>
      <c r="CT24" s="128"/>
      <c r="CU24" s="128"/>
      <c r="CV24" s="128"/>
      <c r="CW24" s="683"/>
    </row>
    <row r="25" spans="1:256" ht="25.15" customHeight="1">
      <c r="B25" s="893"/>
      <c r="C25" s="679"/>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683"/>
    </row>
    <row r="26" spans="1:256" ht="25.15" customHeight="1">
      <c r="B26" s="893"/>
      <c r="C26" s="679"/>
      <c r="D26" s="1703" t="s">
        <v>1696</v>
      </c>
      <c r="E26" s="1703"/>
      <c r="F26" s="1703"/>
      <c r="G26" s="1703"/>
      <c r="H26" s="1703"/>
      <c r="I26" s="1703"/>
      <c r="J26" s="1703"/>
      <c r="K26" s="1703"/>
      <c r="L26" s="1703"/>
      <c r="M26" s="1703"/>
      <c r="N26" s="1703"/>
      <c r="O26" s="1703"/>
      <c r="P26" s="1703"/>
      <c r="Q26" s="1703"/>
      <c r="R26" s="1703"/>
      <c r="S26" s="1703"/>
      <c r="T26" s="1703"/>
      <c r="U26" s="1703"/>
      <c r="V26" s="1703"/>
      <c r="W26" s="1703"/>
      <c r="X26" s="1703"/>
      <c r="Y26" s="1703"/>
      <c r="Z26" s="1703"/>
      <c r="AA26" s="1703"/>
      <c r="AB26" s="1703"/>
      <c r="AC26" s="1703"/>
      <c r="AD26" s="1703"/>
      <c r="AE26" s="1703"/>
      <c r="AF26" s="1703"/>
      <c r="AG26" s="1703"/>
      <c r="AH26" s="1703"/>
      <c r="AI26" s="1703"/>
      <c r="AJ26" s="1703"/>
      <c r="AK26" s="1703"/>
      <c r="AL26" s="1703"/>
      <c r="AM26" s="1703"/>
      <c r="AN26" s="1703"/>
      <c r="AO26" s="1703"/>
      <c r="AP26" s="1703"/>
      <c r="AQ26" s="1703"/>
      <c r="AR26" s="1703"/>
      <c r="AS26" s="1703"/>
      <c r="AT26" s="1703"/>
      <c r="AU26" s="1703"/>
      <c r="AV26" s="1703"/>
      <c r="AW26" s="1703"/>
      <c r="AX26" s="1703"/>
      <c r="AY26" s="1703"/>
      <c r="AZ26" s="1703"/>
      <c r="BA26" s="1703"/>
      <c r="BB26" s="1703"/>
      <c r="BC26" s="1703"/>
      <c r="BD26" s="1703"/>
      <c r="BE26" s="1703"/>
      <c r="BF26" s="1703"/>
      <c r="BG26" s="1703"/>
      <c r="BH26" s="1703"/>
      <c r="BI26" s="1703"/>
      <c r="BJ26" s="1703"/>
      <c r="BK26" s="1703"/>
      <c r="BL26" s="1703"/>
      <c r="BM26" s="1703"/>
      <c r="BN26" s="1703"/>
      <c r="BO26" s="1703"/>
      <c r="BP26" s="1703"/>
      <c r="BQ26" s="1703"/>
      <c r="BR26" s="1703"/>
      <c r="BS26" s="1703"/>
      <c r="BT26" s="1703"/>
      <c r="BU26" s="1703"/>
      <c r="BV26" s="1703"/>
      <c r="BW26" s="1703"/>
      <c r="BX26" s="1703"/>
      <c r="BY26" s="1703"/>
      <c r="BZ26" s="1703"/>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683"/>
    </row>
    <row r="27" spans="1:256" ht="25.15" customHeight="1">
      <c r="B27" s="893"/>
      <c r="C27" s="679"/>
      <c r="D27" s="128"/>
      <c r="E27" s="1704"/>
      <c r="F27" s="1704"/>
      <c r="G27" s="1704"/>
      <c r="H27" s="1704"/>
      <c r="I27" s="1704"/>
      <c r="J27" s="1704"/>
      <c r="K27" s="1704"/>
      <c r="L27" s="1704"/>
      <c r="M27" s="1704"/>
      <c r="N27" s="1704"/>
      <c r="O27" s="1704"/>
      <c r="P27" s="1704"/>
      <c r="Q27" s="752"/>
      <c r="R27" s="752"/>
      <c r="S27" s="752"/>
      <c r="T27" s="752"/>
      <c r="U27" s="752"/>
      <c r="V27" s="752"/>
      <c r="W27" s="752"/>
      <c r="X27" s="752"/>
      <c r="Y27" s="752"/>
      <c r="Z27" s="752"/>
      <c r="AA27" s="752"/>
      <c r="AB27" s="752"/>
      <c r="AC27" s="752"/>
      <c r="AD27" s="752"/>
      <c r="AE27" s="752"/>
      <c r="AF27" s="752"/>
      <c r="AG27" s="752"/>
      <c r="AH27" s="752"/>
      <c r="AI27" s="752"/>
      <c r="AJ27" s="752"/>
      <c r="AK27" s="752"/>
      <c r="AL27" s="752"/>
      <c r="AM27" s="752"/>
      <c r="AN27" s="752"/>
      <c r="AO27" s="752"/>
      <c r="AP27" s="752"/>
      <c r="AQ27" s="752"/>
      <c r="AR27" s="752"/>
      <c r="AS27" s="752"/>
      <c r="AT27" s="752"/>
      <c r="AU27" s="752"/>
      <c r="AV27" s="752"/>
      <c r="AW27" s="752"/>
      <c r="AX27" s="752"/>
      <c r="AY27" s="752"/>
      <c r="AZ27" s="752"/>
      <c r="BA27" s="752"/>
      <c r="BB27" s="752"/>
      <c r="BC27" s="752"/>
      <c r="BD27" s="752"/>
      <c r="BE27" s="752"/>
      <c r="BF27" s="752"/>
      <c r="BG27" s="752"/>
      <c r="BH27" s="752"/>
      <c r="BI27" s="752"/>
      <c r="BJ27" s="752"/>
      <c r="BK27" s="752"/>
      <c r="BL27" s="752"/>
      <c r="BM27" s="752"/>
      <c r="BN27" s="752"/>
      <c r="BO27" s="752"/>
      <c r="BP27" s="752"/>
      <c r="BQ27" s="752"/>
      <c r="BR27" s="752"/>
      <c r="BS27" s="752"/>
      <c r="BT27" s="752"/>
      <c r="BU27" s="752"/>
      <c r="BV27" s="752"/>
      <c r="BW27" s="752"/>
      <c r="BX27" s="752"/>
      <c r="BY27" s="752"/>
      <c r="BZ27" s="752"/>
      <c r="CA27" s="752"/>
      <c r="CB27" s="752"/>
      <c r="CC27" s="752"/>
      <c r="CD27" s="752"/>
      <c r="CE27" s="752"/>
      <c r="CF27" s="752"/>
      <c r="CG27" s="752"/>
      <c r="CH27" s="752"/>
      <c r="CI27" s="128"/>
      <c r="CJ27" s="128"/>
      <c r="CK27" s="128"/>
      <c r="CL27" s="128"/>
      <c r="CM27" s="128"/>
      <c r="CN27" s="128"/>
      <c r="CO27" s="128"/>
      <c r="CP27" s="128"/>
      <c r="CQ27" s="128"/>
      <c r="CR27" s="128"/>
      <c r="CS27" s="128"/>
      <c r="CT27" s="128"/>
      <c r="CU27" s="128"/>
      <c r="CV27" s="128"/>
      <c r="CW27" s="683"/>
    </row>
    <row r="28" spans="1:256" ht="25.15" customHeight="1">
      <c r="B28" s="893"/>
      <c r="C28" s="679"/>
      <c r="D28" s="128"/>
      <c r="E28" s="2008" t="s">
        <v>1695</v>
      </c>
      <c r="F28" s="2008"/>
      <c r="G28" s="2008"/>
      <c r="H28" s="2008"/>
      <c r="I28" s="2008"/>
      <c r="J28" s="2008"/>
      <c r="K28" s="2008"/>
      <c r="L28" s="2008"/>
      <c r="M28" s="2008"/>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c r="AL28" s="2008"/>
      <c r="AM28" s="2008"/>
      <c r="AN28" s="2008"/>
      <c r="AO28" s="2008"/>
      <c r="AP28" s="2008"/>
      <c r="AQ28" s="2008"/>
      <c r="AR28" s="2008"/>
      <c r="AS28" s="2008"/>
      <c r="AT28" s="2008"/>
      <c r="AU28" s="2008"/>
      <c r="AV28" s="2008"/>
      <c r="AW28" s="2008"/>
      <c r="AX28" s="2008"/>
      <c r="AY28" s="2008"/>
      <c r="AZ28" s="2008"/>
      <c r="BA28" s="2008"/>
      <c r="BB28" s="2008"/>
      <c r="BC28" s="2008"/>
      <c r="BD28" s="2008"/>
      <c r="BE28" s="2008"/>
      <c r="BF28" s="2008"/>
      <c r="BG28" s="2008"/>
      <c r="BH28" s="2008"/>
      <c r="BI28" s="2008"/>
      <c r="BJ28" s="2008"/>
      <c r="BK28" s="2008"/>
      <c r="BL28" s="2008"/>
      <c r="BM28" s="2008"/>
      <c r="BN28" s="2008"/>
      <c r="BO28" s="2008"/>
      <c r="BP28" s="2008"/>
      <c r="BQ28" s="2008"/>
      <c r="BR28" s="2008"/>
      <c r="BS28" s="2008"/>
      <c r="BT28" s="2008"/>
      <c r="BU28" s="2008"/>
      <c r="BV28" s="2008"/>
      <c r="BW28" s="2008"/>
      <c r="BX28" s="2008"/>
      <c r="BY28" s="2008"/>
      <c r="BZ28" s="2008"/>
      <c r="CA28" s="2008"/>
      <c r="CB28" s="2008"/>
      <c r="CC28" s="2008"/>
      <c r="CD28" s="2008"/>
      <c r="CE28" s="2008"/>
      <c r="CF28" s="2008"/>
      <c r="CG28" s="2008"/>
      <c r="CH28" s="2008"/>
      <c r="CI28" s="128"/>
      <c r="CJ28" s="128"/>
      <c r="CK28" s="128"/>
      <c r="CL28" s="128"/>
      <c r="CM28" s="128"/>
      <c r="CN28" s="128"/>
      <c r="CO28" s="128"/>
      <c r="CP28" s="128"/>
      <c r="CQ28" s="128"/>
      <c r="CR28" s="128"/>
      <c r="CS28" s="128"/>
      <c r="CT28" s="128"/>
      <c r="CU28" s="128"/>
      <c r="CV28" s="128"/>
      <c r="CW28" s="683"/>
    </row>
    <row r="29" spans="1:256" ht="25.15" customHeight="1">
      <c r="B29" s="895"/>
      <c r="C29" s="896"/>
      <c r="D29" s="752"/>
      <c r="E29" s="2336" t="s">
        <v>1697</v>
      </c>
      <c r="F29" s="2336"/>
      <c r="G29" s="2336"/>
      <c r="H29" s="2336"/>
      <c r="I29" s="2336"/>
      <c r="J29" s="2336"/>
      <c r="K29" s="2336"/>
      <c r="L29" s="2336"/>
      <c r="M29" s="2336"/>
      <c r="N29" s="2336"/>
      <c r="O29" s="2336"/>
      <c r="P29" s="2336"/>
      <c r="Q29" s="2336"/>
      <c r="R29" s="2336"/>
      <c r="S29" s="2336"/>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2336"/>
      <c r="AS29" s="2336"/>
      <c r="AT29" s="2336"/>
      <c r="AU29" s="2336"/>
      <c r="AV29" s="2336"/>
      <c r="AW29" s="2336"/>
      <c r="AX29" s="2336"/>
      <c r="AY29" s="2336"/>
      <c r="AZ29" s="2336"/>
      <c r="BA29" s="2336"/>
      <c r="BB29" s="2336"/>
      <c r="BC29" s="2336"/>
      <c r="BD29" s="2336"/>
      <c r="BE29" s="2336"/>
      <c r="BF29" s="2336"/>
      <c r="BG29" s="2336"/>
      <c r="BH29" s="2336"/>
      <c r="BI29" s="2336"/>
      <c r="BJ29" s="2336"/>
      <c r="BK29" s="2336"/>
      <c r="BL29" s="2336"/>
      <c r="BM29" s="2336"/>
      <c r="BN29" s="2336"/>
      <c r="BO29" s="2336"/>
      <c r="BP29" s="2336"/>
      <c r="BQ29" s="2336"/>
      <c r="BR29" s="2336"/>
      <c r="BS29" s="2336"/>
      <c r="BT29" s="2336"/>
      <c r="BU29" s="2336"/>
      <c r="BV29" s="2336"/>
      <c r="BW29" s="2336"/>
      <c r="BX29" s="2336"/>
      <c r="BY29" s="2336"/>
      <c r="BZ29" s="2336"/>
      <c r="CA29" s="2336"/>
      <c r="CB29" s="2336"/>
      <c r="CC29" s="2336"/>
      <c r="CD29" s="2336"/>
      <c r="CE29" s="2336"/>
      <c r="CF29" s="2336"/>
      <c r="CG29" s="2336"/>
      <c r="CH29" s="2336"/>
      <c r="CI29" s="752"/>
      <c r="CJ29" s="752"/>
      <c r="CK29" s="752"/>
      <c r="CL29" s="752"/>
      <c r="CM29" s="752"/>
      <c r="CN29" s="752"/>
      <c r="CO29" s="752"/>
      <c r="CP29" s="752"/>
      <c r="CQ29" s="752"/>
      <c r="CR29" s="752"/>
      <c r="CS29" s="752"/>
      <c r="CT29" s="752"/>
      <c r="CU29" s="752"/>
      <c r="CV29" s="752"/>
      <c r="CW29" s="898"/>
    </row>
  </sheetData>
  <mergeCells count="50">
    <mergeCell ref="E22:H22"/>
    <mergeCell ref="E23:CI23"/>
    <mergeCell ref="E24:CI24"/>
    <mergeCell ref="E28:CH28"/>
    <mergeCell ref="E29:CH29"/>
    <mergeCell ref="BT6:BY6"/>
    <mergeCell ref="BZ6:CE6"/>
    <mergeCell ref="CF6:CK6"/>
    <mergeCell ref="I6:I7"/>
    <mergeCell ref="J6:J7"/>
    <mergeCell ref="CL6:CQ6"/>
    <mergeCell ref="CR6:CW6"/>
    <mergeCell ref="B20:E20"/>
    <mergeCell ref="AJ6:AO6"/>
    <mergeCell ref="AP6:AU6"/>
    <mergeCell ref="AV6:BA6"/>
    <mergeCell ref="BB6:BG6"/>
    <mergeCell ref="BH6:BM6"/>
    <mergeCell ref="BN6:BS6"/>
    <mergeCell ref="H6:H7"/>
    <mergeCell ref="BZ4:CE4"/>
    <mergeCell ref="CF4:CK4"/>
    <mergeCell ref="CL4:CQ4"/>
    <mergeCell ref="BH4:BM4"/>
    <mergeCell ref="BN4:BS4"/>
    <mergeCell ref="BT4:BY4"/>
    <mergeCell ref="AP4:AU4"/>
    <mergeCell ref="AV4:BA4"/>
    <mergeCell ref="BB4:BG4"/>
    <mergeCell ref="K6:V6"/>
    <mergeCell ref="X6:AC6"/>
    <mergeCell ref="AD6:AI6"/>
    <mergeCell ref="X4:AC4"/>
    <mergeCell ref="AD4:AI4"/>
    <mergeCell ref="AJ4:AO4"/>
    <mergeCell ref="CR4:CW4"/>
    <mergeCell ref="B6:B7"/>
    <mergeCell ref="C6:C7"/>
    <mergeCell ref="D6:D7"/>
    <mergeCell ref="E6:E7"/>
    <mergeCell ref="F6:F7"/>
    <mergeCell ref="G6:G7"/>
    <mergeCell ref="B1:N1"/>
    <mergeCell ref="O1:R1"/>
    <mergeCell ref="S1:V2"/>
    <mergeCell ref="D2:N2"/>
    <mergeCell ref="O2:R2"/>
    <mergeCell ref="C4:J4"/>
    <mergeCell ref="K4:M4"/>
    <mergeCell ref="N4:V4"/>
  </mergeCells>
  <conditionalFormatting sqref="BL16:BL17 BX8 CD8:CD14 CD16:CD17 CJ9 CJ16 CP8:CP13 CP16:CP17 AH9:AH14 AH16:AH17 AN9:AN14 AN16:AN17 AT9:AT14 AT16:AT17 BL8:BL14 BR8:BR14 CV8:CV14 BX10 BX16:BX18 CJ12">
    <cfRule type="colorScale" priority="48">
      <colorScale>
        <cfvo type="num" val="0.69"/>
        <cfvo type="num" val="0.8"/>
        <cfvo type="num" val="0.9"/>
        <color rgb="FFF8696B"/>
        <color rgb="FFFFEB84"/>
        <color rgb="FF63BE7B"/>
      </colorScale>
    </cfRule>
  </conditionalFormatting>
  <conditionalFormatting sqref="AH8">
    <cfRule type="colorScale" priority="47">
      <colorScale>
        <cfvo type="num" val="0.69"/>
        <cfvo type="num" val="0.8"/>
        <cfvo type="num" val="0.9"/>
        <color rgb="FFF8696B"/>
        <color rgb="FFFFEB84"/>
        <color rgb="FF63BE7B"/>
      </colorScale>
    </cfRule>
  </conditionalFormatting>
  <conditionalFormatting sqref="AN8">
    <cfRule type="colorScale" priority="46">
      <colorScale>
        <cfvo type="num" val="0.69"/>
        <cfvo type="num" val="0.8"/>
        <cfvo type="num" val="0.9"/>
        <color rgb="FFF8696B"/>
        <color rgb="FFFFEB84"/>
        <color rgb="FF63BE7B"/>
      </colorScale>
    </cfRule>
  </conditionalFormatting>
  <conditionalFormatting sqref="BF15">
    <cfRule type="colorScale" priority="43">
      <colorScale>
        <cfvo type="num" val="0.69"/>
        <cfvo type="num" val="0.8"/>
        <cfvo type="num" val="0.9"/>
        <color rgb="FFF8696B"/>
        <color rgb="FFFFEB84"/>
        <color rgb="FF63BE7B"/>
      </colorScale>
    </cfRule>
  </conditionalFormatting>
  <conditionalFormatting sqref="AB15">
    <cfRule type="colorScale" priority="45">
      <colorScale>
        <cfvo type="num" val="0.69"/>
        <cfvo type="num" val="0.8"/>
        <cfvo type="num" val="0.9"/>
        <color rgb="FFF8696B"/>
        <color rgb="FFFFEB84"/>
        <color rgb="FF63BE7B"/>
      </colorScale>
    </cfRule>
  </conditionalFormatting>
  <conditionalFormatting sqref="AT15">
    <cfRule type="colorScale" priority="44">
      <colorScale>
        <cfvo type="num" val="0.69"/>
        <cfvo type="num" val="0.8"/>
        <cfvo type="num" val="0.9"/>
        <color rgb="FFF8696B"/>
        <color rgb="FFFFEB84"/>
        <color rgb="FF63BE7B"/>
      </colorScale>
    </cfRule>
  </conditionalFormatting>
  <conditionalFormatting sqref="BR15">
    <cfRule type="colorScale" priority="42">
      <colorScale>
        <cfvo type="num" val="0.69"/>
        <cfvo type="num" val="0.8"/>
        <cfvo type="num" val="0.9"/>
        <color rgb="FFF8696B"/>
        <color rgb="FFFFEB84"/>
        <color rgb="FF63BE7B"/>
      </colorScale>
    </cfRule>
  </conditionalFormatting>
  <conditionalFormatting sqref="CD15">
    <cfRule type="colorScale" priority="41">
      <colorScale>
        <cfvo type="num" val="0.69"/>
        <cfvo type="num" val="0.8"/>
        <cfvo type="num" val="0.9"/>
        <color rgb="FFF8696B"/>
        <color rgb="FFFFEB84"/>
        <color rgb="FF63BE7B"/>
      </colorScale>
    </cfRule>
  </conditionalFormatting>
  <conditionalFormatting sqref="CP15">
    <cfRule type="colorScale" priority="40">
      <colorScale>
        <cfvo type="num" val="0.69"/>
        <cfvo type="num" val="0.8"/>
        <cfvo type="num" val="0.9"/>
        <color rgb="FFF8696B"/>
        <color rgb="FFFFEB84"/>
        <color rgb="FF63BE7B"/>
      </colorScale>
    </cfRule>
  </conditionalFormatting>
  <conditionalFormatting sqref="AH19">
    <cfRule type="colorScale" priority="39">
      <colorScale>
        <cfvo type="num" val="0.69"/>
        <cfvo type="num" val="0.8"/>
        <cfvo type="num" val="0.9"/>
        <color rgb="FFF8696B"/>
        <color rgb="FFFFEB84"/>
        <color rgb="FF63BE7B"/>
      </colorScale>
    </cfRule>
  </conditionalFormatting>
  <conditionalFormatting sqref="AN19">
    <cfRule type="colorScale" priority="38">
      <colorScale>
        <cfvo type="num" val="0.69"/>
        <cfvo type="num" val="0.8"/>
        <cfvo type="num" val="0.9"/>
        <color rgb="FFF8696B"/>
        <color rgb="FFFFEB84"/>
        <color rgb="FF63BE7B"/>
      </colorScale>
    </cfRule>
  </conditionalFormatting>
  <conditionalFormatting sqref="AT19">
    <cfRule type="colorScale" priority="37">
      <colorScale>
        <cfvo type="num" val="0.69"/>
        <cfvo type="num" val="0.8"/>
        <cfvo type="num" val="0.9"/>
        <color rgb="FFF8696B"/>
        <color rgb="FFFFEB84"/>
        <color rgb="FF63BE7B"/>
      </colorScale>
    </cfRule>
  </conditionalFormatting>
  <conditionalFormatting sqref="BL19">
    <cfRule type="colorScale" priority="36">
      <colorScale>
        <cfvo type="num" val="0.69"/>
        <cfvo type="num" val="0.8"/>
        <cfvo type="num" val="0.9"/>
        <color rgb="FFF8696B"/>
        <color rgb="FFFFEB84"/>
        <color rgb="FF63BE7B"/>
      </colorScale>
    </cfRule>
  </conditionalFormatting>
  <conditionalFormatting sqref="BX19">
    <cfRule type="colorScale" priority="35">
      <colorScale>
        <cfvo type="num" val="0.69"/>
        <cfvo type="num" val="0.8"/>
        <cfvo type="num" val="0.9"/>
        <color rgb="FFF8696B"/>
        <color rgb="FFFFEB84"/>
        <color rgb="FF63BE7B"/>
      </colorScale>
    </cfRule>
  </conditionalFormatting>
  <conditionalFormatting sqref="CD19">
    <cfRule type="colorScale" priority="34">
      <colorScale>
        <cfvo type="num" val="0.69"/>
        <cfvo type="num" val="0.8"/>
        <cfvo type="num" val="0.9"/>
        <color rgb="FFF8696B"/>
        <color rgb="FFFFEB84"/>
        <color rgb="FF63BE7B"/>
      </colorScale>
    </cfRule>
  </conditionalFormatting>
  <conditionalFormatting sqref="CP19">
    <cfRule type="colorScale" priority="33">
      <colorScale>
        <cfvo type="num" val="0.69"/>
        <cfvo type="num" val="0.8"/>
        <cfvo type="num" val="0.9"/>
        <color rgb="FFF8696B"/>
        <color rgb="FFFFEB84"/>
        <color rgb="FF63BE7B"/>
      </colorScale>
    </cfRule>
  </conditionalFormatting>
  <conditionalFormatting sqref="BA15">
    <cfRule type="colorScale" priority="30">
      <colorScale>
        <cfvo type="num" val="0.69"/>
        <cfvo type="num" val="0.8"/>
        <cfvo type="num" val="0.9"/>
        <color rgb="FFF8696B"/>
        <color rgb="FFFFEB84"/>
        <color rgb="FF63BE7B"/>
      </colorScale>
    </cfRule>
  </conditionalFormatting>
  <conditionalFormatting sqref="AI15">
    <cfRule type="colorScale" priority="32">
      <colorScale>
        <cfvo type="num" val="0.69"/>
        <cfvo type="num" val="0.8"/>
        <cfvo type="num" val="0.9"/>
        <color rgb="FFF8696B"/>
        <color rgb="FFFFEB84"/>
        <color rgb="FF63BE7B"/>
      </colorScale>
    </cfRule>
  </conditionalFormatting>
  <conditionalFormatting sqref="AO15">
    <cfRule type="colorScale" priority="31">
      <colorScale>
        <cfvo type="num" val="0.69"/>
        <cfvo type="num" val="0.8"/>
        <cfvo type="num" val="0.9"/>
        <color rgb="FFF8696B"/>
        <color rgb="FFFFEB84"/>
        <color rgb="FF63BE7B"/>
      </colorScale>
    </cfRule>
  </conditionalFormatting>
  <conditionalFormatting sqref="BM15">
    <cfRule type="colorScale" priority="29">
      <colorScale>
        <cfvo type="num" val="0.69"/>
        <cfvo type="num" val="0.8"/>
        <cfvo type="num" val="0.9"/>
        <color rgb="FFF8696B"/>
        <color rgb="FFFFEB84"/>
        <color rgb="FF63BE7B"/>
      </colorScale>
    </cfRule>
  </conditionalFormatting>
  <conditionalFormatting sqref="BY15">
    <cfRule type="colorScale" priority="28">
      <colorScale>
        <cfvo type="num" val="0.69"/>
        <cfvo type="num" val="0.8"/>
        <cfvo type="num" val="0.9"/>
        <color rgb="FFF8696B"/>
        <color rgb="FFFFEB84"/>
        <color rgb="FF63BE7B"/>
      </colorScale>
    </cfRule>
  </conditionalFormatting>
  <conditionalFormatting sqref="CK15">
    <cfRule type="colorScale" priority="27">
      <colorScale>
        <cfvo type="num" val="0.69"/>
        <cfvo type="num" val="0.8"/>
        <cfvo type="num" val="0.9"/>
        <color rgb="FFF8696B"/>
        <color rgb="FFFFEB84"/>
        <color rgb="FF63BE7B"/>
      </colorScale>
    </cfRule>
  </conditionalFormatting>
  <conditionalFormatting sqref="AT8">
    <cfRule type="colorScale" priority="26">
      <colorScale>
        <cfvo type="num" val="0.69"/>
        <cfvo type="num" val="0.8"/>
        <cfvo type="num" val="0.9"/>
        <color rgb="FFF8696B"/>
        <color rgb="FFFFEB84"/>
        <color rgb="FF63BE7B"/>
      </colorScale>
    </cfRule>
  </conditionalFormatting>
  <conditionalFormatting sqref="AT18">
    <cfRule type="colorScale" priority="25">
      <colorScale>
        <cfvo type="num" val="0.69"/>
        <cfvo type="num" val="0.8"/>
        <cfvo type="num" val="0.9"/>
        <color rgb="FFF8696B"/>
        <color rgb="FFFFEB84"/>
        <color rgb="FF63BE7B"/>
      </colorScale>
    </cfRule>
  </conditionalFormatting>
  <conditionalFormatting sqref="AN18">
    <cfRule type="colorScale" priority="24">
      <colorScale>
        <cfvo type="num" val="0.69"/>
        <cfvo type="num" val="0.8"/>
        <cfvo type="num" val="0.9"/>
        <color rgb="FFF8696B"/>
        <color rgb="FFFFEB84"/>
        <color rgb="FF63BE7B"/>
      </colorScale>
    </cfRule>
  </conditionalFormatting>
  <conditionalFormatting sqref="AH18">
    <cfRule type="colorScale" priority="23">
      <colorScale>
        <cfvo type="num" val="0.69"/>
        <cfvo type="num" val="0.8"/>
        <cfvo type="num" val="0.9"/>
        <color rgb="FFF8696B"/>
        <color rgb="FFFFEB84"/>
        <color rgb="FF63BE7B"/>
      </colorScale>
    </cfRule>
  </conditionalFormatting>
  <conditionalFormatting sqref="AB8:AB14">
    <cfRule type="colorScale" priority="22">
      <colorScale>
        <cfvo type="num" val="0.69"/>
        <cfvo type="num" val="0.8"/>
        <cfvo type="num" val="0.9"/>
        <color rgb="FFF8696B"/>
        <color rgb="FFFFEB84"/>
        <color rgb="FF63BE7B"/>
      </colorScale>
    </cfRule>
  </conditionalFormatting>
  <conditionalFormatting sqref="AB16:AB19">
    <cfRule type="colorScale" priority="21">
      <colorScale>
        <cfvo type="num" val="0.69"/>
        <cfvo type="num" val="0.8"/>
        <cfvo type="num" val="0.9"/>
        <color rgb="FFF8696B"/>
        <color rgb="FFFFEB84"/>
        <color rgb="FF63BE7B"/>
      </colorScale>
    </cfRule>
  </conditionalFormatting>
  <conditionalFormatting sqref="AZ8">
    <cfRule type="colorScale" priority="20">
      <colorScale>
        <cfvo type="num" val="0.69"/>
        <cfvo type="num" val="0.8"/>
        <cfvo type="num" val="0.9"/>
        <color rgb="FFF8696B"/>
        <color rgb="FFFFEB84"/>
        <color rgb="FF63BE7B"/>
      </colorScale>
    </cfRule>
  </conditionalFormatting>
  <conditionalFormatting sqref="AZ9:AZ19">
    <cfRule type="colorScale" priority="19">
      <colorScale>
        <cfvo type="num" val="0.69"/>
        <cfvo type="num" val="0.8"/>
        <cfvo type="num" val="0.9"/>
        <color rgb="FFF8696B"/>
        <color rgb="FFFFEB84"/>
        <color rgb="FF63BE7B"/>
      </colorScale>
    </cfRule>
  </conditionalFormatting>
  <conditionalFormatting sqref="BF8:BF14">
    <cfRule type="colorScale" priority="18">
      <colorScale>
        <cfvo type="num" val="0.69"/>
        <cfvo type="num" val="0.8"/>
        <cfvo type="num" val="0.9"/>
        <color rgb="FFF8696B"/>
        <color rgb="FFFFEB84"/>
        <color rgb="FF63BE7B"/>
      </colorScale>
    </cfRule>
  </conditionalFormatting>
  <conditionalFormatting sqref="BF16:BF19">
    <cfRule type="colorScale" priority="17">
      <colorScale>
        <cfvo type="num" val="0.69"/>
        <cfvo type="num" val="0.8"/>
        <cfvo type="num" val="0.9"/>
        <color rgb="FFF8696B"/>
        <color rgb="FFFFEB84"/>
        <color rgb="FF63BE7B"/>
      </colorScale>
    </cfRule>
  </conditionalFormatting>
  <conditionalFormatting sqref="BR16:BR19">
    <cfRule type="colorScale" priority="16">
      <colorScale>
        <cfvo type="num" val="0.69"/>
        <cfvo type="num" val="0.8"/>
        <cfvo type="num" val="0.9"/>
        <color rgb="FFF8696B"/>
        <color rgb="FFFFEB84"/>
        <color rgb="FF63BE7B"/>
      </colorScale>
    </cfRule>
  </conditionalFormatting>
  <conditionalFormatting sqref="CV16:CV19">
    <cfRule type="colorScale" priority="15">
      <colorScale>
        <cfvo type="num" val="0.69"/>
        <cfvo type="num" val="0.8"/>
        <cfvo type="num" val="0.9"/>
        <color rgb="FFF8696B"/>
        <color rgb="FFFFEB84"/>
        <color rgb="FF63BE7B"/>
      </colorScale>
    </cfRule>
  </conditionalFormatting>
  <conditionalFormatting sqref="BX9">
    <cfRule type="colorScale" priority="14">
      <colorScale>
        <cfvo type="num" val="0.69"/>
        <cfvo type="num" val="0.8"/>
        <cfvo type="num" val="0.9"/>
        <color rgb="FFF8696B"/>
        <color rgb="FFFFEB84"/>
        <color rgb="FF63BE7B"/>
      </colorScale>
    </cfRule>
  </conditionalFormatting>
  <conditionalFormatting sqref="BX11">
    <cfRule type="colorScale" priority="13">
      <colorScale>
        <cfvo type="num" val="0.69"/>
        <cfvo type="num" val="0.8"/>
        <cfvo type="num" val="0.9"/>
        <color rgb="FFF8696B"/>
        <color rgb="FFFFEB84"/>
        <color rgb="FF63BE7B"/>
      </colorScale>
    </cfRule>
  </conditionalFormatting>
  <conditionalFormatting sqref="BX12:BX14">
    <cfRule type="colorScale" priority="12">
      <colorScale>
        <cfvo type="num" val="0.69"/>
        <cfvo type="num" val="0.8"/>
        <cfvo type="num" val="0.9"/>
        <color rgb="FFF8696B"/>
        <color rgb="FFFFEB84"/>
        <color rgb="FF63BE7B"/>
      </colorScale>
    </cfRule>
  </conditionalFormatting>
  <conditionalFormatting sqref="CD18">
    <cfRule type="colorScale" priority="11">
      <colorScale>
        <cfvo type="num" val="0.69"/>
        <cfvo type="num" val="0.8"/>
        <cfvo type="num" val="0.9"/>
        <color rgb="FFF8696B"/>
        <color rgb="FFFFEB84"/>
        <color rgb="FF63BE7B"/>
      </colorScale>
    </cfRule>
  </conditionalFormatting>
  <conditionalFormatting sqref="CJ8">
    <cfRule type="colorScale" priority="10">
      <colorScale>
        <cfvo type="num" val="0.69"/>
        <cfvo type="num" val="0.8"/>
        <cfvo type="num" val="0.9"/>
        <color rgb="FFF8696B"/>
        <color rgb="FFFFEB84"/>
        <color rgb="FF63BE7B"/>
      </colorScale>
    </cfRule>
  </conditionalFormatting>
  <conditionalFormatting sqref="CJ10">
    <cfRule type="colorScale" priority="9">
      <colorScale>
        <cfvo type="num" val="0.69"/>
        <cfvo type="num" val="0.8"/>
        <cfvo type="num" val="0.9"/>
        <color rgb="FFF8696B"/>
        <color rgb="FFFFEB84"/>
        <color rgb="FF63BE7B"/>
      </colorScale>
    </cfRule>
  </conditionalFormatting>
  <conditionalFormatting sqref="CJ11">
    <cfRule type="colorScale" priority="8">
      <colorScale>
        <cfvo type="num" val="0.69"/>
        <cfvo type="num" val="0.8"/>
        <cfvo type="num" val="0.9"/>
        <color rgb="FFF8696B"/>
        <color rgb="FFFFEB84"/>
        <color rgb="FF63BE7B"/>
      </colorScale>
    </cfRule>
  </conditionalFormatting>
  <conditionalFormatting sqref="CJ13">
    <cfRule type="colorScale" priority="7">
      <colorScale>
        <cfvo type="num" val="0.69"/>
        <cfvo type="num" val="0.8"/>
        <cfvo type="num" val="0.9"/>
        <color rgb="FFF8696B"/>
        <color rgb="FFFFEB84"/>
        <color rgb="FF63BE7B"/>
      </colorScale>
    </cfRule>
  </conditionalFormatting>
  <conditionalFormatting sqref="CJ14">
    <cfRule type="colorScale" priority="6">
      <colorScale>
        <cfvo type="num" val="0.69"/>
        <cfvo type="num" val="0.8"/>
        <cfvo type="num" val="0.9"/>
        <color rgb="FFF8696B"/>
        <color rgb="FFFFEB84"/>
        <color rgb="FF63BE7B"/>
      </colorScale>
    </cfRule>
  </conditionalFormatting>
  <conditionalFormatting sqref="CJ17">
    <cfRule type="colorScale" priority="5">
      <colorScale>
        <cfvo type="num" val="0.69"/>
        <cfvo type="num" val="0.8"/>
        <cfvo type="num" val="0.9"/>
        <color rgb="FFF8696B"/>
        <color rgb="FFFFEB84"/>
        <color rgb="FF63BE7B"/>
      </colorScale>
    </cfRule>
  </conditionalFormatting>
  <conditionalFormatting sqref="CJ19">
    <cfRule type="colorScale" priority="4">
      <colorScale>
        <cfvo type="num" val="0.69"/>
        <cfvo type="num" val="0.8"/>
        <cfvo type="num" val="0.9"/>
        <color rgb="FFF8696B"/>
        <color rgb="FFFFEB84"/>
        <color rgb="FF63BE7B"/>
      </colorScale>
    </cfRule>
  </conditionalFormatting>
  <conditionalFormatting sqref="CJ18">
    <cfRule type="colorScale" priority="3">
      <colorScale>
        <cfvo type="num" val="0.69"/>
        <cfvo type="num" val="0.8"/>
        <cfvo type="num" val="0.9"/>
        <color rgb="FFF8696B"/>
        <color rgb="FFFFEB84"/>
        <color rgb="FF63BE7B"/>
      </colorScale>
    </cfRule>
  </conditionalFormatting>
  <conditionalFormatting sqref="CP18">
    <cfRule type="colorScale" priority="2">
      <colorScale>
        <cfvo type="num" val="0.69"/>
        <cfvo type="num" val="0.8"/>
        <cfvo type="num" val="0.9"/>
        <color rgb="FFF8696B"/>
        <color rgb="FFFFEB84"/>
        <color rgb="FF63BE7B"/>
      </colorScale>
    </cfRule>
  </conditionalFormatting>
  <conditionalFormatting sqref="CP14">
    <cfRule type="colorScale" priority="1">
      <colorScale>
        <cfvo type="num" val="0.69"/>
        <cfvo type="num" val="0.8"/>
        <cfvo type="num" val="0.9"/>
        <color rgb="FFF8696B"/>
        <color rgb="FFFFEB84"/>
        <color rgb="FF63BE7B"/>
      </colorScale>
    </cfRule>
  </conditionalFormatting>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29"/>
  <sheetViews>
    <sheetView zoomScale="94" zoomScaleNormal="94" workbookViewId="0">
      <selection activeCell="B6" sqref="B6:B7"/>
    </sheetView>
  </sheetViews>
  <sheetFormatPr baseColWidth="10" defaultRowHeight="12.75"/>
  <cols>
    <col min="1" max="1" width="1.140625" style="15" customWidth="1"/>
    <col min="2" max="2" width="14" style="15" customWidth="1"/>
    <col min="3" max="3" width="5.42578125" style="2" customWidth="1"/>
    <col min="4" max="4" width="27.5703125" style="15" customWidth="1"/>
    <col min="5" max="5" width="15.85546875" style="15" customWidth="1"/>
    <col min="6" max="6" width="18" style="15" customWidth="1"/>
    <col min="7" max="7" width="15.5703125" style="15" customWidth="1"/>
    <col min="8" max="8" width="19.7109375" style="15" customWidth="1"/>
    <col min="9" max="9" width="16.7109375" style="15" customWidth="1"/>
    <col min="10" max="10" width="10" style="15" customWidth="1"/>
    <col min="11" max="11" width="4.85546875" style="15" customWidth="1"/>
    <col min="12" max="13" width="4.7109375" style="15" customWidth="1"/>
    <col min="14" max="15" width="4.85546875" style="15" customWidth="1"/>
    <col min="16" max="16" width="5.140625" style="15" customWidth="1"/>
    <col min="17" max="18" width="4.85546875" style="15" customWidth="1"/>
    <col min="19" max="20" width="4.7109375" style="15" customWidth="1"/>
    <col min="21" max="22" width="5.140625" style="15" customWidth="1"/>
    <col min="23" max="23" width="6.28515625" style="15" hidden="1" customWidth="1"/>
    <col min="24" max="24" width="9.28515625" style="15" hidden="1" customWidth="1"/>
    <col min="25" max="25" width="11" style="15" hidden="1" customWidth="1"/>
    <col min="26" max="27" width="8.140625" style="15" hidden="1" customWidth="1"/>
    <col min="28" max="28" width="11.5703125" style="15" hidden="1" customWidth="1"/>
    <col min="29" max="29" width="37.7109375" style="15" hidden="1" customWidth="1"/>
    <col min="30" max="30" width="9.28515625" style="15" hidden="1" customWidth="1"/>
    <col min="31" max="31" width="11" style="15" hidden="1" customWidth="1"/>
    <col min="32" max="33" width="8.140625" style="15" hidden="1" customWidth="1"/>
    <col min="34" max="34" width="11.5703125" style="15" hidden="1" customWidth="1"/>
    <col min="35" max="35" width="37.7109375" style="15" hidden="1" customWidth="1"/>
    <col min="36" max="36" width="9.28515625" style="15" hidden="1" customWidth="1"/>
    <col min="37" max="37" width="11" style="15" hidden="1" customWidth="1"/>
    <col min="38" max="39" width="8.140625" style="15" hidden="1" customWidth="1"/>
    <col min="40" max="40" width="11.5703125" style="15" hidden="1" customWidth="1"/>
    <col min="41" max="41" width="37.7109375" style="15" hidden="1" customWidth="1"/>
    <col min="42" max="42" width="9.28515625" style="15" hidden="1" customWidth="1"/>
    <col min="43" max="43" width="11" style="15" hidden="1" customWidth="1"/>
    <col min="44" max="44" width="8.42578125" style="15" hidden="1" customWidth="1"/>
    <col min="45" max="45" width="7.85546875" style="15" hidden="1" customWidth="1"/>
    <col min="46" max="46" width="10.85546875" style="15" hidden="1" customWidth="1"/>
    <col min="47" max="47" width="37.42578125" style="15" hidden="1" customWidth="1"/>
    <col min="48" max="48" width="9.28515625" style="15" hidden="1" customWidth="1"/>
    <col min="49" max="49" width="11" style="15" hidden="1" customWidth="1"/>
    <col min="50" max="51" width="8.140625" style="15" hidden="1" customWidth="1"/>
    <col min="52" max="52" width="11.5703125" style="15" hidden="1" customWidth="1"/>
    <col min="53" max="53" width="37.28515625" style="15" hidden="1" customWidth="1"/>
    <col min="54" max="54" width="9.28515625" style="15" hidden="1" customWidth="1"/>
    <col min="55" max="55" width="11" style="15" hidden="1" customWidth="1"/>
    <col min="56" max="56" width="8.42578125" style="15" hidden="1" customWidth="1"/>
    <col min="57" max="57" width="7.85546875" style="15" hidden="1" customWidth="1"/>
    <col min="58" max="58" width="10.85546875" style="15" hidden="1" customWidth="1"/>
    <col min="59" max="59" width="37.5703125" style="15" hidden="1" customWidth="1"/>
    <col min="60" max="60" width="9.28515625" style="15" hidden="1" customWidth="1"/>
    <col min="61" max="61" width="11" style="15" hidden="1" customWidth="1"/>
    <col min="62" max="62" width="8.42578125" style="15" hidden="1" customWidth="1"/>
    <col min="63" max="63" width="7.85546875" style="15" hidden="1" customWidth="1"/>
    <col min="64" max="64" width="10.85546875" style="15" hidden="1" customWidth="1"/>
    <col min="65" max="65" width="37.28515625" style="15" hidden="1" customWidth="1"/>
    <col min="66" max="66" width="9.28515625" style="15" hidden="1" customWidth="1"/>
    <col min="67" max="67" width="11" style="15" hidden="1" customWidth="1"/>
    <col min="68" max="69" width="8.140625" style="15" hidden="1" customWidth="1"/>
    <col min="70" max="70" width="11.5703125" style="15" hidden="1" customWidth="1"/>
    <col min="71" max="71" width="37.7109375" style="15" hidden="1" customWidth="1"/>
    <col min="72" max="72" width="9.28515625" style="15" hidden="1" customWidth="1"/>
    <col min="73" max="73" width="11" style="15" hidden="1" customWidth="1"/>
    <col min="74" max="75" width="8.140625" style="15" hidden="1" customWidth="1"/>
    <col min="76" max="76" width="11.5703125" style="15" hidden="1" customWidth="1"/>
    <col min="77" max="77" width="37.7109375" style="15" hidden="1" customWidth="1"/>
    <col min="78" max="78" width="9.28515625" style="15" hidden="1" customWidth="1"/>
    <col min="79" max="79" width="11" style="15" hidden="1" customWidth="1"/>
    <col min="80" max="81" width="8.140625" style="15" hidden="1" customWidth="1"/>
    <col min="82" max="82" width="11.7109375" style="15" hidden="1" customWidth="1"/>
    <col min="83" max="83" width="30.28515625" style="15" hidden="1" customWidth="1"/>
    <col min="84" max="84" width="9.28515625" style="15" hidden="1" customWidth="1"/>
    <col min="85" max="85" width="11" style="15" hidden="1" customWidth="1"/>
    <col min="86" max="87" width="8.140625" style="15" hidden="1" customWidth="1"/>
    <col min="88" max="88" width="11.5703125" style="15" hidden="1" customWidth="1"/>
    <col min="89" max="89" width="37.7109375" style="15" hidden="1" customWidth="1"/>
    <col min="90" max="90" width="9.28515625" style="15" customWidth="1"/>
    <col min="91" max="91" width="11" style="15" customWidth="1"/>
    <col min="92" max="93" width="8.140625" style="15" customWidth="1"/>
    <col min="94" max="94" width="11.5703125" style="15" customWidth="1"/>
    <col min="95" max="95" width="37.7109375" style="15" customWidth="1"/>
    <col min="96" max="96" width="9.28515625" style="15" customWidth="1"/>
    <col min="97" max="97" width="11" style="15" customWidth="1"/>
    <col min="98" max="98" width="8.140625" style="15" customWidth="1"/>
    <col min="99" max="99" width="9.140625" style="15" customWidth="1"/>
    <col min="100" max="100" width="11.42578125" style="15" customWidth="1"/>
    <col min="101" max="101" width="37.7109375" style="15" customWidth="1"/>
    <col min="102" max="102" width="4" style="15" customWidth="1"/>
    <col min="103" max="16384" width="11.42578125" style="15"/>
  </cols>
  <sheetData>
    <row r="1" spans="1:102"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c r="BM1" s="572"/>
      <c r="BN1" s="572"/>
      <c r="BO1" s="572"/>
      <c r="BP1" s="572"/>
      <c r="BQ1" s="572"/>
      <c r="BR1" s="572"/>
      <c r="BS1" s="572"/>
      <c r="BT1" s="572"/>
      <c r="BU1" s="572"/>
      <c r="BV1" s="572"/>
      <c r="BW1" s="572"/>
      <c r="BX1" s="572"/>
      <c r="BY1" s="572"/>
      <c r="BZ1" s="572"/>
      <c r="CA1" s="572"/>
      <c r="CB1" s="572"/>
      <c r="CC1" s="572"/>
      <c r="CD1" s="572"/>
      <c r="CE1" s="572"/>
      <c r="CF1" s="572"/>
      <c r="CG1" s="572"/>
      <c r="CH1" s="572"/>
      <c r="CI1" s="572"/>
      <c r="CJ1" s="572"/>
      <c r="CK1" s="572"/>
      <c r="CL1" s="572"/>
      <c r="CM1" s="572"/>
      <c r="CN1" s="572"/>
      <c r="CO1" s="572"/>
      <c r="CP1" s="572"/>
      <c r="CQ1" s="572"/>
      <c r="CR1" s="572"/>
      <c r="CS1" s="572"/>
      <c r="CT1" s="572"/>
      <c r="CU1" s="572"/>
      <c r="CV1" s="572"/>
      <c r="CW1" s="573"/>
    </row>
    <row r="2" spans="1:102"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c r="W2" s="1705"/>
      <c r="X2" s="1705"/>
      <c r="Y2" s="1705"/>
      <c r="Z2" s="1705"/>
      <c r="AA2" s="1705"/>
      <c r="AB2" s="1705"/>
      <c r="AC2" s="1705"/>
      <c r="AD2" s="1705"/>
      <c r="AE2" s="1705"/>
      <c r="AF2" s="1705"/>
      <c r="AG2" s="1705"/>
      <c r="AH2" s="1705"/>
      <c r="AI2" s="1705"/>
      <c r="AJ2" s="1705"/>
      <c r="AK2" s="1705"/>
      <c r="AL2" s="1705"/>
      <c r="AM2" s="1705"/>
      <c r="AN2" s="1705"/>
      <c r="AO2" s="1705"/>
      <c r="AP2" s="1705"/>
      <c r="AQ2" s="1705"/>
      <c r="AR2" s="1705"/>
      <c r="AS2" s="1705"/>
      <c r="AT2" s="1705"/>
      <c r="AU2" s="1705"/>
      <c r="AV2" s="1705"/>
      <c r="AW2" s="1705"/>
      <c r="AX2" s="1705"/>
      <c r="AY2" s="1705"/>
      <c r="AZ2" s="1705"/>
      <c r="BA2" s="1705"/>
      <c r="BB2" s="1705"/>
      <c r="BC2" s="1705"/>
      <c r="BD2" s="1705"/>
      <c r="BE2" s="1705"/>
      <c r="BF2" s="1705"/>
      <c r="BG2" s="1705"/>
      <c r="BH2" s="1705"/>
      <c r="BI2" s="1705"/>
      <c r="BJ2" s="1705"/>
      <c r="BK2" s="1705"/>
      <c r="BL2" s="1705"/>
      <c r="BM2" s="1705"/>
      <c r="BN2" s="1705"/>
      <c r="BO2" s="1705"/>
      <c r="BP2" s="1705"/>
      <c r="BQ2" s="1705"/>
      <c r="BR2" s="1705"/>
      <c r="BS2" s="1705"/>
      <c r="BT2" s="1705"/>
      <c r="BU2" s="1705"/>
      <c r="BV2" s="1705"/>
      <c r="BW2" s="1705"/>
      <c r="BX2" s="1705"/>
      <c r="BY2" s="1705"/>
      <c r="BZ2" s="1705"/>
      <c r="CA2" s="1705"/>
      <c r="CB2" s="1705"/>
      <c r="CC2" s="1705"/>
      <c r="CD2" s="1705"/>
      <c r="CE2" s="1705"/>
      <c r="CF2" s="1705"/>
      <c r="CG2" s="1705"/>
      <c r="CH2" s="1705"/>
      <c r="CI2" s="1705"/>
      <c r="CJ2" s="1705"/>
      <c r="CK2" s="1705"/>
      <c r="CL2" s="1705"/>
      <c r="CM2" s="1705"/>
      <c r="CN2" s="1705"/>
      <c r="CO2" s="1705"/>
      <c r="CP2" s="1705"/>
      <c r="CQ2" s="1705"/>
      <c r="CR2" s="1705"/>
      <c r="CS2" s="1705"/>
      <c r="CT2" s="1705"/>
      <c r="CU2" s="1705"/>
      <c r="CV2" s="1705"/>
      <c r="CW2" s="575"/>
    </row>
    <row r="3" spans="1:102" ht="5.25" customHeight="1">
      <c r="A3" s="893"/>
      <c r="B3" s="128"/>
      <c r="C3" s="679"/>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683"/>
    </row>
    <row r="4" spans="1:102" ht="46.5" customHeight="1">
      <c r="A4" s="1196"/>
      <c r="B4" s="49" t="s">
        <v>18</v>
      </c>
      <c r="C4" s="1979" t="s">
        <v>3182</v>
      </c>
      <c r="D4" s="1979"/>
      <c r="E4" s="1979"/>
      <c r="F4" s="1979"/>
      <c r="G4" s="1979"/>
      <c r="H4" s="1979"/>
      <c r="I4" s="1979"/>
      <c r="J4" s="1979"/>
      <c r="K4" s="1996" t="s">
        <v>21</v>
      </c>
      <c r="L4" s="1996"/>
      <c r="M4" s="1996"/>
      <c r="N4" s="1999">
        <v>2014</v>
      </c>
      <c r="O4" s="2000"/>
      <c r="P4" s="2000"/>
      <c r="Q4" s="2000"/>
      <c r="R4" s="2000"/>
      <c r="S4" s="2000"/>
      <c r="T4" s="2000"/>
      <c r="U4" s="2000"/>
      <c r="V4" s="2001"/>
      <c r="W4" s="1229"/>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5"/>
    </row>
    <row r="5" spans="1:102" ht="6" customHeight="1">
      <c r="A5" s="893"/>
      <c r="B5" s="128"/>
      <c r="C5" s="44"/>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683"/>
    </row>
    <row r="6" spans="1:102" s="2" customFormat="1" ht="53.25" customHeight="1">
      <c r="A6" s="1424"/>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2" s="2" customFormat="1" ht="30.75" customHeight="1">
      <c r="A7" s="1424"/>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0" t="s">
        <v>27</v>
      </c>
      <c r="X7" s="16" t="s">
        <v>31</v>
      </c>
      <c r="Y7" s="16" t="s">
        <v>32</v>
      </c>
      <c r="Z7" s="17" t="s">
        <v>33</v>
      </c>
      <c r="AA7" s="18" t="s">
        <v>34</v>
      </c>
      <c r="AB7" s="1706" t="s">
        <v>35</v>
      </c>
      <c r="AC7" s="1707" t="s">
        <v>36</v>
      </c>
      <c r="AD7" s="16" t="s">
        <v>31</v>
      </c>
      <c r="AE7" s="16" t="s">
        <v>32</v>
      </c>
      <c r="AF7" s="17" t="s">
        <v>33</v>
      </c>
      <c r="AG7" s="18" t="s">
        <v>34</v>
      </c>
      <c r="AH7" s="1706" t="s">
        <v>35</v>
      </c>
      <c r="AI7" s="1707" t="s">
        <v>36</v>
      </c>
      <c r="AJ7" s="16" t="s">
        <v>31</v>
      </c>
      <c r="AK7" s="16" t="s">
        <v>32</v>
      </c>
      <c r="AL7" s="17" t="s">
        <v>33</v>
      </c>
      <c r="AM7" s="18" t="s">
        <v>34</v>
      </c>
      <c r="AN7" s="1706" t="s">
        <v>35</v>
      </c>
      <c r="AO7" s="1707" t="s">
        <v>36</v>
      </c>
      <c r="AP7" s="16" t="s">
        <v>31</v>
      </c>
      <c r="AQ7" s="16" t="s">
        <v>32</v>
      </c>
      <c r="AR7" s="17" t="s">
        <v>33</v>
      </c>
      <c r="AS7" s="18" t="s">
        <v>34</v>
      </c>
      <c r="AT7" s="1706" t="s">
        <v>35</v>
      </c>
      <c r="AU7" s="1707" t="s">
        <v>36</v>
      </c>
      <c r="AV7" s="16" t="s">
        <v>31</v>
      </c>
      <c r="AW7" s="16" t="s">
        <v>32</v>
      </c>
      <c r="AX7" s="17" t="s">
        <v>33</v>
      </c>
      <c r="AY7" s="18" t="s">
        <v>34</v>
      </c>
      <c r="AZ7" s="1706" t="s">
        <v>35</v>
      </c>
      <c r="BA7" s="1707" t="s">
        <v>36</v>
      </c>
      <c r="BB7" s="16" t="s">
        <v>31</v>
      </c>
      <c r="BC7" s="16" t="s">
        <v>32</v>
      </c>
      <c r="BD7" s="17" t="s">
        <v>33</v>
      </c>
      <c r="BE7" s="18" t="s">
        <v>34</v>
      </c>
      <c r="BF7" s="1706" t="s">
        <v>35</v>
      </c>
      <c r="BG7" s="1707" t="s">
        <v>36</v>
      </c>
      <c r="BH7" s="16" t="s">
        <v>31</v>
      </c>
      <c r="BI7" s="16" t="s">
        <v>32</v>
      </c>
      <c r="BJ7" s="17" t="s">
        <v>33</v>
      </c>
      <c r="BK7" s="18" t="s">
        <v>34</v>
      </c>
      <c r="BL7" s="1706" t="s">
        <v>35</v>
      </c>
      <c r="BM7" s="1707" t="s">
        <v>36</v>
      </c>
      <c r="BN7" s="16" t="s">
        <v>31</v>
      </c>
      <c r="BO7" s="16" t="s">
        <v>32</v>
      </c>
      <c r="BP7" s="17" t="s">
        <v>33</v>
      </c>
      <c r="BQ7" s="18" t="s">
        <v>34</v>
      </c>
      <c r="BR7" s="1706" t="s">
        <v>35</v>
      </c>
      <c r="BS7" s="1707" t="s">
        <v>36</v>
      </c>
      <c r="BT7" s="16" t="s">
        <v>31</v>
      </c>
      <c r="BU7" s="16" t="s">
        <v>32</v>
      </c>
      <c r="BV7" s="17" t="s">
        <v>33</v>
      </c>
      <c r="BW7" s="18" t="s">
        <v>34</v>
      </c>
      <c r="BX7" s="1706" t="s">
        <v>35</v>
      </c>
      <c r="BY7" s="1707" t="s">
        <v>36</v>
      </c>
      <c r="BZ7" s="16" t="s">
        <v>31</v>
      </c>
      <c r="CA7" s="16" t="s">
        <v>32</v>
      </c>
      <c r="CB7" s="17" t="s">
        <v>33</v>
      </c>
      <c r="CC7" s="18" t="s">
        <v>34</v>
      </c>
      <c r="CD7" s="1706" t="s">
        <v>35</v>
      </c>
      <c r="CE7" s="1707" t="s">
        <v>36</v>
      </c>
      <c r="CF7" s="16" t="s">
        <v>31</v>
      </c>
      <c r="CG7" s="16" t="s">
        <v>32</v>
      </c>
      <c r="CH7" s="17" t="s">
        <v>33</v>
      </c>
      <c r="CI7" s="18" t="s">
        <v>34</v>
      </c>
      <c r="CJ7" s="1706" t="s">
        <v>35</v>
      </c>
      <c r="CK7" s="1707" t="s">
        <v>36</v>
      </c>
      <c r="CL7" s="16" t="s">
        <v>31</v>
      </c>
      <c r="CM7" s="16" t="s">
        <v>32</v>
      </c>
      <c r="CN7" s="17" t="s">
        <v>33</v>
      </c>
      <c r="CO7" s="18" t="s">
        <v>34</v>
      </c>
      <c r="CP7" s="1706" t="s">
        <v>35</v>
      </c>
      <c r="CQ7" s="1707" t="s">
        <v>36</v>
      </c>
      <c r="CR7" s="16" t="s">
        <v>31</v>
      </c>
      <c r="CS7" s="16" t="s">
        <v>32</v>
      </c>
      <c r="CT7" s="17" t="s">
        <v>33</v>
      </c>
      <c r="CU7" s="18" t="s">
        <v>34</v>
      </c>
      <c r="CV7" s="1706" t="s">
        <v>35</v>
      </c>
      <c r="CW7" s="1707" t="s">
        <v>36</v>
      </c>
    </row>
    <row r="8" spans="1:102" s="2" customFormat="1" ht="56.25">
      <c r="A8" s="1424"/>
      <c r="B8" s="8" t="s">
        <v>416</v>
      </c>
      <c r="C8" s="801"/>
      <c r="D8" s="801" t="s">
        <v>3183</v>
      </c>
      <c r="E8" s="801" t="s">
        <v>1548</v>
      </c>
      <c r="F8" s="801" t="s">
        <v>1549</v>
      </c>
      <c r="G8" s="789" t="s">
        <v>53</v>
      </c>
      <c r="H8" s="801" t="s">
        <v>1550</v>
      </c>
      <c r="I8" s="801" t="s">
        <v>1551</v>
      </c>
      <c r="J8" s="789" t="s">
        <v>54</v>
      </c>
      <c r="K8" s="1698">
        <f>+[25]Iniciados!D18</f>
        <v>0.73333333333333328</v>
      </c>
      <c r="L8" s="1698">
        <f>+[25]Iniciados!E18</f>
        <v>0.26666666666666666</v>
      </c>
      <c r="M8" s="1698">
        <f>+[25]Iniciados!F18</f>
        <v>0</v>
      </c>
      <c r="N8" s="1698">
        <f>+[25]Iniciados!G18</f>
        <v>0</v>
      </c>
      <c r="O8" s="1698">
        <f>+[25]Iniciados!H18</f>
        <v>0</v>
      </c>
      <c r="P8" s="1698">
        <f>+[25]Iniciados!I18</f>
        <v>0</v>
      </c>
      <c r="Q8" s="1698">
        <f>+[25]Iniciados!J18</f>
        <v>0</v>
      </c>
      <c r="R8" s="1698">
        <f>+[25]Iniciados!K18</f>
        <v>0</v>
      </c>
      <c r="S8" s="1698">
        <f>+[25]Iniciados!L18</f>
        <v>0</v>
      </c>
      <c r="T8" s="1698">
        <f>+[25]Iniciados!M18</f>
        <v>0</v>
      </c>
      <c r="U8" s="1698">
        <f>+[25]Iniciados!N18</f>
        <v>0</v>
      </c>
      <c r="V8" s="1698">
        <f>+[25]Iniciados!O18</f>
        <v>0</v>
      </c>
      <c r="W8" s="50"/>
      <c r="X8" s="26">
        <v>11</v>
      </c>
      <c r="Y8" s="21">
        <v>11</v>
      </c>
      <c r="Z8" s="694">
        <f>IF(Y8=0," ",X8/Y8)</f>
        <v>1</v>
      </c>
      <c r="AA8" s="23">
        <f>+K8</f>
        <v>0.73333333333333328</v>
      </c>
      <c r="AB8" s="24">
        <v>1</v>
      </c>
      <c r="AC8" s="25" t="s">
        <v>1552</v>
      </c>
      <c r="AD8" s="26">
        <v>4</v>
      </c>
      <c r="AE8" s="21">
        <v>4</v>
      </c>
      <c r="AF8" s="694">
        <f>IF(AE8=0," ",AD8/AE8)</f>
        <v>1</v>
      </c>
      <c r="AG8" s="23">
        <f>+L8</f>
        <v>0.26666666666666666</v>
      </c>
      <c r="AH8" s="24">
        <v>1</v>
      </c>
      <c r="AI8" s="25" t="s">
        <v>3184</v>
      </c>
      <c r="AJ8" s="26"/>
      <c r="AK8" s="21"/>
      <c r="AL8" s="694" t="str">
        <f t="shared" ref="AL8:AL21" si="0">IF(AK8=0," ",AJ8/AK8)</f>
        <v xml:space="preserve"> </v>
      </c>
      <c r="AM8" s="23"/>
      <c r="AN8" s="24" t="str">
        <f>IF(AK8=0," ",AL8/AM8)</f>
        <v xml:space="preserve"> </v>
      </c>
      <c r="AO8" s="25" t="s">
        <v>1555</v>
      </c>
      <c r="AP8" s="26"/>
      <c r="AQ8" s="21"/>
      <c r="AR8" s="694" t="str">
        <f>IF(AQ8=0," ",AP8/AQ8)</f>
        <v xml:space="preserve"> </v>
      </c>
      <c r="AS8" s="23"/>
      <c r="AT8" s="24" t="str">
        <f>IF(AQ8=0," ",AR8/AS8)</f>
        <v xml:space="preserve"> </v>
      </c>
      <c r="AU8" s="25" t="s">
        <v>1555</v>
      </c>
      <c r="AV8" s="26"/>
      <c r="AW8" s="21"/>
      <c r="AX8" s="694" t="str">
        <f>IF(AW8=0," ",AV8/AW8)</f>
        <v xml:space="preserve"> </v>
      </c>
      <c r="AY8" s="23"/>
      <c r="AZ8" s="24" t="str">
        <f>IF(AW8=0," ",AX8/AY8)</f>
        <v xml:space="preserve"> </v>
      </c>
      <c r="BA8" s="57" t="s">
        <v>1555</v>
      </c>
      <c r="BB8" s="26"/>
      <c r="BC8" s="21"/>
      <c r="BD8" s="694" t="str">
        <f>IF(BC8=0," ",BB8/BC8)</f>
        <v xml:space="preserve"> </v>
      </c>
      <c r="BE8" s="23"/>
      <c r="BF8" s="24" t="str">
        <f>IF(BC8=0," ",BD8/BE8)</f>
        <v xml:space="preserve"> </v>
      </c>
      <c r="BG8" s="25" t="s">
        <v>1555</v>
      </c>
      <c r="BH8" s="26"/>
      <c r="BI8" s="21"/>
      <c r="BJ8" s="694" t="str">
        <f>IF(BI8=0," ",BH8/BI8)</f>
        <v xml:space="preserve"> </v>
      </c>
      <c r="BK8" s="23"/>
      <c r="BL8" s="24" t="str">
        <f>IF(BI8=0," ",BJ8/BK8)</f>
        <v xml:space="preserve"> </v>
      </c>
      <c r="BM8" s="25"/>
      <c r="BN8" s="26"/>
      <c r="BO8" s="21">
        <v>0</v>
      </c>
      <c r="BP8" s="694" t="str">
        <f>IF(BO8=0," ",BN8/BO8)</f>
        <v xml:space="preserve"> </v>
      </c>
      <c r="BQ8" s="23">
        <f>+R8</f>
        <v>0</v>
      </c>
      <c r="BR8" s="24" t="str">
        <f>IF(BO8=0," ",BP8/BQ8)</f>
        <v xml:space="preserve"> </v>
      </c>
      <c r="BS8" s="1205" t="s">
        <v>3120</v>
      </c>
      <c r="BT8" s="26">
        <v>0</v>
      </c>
      <c r="BU8" s="21">
        <f>+S8</f>
        <v>0</v>
      </c>
      <c r="BV8" s="694">
        <v>0</v>
      </c>
      <c r="BW8" s="23">
        <f>+S8</f>
        <v>0</v>
      </c>
      <c r="BX8" s="24">
        <v>0</v>
      </c>
      <c r="BY8" s="25" t="s">
        <v>1555</v>
      </c>
      <c r="BZ8" s="26">
        <v>0</v>
      </c>
      <c r="CA8" s="21">
        <v>0</v>
      </c>
      <c r="CB8" s="694">
        <v>0</v>
      </c>
      <c r="CC8" s="23">
        <v>0</v>
      </c>
      <c r="CD8" s="24">
        <v>0</v>
      </c>
      <c r="CE8" s="25" t="s">
        <v>1557</v>
      </c>
      <c r="CF8" s="26">
        <v>0</v>
      </c>
      <c r="CG8" s="21">
        <v>0</v>
      </c>
      <c r="CH8" s="694">
        <v>0</v>
      </c>
      <c r="CI8" s="23">
        <v>0</v>
      </c>
      <c r="CJ8" s="24">
        <v>0</v>
      </c>
      <c r="CK8" s="25" t="s">
        <v>1557</v>
      </c>
      <c r="CL8" s="26">
        <v>0</v>
      </c>
      <c r="CM8" s="21">
        <v>0</v>
      </c>
      <c r="CN8" s="24">
        <v>0</v>
      </c>
      <c r="CO8" s="23">
        <v>0</v>
      </c>
      <c r="CP8" s="24">
        <v>0</v>
      </c>
      <c r="CQ8" s="25" t="s">
        <v>3185</v>
      </c>
      <c r="CR8" s="21">
        <f>+X8+AD8+AJ8+AP8+AV8+BB8+BH8+BN8+BT8</f>
        <v>15</v>
      </c>
      <c r="CS8" s="21">
        <f>+Y8+AE8+AK8+AQ8+AW8+BC8+BI8+BO8+BU8</f>
        <v>15</v>
      </c>
      <c r="CT8" s="796">
        <f>IF(CS8=0," ",CR8/CS8)</f>
        <v>1</v>
      </c>
      <c r="CU8" s="568">
        <f>+K8+L8+M8+N8+O8+P8+Q8+R8+S8+U8</f>
        <v>1</v>
      </c>
      <c r="CV8" s="728">
        <f>IF(CS8=0," ",CT8/CU8)</f>
        <v>1</v>
      </c>
      <c r="CW8" s="25" t="s">
        <v>3186</v>
      </c>
      <c r="CX8" s="2">
        <v>100</v>
      </c>
    </row>
    <row r="9" spans="1:102" s="2" customFormat="1" ht="99" customHeight="1">
      <c r="A9" s="1424"/>
      <c r="B9" s="8" t="s">
        <v>416</v>
      </c>
      <c r="C9" s="801"/>
      <c r="D9" s="801" t="s">
        <v>3187</v>
      </c>
      <c r="E9" s="801" t="s">
        <v>472</v>
      </c>
      <c r="F9" s="801" t="s">
        <v>1560</v>
      </c>
      <c r="G9" s="789" t="s">
        <v>53</v>
      </c>
      <c r="H9" s="801" t="s">
        <v>1561</v>
      </c>
      <c r="I9" s="802" t="s">
        <v>1562</v>
      </c>
      <c r="J9" s="789" t="s">
        <v>54</v>
      </c>
      <c r="K9" s="1698">
        <f>+[25]terminados!D30</f>
        <v>0</v>
      </c>
      <c r="L9" s="1698">
        <f>+[25]terminados!E30</f>
        <v>0.27272727272727271</v>
      </c>
      <c r="M9" s="1698">
        <f>+[25]terminados!F30</f>
        <v>9.0909090909090912E-2</v>
      </c>
      <c r="N9" s="1698">
        <f>+[25]terminados!G30</f>
        <v>9.0909090909090912E-2</v>
      </c>
      <c r="O9" s="1698">
        <f>+[25]terminados!H30</f>
        <v>0</v>
      </c>
      <c r="P9" s="1698">
        <f>+[25]terminados!I30</f>
        <v>0</v>
      </c>
      <c r="Q9" s="1698">
        <f>+[25]terminados!J30</f>
        <v>4.5454545454545456E-2</v>
      </c>
      <c r="R9" s="1698">
        <f>+[25]terminados!K30</f>
        <v>4.5454545454545456E-2</v>
      </c>
      <c r="S9" s="1698">
        <f>+[25]terminados!L30</f>
        <v>9.0909090909090912E-2</v>
      </c>
      <c r="T9" s="1698">
        <f>+[25]terminados!M30</f>
        <v>0.18181818181818182</v>
      </c>
      <c r="U9" s="1698">
        <f>+[25]terminados!N30</f>
        <v>9.0909090909090912E-2</v>
      </c>
      <c r="V9" s="1698">
        <f>+[25]terminados!O30</f>
        <v>9.0909090909090912E-2</v>
      </c>
      <c r="W9" s="50"/>
      <c r="X9" s="690"/>
      <c r="Y9" s="57"/>
      <c r="Z9" s="694" t="str">
        <f t="shared" ref="Z9:Z16" si="1">IF(Y9=0," ",X9/Y9)</f>
        <v xml:space="preserve"> </v>
      </c>
      <c r="AA9" s="57"/>
      <c r="AB9" s="24" t="str">
        <f t="shared" ref="AB9:AB16" si="2">IF(Y9=0," ",Z9/AA9)</f>
        <v xml:space="preserve"> </v>
      </c>
      <c r="AC9" s="1205" t="s">
        <v>1555</v>
      </c>
      <c r="AD9" s="21">
        <v>6</v>
      </c>
      <c r="AE9" s="21">
        <v>6</v>
      </c>
      <c r="AF9" s="694">
        <f t="shared" ref="AF9:AF16" si="3">IF(AE9=0," ",AD9/AE9)</f>
        <v>1</v>
      </c>
      <c r="AG9" s="58">
        <f>+L9</f>
        <v>0.27272727272727271</v>
      </c>
      <c r="AH9" s="24">
        <v>1</v>
      </c>
      <c r="AI9" s="25" t="s">
        <v>3188</v>
      </c>
      <c r="AJ9" s="1205">
        <v>0</v>
      </c>
      <c r="AK9" s="1205">
        <v>2</v>
      </c>
      <c r="AL9" s="694">
        <f t="shared" si="0"/>
        <v>0</v>
      </c>
      <c r="AM9" s="58">
        <f>+M9</f>
        <v>9.0909090909090912E-2</v>
      </c>
      <c r="AN9" s="24">
        <f t="shared" ref="AN9:AN21" si="4">IF(AK9=0," ",AL9/AM9)</f>
        <v>0</v>
      </c>
      <c r="AO9" s="25" t="s">
        <v>3189</v>
      </c>
      <c r="AP9" s="1205">
        <v>1</v>
      </c>
      <c r="AQ9" s="1205">
        <v>2</v>
      </c>
      <c r="AR9" s="694">
        <f>IF(AQ9=0," ",AP9/AQ9)</f>
        <v>0.5</v>
      </c>
      <c r="AS9" s="23">
        <f>+N9</f>
        <v>9.0909090909090912E-2</v>
      </c>
      <c r="AT9" s="24">
        <v>0.5</v>
      </c>
      <c r="AU9" s="25" t="s">
        <v>3190</v>
      </c>
      <c r="AV9" s="1205"/>
      <c r="AW9" s="1205"/>
      <c r="AX9" s="694" t="str">
        <f t="shared" ref="AX9:AX21" si="5">IF(AW9=0," ",AV9/AW9)</f>
        <v xml:space="preserve"> </v>
      </c>
      <c r="AY9" s="23"/>
      <c r="AZ9" s="24" t="str">
        <f t="shared" ref="AZ9:AZ21" si="6">IF(AW9=0," ",AX9/AY9)</f>
        <v xml:space="preserve"> </v>
      </c>
      <c r="BA9" s="57" t="s">
        <v>1555</v>
      </c>
      <c r="BB9" s="57">
        <v>2</v>
      </c>
      <c r="BC9" s="57">
        <v>0</v>
      </c>
      <c r="BD9" s="694" t="str">
        <f t="shared" ref="BD9:BD15" si="7">IF(BC9=0," ",BB9/BC9)</f>
        <v xml:space="preserve"> </v>
      </c>
      <c r="BE9" s="23">
        <f>+P9</f>
        <v>0</v>
      </c>
      <c r="BF9" s="24" t="str">
        <f>IF(BC9=0," ",BD9/BE9)</f>
        <v xml:space="preserve"> </v>
      </c>
      <c r="BG9" s="25" t="s">
        <v>3191</v>
      </c>
      <c r="BH9" s="57">
        <v>1</v>
      </c>
      <c r="BI9" s="57">
        <v>1</v>
      </c>
      <c r="BJ9" s="694">
        <f t="shared" ref="BJ9:BJ15" si="8">IF(BI9=0," ",BH9/BI9)</f>
        <v>1</v>
      </c>
      <c r="BK9" s="23">
        <f>+Q9</f>
        <v>4.5454545454545456E-2</v>
      </c>
      <c r="BL9" s="24">
        <v>1</v>
      </c>
      <c r="BM9" s="1205" t="s">
        <v>3192</v>
      </c>
      <c r="BN9" s="57">
        <v>1</v>
      </c>
      <c r="BO9" s="21">
        <v>1</v>
      </c>
      <c r="BP9" s="694">
        <f t="shared" ref="BP9:BP15" si="9">IF(BO9=0," ",BN9/BO9)</f>
        <v>1</v>
      </c>
      <c r="BQ9" s="23">
        <f>+R9</f>
        <v>4.5454545454545456E-2</v>
      </c>
      <c r="BR9" s="24">
        <v>1</v>
      </c>
      <c r="BS9" s="1205" t="s">
        <v>3193</v>
      </c>
      <c r="BT9" s="57">
        <v>0</v>
      </c>
      <c r="BU9" s="57">
        <v>2</v>
      </c>
      <c r="BV9" s="694">
        <f t="shared" ref="BV9:BV16" si="10">IF(BU9=0," ",BT9/BU9)</f>
        <v>0</v>
      </c>
      <c r="BW9" s="23">
        <f t="shared" ref="BW9:BW15" si="11">+S9</f>
        <v>9.0909090909090912E-2</v>
      </c>
      <c r="BX9" s="24">
        <f t="shared" ref="BX9:BX15" si="12">IF(BU9=0," ",BV9/BW9)</f>
        <v>0</v>
      </c>
      <c r="BY9" s="25" t="s">
        <v>3194</v>
      </c>
      <c r="BZ9" s="57">
        <v>2</v>
      </c>
      <c r="CA9" s="57">
        <v>4</v>
      </c>
      <c r="CB9" s="694">
        <f>+BZ9/CA9</f>
        <v>0.5</v>
      </c>
      <c r="CC9" s="23">
        <v>0.18</v>
      </c>
      <c r="CD9" s="24">
        <v>0.5</v>
      </c>
      <c r="CE9" s="1205" t="s">
        <v>3195</v>
      </c>
      <c r="CF9" s="57">
        <v>2</v>
      </c>
      <c r="CG9" s="57">
        <v>2</v>
      </c>
      <c r="CH9" s="122">
        <f>+CF9/CG9</f>
        <v>1</v>
      </c>
      <c r="CI9" s="122">
        <v>0.09</v>
      </c>
      <c r="CJ9" s="24">
        <v>1</v>
      </c>
      <c r="CK9" s="1205" t="s">
        <v>1571</v>
      </c>
      <c r="CL9" s="1205">
        <v>5</v>
      </c>
      <c r="CM9" s="1205">
        <v>2</v>
      </c>
      <c r="CN9" s="1205">
        <v>22</v>
      </c>
      <c r="CO9" s="1205">
        <v>9</v>
      </c>
      <c r="CP9" s="24">
        <v>1</v>
      </c>
      <c r="CQ9" s="116" t="s">
        <v>3196</v>
      </c>
      <c r="CR9" s="696">
        <f>+X9+AD9+AJ9+AP9+AV9+BB9+BH9+BN9+BT9+BZ9+CF9+CL9</f>
        <v>20</v>
      </c>
      <c r="CS9" s="21">
        <f>+Y9+AE9+AK9+AQ9+AW9+BC9+BI9+BO9+BU9+CA9+CG9+CM9</f>
        <v>22</v>
      </c>
      <c r="CT9" s="796">
        <f t="shared" ref="CT9:CT15" si="13">IF(CS9=0," ",CR9/CS9)</f>
        <v>0.90909090909090906</v>
      </c>
      <c r="CU9" s="568">
        <f t="shared" ref="CU9:CU16" si="14">+K9+L9+M9+N9+O9+P9+Q9+R9+S9+T9+U9</f>
        <v>0.90909090909090906</v>
      </c>
      <c r="CV9" s="728">
        <f>IF(CS9=0," ",CT9/CU9)</f>
        <v>1</v>
      </c>
      <c r="CW9" s="25" t="s">
        <v>3197</v>
      </c>
      <c r="CX9" s="2">
        <v>100</v>
      </c>
    </row>
    <row r="10" spans="1:102" s="2" customFormat="1" ht="67.5">
      <c r="A10" s="1424"/>
      <c r="B10" s="8" t="s">
        <v>416</v>
      </c>
      <c r="C10" s="801"/>
      <c r="D10" s="801" t="s">
        <v>3198</v>
      </c>
      <c r="E10" s="801" t="s">
        <v>508</v>
      </c>
      <c r="F10" s="801" t="s">
        <v>1575</v>
      </c>
      <c r="G10" s="789" t="s">
        <v>352</v>
      </c>
      <c r="H10" s="801" t="s">
        <v>1576</v>
      </c>
      <c r="I10" s="802" t="s">
        <v>1577</v>
      </c>
      <c r="J10" s="789" t="s">
        <v>54</v>
      </c>
      <c r="K10" s="1698">
        <f>+[25]Liquidados!D53</f>
        <v>0</v>
      </c>
      <c r="L10" s="1698">
        <f>+[25]Liquidados!E53</f>
        <v>0</v>
      </c>
      <c r="M10" s="1698">
        <f>+[25]Liquidados!F53</f>
        <v>0.23809523809523808</v>
      </c>
      <c r="N10" s="1698">
        <f>+[25]Liquidados!G53</f>
        <v>0</v>
      </c>
      <c r="O10" s="1698">
        <f>+[25]Liquidados!H53</f>
        <v>9.5238095238095233E-2</v>
      </c>
      <c r="P10" s="1698">
        <f>+[25]Liquidados!I53</f>
        <v>9.5238095238095233E-2</v>
      </c>
      <c r="Q10" s="1698">
        <f>+[25]Liquidados!J53</f>
        <v>0.19047619047619047</v>
      </c>
      <c r="R10" s="1698">
        <f>+[25]Liquidados!K53</f>
        <v>0</v>
      </c>
      <c r="S10" s="1698">
        <f>+[25]Liquidados!L53</f>
        <v>0.2857142857142857</v>
      </c>
      <c r="T10" s="1698">
        <f>+[25]Liquidados!M53</f>
        <v>0</v>
      </c>
      <c r="U10" s="1698">
        <f>+[25]Liquidados!N53</f>
        <v>0</v>
      </c>
      <c r="V10" s="1698">
        <f>+[25]Liquidados!O53</f>
        <v>9.5238095238095233E-2</v>
      </c>
      <c r="W10" s="50"/>
      <c r="X10" s="690"/>
      <c r="Y10" s="57"/>
      <c r="Z10" s="694" t="str">
        <f t="shared" si="1"/>
        <v xml:space="preserve"> </v>
      </c>
      <c r="AA10" s="57"/>
      <c r="AB10" s="24" t="str">
        <f t="shared" si="2"/>
        <v xml:space="preserve"> </v>
      </c>
      <c r="AC10" s="1205" t="s">
        <v>1555</v>
      </c>
      <c r="AD10" s="57"/>
      <c r="AE10" s="57"/>
      <c r="AF10" s="694" t="str">
        <f t="shared" si="3"/>
        <v xml:space="preserve"> </v>
      </c>
      <c r="AG10" s="57"/>
      <c r="AH10" s="24" t="str">
        <f>IF(AE10=0," ",AF10/AG10)</f>
        <v xml:space="preserve"> </v>
      </c>
      <c r="AI10" s="1205" t="s">
        <v>1555</v>
      </c>
      <c r="AJ10" s="1205">
        <v>0</v>
      </c>
      <c r="AK10" s="1205">
        <v>5</v>
      </c>
      <c r="AL10" s="694">
        <f t="shared" si="0"/>
        <v>0</v>
      </c>
      <c r="AM10" s="1699">
        <f>+M10</f>
        <v>0.23809523809523808</v>
      </c>
      <c r="AN10" s="24">
        <v>0.2</v>
      </c>
      <c r="AO10" s="25" t="s">
        <v>3199</v>
      </c>
      <c r="AP10" s="1205">
        <v>1</v>
      </c>
      <c r="AQ10" s="1205">
        <v>0</v>
      </c>
      <c r="AR10" s="24" t="str">
        <f t="shared" ref="AR10:AR16" si="15">IF(AQ10=0," ",AP10/AQ10)</f>
        <v xml:space="preserve"> </v>
      </c>
      <c r="AS10" s="1708">
        <f>+N10</f>
        <v>0</v>
      </c>
      <c r="AT10" s="24" t="str">
        <f t="shared" ref="AT10:AT15" si="16">IF(AQ10=0," ",AR10/AS10)</f>
        <v xml:space="preserve"> </v>
      </c>
      <c r="AU10" s="25" t="s">
        <v>3200</v>
      </c>
      <c r="AV10" s="1205">
        <v>1</v>
      </c>
      <c r="AW10" s="1205">
        <v>2</v>
      </c>
      <c r="AX10" s="694">
        <f t="shared" si="5"/>
        <v>0.5</v>
      </c>
      <c r="AY10" s="1708">
        <f>+O10</f>
        <v>9.5238095238095233E-2</v>
      </c>
      <c r="AZ10" s="24">
        <v>0.5</v>
      </c>
      <c r="BA10" s="1205" t="s">
        <v>3201</v>
      </c>
      <c r="BB10" s="57">
        <v>2</v>
      </c>
      <c r="BC10" s="57">
        <v>2</v>
      </c>
      <c r="BD10" s="694">
        <f t="shared" si="7"/>
        <v>1</v>
      </c>
      <c r="BE10" s="23">
        <f>+P10</f>
        <v>9.5238095238095233E-2</v>
      </c>
      <c r="BF10" s="24">
        <v>1</v>
      </c>
      <c r="BG10" s="120" t="s">
        <v>1581</v>
      </c>
      <c r="BH10" s="57">
        <v>2</v>
      </c>
      <c r="BI10" s="57">
        <v>4</v>
      </c>
      <c r="BJ10" s="694">
        <f t="shared" si="8"/>
        <v>0.5</v>
      </c>
      <c r="BK10" s="23">
        <f>+Q10</f>
        <v>0.19047619047619047</v>
      </c>
      <c r="BL10" s="24">
        <v>0.5</v>
      </c>
      <c r="BM10" s="1205" t="s">
        <v>1582</v>
      </c>
      <c r="BN10" s="57"/>
      <c r="BO10" s="21">
        <f t="shared" ref="BO10:BO16" si="17">+R10</f>
        <v>0</v>
      </c>
      <c r="BP10" s="694" t="str">
        <f t="shared" si="9"/>
        <v xml:space="preserve"> </v>
      </c>
      <c r="BQ10" s="23">
        <f>+R10</f>
        <v>0</v>
      </c>
      <c r="BR10" s="24" t="str">
        <f>IF(BO10=0," ",BP10/BQ10)</f>
        <v xml:space="preserve"> </v>
      </c>
      <c r="BS10" s="1205" t="s">
        <v>3120</v>
      </c>
      <c r="BT10" s="57">
        <v>0</v>
      </c>
      <c r="BU10" s="57">
        <v>6</v>
      </c>
      <c r="BV10" s="694">
        <f t="shared" si="10"/>
        <v>0</v>
      </c>
      <c r="BW10" s="23">
        <f t="shared" si="11"/>
        <v>0.2857142857142857</v>
      </c>
      <c r="BX10" s="24">
        <f t="shared" si="12"/>
        <v>0</v>
      </c>
      <c r="BY10" s="215" t="s">
        <v>3202</v>
      </c>
      <c r="BZ10" s="57">
        <v>1</v>
      </c>
      <c r="CA10" s="57">
        <v>0</v>
      </c>
      <c r="CB10" s="694">
        <v>1</v>
      </c>
      <c r="CC10" s="23">
        <f>+AD10</f>
        <v>0</v>
      </c>
      <c r="CD10" s="24">
        <v>0</v>
      </c>
      <c r="CE10" s="1205" t="s">
        <v>3203</v>
      </c>
      <c r="CF10" s="57">
        <v>2</v>
      </c>
      <c r="CG10" s="57">
        <v>0</v>
      </c>
      <c r="CH10" s="122">
        <v>1</v>
      </c>
      <c r="CI10" s="122">
        <v>0</v>
      </c>
      <c r="CJ10" s="24">
        <v>1</v>
      </c>
      <c r="CK10" s="1205" t="s">
        <v>3204</v>
      </c>
      <c r="CL10" s="1205">
        <v>6</v>
      </c>
      <c r="CM10" s="1205">
        <v>2</v>
      </c>
      <c r="CN10" s="1205">
        <v>29</v>
      </c>
      <c r="CO10" s="1205">
        <v>10</v>
      </c>
      <c r="CP10" s="24">
        <v>1</v>
      </c>
      <c r="CQ10" s="1205" t="s">
        <v>3205</v>
      </c>
      <c r="CR10" s="21">
        <f>+X10+AD10+AJ10+AP10+AV10+BB10+BH10+BN10+BT10+BZ10+CF10+CL10</f>
        <v>15</v>
      </c>
      <c r="CS10" s="21">
        <f>+Y10+AE10+AK10+AQ10+AW10+BC10+BI10+BO10+BU10+CA10+CG10+CM10</f>
        <v>21</v>
      </c>
      <c r="CT10" s="796">
        <f t="shared" si="13"/>
        <v>0.7142857142857143</v>
      </c>
      <c r="CU10" s="568">
        <f>+K10+L10+M10+N10+O10+P10+Q10+R10+S10+T10+U10+V10</f>
        <v>1</v>
      </c>
      <c r="CV10" s="728">
        <f>IF(CS10=0," ",CT10/CU10)</f>
        <v>0.7142857142857143</v>
      </c>
      <c r="CW10" s="65" t="s">
        <v>3206</v>
      </c>
      <c r="CX10" s="2">
        <v>71</v>
      </c>
    </row>
    <row r="11" spans="1:102" s="2" customFormat="1" ht="114.75" customHeight="1">
      <c r="A11" s="1424"/>
      <c r="B11" s="8" t="s">
        <v>416</v>
      </c>
      <c r="C11" s="790"/>
      <c r="D11" s="790" t="s">
        <v>3207</v>
      </c>
      <c r="E11" s="790" t="s">
        <v>3208</v>
      </c>
      <c r="F11" s="846" t="s">
        <v>3209</v>
      </c>
      <c r="G11" s="790" t="s">
        <v>53</v>
      </c>
      <c r="H11" s="790" t="s">
        <v>3208</v>
      </c>
      <c r="I11" s="1709" t="s">
        <v>1591</v>
      </c>
      <c r="J11" s="790" t="s">
        <v>3143</v>
      </c>
      <c r="K11" s="1687">
        <v>12.727088571428574</v>
      </c>
      <c r="L11" s="1687">
        <v>4.9477986666666673</v>
      </c>
      <c r="M11" s="1687">
        <v>0.76936152380952383</v>
      </c>
      <c r="N11" s="1687">
        <v>5.6437884958095248</v>
      </c>
      <c r="O11" s="1687">
        <v>4.6707867422857152</v>
      </c>
      <c r="P11" s="1710">
        <v>5.4421315125714296</v>
      </c>
      <c r="Q11" s="1710">
        <v>7.6111302918857167</v>
      </c>
      <c r="R11" s="1710">
        <v>8.1608103478857164</v>
      </c>
      <c r="S11" s="1711">
        <v>13.522544214628571</v>
      </c>
      <c r="T11" s="1711">
        <v>11.169495076914286</v>
      </c>
      <c r="U11" s="1711">
        <v>9.0060749009142853</v>
      </c>
      <c r="V11" s="1711">
        <v>9.0060749009142853</v>
      </c>
      <c r="W11" s="50"/>
      <c r="X11" s="1712">
        <v>12.727088571428574</v>
      </c>
      <c r="Y11" s="1713">
        <f>+K11</f>
        <v>12.727088571428574</v>
      </c>
      <c r="Z11" s="694">
        <f t="shared" si="1"/>
        <v>1</v>
      </c>
      <c r="AA11" s="1714">
        <v>0.1671</v>
      </c>
      <c r="AB11" s="24">
        <v>1</v>
      </c>
      <c r="AC11" s="813" t="s">
        <v>1593</v>
      </c>
      <c r="AD11" s="1712">
        <v>3.8632714285714287</v>
      </c>
      <c r="AE11" s="1713">
        <f>+L11</f>
        <v>4.9477986666666673</v>
      </c>
      <c r="AF11" s="694">
        <f t="shared" si="3"/>
        <v>0.78080610971466935</v>
      </c>
      <c r="AG11" s="1714">
        <v>6.5000000000000002E-2</v>
      </c>
      <c r="AH11" s="24">
        <v>0.78</v>
      </c>
      <c r="AI11" s="813" t="s">
        <v>3210</v>
      </c>
      <c r="AJ11" s="1715">
        <v>0</v>
      </c>
      <c r="AK11" s="1716">
        <f>+M11</f>
        <v>0.76936152380952383</v>
      </c>
      <c r="AL11" s="694">
        <f t="shared" si="0"/>
        <v>0</v>
      </c>
      <c r="AM11" s="1714">
        <v>1.01E-2</v>
      </c>
      <c r="AN11" s="24">
        <f t="shared" si="4"/>
        <v>0</v>
      </c>
      <c r="AO11" s="813" t="s">
        <v>3211</v>
      </c>
      <c r="AP11" s="1712">
        <v>5.15</v>
      </c>
      <c r="AQ11" s="1713">
        <f>+N11</f>
        <v>5.6437884958095248</v>
      </c>
      <c r="AR11" s="694">
        <f t="shared" si="15"/>
        <v>0.91250761856576323</v>
      </c>
      <c r="AS11" s="1714">
        <v>7.4099999999999999E-2</v>
      </c>
      <c r="AT11" s="24">
        <v>0.91</v>
      </c>
      <c r="AU11" s="813" t="s">
        <v>3212</v>
      </c>
      <c r="AV11" s="1712">
        <v>10.37</v>
      </c>
      <c r="AW11" s="1713">
        <f t="shared" ref="AW11:AW16" si="18">+O11</f>
        <v>4.6707867422857152</v>
      </c>
      <c r="AX11" s="694">
        <v>1</v>
      </c>
      <c r="AY11" s="1717">
        <v>6.13E-2</v>
      </c>
      <c r="AZ11" s="24">
        <v>1</v>
      </c>
      <c r="BA11" s="813" t="s">
        <v>3213</v>
      </c>
      <c r="BB11" s="1715">
        <v>18.93</v>
      </c>
      <c r="BC11" s="1716">
        <f t="shared" ref="BC11:BC16" si="19">+P11</f>
        <v>5.4421315125714296</v>
      </c>
      <c r="BD11" s="694">
        <v>1</v>
      </c>
      <c r="BE11" s="812">
        <v>7.1499999999999994E-2</v>
      </c>
      <c r="BF11" s="24">
        <v>1</v>
      </c>
      <c r="BG11" s="813" t="s">
        <v>3214</v>
      </c>
      <c r="BH11" s="1718">
        <v>18.40701142857143</v>
      </c>
      <c r="BI11" s="1716">
        <f t="shared" ref="BI11:BI16" si="20">+Q11</f>
        <v>7.6111302918857167</v>
      </c>
      <c r="BJ11" s="694">
        <v>1</v>
      </c>
      <c r="BK11" s="23">
        <v>9.9900000000000003E-2</v>
      </c>
      <c r="BL11" s="24">
        <v>1</v>
      </c>
      <c r="BM11" s="813" t="s">
        <v>3215</v>
      </c>
      <c r="BN11" s="1712">
        <v>19.511600000000001</v>
      </c>
      <c r="BO11" s="1713">
        <f t="shared" si="17"/>
        <v>8.1608103478857164</v>
      </c>
      <c r="BP11" s="694">
        <v>1</v>
      </c>
      <c r="BQ11" s="23">
        <v>0.1072</v>
      </c>
      <c r="BR11" s="24">
        <v>1</v>
      </c>
      <c r="BS11" s="813" t="s">
        <v>3216</v>
      </c>
      <c r="BT11" s="1712">
        <v>12.172571428571429</v>
      </c>
      <c r="BU11" s="1719">
        <f t="shared" ref="BU11:BU16" si="21">+S11</f>
        <v>13.522544214628571</v>
      </c>
      <c r="BV11" s="694">
        <f t="shared" si="10"/>
        <v>0.90016872826366845</v>
      </c>
      <c r="BW11" s="23">
        <v>0.1181</v>
      </c>
      <c r="BX11" s="24">
        <v>1</v>
      </c>
      <c r="BY11" s="813" t="s">
        <v>3217</v>
      </c>
      <c r="BZ11" s="1712">
        <v>8.94</v>
      </c>
      <c r="CA11" s="1719">
        <f>+T11</f>
        <v>11.169495076914286</v>
      </c>
      <c r="CB11" s="1720">
        <f>IF(CA11=0," ",BZ11/CA11)</f>
        <v>0.80039428268137858</v>
      </c>
      <c r="CC11" s="122">
        <v>0.12</v>
      </c>
      <c r="CD11" s="24">
        <v>0.8</v>
      </c>
      <c r="CE11" s="1205" t="s">
        <v>3218</v>
      </c>
      <c r="CF11" s="1712">
        <v>7.35</v>
      </c>
      <c r="CG11" s="1719">
        <f>+U11</f>
        <v>9.0060749009142853</v>
      </c>
      <c r="CH11" s="750">
        <f>IF(CG11=0," ",CF11/CG11)</f>
        <v>0.81611579748840835</v>
      </c>
      <c r="CI11" s="122">
        <v>0.12</v>
      </c>
      <c r="CJ11" s="24">
        <v>0.82</v>
      </c>
      <c r="CK11" s="1205" t="s">
        <v>3219</v>
      </c>
      <c r="CL11" s="1205">
        <v>12.8</v>
      </c>
      <c r="CM11" s="1205">
        <v>9.01</v>
      </c>
      <c r="CN11" s="1205">
        <v>13.8</v>
      </c>
      <c r="CO11" s="1205">
        <v>9.6999999999999993</v>
      </c>
      <c r="CP11" s="24">
        <v>1</v>
      </c>
      <c r="CQ11" s="1205" t="s">
        <v>3220</v>
      </c>
      <c r="CR11" s="21">
        <f>+X11+AD11+AJ11+AP11+AV11+BB11+BH11+BN11+BT11+BZ11+CF11+CL11</f>
        <v>130.22154285714285</v>
      </c>
      <c r="CS11" s="696">
        <f>+Y11+AE11+AK11+AQ11+AW11+BC11+BI11+BO11+BU11+CA11+CG11+CO11</f>
        <v>93.371010344800013</v>
      </c>
      <c r="CT11" s="796">
        <v>1</v>
      </c>
      <c r="CU11" s="696">
        <f>SUM(K11:V11)</f>
        <v>92.677085245714295</v>
      </c>
      <c r="CV11" s="728">
        <v>1</v>
      </c>
      <c r="CW11" s="25" t="s">
        <v>3221</v>
      </c>
      <c r="CX11" s="2">
        <v>100</v>
      </c>
    </row>
    <row r="12" spans="1:102" s="2" customFormat="1" ht="78.75">
      <c r="A12" s="1424"/>
      <c r="B12" s="8" t="s">
        <v>416</v>
      </c>
      <c r="C12" s="790"/>
      <c r="D12" s="790" t="s">
        <v>3222</v>
      </c>
      <c r="E12" s="790" t="s">
        <v>3223</v>
      </c>
      <c r="F12" s="846" t="s">
        <v>3224</v>
      </c>
      <c r="G12" s="790" t="s">
        <v>53</v>
      </c>
      <c r="H12" s="790" t="s">
        <v>3223</v>
      </c>
      <c r="I12" s="1709" t="s">
        <v>1591</v>
      </c>
      <c r="J12" s="790" t="s">
        <v>3143</v>
      </c>
      <c r="K12" s="1687">
        <v>4.4029028571428572</v>
      </c>
      <c r="L12" s="1687">
        <v>1.7203910204081634</v>
      </c>
      <c r="M12" s="1687">
        <v>1.3018010204081634</v>
      </c>
      <c r="N12" s="1687">
        <v>1.3018010204081634</v>
      </c>
      <c r="O12" s="1687">
        <v>1.3018010204081634</v>
      </c>
      <c r="P12" s="1710">
        <v>1.3018010204081634</v>
      </c>
      <c r="Q12" s="1710">
        <v>1.3018010204081634</v>
      </c>
      <c r="R12" s="1710">
        <v>1.3018010204081634</v>
      </c>
      <c r="S12" s="1711">
        <v>0.64710714285714288</v>
      </c>
      <c r="T12" s="1711">
        <v>0.65</v>
      </c>
      <c r="U12" s="1711">
        <v>0</v>
      </c>
      <c r="V12" s="1711">
        <v>0</v>
      </c>
      <c r="W12" s="50"/>
      <c r="X12" s="1712">
        <v>4.4029028571428572</v>
      </c>
      <c r="Y12" s="1713">
        <f>+K12</f>
        <v>4.4029028571428572</v>
      </c>
      <c r="Z12" s="694">
        <f t="shared" si="1"/>
        <v>1</v>
      </c>
      <c r="AA12" s="1714">
        <v>0.28910000000000002</v>
      </c>
      <c r="AB12" s="24">
        <v>1</v>
      </c>
      <c r="AC12" s="813" t="s">
        <v>1593</v>
      </c>
      <c r="AD12" s="1712">
        <v>2.2112942857142857</v>
      </c>
      <c r="AE12" s="1713">
        <f>+L12</f>
        <v>1.7203910204081634</v>
      </c>
      <c r="AF12" s="694">
        <v>1</v>
      </c>
      <c r="AG12" s="1714">
        <v>0.113</v>
      </c>
      <c r="AH12" s="24">
        <v>1</v>
      </c>
      <c r="AI12" s="813" t="s">
        <v>1593</v>
      </c>
      <c r="AJ12" s="1712">
        <v>2.2883942857142854</v>
      </c>
      <c r="AK12" s="1713">
        <f>+M12</f>
        <v>1.3018010204081634</v>
      </c>
      <c r="AL12" s="694">
        <v>1</v>
      </c>
      <c r="AM12" s="1714">
        <v>8.5500000000000007E-2</v>
      </c>
      <c r="AN12" s="24">
        <v>1</v>
      </c>
      <c r="AO12" s="813" t="s">
        <v>1593</v>
      </c>
      <c r="AP12" s="1712">
        <v>1.0530885714285714</v>
      </c>
      <c r="AQ12" s="1713">
        <f>+N12</f>
        <v>1.3018010204081634</v>
      </c>
      <c r="AR12" s="694">
        <f t="shared" si="15"/>
        <v>0.80894741586420682</v>
      </c>
      <c r="AS12" s="1714">
        <v>8.5500000000000007E-2</v>
      </c>
      <c r="AT12" s="24">
        <v>0.81</v>
      </c>
      <c r="AU12" s="813" t="s">
        <v>3225</v>
      </c>
      <c r="AV12" s="1712">
        <v>1.61</v>
      </c>
      <c r="AW12" s="1713">
        <f t="shared" si="18"/>
        <v>1.3018010204081634</v>
      </c>
      <c r="AX12" s="694">
        <v>1</v>
      </c>
      <c r="AY12" s="1717">
        <v>8.5500000000000007E-2</v>
      </c>
      <c r="AZ12" s="24">
        <v>1</v>
      </c>
      <c r="BA12" s="813" t="s">
        <v>3226</v>
      </c>
      <c r="BB12" s="1712">
        <v>2.38</v>
      </c>
      <c r="BC12" s="1716">
        <f t="shared" si="19"/>
        <v>1.3018010204081634</v>
      </c>
      <c r="BD12" s="694">
        <v>1</v>
      </c>
      <c r="BE12" s="812">
        <v>8.5500000000000007E-2</v>
      </c>
      <c r="BF12" s="24">
        <v>1</v>
      </c>
      <c r="BG12" s="813" t="s">
        <v>1593</v>
      </c>
      <c r="BH12" s="1718">
        <v>2.3971428571428574E-2</v>
      </c>
      <c r="BI12" s="1716">
        <f t="shared" si="20"/>
        <v>1.3018010204081634</v>
      </c>
      <c r="BJ12" s="694">
        <f t="shared" si="8"/>
        <v>1.8414049609450017E-2</v>
      </c>
      <c r="BK12" s="23">
        <v>8.5500000000000007E-2</v>
      </c>
      <c r="BL12" s="24">
        <v>0.02</v>
      </c>
      <c r="BM12" s="813" t="s">
        <v>3227</v>
      </c>
      <c r="BN12" s="1712">
        <v>0.83599999999999997</v>
      </c>
      <c r="BO12" s="1713">
        <f t="shared" si="17"/>
        <v>1.3018010204081634</v>
      </c>
      <c r="BP12" s="694">
        <f t="shared" si="9"/>
        <v>0.64218723667760125</v>
      </c>
      <c r="BQ12" s="23">
        <v>8.5500000000000007E-2</v>
      </c>
      <c r="BR12" s="24">
        <v>0.65</v>
      </c>
      <c r="BS12" s="813" t="s">
        <v>3227</v>
      </c>
      <c r="BT12" s="1712">
        <v>0.38142857142857145</v>
      </c>
      <c r="BU12" s="1719">
        <f t="shared" si="21"/>
        <v>0.64710714285714288</v>
      </c>
      <c r="BV12" s="694">
        <f t="shared" si="10"/>
        <v>0.58943650311827367</v>
      </c>
      <c r="BW12" s="23">
        <v>4.2500000000000003E-2</v>
      </c>
      <c r="BX12" s="24">
        <v>1</v>
      </c>
      <c r="BY12" s="813" t="s">
        <v>3228</v>
      </c>
      <c r="BZ12" s="1715">
        <v>0</v>
      </c>
      <c r="CA12" s="1721">
        <f>+T12</f>
        <v>0.65</v>
      </c>
      <c r="CB12" s="1720">
        <v>0</v>
      </c>
      <c r="CC12" s="57">
        <v>0</v>
      </c>
      <c r="CD12" s="24">
        <v>0</v>
      </c>
      <c r="CE12" s="1205" t="s">
        <v>1557</v>
      </c>
      <c r="CF12" s="1715">
        <v>0</v>
      </c>
      <c r="CG12" s="1721">
        <v>0</v>
      </c>
      <c r="CH12" s="1720">
        <v>0</v>
      </c>
      <c r="CI12" s="57">
        <v>0</v>
      </c>
      <c r="CJ12" s="24">
        <v>0</v>
      </c>
      <c r="CK12" s="1205" t="s">
        <v>1557</v>
      </c>
      <c r="CL12" s="1205">
        <v>0.5</v>
      </c>
      <c r="CM12" s="1205">
        <v>0</v>
      </c>
      <c r="CN12" s="1205">
        <v>3.2</v>
      </c>
      <c r="CO12" s="1205">
        <v>0</v>
      </c>
      <c r="CP12" s="24">
        <v>0</v>
      </c>
      <c r="CQ12" s="1205" t="s">
        <v>3229</v>
      </c>
      <c r="CR12" s="21">
        <f>+X12+AD12+AJ12+AP12+AV12+BB12+BH12+BN12+BT12+BZ12+CF12+CL12</f>
        <v>15.68708</v>
      </c>
      <c r="CS12" s="21">
        <f>+Y12+AE12+AK12+AQ12+AW12+BC12+BI12+BO12+BU12+CA12+CG12+CM12</f>
        <v>15.231207142857144</v>
      </c>
      <c r="CT12" s="796">
        <v>1</v>
      </c>
      <c r="CU12" s="21">
        <f t="shared" si="14"/>
        <v>15.231207142857144</v>
      </c>
      <c r="CV12" s="728">
        <v>1</v>
      </c>
      <c r="CW12" s="813" t="s">
        <v>3230</v>
      </c>
      <c r="CX12" s="2">
        <v>100</v>
      </c>
    </row>
    <row r="13" spans="1:102" s="2" customFormat="1" ht="127.5" customHeight="1">
      <c r="A13" s="1424"/>
      <c r="B13" s="8" t="s">
        <v>416</v>
      </c>
      <c r="C13" s="790"/>
      <c r="D13" s="790" t="s">
        <v>3231</v>
      </c>
      <c r="E13" s="790" t="s">
        <v>1606</v>
      </c>
      <c r="F13" s="846" t="s">
        <v>1607</v>
      </c>
      <c r="G13" s="790" t="s">
        <v>53</v>
      </c>
      <c r="H13" s="790" t="s">
        <v>1606</v>
      </c>
      <c r="I13" s="1709" t="s">
        <v>1591</v>
      </c>
      <c r="J13" s="790" t="s">
        <v>3159</v>
      </c>
      <c r="K13" s="1722">
        <v>1711</v>
      </c>
      <c r="L13" s="1722">
        <v>1801</v>
      </c>
      <c r="M13" s="1722">
        <v>3759</v>
      </c>
      <c r="N13" s="1722">
        <v>0</v>
      </c>
      <c r="O13" s="1722">
        <v>6175</v>
      </c>
      <c r="P13" s="1723">
        <v>5336</v>
      </c>
      <c r="Q13" s="1723">
        <v>7014</v>
      </c>
      <c r="R13" s="1723">
        <v>6175</v>
      </c>
      <c r="S13" s="1724">
        <v>1648</v>
      </c>
      <c r="T13" s="1724">
        <v>1648</v>
      </c>
      <c r="U13" s="1724">
        <v>0</v>
      </c>
      <c r="V13" s="1724">
        <v>0</v>
      </c>
      <c r="W13" s="50"/>
      <c r="X13" s="1712">
        <v>1141</v>
      </c>
      <c r="Y13" s="1725">
        <f>+K13</f>
        <v>1711</v>
      </c>
      <c r="Z13" s="694">
        <f t="shared" si="1"/>
        <v>0.66686148451198135</v>
      </c>
      <c r="AA13" s="1714">
        <v>4.0800000000000003E-2</v>
      </c>
      <c r="AB13" s="24">
        <v>0.67</v>
      </c>
      <c r="AC13" s="813" t="s">
        <v>3232</v>
      </c>
      <c r="AD13" s="1712">
        <v>1141</v>
      </c>
      <c r="AE13" s="1725">
        <f>+L13</f>
        <v>1801</v>
      </c>
      <c r="AF13" s="694">
        <f t="shared" si="3"/>
        <v>0.63353692393114935</v>
      </c>
      <c r="AG13" s="1714">
        <v>4.2900000000000001E-2</v>
      </c>
      <c r="AH13" s="24">
        <v>0.63</v>
      </c>
      <c r="AI13" s="813" t="s">
        <v>3233</v>
      </c>
      <c r="AJ13" s="1715">
        <v>1141</v>
      </c>
      <c r="AK13" s="1725">
        <f>+M13</f>
        <v>3759</v>
      </c>
      <c r="AL13" s="694">
        <f t="shared" si="0"/>
        <v>0.30353817504655495</v>
      </c>
      <c r="AM13" s="1714">
        <v>8.9599999999999999E-2</v>
      </c>
      <c r="AN13" s="24">
        <v>0.3</v>
      </c>
      <c r="AO13" s="813" t="s">
        <v>1611</v>
      </c>
      <c r="AP13" s="1715">
        <v>1237</v>
      </c>
      <c r="AQ13" s="1713">
        <f>+N13</f>
        <v>0</v>
      </c>
      <c r="AR13" s="694" t="str">
        <f t="shared" si="15"/>
        <v xml:space="preserve"> </v>
      </c>
      <c r="AS13" s="1714">
        <v>0</v>
      </c>
      <c r="AT13" s="24" t="str">
        <f t="shared" si="16"/>
        <v xml:space="preserve"> </v>
      </c>
      <c r="AU13" s="57"/>
      <c r="AV13" s="1715">
        <v>1559</v>
      </c>
      <c r="AW13" s="1713">
        <f t="shared" si="18"/>
        <v>6175</v>
      </c>
      <c r="AX13" s="694">
        <f t="shared" si="5"/>
        <v>0.25246963562753039</v>
      </c>
      <c r="AY13" s="1714">
        <v>0.14710000000000001</v>
      </c>
      <c r="AZ13" s="24">
        <v>0.25</v>
      </c>
      <c r="BA13" s="813" t="s">
        <v>3234</v>
      </c>
      <c r="BB13" s="1715">
        <v>950</v>
      </c>
      <c r="BC13" s="1716">
        <f t="shared" si="19"/>
        <v>5336</v>
      </c>
      <c r="BD13" s="694">
        <f t="shared" si="7"/>
        <v>0.17803598200899551</v>
      </c>
      <c r="BE13" s="812">
        <v>0.12709999999999999</v>
      </c>
      <c r="BF13" s="24">
        <v>0.18</v>
      </c>
      <c r="BG13" s="813" t="s">
        <v>3235</v>
      </c>
      <c r="BH13" s="1718">
        <v>0</v>
      </c>
      <c r="BI13" s="1726">
        <f t="shared" si="20"/>
        <v>7014</v>
      </c>
      <c r="BJ13" s="694">
        <f t="shared" si="8"/>
        <v>0</v>
      </c>
      <c r="BK13" s="23">
        <v>0.1671</v>
      </c>
      <c r="BL13" s="24">
        <f>IF(BI13=0," ",BJ13/BK13)</f>
        <v>0</v>
      </c>
      <c r="BM13" s="813" t="s">
        <v>3236</v>
      </c>
      <c r="BN13" s="1715">
        <v>3267.3900000000003</v>
      </c>
      <c r="BO13" s="1725">
        <f t="shared" si="17"/>
        <v>6175</v>
      </c>
      <c r="BP13" s="694">
        <f t="shared" si="9"/>
        <v>0.52913198380566806</v>
      </c>
      <c r="BQ13" s="23">
        <v>0.14710000000000001</v>
      </c>
      <c r="BR13" s="24">
        <v>0.53</v>
      </c>
      <c r="BS13" s="820" t="s">
        <v>1615</v>
      </c>
      <c r="BT13" s="1715">
        <v>3050.7299999999996</v>
      </c>
      <c r="BU13" s="1719">
        <f t="shared" si="21"/>
        <v>1648</v>
      </c>
      <c r="BV13" s="694">
        <v>1</v>
      </c>
      <c r="BW13" s="23">
        <v>5.96E-2</v>
      </c>
      <c r="BX13" s="24">
        <v>1</v>
      </c>
      <c r="BY13" s="813" t="s">
        <v>3237</v>
      </c>
      <c r="BZ13" s="1712">
        <v>1525.51</v>
      </c>
      <c r="CA13" s="1721">
        <f>+T13</f>
        <v>1648</v>
      </c>
      <c r="CB13" s="1720">
        <f>IF(CA13=0," ",BZ13/CA13)</f>
        <v>0.92567354368932042</v>
      </c>
      <c r="CC13" s="122">
        <v>4.6699999999999998E-2</v>
      </c>
      <c r="CD13" s="24">
        <v>0.92600000000000005</v>
      </c>
      <c r="CE13" s="1205" t="s">
        <v>3238</v>
      </c>
      <c r="CF13" s="57">
        <v>419</v>
      </c>
      <c r="CG13" s="57">
        <v>0</v>
      </c>
      <c r="CH13" s="122">
        <v>1</v>
      </c>
      <c r="CI13" s="57">
        <v>0</v>
      </c>
      <c r="CJ13" s="24">
        <v>1</v>
      </c>
      <c r="CK13" s="1205" t="s">
        <v>3239</v>
      </c>
      <c r="CL13" s="1205">
        <v>1362.7</v>
      </c>
      <c r="CM13" s="1205">
        <v>0</v>
      </c>
      <c r="CN13" s="1205">
        <v>4</v>
      </c>
      <c r="CO13" s="1205">
        <v>0</v>
      </c>
      <c r="CP13" s="24">
        <v>0</v>
      </c>
      <c r="CQ13" s="1205" t="s">
        <v>3240</v>
      </c>
      <c r="CR13" s="21">
        <f>+X13+AD13+AJ13+AP13+AV13+BB13+BH13+BN13+BT13+BZ13+CF13+CL13</f>
        <v>16794.329999999998</v>
      </c>
      <c r="CS13" s="21">
        <f>+Y13+AE13+AK13+AQ13+AW13+BC13+BI13+BO13+BU13+CA13+CM13</f>
        <v>35267</v>
      </c>
      <c r="CT13" s="796">
        <f t="shared" si="13"/>
        <v>0.47620523435506273</v>
      </c>
      <c r="CU13" s="21">
        <v>35267</v>
      </c>
      <c r="CV13" s="728">
        <v>0.48</v>
      </c>
      <c r="CW13" s="25" t="s">
        <v>3241</v>
      </c>
      <c r="CX13" s="2">
        <v>48</v>
      </c>
    </row>
    <row r="14" spans="1:102" s="2" customFormat="1" ht="81" customHeight="1">
      <c r="A14" s="1424"/>
      <c r="B14" s="8" t="s">
        <v>416</v>
      </c>
      <c r="C14" s="790"/>
      <c r="D14" s="13" t="s">
        <v>3242</v>
      </c>
      <c r="E14" s="13" t="s">
        <v>1622</v>
      </c>
      <c r="F14" s="8" t="s">
        <v>3243</v>
      </c>
      <c r="G14" s="8" t="s">
        <v>53</v>
      </c>
      <c r="H14" s="13" t="s">
        <v>1622</v>
      </c>
      <c r="I14" s="8" t="s">
        <v>1591</v>
      </c>
      <c r="J14" s="790" t="s">
        <v>658</v>
      </c>
      <c r="K14" s="1687">
        <v>1.29</v>
      </c>
      <c r="L14" s="1687">
        <v>0.72</v>
      </c>
      <c r="M14" s="1687">
        <v>0.72</v>
      </c>
      <c r="N14" s="1687">
        <v>0</v>
      </c>
      <c r="O14" s="1687">
        <v>5.5759999999999996</v>
      </c>
      <c r="P14" s="1710">
        <v>4.6759999999999993</v>
      </c>
      <c r="Q14" s="1710">
        <v>6.476</v>
      </c>
      <c r="R14" s="1710">
        <v>5.5759999999999996</v>
      </c>
      <c r="S14" s="1711">
        <v>2.2450000000000001</v>
      </c>
      <c r="T14" s="1711">
        <v>2.2450000000000001</v>
      </c>
      <c r="U14" s="1711">
        <v>0</v>
      </c>
      <c r="V14" s="1711">
        <v>0</v>
      </c>
      <c r="W14" s="50"/>
      <c r="X14" s="1712">
        <v>1.29</v>
      </c>
      <c r="Y14" s="1713">
        <f>+K14</f>
        <v>1.29</v>
      </c>
      <c r="Z14" s="694">
        <f t="shared" si="1"/>
        <v>1</v>
      </c>
      <c r="AA14" s="1714">
        <v>4.2099999999999999E-2</v>
      </c>
      <c r="AB14" s="24">
        <v>1</v>
      </c>
      <c r="AC14" s="813" t="s">
        <v>1593</v>
      </c>
      <c r="AD14" s="1727">
        <v>0.72</v>
      </c>
      <c r="AE14" s="1713">
        <f>+L14</f>
        <v>0.72</v>
      </c>
      <c r="AF14" s="694">
        <f t="shared" si="3"/>
        <v>1</v>
      </c>
      <c r="AG14" s="1714">
        <v>2.35E-2</v>
      </c>
      <c r="AH14" s="24">
        <v>1</v>
      </c>
      <c r="AI14" s="813" t="s">
        <v>1593</v>
      </c>
      <c r="AJ14" s="1727">
        <v>0.38</v>
      </c>
      <c r="AK14" s="1713">
        <f>+M14</f>
        <v>0.72</v>
      </c>
      <c r="AL14" s="694">
        <f t="shared" si="0"/>
        <v>0.52777777777777779</v>
      </c>
      <c r="AM14" s="1714">
        <v>2.35E-2</v>
      </c>
      <c r="AN14" s="24">
        <v>0.53</v>
      </c>
      <c r="AO14" s="813" t="s">
        <v>1624</v>
      </c>
      <c r="AP14" s="1728">
        <v>0</v>
      </c>
      <c r="AQ14" s="1713">
        <f>+N14</f>
        <v>0</v>
      </c>
      <c r="AR14" s="694" t="str">
        <f t="shared" si="15"/>
        <v xml:space="preserve"> </v>
      </c>
      <c r="AS14" s="1714">
        <v>0</v>
      </c>
      <c r="AT14" s="24" t="str">
        <f t="shared" si="16"/>
        <v xml:space="preserve"> </v>
      </c>
      <c r="AU14" s="57" t="s">
        <v>1555</v>
      </c>
      <c r="AV14" s="1727">
        <v>0.34</v>
      </c>
      <c r="AW14" s="1713">
        <f t="shared" si="18"/>
        <v>5.5759999999999996</v>
      </c>
      <c r="AX14" s="694">
        <f t="shared" si="5"/>
        <v>6.0975609756097567E-2</v>
      </c>
      <c r="AY14" s="1714">
        <v>0.1822</v>
      </c>
      <c r="AZ14" s="24">
        <v>0.06</v>
      </c>
      <c r="BA14" s="813" t="s">
        <v>3234</v>
      </c>
      <c r="BB14" s="1727">
        <v>0.14000000000000001</v>
      </c>
      <c r="BC14" s="1716">
        <f t="shared" si="19"/>
        <v>4.6759999999999993</v>
      </c>
      <c r="BD14" s="694">
        <f t="shared" si="7"/>
        <v>2.9940119760479049E-2</v>
      </c>
      <c r="BE14" s="812">
        <v>0.15279999999999999</v>
      </c>
      <c r="BF14" s="24">
        <v>0.03</v>
      </c>
      <c r="BG14" s="813" t="s">
        <v>3234</v>
      </c>
      <c r="BH14" s="1718">
        <v>2.8570000000000002</v>
      </c>
      <c r="BI14" s="1716">
        <f t="shared" si="20"/>
        <v>6.476</v>
      </c>
      <c r="BJ14" s="694">
        <f t="shared" si="8"/>
        <v>0.44116738727609639</v>
      </c>
      <c r="BK14" s="23">
        <v>0.21160000000000001</v>
      </c>
      <c r="BL14" s="24">
        <v>0.44</v>
      </c>
      <c r="BM14" s="813" t="s">
        <v>1614</v>
      </c>
      <c r="BN14" s="1727">
        <v>2.37</v>
      </c>
      <c r="BO14" s="1713">
        <f t="shared" si="17"/>
        <v>5.5759999999999996</v>
      </c>
      <c r="BP14" s="694">
        <f t="shared" si="9"/>
        <v>0.42503586800573895</v>
      </c>
      <c r="BQ14" s="23">
        <v>0.1822</v>
      </c>
      <c r="BR14" s="24">
        <v>0.43</v>
      </c>
      <c r="BS14" s="820" t="s">
        <v>1615</v>
      </c>
      <c r="BT14" s="1727">
        <v>1.2799999999999994</v>
      </c>
      <c r="BU14" s="1719">
        <f t="shared" si="21"/>
        <v>2.2450000000000001</v>
      </c>
      <c r="BV14" s="694">
        <f t="shared" si="10"/>
        <v>0.57015590200445398</v>
      </c>
      <c r="BW14" s="23">
        <v>0.1822</v>
      </c>
      <c r="BX14" s="24">
        <v>1</v>
      </c>
      <c r="BY14" s="813" t="s">
        <v>1626</v>
      </c>
      <c r="BZ14" s="1728">
        <v>0.7</v>
      </c>
      <c r="CA14" s="1721">
        <f>+T14</f>
        <v>2.2450000000000001</v>
      </c>
      <c r="CB14" s="1720">
        <f>IF(CA14=0," ",BZ14/CA14)</f>
        <v>0.31180400890868593</v>
      </c>
      <c r="CC14" s="122">
        <v>7.6200000000000004E-2</v>
      </c>
      <c r="CD14" s="24">
        <f>+BZ14/CA14</f>
        <v>0.31180400890868593</v>
      </c>
      <c r="CE14" s="25" t="s">
        <v>3244</v>
      </c>
      <c r="CF14" s="1715">
        <v>2.08</v>
      </c>
      <c r="CG14" s="1721">
        <v>0</v>
      </c>
      <c r="CH14" s="1720">
        <v>1</v>
      </c>
      <c r="CI14" s="57">
        <v>0</v>
      </c>
      <c r="CJ14" s="24">
        <v>1</v>
      </c>
      <c r="CK14" s="1205" t="s">
        <v>3245</v>
      </c>
      <c r="CL14" s="1205">
        <v>0</v>
      </c>
      <c r="CM14" s="1205">
        <v>0</v>
      </c>
      <c r="CN14" s="1205">
        <v>0</v>
      </c>
      <c r="CO14" s="1205">
        <v>0</v>
      </c>
      <c r="CP14" s="24">
        <v>0</v>
      </c>
      <c r="CQ14" s="1205" t="s">
        <v>1555</v>
      </c>
      <c r="CR14" s="21">
        <f t="shared" ref="CR14:CS16" si="22">+X14+AD14+AJ14+AP14+AV14+BB14+BH14+BN14+BT14+BZ14+CF14</f>
        <v>12.157</v>
      </c>
      <c r="CS14" s="21">
        <f t="shared" si="22"/>
        <v>29.524000000000001</v>
      </c>
      <c r="CT14" s="796">
        <f t="shared" si="13"/>
        <v>0.41176669827936591</v>
      </c>
      <c r="CU14" s="21">
        <f t="shared" si="14"/>
        <v>29.524000000000001</v>
      </c>
      <c r="CV14" s="728">
        <v>0.41</v>
      </c>
      <c r="CW14" s="25" t="s">
        <v>3246</v>
      </c>
      <c r="CX14" s="2">
        <v>41</v>
      </c>
    </row>
    <row r="15" spans="1:102" ht="45" customHeight="1">
      <c r="A15" s="893"/>
      <c r="B15" s="8" t="s">
        <v>416</v>
      </c>
      <c r="C15" s="1290"/>
      <c r="D15" s="13" t="s">
        <v>3247</v>
      </c>
      <c r="E15" s="13" t="s">
        <v>1631</v>
      </c>
      <c r="F15" s="8" t="s">
        <v>1632</v>
      </c>
      <c r="G15" s="8" t="s">
        <v>53</v>
      </c>
      <c r="H15" s="13" t="s">
        <v>1631</v>
      </c>
      <c r="I15" s="8" t="s">
        <v>1591</v>
      </c>
      <c r="J15" s="8" t="s">
        <v>556</v>
      </c>
      <c r="K15" s="1687">
        <v>0</v>
      </c>
      <c r="L15" s="1687">
        <v>0.5</v>
      </c>
      <c r="M15" s="1687">
        <v>0.5</v>
      </c>
      <c r="N15" s="1687">
        <v>0</v>
      </c>
      <c r="O15" s="1687">
        <v>0</v>
      </c>
      <c r="P15" s="1710">
        <v>0</v>
      </c>
      <c r="Q15" s="1710">
        <v>0</v>
      </c>
      <c r="R15" s="1710">
        <v>0</v>
      </c>
      <c r="S15" s="1729">
        <v>0</v>
      </c>
      <c r="T15" s="1729">
        <v>0</v>
      </c>
      <c r="U15" s="1729">
        <v>0</v>
      </c>
      <c r="V15" s="1729">
        <v>0</v>
      </c>
      <c r="W15" s="8"/>
      <c r="X15" s="1712"/>
      <c r="Y15" s="21"/>
      <c r="Z15" s="694" t="str">
        <f t="shared" si="1"/>
        <v xml:space="preserve"> </v>
      </c>
      <c r="AA15" s="58"/>
      <c r="AB15" s="24" t="str">
        <f t="shared" si="2"/>
        <v xml:space="preserve"> </v>
      </c>
      <c r="AC15" s="57" t="s">
        <v>1555</v>
      </c>
      <c r="AD15" s="1728">
        <v>0.5</v>
      </c>
      <c r="AE15" s="21">
        <f>+L15</f>
        <v>0.5</v>
      </c>
      <c r="AF15" s="694">
        <f t="shared" si="3"/>
        <v>1</v>
      </c>
      <c r="AG15" s="99">
        <v>0.5</v>
      </c>
      <c r="AH15" s="24">
        <v>1</v>
      </c>
      <c r="AI15" s="813" t="s">
        <v>1593</v>
      </c>
      <c r="AJ15" s="1728">
        <v>0.5</v>
      </c>
      <c r="AK15" s="21">
        <f>+M15</f>
        <v>0.5</v>
      </c>
      <c r="AL15" s="694">
        <f t="shared" si="0"/>
        <v>1</v>
      </c>
      <c r="AM15" s="58">
        <v>0.5</v>
      </c>
      <c r="AN15" s="24">
        <v>1</v>
      </c>
      <c r="AO15" s="813" t="s">
        <v>1593</v>
      </c>
      <c r="AP15" s="1728"/>
      <c r="AQ15" s="21"/>
      <c r="AR15" s="694" t="str">
        <f t="shared" si="15"/>
        <v xml:space="preserve"> </v>
      </c>
      <c r="AS15" s="58"/>
      <c r="AT15" s="24" t="str">
        <f t="shared" si="16"/>
        <v xml:space="preserve"> </v>
      </c>
      <c r="AU15" s="57" t="s">
        <v>1555</v>
      </c>
      <c r="AV15" s="1728"/>
      <c r="AW15" s="21">
        <f t="shared" si="18"/>
        <v>0</v>
      </c>
      <c r="AX15" s="694" t="str">
        <f t="shared" si="5"/>
        <v xml:space="preserve"> </v>
      </c>
      <c r="AY15" s="563">
        <v>0</v>
      </c>
      <c r="AZ15" s="24" t="str">
        <f t="shared" si="6"/>
        <v xml:space="preserve"> </v>
      </c>
      <c r="BA15" s="57" t="s">
        <v>1555</v>
      </c>
      <c r="BB15" s="1728">
        <v>0</v>
      </c>
      <c r="BC15" s="1716">
        <f t="shared" si="19"/>
        <v>0</v>
      </c>
      <c r="BD15" s="694" t="str">
        <f t="shared" si="7"/>
        <v xml:space="preserve"> </v>
      </c>
      <c r="BE15" s="23">
        <f>+P15</f>
        <v>0</v>
      </c>
      <c r="BF15" s="24" t="str">
        <f>IF(BC15=0," ",BD15/BE15)</f>
        <v xml:space="preserve"> </v>
      </c>
      <c r="BG15" s="820" t="s">
        <v>1555</v>
      </c>
      <c r="BH15" s="653">
        <v>0</v>
      </c>
      <c r="BI15" s="21">
        <f t="shared" si="20"/>
        <v>0</v>
      </c>
      <c r="BJ15" s="694" t="str">
        <f t="shared" si="8"/>
        <v xml:space="preserve"> </v>
      </c>
      <c r="BK15" s="23">
        <v>0</v>
      </c>
      <c r="BL15" s="24" t="str">
        <f>IF(BI15=0," ",BJ15/BK15)</f>
        <v xml:space="preserve"> </v>
      </c>
      <c r="BM15" s="820" t="s">
        <v>1625</v>
      </c>
      <c r="BN15" s="1728"/>
      <c r="BO15" s="21">
        <f t="shared" si="17"/>
        <v>0</v>
      </c>
      <c r="BP15" s="694" t="str">
        <f t="shared" si="9"/>
        <v xml:space="preserve"> </v>
      </c>
      <c r="BQ15" s="23"/>
      <c r="BR15" s="24" t="str">
        <f>IF(BO15=0," ",BP15/BQ15)</f>
        <v xml:space="preserve"> </v>
      </c>
      <c r="BS15" s="820" t="s">
        <v>1625</v>
      </c>
      <c r="BT15" s="1728">
        <v>0</v>
      </c>
      <c r="BU15" s="1719">
        <f t="shared" si="21"/>
        <v>0</v>
      </c>
      <c r="BV15" s="694" t="str">
        <f t="shared" si="10"/>
        <v xml:space="preserve"> </v>
      </c>
      <c r="BW15" s="23">
        <f t="shared" si="11"/>
        <v>0</v>
      </c>
      <c r="BX15" s="24" t="str">
        <f t="shared" si="12"/>
        <v xml:space="preserve"> </v>
      </c>
      <c r="BY15" s="820" t="s">
        <v>3248</v>
      </c>
      <c r="BZ15" s="21">
        <v>0</v>
      </c>
      <c r="CA15" s="21">
        <v>0</v>
      </c>
      <c r="CB15" s="1720" t="str">
        <f>IF(CA15=0," ",BZ15/CA15)</f>
        <v xml:space="preserve"> </v>
      </c>
      <c r="CC15" s="58">
        <v>0</v>
      </c>
      <c r="CD15" s="24">
        <v>0</v>
      </c>
      <c r="CE15" s="25" t="s">
        <v>1557</v>
      </c>
      <c r="CF15" s="21">
        <v>0</v>
      </c>
      <c r="CG15" s="21">
        <v>0</v>
      </c>
      <c r="CH15" s="694">
        <v>0</v>
      </c>
      <c r="CI15" s="58">
        <v>0</v>
      </c>
      <c r="CJ15" s="24">
        <v>0</v>
      </c>
      <c r="CK15" s="25" t="s">
        <v>1557</v>
      </c>
      <c r="CL15" s="1205">
        <v>0</v>
      </c>
      <c r="CM15" s="1205">
        <v>0</v>
      </c>
      <c r="CN15" s="1205">
        <v>0</v>
      </c>
      <c r="CO15" s="1205">
        <v>0</v>
      </c>
      <c r="CP15" s="24">
        <v>0</v>
      </c>
      <c r="CQ15" s="25" t="s">
        <v>1555</v>
      </c>
      <c r="CR15" s="21">
        <f t="shared" si="22"/>
        <v>1</v>
      </c>
      <c r="CS15" s="21">
        <f t="shared" si="22"/>
        <v>1</v>
      </c>
      <c r="CT15" s="796">
        <f t="shared" si="13"/>
        <v>1</v>
      </c>
      <c r="CU15" s="21">
        <f t="shared" si="14"/>
        <v>1</v>
      </c>
      <c r="CV15" s="728">
        <v>1</v>
      </c>
      <c r="CW15" s="25" t="s">
        <v>3249</v>
      </c>
      <c r="CX15" s="15">
        <v>100</v>
      </c>
    </row>
    <row r="16" spans="1:102" ht="90">
      <c r="A16" s="893"/>
      <c r="B16" s="8" t="s">
        <v>416</v>
      </c>
      <c r="C16" s="1290"/>
      <c r="D16" s="13" t="s">
        <v>3250</v>
      </c>
      <c r="E16" s="13" t="s">
        <v>3251</v>
      </c>
      <c r="F16" s="8" t="s">
        <v>3252</v>
      </c>
      <c r="G16" s="8" t="s">
        <v>53</v>
      </c>
      <c r="H16" s="13" t="s">
        <v>3251</v>
      </c>
      <c r="I16" s="8" t="s">
        <v>1591</v>
      </c>
      <c r="J16" s="8" t="s">
        <v>1592</v>
      </c>
      <c r="K16" s="1687">
        <v>0</v>
      </c>
      <c r="L16" s="1687">
        <v>0</v>
      </c>
      <c r="M16" s="1687">
        <v>0</v>
      </c>
      <c r="N16" s="1687">
        <v>4.0481964285714298</v>
      </c>
      <c r="O16" s="1687">
        <v>4.0481964285714298</v>
      </c>
      <c r="P16" s="1710">
        <v>4.0481964285714298</v>
      </c>
      <c r="Q16" s="1710">
        <v>4.0481964285714298</v>
      </c>
      <c r="R16" s="1710">
        <v>4.0481964285714298</v>
      </c>
      <c r="S16" s="1711">
        <v>10.217142857142857</v>
      </c>
      <c r="T16" s="1711">
        <v>10.217142857142857</v>
      </c>
      <c r="U16" s="1711">
        <v>0.27714285714285714</v>
      </c>
      <c r="V16" s="1711">
        <v>0</v>
      </c>
      <c r="W16" s="8"/>
      <c r="X16" s="1712"/>
      <c r="Y16" s="21"/>
      <c r="Z16" s="694" t="str">
        <f t="shared" si="1"/>
        <v xml:space="preserve"> </v>
      </c>
      <c r="AA16" s="58"/>
      <c r="AB16" s="24" t="str">
        <f t="shared" si="2"/>
        <v xml:space="preserve"> </v>
      </c>
      <c r="AC16" s="57" t="s">
        <v>1555</v>
      </c>
      <c r="AD16" s="21"/>
      <c r="AE16" s="21"/>
      <c r="AF16" s="694" t="str">
        <f t="shared" si="3"/>
        <v xml:space="preserve"> </v>
      </c>
      <c r="AG16" s="58"/>
      <c r="AH16" s="24" t="str">
        <f>IF(AE16=0," ",AF16/AG16)</f>
        <v xml:space="preserve"> </v>
      </c>
      <c r="AI16" s="1697" t="s">
        <v>1555</v>
      </c>
      <c r="AJ16" s="21"/>
      <c r="AK16" s="21"/>
      <c r="AL16" s="694" t="str">
        <f t="shared" si="0"/>
        <v xml:space="preserve"> </v>
      </c>
      <c r="AM16" s="58"/>
      <c r="AN16" s="24" t="str">
        <f t="shared" si="4"/>
        <v xml:space="preserve"> </v>
      </c>
      <c r="AO16" s="1697" t="s">
        <v>1555</v>
      </c>
      <c r="AP16" s="1727">
        <v>2.0129999999999999</v>
      </c>
      <c r="AQ16" s="653">
        <f>+N16</f>
        <v>4.0481964285714298</v>
      </c>
      <c r="AR16" s="694">
        <f t="shared" si="15"/>
        <v>0.49725847930515776</v>
      </c>
      <c r="AS16" s="1730">
        <v>0.13270000000000001</v>
      </c>
      <c r="AT16" s="24">
        <v>0.5</v>
      </c>
      <c r="AU16" s="820" t="s">
        <v>3253</v>
      </c>
      <c r="AV16" s="1727">
        <v>6.19</v>
      </c>
      <c r="AW16" s="653">
        <f t="shared" si="18"/>
        <v>4.0481964285714298</v>
      </c>
      <c r="AX16" s="694">
        <v>1</v>
      </c>
      <c r="AY16" s="1730">
        <v>0.13270000000000001</v>
      </c>
      <c r="AZ16" s="24">
        <v>1</v>
      </c>
      <c r="BA16" s="820" t="s">
        <v>3254</v>
      </c>
      <c r="BB16" s="1727">
        <v>36.630000000000003</v>
      </c>
      <c r="BC16" s="1716">
        <f t="shared" si="19"/>
        <v>4.0481964285714298</v>
      </c>
      <c r="BD16" s="694">
        <v>1</v>
      </c>
      <c r="BE16" s="812">
        <v>0.13270000000000001</v>
      </c>
      <c r="BF16" s="24">
        <v>1</v>
      </c>
      <c r="BG16" s="820" t="s">
        <v>3254</v>
      </c>
      <c r="BH16" s="653">
        <v>14.125019999999999</v>
      </c>
      <c r="BI16" s="21">
        <f t="shared" si="20"/>
        <v>4.0481964285714298</v>
      </c>
      <c r="BJ16" s="694">
        <v>1</v>
      </c>
      <c r="BK16" s="23">
        <v>0.13270000000000001</v>
      </c>
      <c r="BL16" s="24">
        <v>1</v>
      </c>
      <c r="BM16" s="813" t="s">
        <v>3255</v>
      </c>
      <c r="BN16" s="1715">
        <v>28.35</v>
      </c>
      <c r="BO16" s="21">
        <f t="shared" si="17"/>
        <v>4.0481964285714298</v>
      </c>
      <c r="BP16" s="694">
        <v>1</v>
      </c>
      <c r="BQ16" s="23">
        <v>0.13270000000000001</v>
      </c>
      <c r="BR16" s="24">
        <v>1</v>
      </c>
      <c r="BS16" s="813" t="s">
        <v>3255</v>
      </c>
      <c r="BT16" s="1712">
        <v>3.9779400000000025</v>
      </c>
      <c r="BU16" s="1719">
        <f t="shared" si="21"/>
        <v>10.217142857142857</v>
      </c>
      <c r="BV16" s="694">
        <f t="shared" si="10"/>
        <v>0.38933976510067136</v>
      </c>
      <c r="BW16" s="23">
        <v>0.13270000000000001</v>
      </c>
      <c r="BX16" s="24">
        <v>1</v>
      </c>
      <c r="BY16" s="25" t="s">
        <v>3256</v>
      </c>
      <c r="BZ16" s="21">
        <v>16.46</v>
      </c>
      <c r="CA16" s="21">
        <v>10.199999999999999</v>
      </c>
      <c r="CB16" s="1720">
        <v>1</v>
      </c>
      <c r="CC16" s="58">
        <v>0.25</v>
      </c>
      <c r="CD16" s="24">
        <v>1</v>
      </c>
      <c r="CE16" s="25" t="s">
        <v>3257</v>
      </c>
      <c r="CF16" s="1712">
        <v>0.28999999999999998</v>
      </c>
      <c r="CG16" s="1719">
        <f>+U16</f>
        <v>0.27714285714285714</v>
      </c>
      <c r="CH16" s="694">
        <v>1</v>
      </c>
      <c r="CI16" s="58">
        <v>6.7999999999999996E-3</v>
      </c>
      <c r="CJ16" s="24">
        <v>1</v>
      </c>
      <c r="CK16" s="25" t="s">
        <v>3258</v>
      </c>
      <c r="CL16" s="1205">
        <v>0</v>
      </c>
      <c r="CM16" s="1205">
        <v>0</v>
      </c>
      <c r="CN16" s="1205">
        <v>0</v>
      </c>
      <c r="CO16" s="1205">
        <v>0</v>
      </c>
      <c r="CP16" s="24">
        <v>0</v>
      </c>
      <c r="CQ16" s="25" t="s">
        <v>1555</v>
      </c>
      <c r="CR16" s="21">
        <f t="shared" si="22"/>
        <v>108.03596</v>
      </c>
      <c r="CS16" s="21">
        <f t="shared" si="22"/>
        <v>40.935267857142861</v>
      </c>
      <c r="CT16" s="796">
        <v>1</v>
      </c>
      <c r="CU16" s="21">
        <f t="shared" si="14"/>
        <v>40.952410714285719</v>
      </c>
      <c r="CV16" s="728">
        <v>1</v>
      </c>
      <c r="CW16" s="25" t="s">
        <v>3259</v>
      </c>
      <c r="CX16" s="15">
        <v>100</v>
      </c>
    </row>
    <row r="17" spans="1:102" ht="14.25" customHeight="1">
      <c r="A17" s="893"/>
      <c r="B17" s="36"/>
      <c r="C17" s="34"/>
      <c r="D17" s="35"/>
      <c r="E17" s="35"/>
      <c r="F17" s="36"/>
      <c r="G17" s="36"/>
      <c r="H17" s="35" t="s">
        <v>49</v>
      </c>
      <c r="I17" s="36"/>
      <c r="J17" s="36"/>
      <c r="K17" s="37"/>
      <c r="L17" s="37"/>
      <c r="M17" s="38"/>
      <c r="N17" s="37"/>
      <c r="O17" s="37"/>
      <c r="P17" s="39"/>
      <c r="Q17" s="39"/>
      <c r="R17" s="39"/>
      <c r="S17" s="39"/>
      <c r="T17" s="39"/>
      <c r="U17" s="39"/>
      <c r="V17" s="39"/>
      <c r="W17" s="36"/>
      <c r="X17" s="40"/>
      <c r="Y17" s="40"/>
      <c r="Z17" s="1695"/>
      <c r="AA17" s="42"/>
      <c r="AB17" s="42"/>
      <c r="AC17" s="34"/>
      <c r="AD17" s="34"/>
      <c r="AE17" s="40"/>
      <c r="AF17" s="40"/>
      <c r="AG17" s="1695"/>
      <c r="AH17" s="42"/>
      <c r="AI17" s="42"/>
      <c r="AJ17" s="34"/>
      <c r="AK17" s="40"/>
      <c r="AL17" s="40"/>
      <c r="AM17" s="1695"/>
      <c r="AN17" s="42"/>
      <c r="AO17" s="42"/>
      <c r="AP17" s="40"/>
      <c r="AQ17" s="40"/>
      <c r="AR17" s="1695"/>
      <c r="AS17" s="42"/>
      <c r="AT17" s="42"/>
      <c r="AU17" s="730"/>
      <c r="AV17" s="40"/>
      <c r="AW17" s="40"/>
      <c r="AX17" s="1695" t="str">
        <f t="shared" si="5"/>
        <v xml:space="preserve"> </v>
      </c>
      <c r="AY17" s="42"/>
      <c r="AZ17" s="42" t="str">
        <f t="shared" si="6"/>
        <v xml:space="preserve"> </v>
      </c>
      <c r="BA17" s="42"/>
      <c r="BB17" s="40"/>
      <c r="BC17" s="40"/>
      <c r="BD17" s="1695"/>
      <c r="BE17" s="42"/>
      <c r="BF17" s="42"/>
      <c r="BG17" s="1731"/>
      <c r="BH17" s="1732"/>
      <c r="BI17" s="1733"/>
      <c r="BJ17" s="1733"/>
      <c r="BK17" s="1734"/>
      <c r="BL17" s="1735"/>
      <c r="BM17" s="1735"/>
      <c r="BN17" s="1733"/>
      <c r="BO17" s="1733"/>
      <c r="BP17" s="1734"/>
      <c r="BQ17" s="1735"/>
      <c r="BR17" s="1735"/>
      <c r="BS17" s="1731"/>
      <c r="BT17" s="1732"/>
      <c r="BU17" s="1733"/>
      <c r="BV17" s="1733"/>
      <c r="BW17" s="1734"/>
      <c r="BX17" s="1735"/>
      <c r="BY17" s="1735"/>
      <c r="BZ17" s="1733"/>
      <c r="CA17" s="1733"/>
      <c r="CB17" s="1734"/>
      <c r="CC17" s="1735"/>
      <c r="CD17" s="1735"/>
      <c r="CE17" s="1736"/>
      <c r="CF17" s="1732"/>
      <c r="CG17" s="1733"/>
      <c r="CH17" s="1733"/>
      <c r="CI17" s="1734"/>
      <c r="CJ17" s="1735"/>
      <c r="CK17" s="1735"/>
      <c r="CL17" s="1733"/>
      <c r="CM17" s="1733"/>
      <c r="CN17" s="1734"/>
      <c r="CO17" s="1735"/>
      <c r="CP17" s="1735"/>
      <c r="CQ17" s="1731"/>
      <c r="CR17" s="1733"/>
      <c r="CS17" s="1733"/>
      <c r="CT17" s="1733"/>
      <c r="CU17" s="1695"/>
      <c r="CV17" s="42"/>
      <c r="CW17" s="43"/>
    </row>
    <row r="18" spans="1:102" s="2" customFormat="1" ht="47.25" customHeight="1">
      <c r="A18" s="1424"/>
      <c r="B18" s="8" t="s">
        <v>55</v>
      </c>
      <c r="C18" s="8" t="s">
        <v>89</v>
      </c>
      <c r="D18" s="8" t="s">
        <v>56</v>
      </c>
      <c r="E18" s="8" t="s">
        <v>57</v>
      </c>
      <c r="F18" s="403" t="s">
        <v>58</v>
      </c>
      <c r="G18" s="8" t="s">
        <v>53</v>
      </c>
      <c r="H18" s="403" t="s">
        <v>59</v>
      </c>
      <c r="I18" s="8" t="s">
        <v>60</v>
      </c>
      <c r="J18" s="135" t="s">
        <v>54</v>
      </c>
      <c r="K18" s="1690"/>
      <c r="L18" s="1690"/>
      <c r="M18" s="848">
        <v>1</v>
      </c>
      <c r="N18" s="1690"/>
      <c r="O18" s="1698"/>
      <c r="P18" s="848">
        <v>1</v>
      </c>
      <c r="Q18" s="848"/>
      <c r="R18" s="1690"/>
      <c r="S18" s="848">
        <v>1</v>
      </c>
      <c r="T18" s="848"/>
      <c r="U18" s="1690"/>
      <c r="V18" s="848">
        <v>1</v>
      </c>
      <c r="W18" s="685"/>
      <c r="X18" s="57"/>
      <c r="Y18" s="57"/>
      <c r="Z18" s="694" t="str">
        <f>IF(Y18=0," ",X18/Y18)</f>
        <v xml:space="preserve"> </v>
      </c>
      <c r="AA18" s="57"/>
      <c r="AB18" s="24" t="str">
        <f>IF(Y18=0," ",Z18/AA18)</f>
        <v xml:space="preserve"> </v>
      </c>
      <c r="AC18" s="57" t="s">
        <v>1555</v>
      </c>
      <c r="AD18" s="57"/>
      <c r="AE18" s="57"/>
      <c r="AF18" s="694" t="str">
        <f>IF(AE18=0," ",AD18/AE18)</f>
        <v xml:space="preserve"> </v>
      </c>
      <c r="AG18" s="57"/>
      <c r="AH18" s="24" t="str">
        <f>IF(AE18=0," ",AF18/AG18)</f>
        <v xml:space="preserve"> </v>
      </c>
      <c r="AI18" s="57" t="s">
        <v>1555</v>
      </c>
      <c r="AJ18" s="57"/>
      <c r="AK18" s="57"/>
      <c r="AL18" s="694" t="str">
        <f t="shared" si="0"/>
        <v xml:space="preserve"> </v>
      </c>
      <c r="AM18" s="1699">
        <f>+M18</f>
        <v>1</v>
      </c>
      <c r="AN18" s="24" t="str">
        <f t="shared" si="4"/>
        <v xml:space="preserve"> </v>
      </c>
      <c r="AO18" s="57" t="s">
        <v>3260</v>
      </c>
      <c r="AP18" s="57"/>
      <c r="AQ18" s="57"/>
      <c r="AR18" s="694" t="str">
        <f>IF(AQ18=0," ",AP18/AQ18)</f>
        <v xml:space="preserve"> </v>
      </c>
      <c r="AS18" s="57"/>
      <c r="AT18" s="24" t="str">
        <f>IF(AQ18=0," ",AR18/AS18)</f>
        <v xml:space="preserve"> </v>
      </c>
      <c r="AU18" s="57" t="s">
        <v>1555</v>
      </c>
      <c r="AV18" s="57"/>
      <c r="AW18" s="57"/>
      <c r="AX18" s="694" t="str">
        <f t="shared" si="5"/>
        <v xml:space="preserve"> </v>
      </c>
      <c r="AY18" s="1699">
        <f>+O18</f>
        <v>0</v>
      </c>
      <c r="AZ18" s="24" t="str">
        <f t="shared" si="6"/>
        <v xml:space="preserve"> </v>
      </c>
      <c r="BA18" s="57" t="s">
        <v>1555</v>
      </c>
      <c r="BB18" s="57">
        <v>0</v>
      </c>
      <c r="BC18" s="1699">
        <v>0</v>
      </c>
      <c r="BD18" s="694" t="str">
        <f>IF(BC18=0," ",BB18/BC18)</f>
        <v xml:space="preserve"> </v>
      </c>
      <c r="BE18" s="23"/>
      <c r="BF18" s="24"/>
      <c r="BG18" s="843" t="s">
        <v>1281</v>
      </c>
      <c r="BH18" s="57"/>
      <c r="BI18" s="57"/>
      <c r="BJ18" s="694" t="str">
        <f>IF(BI18=0," ",BH18/BI18)</f>
        <v xml:space="preserve"> </v>
      </c>
      <c r="BK18" s="23"/>
      <c r="BL18" s="24" t="str">
        <f>IF(BI18=0," ",BJ18/BK18)</f>
        <v xml:space="preserve"> </v>
      </c>
      <c r="BM18" s="57" t="s">
        <v>1555</v>
      </c>
      <c r="BN18" s="57"/>
      <c r="BO18" s="57"/>
      <c r="BP18" s="694" t="str">
        <f>IF(BO18=0," ",BN18/BO18)</f>
        <v xml:space="preserve"> </v>
      </c>
      <c r="BQ18" s="23"/>
      <c r="BR18" s="24" t="str">
        <f>IF(BO18=0," ",BP18/BQ18)</f>
        <v xml:space="preserve"> </v>
      </c>
      <c r="BS18" s="57"/>
      <c r="BT18" s="57">
        <v>0</v>
      </c>
      <c r="BU18" s="1699">
        <f>+S18</f>
        <v>1</v>
      </c>
      <c r="BV18" s="694">
        <f>IF(BU18=0," ",BT18/BU18)</f>
        <v>0</v>
      </c>
      <c r="BW18" s="23">
        <v>1</v>
      </c>
      <c r="BX18" s="24" t="s">
        <v>1556</v>
      </c>
      <c r="BY18" s="1345" t="s">
        <v>324</v>
      </c>
      <c r="BZ18" s="57">
        <v>0</v>
      </c>
      <c r="CA18" s="57">
        <v>0</v>
      </c>
      <c r="CB18" s="57">
        <v>0</v>
      </c>
      <c r="CC18" s="57">
        <v>0</v>
      </c>
      <c r="CD18" s="57">
        <v>0</v>
      </c>
      <c r="CE18" s="1205" t="s">
        <v>1557</v>
      </c>
      <c r="CF18" s="57">
        <v>0</v>
      </c>
      <c r="CG18" s="57">
        <v>0</v>
      </c>
      <c r="CH18" s="57">
        <v>0</v>
      </c>
      <c r="CI18" s="57">
        <v>0</v>
      </c>
      <c r="CJ18" s="57">
        <v>0</v>
      </c>
      <c r="CK18" s="1205" t="s">
        <v>1557</v>
      </c>
      <c r="CL18" s="57">
        <v>0</v>
      </c>
      <c r="CM18" s="57">
        <v>0</v>
      </c>
      <c r="CN18" s="57">
        <v>0</v>
      </c>
      <c r="CO18" s="57">
        <v>0</v>
      </c>
      <c r="CP18" s="24">
        <v>0</v>
      </c>
      <c r="CQ18" s="1205" t="s">
        <v>1557</v>
      </c>
      <c r="CR18" s="21">
        <f>+X18+AD18+AJ18+AP18+AV18+BB18+BH18+BN18+BT18</f>
        <v>0</v>
      </c>
      <c r="CS18" s="21">
        <v>0</v>
      </c>
      <c r="CT18" s="796">
        <v>0</v>
      </c>
      <c r="CU18" s="728">
        <v>0</v>
      </c>
      <c r="CV18" s="728">
        <v>0</v>
      </c>
      <c r="CW18" s="1345" t="s">
        <v>3261</v>
      </c>
    </row>
    <row r="19" spans="1:102" s="2" customFormat="1" ht="74.25" customHeight="1">
      <c r="A19" s="1424"/>
      <c r="B19" s="8" t="s">
        <v>55</v>
      </c>
      <c r="C19" s="8" t="s">
        <v>88</v>
      </c>
      <c r="D19" s="8" t="s">
        <v>61</v>
      </c>
      <c r="E19" s="8" t="s">
        <v>57</v>
      </c>
      <c r="F19" s="403" t="s">
        <v>62</v>
      </c>
      <c r="G19" s="8" t="s">
        <v>53</v>
      </c>
      <c r="H19" s="8" t="s">
        <v>63</v>
      </c>
      <c r="I19" s="8" t="s">
        <v>64</v>
      </c>
      <c r="J19" s="135" t="s">
        <v>54</v>
      </c>
      <c r="K19" s="1737"/>
      <c r="L19" s="1738">
        <v>1</v>
      </c>
      <c r="M19" s="1738"/>
      <c r="N19" s="1738">
        <v>1</v>
      </c>
      <c r="O19" s="1737"/>
      <c r="P19" s="848">
        <v>1</v>
      </c>
      <c r="Q19" s="1738"/>
      <c r="R19" s="848">
        <v>1</v>
      </c>
      <c r="S19" s="1738"/>
      <c r="T19" s="848">
        <v>1</v>
      </c>
      <c r="U19" s="1737"/>
      <c r="V19" s="848">
        <v>1</v>
      </c>
      <c r="W19" s="685"/>
      <c r="X19" s="57"/>
      <c r="Y19" s="57"/>
      <c r="Z19" s="694" t="str">
        <f>IF(Y19=0," ",X19/Y19)</f>
        <v xml:space="preserve"> </v>
      </c>
      <c r="AA19" s="57"/>
      <c r="AB19" s="24" t="str">
        <f>IF(Y19=0," ",Z19/AA19)</f>
        <v xml:space="preserve"> </v>
      </c>
      <c r="AC19" s="57" t="s">
        <v>1555</v>
      </c>
      <c r="AD19" s="57"/>
      <c r="AE19" s="57"/>
      <c r="AF19" s="694" t="str">
        <f>IF(AE19=0," ",AD19/AE19)</f>
        <v xml:space="preserve"> </v>
      </c>
      <c r="AG19" s="1699">
        <f>+L19</f>
        <v>1</v>
      </c>
      <c r="AH19" s="24" t="str">
        <f>IF(AE19=0," ",AF19/AG19)</f>
        <v xml:space="preserve"> </v>
      </c>
      <c r="AI19" s="57" t="s">
        <v>3262</v>
      </c>
      <c r="AJ19" s="57"/>
      <c r="AK19" s="57"/>
      <c r="AL19" s="694" t="str">
        <f t="shared" si="0"/>
        <v xml:space="preserve"> </v>
      </c>
      <c r="AM19" s="57"/>
      <c r="AN19" s="24" t="str">
        <f t="shared" si="4"/>
        <v xml:space="preserve"> </v>
      </c>
      <c r="AO19" s="57" t="s">
        <v>1555</v>
      </c>
      <c r="AP19" s="57"/>
      <c r="AQ19" s="57"/>
      <c r="AR19" s="694" t="str">
        <f>IF(AQ19=0," ",AP19/AQ19)</f>
        <v xml:space="preserve"> </v>
      </c>
      <c r="AS19" s="1699">
        <f>+N19</f>
        <v>1</v>
      </c>
      <c r="AT19" s="24" t="str">
        <f>IF(AQ19=0," ",AR19/AS19)</f>
        <v xml:space="preserve"> </v>
      </c>
      <c r="AU19" s="57" t="s">
        <v>3263</v>
      </c>
      <c r="AV19" s="57"/>
      <c r="AW19" s="57"/>
      <c r="AX19" s="694" t="str">
        <f t="shared" si="5"/>
        <v xml:space="preserve"> </v>
      </c>
      <c r="AY19" s="1699">
        <f>+O19</f>
        <v>0</v>
      </c>
      <c r="AZ19" s="24" t="str">
        <f t="shared" si="6"/>
        <v xml:space="preserve"> </v>
      </c>
      <c r="BA19" s="57" t="s">
        <v>1555</v>
      </c>
      <c r="BB19" s="57">
        <v>0</v>
      </c>
      <c r="BC19" s="1699">
        <v>0</v>
      </c>
      <c r="BD19" s="694" t="str">
        <f>IF(BC19=0," ",BB19/BC19)</f>
        <v xml:space="preserve"> </v>
      </c>
      <c r="BE19" s="23">
        <f>+P19</f>
        <v>1</v>
      </c>
      <c r="BF19" s="24" t="str">
        <f>IF(BC19=0," ",BD19/BE19)</f>
        <v xml:space="preserve"> </v>
      </c>
      <c r="BG19" s="116" t="s">
        <v>1281</v>
      </c>
      <c r="BH19" s="57"/>
      <c r="BI19" s="57"/>
      <c r="BJ19" s="694" t="str">
        <f>IF(BI19=0," ",BH19/BI19)</f>
        <v xml:space="preserve"> </v>
      </c>
      <c r="BK19" s="23"/>
      <c r="BL19" s="24" t="str">
        <f>IF(BI19=0," ",BJ19/BK19)</f>
        <v xml:space="preserve"> </v>
      </c>
      <c r="BM19" s="57" t="s">
        <v>1555</v>
      </c>
      <c r="BN19" s="57"/>
      <c r="BO19" s="57"/>
      <c r="BP19" s="694" t="str">
        <f>IF(BO19=0," ",BN19/BO19)</f>
        <v xml:space="preserve"> </v>
      </c>
      <c r="BQ19" s="23"/>
      <c r="BR19" s="24" t="str">
        <f>IF(BO19=0," ",BP19/BQ19)</f>
        <v xml:space="preserve"> </v>
      </c>
      <c r="BS19" s="57" t="s">
        <v>325</v>
      </c>
      <c r="BT19" s="57">
        <v>0</v>
      </c>
      <c r="BU19" s="1699">
        <f>+S19</f>
        <v>0</v>
      </c>
      <c r="BV19" s="694">
        <v>0</v>
      </c>
      <c r="BW19" s="23">
        <v>0</v>
      </c>
      <c r="BX19" s="24" t="s">
        <v>1556</v>
      </c>
      <c r="BY19" s="1345" t="s">
        <v>324</v>
      </c>
      <c r="BZ19" s="57">
        <v>0</v>
      </c>
      <c r="CA19" s="57">
        <v>0</v>
      </c>
      <c r="CB19" s="57">
        <v>0</v>
      </c>
      <c r="CC19" s="57">
        <v>0</v>
      </c>
      <c r="CD19" s="24">
        <v>0</v>
      </c>
      <c r="CE19" s="1205" t="s">
        <v>148</v>
      </c>
      <c r="CF19" s="57">
        <v>0</v>
      </c>
      <c r="CG19" s="57">
        <v>0</v>
      </c>
      <c r="CH19" s="57">
        <v>0</v>
      </c>
      <c r="CI19" s="57">
        <v>0</v>
      </c>
      <c r="CJ19" s="24">
        <v>0</v>
      </c>
      <c r="CK19" s="1205" t="s">
        <v>148</v>
      </c>
      <c r="CL19" s="57">
        <v>0</v>
      </c>
      <c r="CM19" s="57">
        <v>0</v>
      </c>
      <c r="CN19" s="57">
        <v>0</v>
      </c>
      <c r="CO19" s="57">
        <v>0</v>
      </c>
      <c r="CP19" s="24">
        <v>0</v>
      </c>
      <c r="CQ19" s="1205" t="s">
        <v>148</v>
      </c>
      <c r="CR19" s="21">
        <f>+X19+AD19+AJ19+AP19+AV19+BB19+BH19+BN19+BT19</f>
        <v>0</v>
      </c>
      <c r="CS19" s="21">
        <f>+Y19+AE19+AK19+AQ19+AW19+BC19+BI19+BO19+BU19</f>
        <v>0</v>
      </c>
      <c r="CT19" s="796">
        <v>0</v>
      </c>
      <c r="CU19" s="728">
        <v>0</v>
      </c>
      <c r="CV19" s="728">
        <v>0</v>
      </c>
      <c r="CW19" s="116" t="s">
        <v>162</v>
      </c>
    </row>
    <row r="20" spans="1:102" s="2" customFormat="1" ht="91.5" customHeight="1">
      <c r="A20" s="1424"/>
      <c r="B20" s="391" t="s">
        <v>81</v>
      </c>
      <c r="C20" s="403"/>
      <c r="D20" s="1136" t="s">
        <v>83</v>
      </c>
      <c r="E20" s="8" t="s">
        <v>84</v>
      </c>
      <c r="F20" s="403" t="s">
        <v>82</v>
      </c>
      <c r="G20" s="8" t="s">
        <v>66</v>
      </c>
      <c r="H20" s="8" t="s">
        <v>86</v>
      </c>
      <c r="I20" s="8" t="s">
        <v>85</v>
      </c>
      <c r="J20" s="8" t="s">
        <v>54</v>
      </c>
      <c r="K20" s="848"/>
      <c r="L20" s="848"/>
      <c r="M20" s="848">
        <v>1</v>
      </c>
      <c r="N20" s="848"/>
      <c r="O20" s="848"/>
      <c r="P20" s="848">
        <v>1</v>
      </c>
      <c r="Q20" s="848"/>
      <c r="R20" s="848"/>
      <c r="S20" s="848">
        <v>1</v>
      </c>
      <c r="T20" s="848"/>
      <c r="U20" s="848"/>
      <c r="V20" s="848">
        <v>1</v>
      </c>
      <c r="W20" s="685"/>
      <c r="X20" s="57"/>
      <c r="Y20" s="57"/>
      <c r="Z20" s="694" t="str">
        <f>IF(Y20=0," ",X20/Y20)</f>
        <v xml:space="preserve"> </v>
      </c>
      <c r="AA20" s="57"/>
      <c r="AB20" s="24" t="str">
        <f>IF(Y20=0," ",Z20/AA20)</f>
        <v xml:space="preserve"> </v>
      </c>
      <c r="AC20" s="57" t="s">
        <v>1555</v>
      </c>
      <c r="AD20" s="57"/>
      <c r="AE20" s="57"/>
      <c r="AF20" s="694" t="str">
        <f>IF(AE20=0," ",AD20/AE20)</f>
        <v xml:space="preserve"> </v>
      </c>
      <c r="AG20" s="57"/>
      <c r="AH20" s="24" t="str">
        <f>IF(AE20=0," ",AF20/AG20)</f>
        <v xml:space="preserve"> </v>
      </c>
      <c r="AI20" s="57" t="s">
        <v>1555</v>
      </c>
      <c r="AJ20" s="57">
        <v>61</v>
      </c>
      <c r="AK20" s="57">
        <v>61</v>
      </c>
      <c r="AL20" s="694">
        <f t="shared" si="0"/>
        <v>1</v>
      </c>
      <c r="AM20" s="1699">
        <f>+M20</f>
        <v>1</v>
      </c>
      <c r="AN20" s="24">
        <f t="shared" si="4"/>
        <v>1</v>
      </c>
      <c r="AO20" s="57" t="s">
        <v>3264</v>
      </c>
      <c r="AP20" s="57"/>
      <c r="AQ20" s="57"/>
      <c r="AR20" s="694" t="str">
        <f>IF(AQ20=0," ",AP20/AQ20)</f>
        <v xml:space="preserve"> </v>
      </c>
      <c r="AS20" s="57"/>
      <c r="AT20" s="24" t="str">
        <f>IF(AQ20=0," ",AR20/AS20)</f>
        <v xml:space="preserve"> </v>
      </c>
      <c r="AU20" s="57" t="s">
        <v>1555</v>
      </c>
      <c r="AV20" s="57"/>
      <c r="AW20" s="57"/>
      <c r="AX20" s="694" t="str">
        <f t="shared" si="5"/>
        <v xml:space="preserve"> </v>
      </c>
      <c r="AY20" s="1699">
        <f>+O20</f>
        <v>0</v>
      </c>
      <c r="AZ20" s="24" t="str">
        <f t="shared" si="6"/>
        <v xml:space="preserve"> </v>
      </c>
      <c r="BA20" s="57" t="s">
        <v>1555</v>
      </c>
      <c r="BB20" s="1205">
        <v>68</v>
      </c>
      <c r="BC20" s="1205">
        <v>68</v>
      </c>
      <c r="BD20" s="694">
        <f>IF(BC20=0," ",BB20/BC20)</f>
        <v>1</v>
      </c>
      <c r="BE20" s="23">
        <f>+P20</f>
        <v>1</v>
      </c>
      <c r="BF20" s="24">
        <f>IF(BC20=0," ",BD20/BE20)</f>
        <v>1</v>
      </c>
      <c r="BG20" s="116" t="s">
        <v>3265</v>
      </c>
      <c r="BH20" s="57"/>
      <c r="BI20" s="57"/>
      <c r="BJ20" s="694" t="str">
        <f>IF(BI20=0," ",BH20/BI20)</f>
        <v xml:space="preserve"> </v>
      </c>
      <c r="BK20" s="23"/>
      <c r="BL20" s="24" t="str">
        <f>IF(BI20=0," ",BJ20/BK20)</f>
        <v xml:space="preserve"> </v>
      </c>
      <c r="BM20" s="57" t="s">
        <v>1555</v>
      </c>
      <c r="BN20" s="57"/>
      <c r="BO20" s="57"/>
      <c r="BP20" s="694" t="str">
        <f>IF(BO20=0," ",BN20/BO20)</f>
        <v xml:space="preserve"> </v>
      </c>
      <c r="BQ20" s="23"/>
      <c r="BR20" s="24" t="str">
        <f>IF(BO20=0," ",BP20/BQ20)</f>
        <v xml:space="preserve"> </v>
      </c>
      <c r="BS20" s="57" t="s">
        <v>1555</v>
      </c>
      <c r="BT20" s="57">
        <v>83</v>
      </c>
      <c r="BU20" s="57">
        <v>83</v>
      </c>
      <c r="BV20" s="694">
        <f>IF(BU20=0," ",BT20/BU20)</f>
        <v>1</v>
      </c>
      <c r="BW20" s="23">
        <v>1</v>
      </c>
      <c r="BX20" s="24">
        <v>1</v>
      </c>
      <c r="BY20" s="25" t="s">
        <v>3266</v>
      </c>
      <c r="BZ20" s="57">
        <v>0</v>
      </c>
      <c r="CA20" s="57">
        <v>0</v>
      </c>
      <c r="CB20" s="57">
        <v>0</v>
      </c>
      <c r="CC20" s="57">
        <v>0</v>
      </c>
      <c r="CD20" s="57">
        <v>0</v>
      </c>
      <c r="CE20" s="1205" t="s">
        <v>1557</v>
      </c>
      <c r="CF20" s="57">
        <v>0</v>
      </c>
      <c r="CG20" s="57">
        <v>0</v>
      </c>
      <c r="CH20" s="57">
        <v>0</v>
      </c>
      <c r="CI20" s="57">
        <v>0</v>
      </c>
      <c r="CJ20" s="57">
        <v>0</v>
      </c>
      <c r="CK20" s="1205" t="s">
        <v>1557</v>
      </c>
      <c r="CL20" s="1205">
        <v>94</v>
      </c>
      <c r="CM20" s="1205">
        <v>94</v>
      </c>
      <c r="CN20" s="568">
        <v>1</v>
      </c>
      <c r="CO20" s="568">
        <v>1</v>
      </c>
      <c r="CP20" s="24">
        <v>1</v>
      </c>
      <c r="CQ20" s="1205" t="s">
        <v>3266</v>
      </c>
      <c r="CR20" s="21">
        <f>+X20+AD20+AJ20+AP20+AV20+BB20+BH20+BN20+BT20+CL20</f>
        <v>306</v>
      </c>
      <c r="CS20" s="21">
        <f>+Y20+AE20+AK20+AQ20+AW20+BC20+BI20+BO20+BU20+CM20</f>
        <v>306</v>
      </c>
      <c r="CT20" s="796">
        <f>IF(CS20=0," ",CR20/CS20)</f>
        <v>1</v>
      </c>
      <c r="CU20" s="728">
        <v>1</v>
      </c>
      <c r="CV20" s="728">
        <f>IF(CS20=0," ",CT20/CU20)</f>
        <v>1</v>
      </c>
      <c r="CW20" s="116" t="s">
        <v>3267</v>
      </c>
      <c r="CX20" s="2">
        <v>100</v>
      </c>
    </row>
    <row r="21" spans="1:102" s="2" customFormat="1" ht="138" customHeight="1">
      <c r="A21" s="1424"/>
      <c r="B21" s="8" t="s">
        <v>155</v>
      </c>
      <c r="C21" s="8" t="s">
        <v>156</v>
      </c>
      <c r="D21" s="13" t="s">
        <v>157</v>
      </c>
      <c r="E21" s="13" t="s">
        <v>158</v>
      </c>
      <c r="F21" s="8" t="s">
        <v>159</v>
      </c>
      <c r="G21" s="8" t="s">
        <v>53</v>
      </c>
      <c r="H21" s="13" t="s">
        <v>160</v>
      </c>
      <c r="I21" s="8" t="s">
        <v>161</v>
      </c>
      <c r="J21" s="8" t="s">
        <v>54</v>
      </c>
      <c r="K21" s="1690"/>
      <c r="L21" s="1690"/>
      <c r="M21" s="848"/>
      <c r="N21" s="1738">
        <v>1</v>
      </c>
      <c r="O21" s="1698"/>
      <c r="P21" s="1698">
        <v>1</v>
      </c>
      <c r="Q21" s="1698"/>
      <c r="R21" s="1698"/>
      <c r="S21" s="1698">
        <v>1</v>
      </c>
      <c r="T21" s="1698"/>
      <c r="U21" s="1698"/>
      <c r="V21" s="1698">
        <v>1</v>
      </c>
      <c r="W21" s="75"/>
      <c r="X21" s="57"/>
      <c r="Y21" s="57"/>
      <c r="Z21" s="694" t="str">
        <f>IF(Y21=0," ",X21/Y21)</f>
        <v xml:space="preserve"> </v>
      </c>
      <c r="AA21" s="57"/>
      <c r="AB21" s="24" t="str">
        <f>IF(Y21=0," ",Z21/AA21)</f>
        <v xml:space="preserve"> </v>
      </c>
      <c r="AC21" s="57" t="s">
        <v>1555</v>
      </c>
      <c r="AD21" s="57"/>
      <c r="AE21" s="57"/>
      <c r="AF21" s="694" t="str">
        <f>IF(AE21=0," ",AD21/AE21)</f>
        <v xml:space="preserve"> </v>
      </c>
      <c r="AG21" s="57"/>
      <c r="AH21" s="24" t="str">
        <f>IF(AE21=0," ",AF21/AG21)</f>
        <v xml:space="preserve"> </v>
      </c>
      <c r="AI21" s="57" t="s">
        <v>1555</v>
      </c>
      <c r="AJ21" s="57"/>
      <c r="AK21" s="57"/>
      <c r="AL21" s="694" t="str">
        <f t="shared" si="0"/>
        <v xml:space="preserve"> </v>
      </c>
      <c r="AM21" s="57"/>
      <c r="AN21" s="24" t="str">
        <f t="shared" si="4"/>
        <v xml:space="preserve"> </v>
      </c>
      <c r="AO21" s="57" t="s">
        <v>1555</v>
      </c>
      <c r="AP21" s="57"/>
      <c r="AQ21" s="57"/>
      <c r="AR21" s="694" t="str">
        <f>IF(AQ21=0," ",AP21/AQ21)</f>
        <v xml:space="preserve"> </v>
      </c>
      <c r="AS21" s="1699">
        <f>+N21</f>
        <v>1</v>
      </c>
      <c r="AT21" s="24" t="str">
        <f>IF(AQ21=0," ",AR21/AS21)</f>
        <v xml:space="preserve"> </v>
      </c>
      <c r="AU21" s="57" t="s">
        <v>3268</v>
      </c>
      <c r="AV21" s="57"/>
      <c r="AW21" s="57"/>
      <c r="AX21" s="694" t="str">
        <f t="shared" si="5"/>
        <v xml:space="preserve"> </v>
      </c>
      <c r="AY21" s="1699">
        <f>+O21</f>
        <v>0</v>
      </c>
      <c r="AZ21" s="24" t="str">
        <f t="shared" si="6"/>
        <v xml:space="preserve"> </v>
      </c>
      <c r="BA21" s="57" t="s">
        <v>1555</v>
      </c>
      <c r="BB21" s="1205">
        <v>2</v>
      </c>
      <c r="BC21" s="1205">
        <v>2</v>
      </c>
      <c r="BD21" s="694">
        <f>IF(BC21=0," ",BB21/BC21)</f>
        <v>1</v>
      </c>
      <c r="BE21" s="23">
        <f>+P21</f>
        <v>1</v>
      </c>
      <c r="BF21" s="24">
        <f>IF(BC21=0," ",BD21/BE21)</f>
        <v>1</v>
      </c>
      <c r="BG21" s="116" t="s">
        <v>3178</v>
      </c>
      <c r="BH21" s="57"/>
      <c r="BI21" s="57"/>
      <c r="BJ21" s="694" t="str">
        <f>IF(BI21=0," ",BH21/BI21)</f>
        <v xml:space="preserve"> </v>
      </c>
      <c r="BK21" s="23"/>
      <c r="BL21" s="24" t="str">
        <f>IF(BI21=0," ",BJ21/BK21)</f>
        <v xml:space="preserve"> </v>
      </c>
      <c r="BM21" s="57" t="s">
        <v>1555</v>
      </c>
      <c r="BN21" s="57"/>
      <c r="BO21" s="57"/>
      <c r="BP21" s="694" t="str">
        <f>IF(BO21=0," ",BN21/BO21)</f>
        <v xml:space="preserve"> </v>
      </c>
      <c r="BQ21" s="23"/>
      <c r="BR21" s="24" t="str">
        <f>IF(BO21=0," ",BP21/BQ21)</f>
        <v xml:space="preserve"> </v>
      </c>
      <c r="BS21" s="57" t="s">
        <v>1555</v>
      </c>
      <c r="BT21" s="57">
        <v>2</v>
      </c>
      <c r="BU21" s="57">
        <v>3</v>
      </c>
      <c r="BV21" s="694">
        <f>IF(BU21=0," ",BT21/BU21)</f>
        <v>0.66666666666666663</v>
      </c>
      <c r="BW21" s="23">
        <v>1</v>
      </c>
      <c r="BX21" s="728">
        <v>0.67</v>
      </c>
      <c r="BY21" s="25" t="s">
        <v>1642</v>
      </c>
      <c r="BZ21" s="57">
        <v>0</v>
      </c>
      <c r="CA21" s="57">
        <v>0</v>
      </c>
      <c r="CB21" s="57">
        <v>0</v>
      </c>
      <c r="CC21" s="57">
        <v>0</v>
      </c>
      <c r="CD21" s="57">
        <v>0</v>
      </c>
      <c r="CE21" s="1205" t="s">
        <v>1557</v>
      </c>
      <c r="CF21" s="57">
        <v>0</v>
      </c>
      <c r="CG21" s="57">
        <v>0</v>
      </c>
      <c r="CH21" s="57">
        <v>0</v>
      </c>
      <c r="CI21" s="57">
        <v>0</v>
      </c>
      <c r="CJ21" s="57">
        <v>0</v>
      </c>
      <c r="CK21" s="1205" t="s">
        <v>1557</v>
      </c>
      <c r="CL21" s="57"/>
      <c r="CM21" s="57"/>
      <c r="CN21" s="57"/>
      <c r="CO21" s="57"/>
      <c r="CP21" s="24"/>
      <c r="CQ21" s="1205" t="s">
        <v>3269</v>
      </c>
      <c r="CR21" s="21">
        <v>2</v>
      </c>
      <c r="CS21" s="21">
        <v>3</v>
      </c>
      <c r="CT21" s="796">
        <f>IF(CS21=0," ",CR21/CS21)</f>
        <v>0.66666666666666663</v>
      </c>
      <c r="CU21" s="728">
        <v>1</v>
      </c>
      <c r="CV21" s="728">
        <f>IF(CS21=0," ",CT21/CU21)</f>
        <v>0.66666666666666663</v>
      </c>
      <c r="CW21" s="25" t="s">
        <v>1645</v>
      </c>
      <c r="CX21" s="2">
        <v>67</v>
      </c>
    </row>
    <row r="22" spans="1:102" ht="41.25" customHeight="1">
      <c r="A22" s="893"/>
      <c r="B22" s="1972" t="s">
        <v>17</v>
      </c>
      <c r="C22" s="1972"/>
      <c r="D22" s="1972"/>
      <c r="E22" s="1972"/>
      <c r="F22" s="5"/>
      <c r="G22" s="5"/>
      <c r="H22" s="5"/>
      <c r="I22" s="5"/>
      <c r="J22" s="5"/>
      <c r="K22" s="6"/>
      <c r="L22" s="6"/>
      <c r="M22" s="6"/>
      <c r="N22" s="6"/>
      <c r="O22" s="6"/>
      <c r="P22" s="6"/>
      <c r="Q22" s="6"/>
      <c r="R22" s="6"/>
      <c r="S22" s="6"/>
      <c r="T22" s="6"/>
      <c r="U22" s="6"/>
      <c r="V22" s="6"/>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701">
        <f>+(BV9+BV10+BV11+BV12+BV13+BV14+BV16+BV20+BV21)/9</f>
        <v>0.56841861835041496</v>
      </c>
      <c r="BW22" s="128"/>
      <c r="BX22" s="128"/>
      <c r="BY22" s="128"/>
      <c r="BZ22" s="128"/>
      <c r="CA22" s="128"/>
      <c r="CB22" s="128"/>
      <c r="CC22" s="128"/>
      <c r="CD22" s="1701">
        <f>+(CD9+CD11+CD13+CD14+CD16)/5</f>
        <v>0.70756080178173719</v>
      </c>
      <c r="CE22" s="128"/>
      <c r="CF22" s="128"/>
      <c r="CG22" s="128"/>
      <c r="CH22" s="1702">
        <f>+(CH10+CH11+CH16)/3</f>
        <v>0.93870526582946956</v>
      </c>
      <c r="CI22" s="128"/>
      <c r="CJ22" s="128"/>
      <c r="CK22" s="128"/>
      <c r="CL22" s="128"/>
      <c r="CM22" s="128"/>
      <c r="CN22" s="128"/>
      <c r="CO22" s="128"/>
      <c r="CP22" s="128"/>
      <c r="CQ22" s="128"/>
      <c r="CR22" s="128"/>
      <c r="CS22" s="128"/>
      <c r="CT22" s="1702"/>
      <c r="CU22" s="128"/>
      <c r="CV22" s="1702">
        <f>+(CV8+CV9+CV10+CV11+CV12+CV13+CV14+CV15+CV16+CV20+CV21)/11</f>
        <v>0.84281385281385279</v>
      </c>
      <c r="CW22" s="1289"/>
    </row>
    <row r="23" spans="1:102" ht="9" customHeight="1">
      <c r="A23" s="893"/>
      <c r="B23" s="128"/>
      <c r="C23" s="679"/>
      <c r="D23" s="752"/>
      <c r="E23" s="1971"/>
      <c r="F23" s="1971"/>
      <c r="G23" s="1971"/>
      <c r="H23" s="1971"/>
      <c r="I23" s="752"/>
      <c r="J23" s="752"/>
      <c r="K23" s="752"/>
      <c r="L23" s="752"/>
      <c r="M23" s="752"/>
      <c r="N23" s="752"/>
      <c r="O23" s="752"/>
      <c r="P23" s="752"/>
      <c r="Q23" s="752"/>
      <c r="R23" s="752"/>
      <c r="S23" s="752"/>
      <c r="T23" s="752"/>
      <c r="U23" s="752"/>
      <c r="V23" s="752"/>
      <c r="W23" s="752"/>
      <c r="X23" s="752"/>
      <c r="Y23" s="752"/>
      <c r="Z23" s="1739">
        <f>(Z8+Z11+Z12+Z13+Z14)/5</f>
        <v>0.93337229690239631</v>
      </c>
      <c r="AA23" s="752"/>
      <c r="AB23" s="752"/>
      <c r="AC23" s="752"/>
      <c r="AD23" s="752"/>
      <c r="AE23" s="752"/>
      <c r="AF23" s="1739">
        <f>(AF8+AF9+AF11+AF12+AF13+AF14+AF15)/7</f>
        <v>0.91633471909225983</v>
      </c>
      <c r="AG23" s="752"/>
      <c r="AH23" s="752"/>
      <c r="AI23" s="752"/>
      <c r="AJ23" s="752"/>
      <c r="AK23" s="752"/>
      <c r="AL23" s="1739">
        <f>SUM(AL8:AL21)/8</f>
        <v>0.4789144941030416</v>
      </c>
      <c r="AM23" s="752"/>
      <c r="AN23" s="752"/>
      <c r="AO23" s="752"/>
      <c r="AP23" s="752"/>
      <c r="AQ23" s="752"/>
      <c r="AR23" s="1739">
        <f>(AR9+AR11+AR12+AR16)/4</f>
        <v>0.67967837843378198</v>
      </c>
      <c r="AS23" s="752"/>
      <c r="AT23" s="752"/>
      <c r="AU23" s="752"/>
      <c r="AV23" s="752"/>
      <c r="AW23" s="752"/>
      <c r="AX23" s="1740">
        <f>SUM(AX8:AX21)/6</f>
        <v>0.63557420756393801</v>
      </c>
      <c r="AY23" s="752"/>
      <c r="AZ23" s="752"/>
      <c r="BA23" s="752"/>
      <c r="BB23" s="752"/>
      <c r="BC23" s="752"/>
      <c r="BD23" s="752"/>
      <c r="BE23" s="752"/>
      <c r="BF23" s="752"/>
      <c r="BG23" s="752"/>
      <c r="BH23" s="752"/>
      <c r="BI23" s="752"/>
      <c r="BJ23" s="752"/>
      <c r="BK23" s="752"/>
      <c r="BL23" s="1740">
        <f>+(BL9+BL10+BL11+BL12+BL13+BL14+BL16)/7</f>
        <v>0.56571428571428573</v>
      </c>
      <c r="BM23" s="752"/>
      <c r="BN23" s="752"/>
      <c r="BO23" s="752"/>
      <c r="BP23" s="752"/>
      <c r="BQ23" s="752"/>
      <c r="BR23" s="752"/>
      <c r="BS23" s="752"/>
      <c r="BT23" s="752"/>
      <c r="BU23" s="752"/>
      <c r="BV23" s="752"/>
      <c r="BW23" s="752"/>
      <c r="BX23" s="752"/>
      <c r="BY23" s="752"/>
      <c r="BZ23" s="752"/>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683"/>
    </row>
    <row r="24" spans="1:102" ht="12.75" customHeight="1">
      <c r="A24" s="893"/>
      <c r="B24" s="128"/>
      <c r="C24" s="679"/>
      <c r="D24" s="2696" t="s">
        <v>3270</v>
      </c>
      <c r="E24" s="2696"/>
      <c r="F24" s="2696"/>
      <c r="G24" s="2696"/>
      <c r="H24" s="2696"/>
      <c r="I24" s="2696"/>
      <c r="J24" s="2696"/>
      <c r="K24" s="2696"/>
      <c r="L24" s="2696"/>
      <c r="M24" s="2696"/>
      <c r="N24" s="2696"/>
      <c r="O24" s="2696"/>
      <c r="P24" s="2696"/>
      <c r="Q24" s="2696"/>
      <c r="R24" s="2696"/>
      <c r="S24" s="2696"/>
      <c r="T24" s="2696"/>
      <c r="U24" s="2696"/>
      <c r="V24" s="2696"/>
      <c r="W24" s="2696"/>
      <c r="X24" s="2696"/>
      <c r="Y24" s="2696"/>
      <c r="Z24" s="2696"/>
      <c r="AA24" s="2696"/>
      <c r="AB24" s="2696"/>
      <c r="AC24" s="2696"/>
      <c r="AD24" s="2696"/>
      <c r="AE24" s="2696"/>
      <c r="AF24" s="2696"/>
      <c r="AG24" s="2696"/>
      <c r="AH24" s="2696"/>
      <c r="AI24" s="2696"/>
      <c r="AJ24" s="2696"/>
      <c r="AK24" s="2696"/>
      <c r="AL24" s="2696"/>
      <c r="AM24" s="2696"/>
      <c r="AN24" s="2696"/>
      <c r="AO24" s="2696"/>
      <c r="AP24" s="2696"/>
      <c r="AQ24" s="2696"/>
      <c r="AR24" s="2696"/>
      <c r="AS24" s="2696"/>
      <c r="AT24" s="2696"/>
      <c r="AU24" s="2696"/>
      <c r="AV24" s="2696"/>
      <c r="AW24" s="2696"/>
      <c r="AX24" s="2696"/>
      <c r="AY24" s="2696"/>
      <c r="AZ24" s="2696"/>
      <c r="BA24" s="2696"/>
      <c r="BB24" s="2696"/>
      <c r="BC24" s="2696"/>
      <c r="BD24" s="2696"/>
      <c r="BE24" s="2696"/>
      <c r="BF24" s="2696"/>
      <c r="BG24" s="2696"/>
      <c r="BH24" s="2696"/>
      <c r="BI24" s="2696"/>
      <c r="BJ24" s="2696"/>
      <c r="BK24" s="2696"/>
      <c r="BL24" s="2696"/>
      <c r="BM24" s="2696"/>
      <c r="BN24" s="2696"/>
      <c r="BO24" s="2696"/>
      <c r="BP24" s="2696"/>
      <c r="BQ24" s="2696"/>
      <c r="BR24" s="2696"/>
      <c r="BS24" s="2696"/>
      <c r="BT24" s="2696"/>
      <c r="BU24" s="2696"/>
      <c r="BV24" s="2696"/>
      <c r="BW24" s="2696"/>
      <c r="BX24" s="2696"/>
      <c r="BY24" s="2696"/>
      <c r="BZ24" s="2696"/>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683"/>
    </row>
    <row r="25" spans="1:102" ht="26.25" customHeight="1">
      <c r="A25" s="893"/>
      <c r="B25" s="128"/>
      <c r="C25" s="679"/>
      <c r="D25" s="2009" t="s">
        <v>3271</v>
      </c>
      <c r="E25" s="2009"/>
      <c r="F25" s="2009"/>
      <c r="G25" s="2009"/>
      <c r="H25" s="2009"/>
      <c r="I25" s="2009"/>
      <c r="J25" s="2009"/>
      <c r="K25" s="2009"/>
      <c r="L25" s="2009"/>
      <c r="M25" s="2009"/>
      <c r="N25" s="2009"/>
      <c r="O25" s="2009"/>
      <c r="P25" s="2009"/>
      <c r="Q25" s="2009"/>
      <c r="R25" s="2009"/>
      <c r="S25" s="2009"/>
      <c r="T25" s="2009"/>
      <c r="U25" s="2009"/>
      <c r="V25" s="2009"/>
      <c r="W25" s="2009"/>
      <c r="X25" s="2009"/>
      <c r="Y25" s="2009"/>
      <c r="Z25" s="2009"/>
      <c r="AA25" s="2009"/>
      <c r="AB25" s="2009"/>
      <c r="AC25" s="2009"/>
      <c r="AD25" s="2009"/>
      <c r="AE25" s="2009"/>
      <c r="AF25" s="2009"/>
      <c r="AG25" s="2009"/>
      <c r="AH25" s="2009"/>
      <c r="AI25" s="2009"/>
      <c r="AJ25" s="2009"/>
      <c r="AK25" s="2009"/>
      <c r="AL25" s="2009"/>
      <c r="AM25" s="2009"/>
      <c r="AN25" s="2009"/>
      <c r="AO25" s="2009"/>
      <c r="AP25" s="2009"/>
      <c r="AQ25" s="2009"/>
      <c r="AR25" s="2009"/>
      <c r="AS25" s="2009"/>
      <c r="AT25" s="2009"/>
      <c r="AU25" s="2009"/>
      <c r="AV25" s="2009"/>
      <c r="AW25" s="2009"/>
      <c r="AX25" s="2009"/>
      <c r="AY25" s="2009"/>
      <c r="AZ25" s="2009"/>
      <c r="BA25" s="2009"/>
      <c r="BB25" s="2009"/>
      <c r="BC25" s="2009"/>
      <c r="BD25" s="2009"/>
      <c r="BE25" s="2009"/>
      <c r="BF25" s="2009"/>
      <c r="BG25" s="2009"/>
      <c r="BH25" s="2009"/>
      <c r="BI25" s="2009"/>
      <c r="BJ25" s="2009"/>
      <c r="BK25" s="2009"/>
      <c r="BL25" s="2009"/>
      <c r="BM25" s="2009"/>
      <c r="BN25" s="2009"/>
      <c r="BO25" s="2009"/>
      <c r="BP25" s="2009"/>
      <c r="BQ25" s="2009"/>
      <c r="BR25" s="2009"/>
      <c r="BS25" s="2009"/>
      <c r="BT25" s="2009"/>
      <c r="BU25" s="2009"/>
      <c r="BV25" s="2009"/>
      <c r="BW25" s="2009"/>
      <c r="BX25" s="2009"/>
      <c r="BY25" s="2009"/>
      <c r="BZ25" s="2009"/>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683"/>
    </row>
    <row r="26" spans="1:102" ht="3.75" customHeight="1">
      <c r="A26" s="893"/>
      <c r="B26" s="128"/>
      <c r="C26" s="679"/>
      <c r="D26" s="128"/>
      <c r="E26" s="236"/>
      <c r="F26" s="236"/>
      <c r="G26" s="236"/>
      <c r="H26" s="236"/>
      <c r="I26" s="236"/>
      <c r="J26" s="236"/>
      <c r="K26" s="236"/>
      <c r="L26" s="236"/>
      <c r="M26" s="236"/>
      <c r="N26" s="236"/>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683"/>
    </row>
    <row r="27" spans="1:102" ht="16.5" customHeight="1">
      <c r="A27" s="893"/>
      <c r="B27" s="128"/>
      <c r="C27" s="679"/>
      <c r="D27" s="895"/>
      <c r="E27" s="752"/>
      <c r="F27" s="752"/>
      <c r="G27" s="752"/>
      <c r="H27" s="752"/>
      <c r="I27" s="752"/>
      <c r="J27" s="752"/>
      <c r="K27" s="752"/>
      <c r="L27" s="752"/>
      <c r="M27" s="752"/>
      <c r="N27" s="752"/>
      <c r="O27" s="898"/>
      <c r="P27" s="752"/>
      <c r="Q27" s="752"/>
      <c r="R27" s="752"/>
      <c r="S27" s="752"/>
      <c r="T27" s="752"/>
      <c r="U27" s="752"/>
      <c r="V27" s="752"/>
      <c r="W27" s="752"/>
      <c r="X27" s="752"/>
      <c r="Y27" s="752"/>
      <c r="Z27" s="752"/>
      <c r="AA27" s="752"/>
      <c r="AB27" s="752"/>
      <c r="AC27" s="752"/>
      <c r="AD27" s="752"/>
      <c r="AE27" s="752"/>
      <c r="AF27" s="752"/>
      <c r="AG27" s="752"/>
      <c r="AH27" s="752"/>
      <c r="AI27" s="752"/>
      <c r="AJ27" s="752"/>
      <c r="AK27" s="752"/>
      <c r="AL27" s="752"/>
      <c r="AM27" s="752"/>
      <c r="AN27" s="752"/>
      <c r="AO27" s="752"/>
      <c r="AP27" s="752"/>
      <c r="AQ27" s="752"/>
      <c r="AR27" s="752"/>
      <c r="AS27" s="752"/>
      <c r="AT27" s="752"/>
      <c r="AU27" s="752"/>
      <c r="AV27" s="752"/>
      <c r="AW27" s="752"/>
      <c r="AX27" s="752"/>
      <c r="AY27" s="752"/>
      <c r="AZ27" s="752"/>
      <c r="BA27" s="752"/>
      <c r="BB27" s="752"/>
      <c r="BC27" s="752"/>
      <c r="BD27" s="752"/>
      <c r="BE27" s="752"/>
      <c r="BF27" s="752"/>
      <c r="BG27" s="752"/>
      <c r="BH27" s="752"/>
      <c r="BI27" s="752"/>
      <c r="BJ27" s="752"/>
      <c r="BK27" s="752"/>
      <c r="BL27" s="752"/>
      <c r="BM27" s="752"/>
      <c r="BN27" s="752"/>
      <c r="BO27" s="752"/>
      <c r="BP27" s="752"/>
      <c r="BQ27" s="752"/>
      <c r="BR27" s="752"/>
      <c r="BS27" s="752"/>
      <c r="BT27" s="752"/>
      <c r="BU27" s="752"/>
      <c r="BV27" s="752"/>
      <c r="BW27" s="752"/>
      <c r="BX27" s="752"/>
      <c r="BY27" s="752"/>
      <c r="BZ27" s="752"/>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683"/>
    </row>
    <row r="28" spans="1:102" ht="12.75" customHeight="1">
      <c r="A28" s="893"/>
      <c r="B28" s="128"/>
      <c r="C28" s="679"/>
      <c r="D28" s="2697" t="s">
        <v>3272</v>
      </c>
      <c r="E28" s="2429"/>
      <c r="F28" s="2429"/>
      <c r="G28" s="2429"/>
      <c r="H28" s="2429"/>
      <c r="I28" s="2429"/>
      <c r="J28" s="2429"/>
      <c r="K28" s="2429"/>
      <c r="L28" s="2429"/>
      <c r="M28" s="2429"/>
      <c r="N28" s="2429"/>
      <c r="O28" s="2429"/>
      <c r="P28" s="2429"/>
      <c r="Q28" s="2429"/>
      <c r="R28" s="2429"/>
      <c r="S28" s="2429"/>
      <c r="T28" s="2429"/>
      <c r="U28" s="2429"/>
      <c r="V28" s="2429"/>
      <c r="W28" s="2429"/>
      <c r="X28" s="2429"/>
      <c r="Y28" s="2429"/>
      <c r="Z28" s="2429"/>
      <c r="AA28" s="2429"/>
      <c r="AB28" s="2429"/>
      <c r="AC28" s="2429"/>
      <c r="AD28" s="2429"/>
      <c r="AE28" s="2429"/>
      <c r="AF28" s="2429"/>
      <c r="AG28" s="2429"/>
      <c r="AH28" s="2429"/>
      <c r="AI28" s="2429"/>
      <c r="AJ28" s="2429"/>
      <c r="AK28" s="2429"/>
      <c r="AL28" s="2429"/>
      <c r="AM28" s="2429"/>
      <c r="AN28" s="2429"/>
      <c r="AO28" s="2429"/>
      <c r="AP28" s="2429"/>
      <c r="AQ28" s="2429"/>
      <c r="AR28" s="2429"/>
      <c r="AS28" s="2429"/>
      <c r="AT28" s="2429"/>
      <c r="AU28" s="2429"/>
      <c r="AV28" s="2429"/>
      <c r="AW28" s="2429"/>
      <c r="AX28" s="2429"/>
      <c r="AY28" s="2429"/>
      <c r="AZ28" s="2429"/>
      <c r="BA28" s="2429"/>
      <c r="BB28" s="2429"/>
      <c r="BC28" s="2429"/>
      <c r="BD28" s="2429"/>
      <c r="BE28" s="2429"/>
      <c r="BF28" s="2429"/>
      <c r="BG28" s="2429"/>
      <c r="BH28" s="2429"/>
      <c r="BI28" s="2429"/>
      <c r="BJ28" s="2429"/>
      <c r="BK28" s="2429"/>
      <c r="BL28" s="2429"/>
      <c r="BM28" s="2429"/>
      <c r="BN28" s="2429"/>
      <c r="BO28" s="2429"/>
      <c r="BP28" s="2429"/>
      <c r="BQ28" s="2429"/>
      <c r="BR28" s="2429"/>
      <c r="BS28" s="2429"/>
      <c r="BT28" s="2429"/>
      <c r="BU28" s="2429"/>
      <c r="BV28" s="2429"/>
      <c r="BW28" s="2429"/>
      <c r="BX28" s="2429"/>
      <c r="BY28" s="2429"/>
      <c r="BZ28" s="2429"/>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683"/>
    </row>
    <row r="29" spans="1:102" ht="12.75" customHeight="1">
      <c r="A29" s="895"/>
      <c r="B29" s="752"/>
      <c r="C29" s="896"/>
      <c r="D29" s="2698" t="s">
        <v>1697</v>
      </c>
      <c r="E29" s="2699"/>
      <c r="F29" s="2699"/>
      <c r="G29" s="2699"/>
      <c r="H29" s="2699"/>
      <c r="I29" s="2699"/>
      <c r="J29" s="2699"/>
      <c r="K29" s="2699"/>
      <c r="L29" s="2699"/>
      <c r="M29" s="2699"/>
      <c r="N29" s="2699"/>
      <c r="O29" s="2699"/>
      <c r="P29" s="2699"/>
      <c r="Q29" s="2699"/>
      <c r="R29" s="2699"/>
      <c r="S29" s="2699"/>
      <c r="T29" s="2699"/>
      <c r="U29" s="2699"/>
      <c r="V29" s="2699"/>
      <c r="W29" s="2699"/>
      <c r="X29" s="2699"/>
      <c r="Y29" s="2699"/>
      <c r="Z29" s="2699"/>
      <c r="AA29" s="2699"/>
      <c r="AB29" s="2699"/>
      <c r="AC29" s="2699"/>
      <c r="AD29" s="2699"/>
      <c r="AE29" s="2699"/>
      <c r="AF29" s="2699"/>
      <c r="AG29" s="2699"/>
      <c r="AH29" s="2699"/>
      <c r="AI29" s="2699"/>
      <c r="AJ29" s="2699"/>
      <c r="AK29" s="2699"/>
      <c r="AL29" s="2699"/>
      <c r="AM29" s="2699"/>
      <c r="AN29" s="2699"/>
      <c r="AO29" s="2699"/>
      <c r="AP29" s="2699"/>
      <c r="AQ29" s="2699"/>
      <c r="AR29" s="2699"/>
      <c r="AS29" s="2699"/>
      <c r="AT29" s="2699"/>
      <c r="AU29" s="2699"/>
      <c r="AV29" s="2699"/>
      <c r="AW29" s="2699"/>
      <c r="AX29" s="2699"/>
      <c r="AY29" s="2699"/>
      <c r="AZ29" s="2699"/>
      <c r="BA29" s="2699"/>
      <c r="BB29" s="2699"/>
      <c r="BC29" s="2699"/>
      <c r="BD29" s="2699"/>
      <c r="BE29" s="2699"/>
      <c r="BF29" s="2699"/>
      <c r="BG29" s="2699"/>
      <c r="BH29" s="2699"/>
      <c r="BI29" s="2699"/>
      <c r="BJ29" s="2699"/>
      <c r="BK29" s="2699"/>
      <c r="BL29" s="2699"/>
      <c r="BM29" s="2699"/>
      <c r="BN29" s="2699"/>
      <c r="BO29" s="2699"/>
      <c r="BP29" s="2699"/>
      <c r="BQ29" s="2699"/>
      <c r="BR29" s="2699"/>
      <c r="BS29" s="2699"/>
      <c r="BT29" s="2699"/>
      <c r="BU29" s="2699"/>
      <c r="BV29" s="2699"/>
      <c r="BW29" s="2699"/>
      <c r="BX29" s="2699"/>
      <c r="BY29" s="2699"/>
      <c r="BZ29" s="2699"/>
      <c r="CA29" s="752"/>
      <c r="CB29" s="752"/>
      <c r="CC29" s="752"/>
      <c r="CD29" s="752"/>
      <c r="CE29" s="752"/>
      <c r="CF29" s="752"/>
      <c r="CG29" s="752"/>
      <c r="CH29" s="752"/>
      <c r="CI29" s="752"/>
      <c r="CJ29" s="752"/>
      <c r="CK29" s="752"/>
      <c r="CL29" s="752"/>
      <c r="CM29" s="752"/>
      <c r="CN29" s="752"/>
      <c r="CO29" s="752"/>
      <c r="CP29" s="752"/>
      <c r="CQ29" s="752"/>
      <c r="CR29" s="752"/>
      <c r="CS29" s="752"/>
      <c r="CT29" s="752"/>
      <c r="CU29" s="752"/>
      <c r="CV29" s="752"/>
      <c r="CW29" s="898"/>
    </row>
  </sheetData>
  <mergeCells count="51">
    <mergeCell ref="E23:H23"/>
    <mergeCell ref="D24:BZ24"/>
    <mergeCell ref="D25:BZ25"/>
    <mergeCell ref="D28:BZ28"/>
    <mergeCell ref="D29:BZ29"/>
    <mergeCell ref="BT6:BY6"/>
    <mergeCell ref="BZ6:CE6"/>
    <mergeCell ref="H6:H7"/>
    <mergeCell ref="I6:I7"/>
    <mergeCell ref="J6:J7"/>
    <mergeCell ref="CL6:CQ6"/>
    <mergeCell ref="CR6:CW6"/>
    <mergeCell ref="B22:E22"/>
    <mergeCell ref="AJ6:AO6"/>
    <mergeCell ref="AP6:AU6"/>
    <mergeCell ref="AV6:BA6"/>
    <mergeCell ref="BB6:BG6"/>
    <mergeCell ref="BH6:BM6"/>
    <mergeCell ref="BN6:BS6"/>
    <mergeCell ref="K6:V6"/>
    <mergeCell ref="X6:AC6"/>
    <mergeCell ref="AD6:AI6"/>
    <mergeCell ref="BZ4:CE4"/>
    <mergeCell ref="CF4:CK4"/>
    <mergeCell ref="CL4:CQ4"/>
    <mergeCell ref="BH4:BM4"/>
    <mergeCell ref="BN4:BS4"/>
    <mergeCell ref="BT4:BY4"/>
    <mergeCell ref="CF6:CK6"/>
    <mergeCell ref="CR4:CW4"/>
    <mergeCell ref="B6:B7"/>
    <mergeCell ref="C6:C7"/>
    <mergeCell ref="D6:D7"/>
    <mergeCell ref="E6:E7"/>
    <mergeCell ref="F6:F7"/>
    <mergeCell ref="G6:G7"/>
    <mergeCell ref="AP4:AU4"/>
    <mergeCell ref="AV4:BA4"/>
    <mergeCell ref="BB4:BG4"/>
    <mergeCell ref="C4:J4"/>
    <mergeCell ref="K4:M4"/>
    <mergeCell ref="N4:V4"/>
    <mergeCell ref="X4:AC4"/>
    <mergeCell ref="AD4:AI4"/>
    <mergeCell ref="AJ4:AO4"/>
    <mergeCell ref="B1:N1"/>
    <mergeCell ref="O1:R1"/>
    <mergeCell ref="S1:V2"/>
    <mergeCell ref="A2:B2"/>
    <mergeCell ref="D2:N2"/>
    <mergeCell ref="O2:R2"/>
  </mergeCells>
  <conditionalFormatting sqref="CD15:CD16 CJ15:CJ16">
    <cfRule type="colorScale" priority="59">
      <colorScale>
        <cfvo type="num" val="0.69"/>
        <cfvo type="num" val="0.8"/>
        <cfvo type="num" val="0.9"/>
        <color rgb="FFF8696B"/>
        <color rgb="FFFFEB84"/>
        <color rgb="FF63BE7B"/>
      </colorScale>
    </cfRule>
  </conditionalFormatting>
  <conditionalFormatting sqref="AB17">
    <cfRule type="colorScale" priority="58">
      <colorScale>
        <cfvo type="num" val="0.69"/>
        <cfvo type="num" val="0.8"/>
        <cfvo type="num" val="0.9"/>
        <color rgb="FFF8696B"/>
        <color rgb="FFFFEB84"/>
        <color rgb="FF63BE7B"/>
      </colorScale>
    </cfRule>
  </conditionalFormatting>
  <conditionalFormatting sqref="AT17">
    <cfRule type="colorScale" priority="57">
      <colorScale>
        <cfvo type="num" val="0.69"/>
        <cfvo type="num" val="0.8"/>
        <cfvo type="num" val="0.9"/>
        <color rgb="FFF8696B"/>
        <color rgb="FFFFEB84"/>
        <color rgb="FF63BE7B"/>
      </colorScale>
    </cfRule>
  </conditionalFormatting>
  <conditionalFormatting sqref="BF17">
    <cfRule type="colorScale" priority="56">
      <colorScale>
        <cfvo type="num" val="0.69"/>
        <cfvo type="num" val="0.8"/>
        <cfvo type="num" val="0.9"/>
        <color rgb="FFF8696B"/>
        <color rgb="FFFFEB84"/>
        <color rgb="FF63BE7B"/>
      </colorScale>
    </cfRule>
  </conditionalFormatting>
  <conditionalFormatting sqref="BR17">
    <cfRule type="colorScale" priority="55">
      <colorScale>
        <cfvo type="num" val="0.69"/>
        <cfvo type="num" val="0.8"/>
        <cfvo type="num" val="0.9"/>
        <color rgb="FFF8696B"/>
        <color rgb="FFFFEB84"/>
        <color rgb="FF63BE7B"/>
      </colorScale>
    </cfRule>
  </conditionalFormatting>
  <conditionalFormatting sqref="CD17">
    <cfRule type="colorScale" priority="54">
      <colorScale>
        <cfvo type="num" val="0.69"/>
        <cfvo type="num" val="0.8"/>
        <cfvo type="num" val="0.9"/>
        <color rgb="FFF8696B"/>
        <color rgb="FFFFEB84"/>
        <color rgb="FF63BE7B"/>
      </colorScale>
    </cfRule>
  </conditionalFormatting>
  <conditionalFormatting sqref="CP17">
    <cfRule type="colorScale" priority="53">
      <colorScale>
        <cfvo type="num" val="0.69"/>
        <cfvo type="num" val="0.8"/>
        <cfvo type="num" val="0.9"/>
        <color rgb="FFF8696B"/>
        <color rgb="FFFFEB84"/>
        <color rgb="FF63BE7B"/>
      </colorScale>
    </cfRule>
  </conditionalFormatting>
  <conditionalFormatting sqref="AI17">
    <cfRule type="colorScale" priority="52">
      <colorScale>
        <cfvo type="num" val="0.69"/>
        <cfvo type="num" val="0.8"/>
        <cfvo type="num" val="0.9"/>
        <color rgb="FFF8696B"/>
        <color rgb="FFFFEB84"/>
        <color rgb="FF63BE7B"/>
      </colorScale>
    </cfRule>
  </conditionalFormatting>
  <conditionalFormatting sqref="AO17">
    <cfRule type="colorScale" priority="51">
      <colorScale>
        <cfvo type="num" val="0.69"/>
        <cfvo type="num" val="0.8"/>
        <cfvo type="num" val="0.9"/>
        <color rgb="FFF8696B"/>
        <color rgb="FFFFEB84"/>
        <color rgb="FF63BE7B"/>
      </colorScale>
    </cfRule>
  </conditionalFormatting>
  <conditionalFormatting sqref="BA17">
    <cfRule type="colorScale" priority="50">
      <colorScale>
        <cfvo type="num" val="0.69"/>
        <cfvo type="num" val="0.8"/>
        <cfvo type="num" val="0.9"/>
        <color rgb="FFF8696B"/>
        <color rgb="FFFFEB84"/>
        <color rgb="FF63BE7B"/>
      </colorScale>
    </cfRule>
  </conditionalFormatting>
  <conditionalFormatting sqref="BM17">
    <cfRule type="colorScale" priority="49">
      <colorScale>
        <cfvo type="num" val="0.69"/>
        <cfvo type="num" val="0.8"/>
        <cfvo type="num" val="0.9"/>
        <color rgb="FFF8696B"/>
        <color rgb="FFFFEB84"/>
        <color rgb="FF63BE7B"/>
      </colorScale>
    </cfRule>
  </conditionalFormatting>
  <conditionalFormatting sqref="BY17">
    <cfRule type="colorScale" priority="48">
      <colorScale>
        <cfvo type="num" val="0.69"/>
        <cfvo type="num" val="0.8"/>
        <cfvo type="num" val="0.9"/>
        <color rgb="FFF8696B"/>
        <color rgb="FFFFEB84"/>
        <color rgb="FF63BE7B"/>
      </colorScale>
    </cfRule>
  </conditionalFormatting>
  <conditionalFormatting sqref="CK17">
    <cfRule type="colorScale" priority="47">
      <colorScale>
        <cfvo type="num" val="0.69"/>
        <cfvo type="num" val="0.8"/>
        <cfvo type="num" val="0.9"/>
        <color rgb="FFF8696B"/>
        <color rgb="FFFFEB84"/>
        <color rgb="FF63BE7B"/>
      </colorScale>
    </cfRule>
  </conditionalFormatting>
  <conditionalFormatting sqref="CW17">
    <cfRule type="colorScale" priority="46">
      <colorScale>
        <cfvo type="num" val="0.69"/>
        <cfvo type="num" val="0.8"/>
        <cfvo type="num" val="0.9"/>
        <color rgb="FFF8696B"/>
        <color rgb="FFFFEB84"/>
        <color rgb="FF63BE7B"/>
      </colorScale>
    </cfRule>
  </conditionalFormatting>
  <conditionalFormatting sqref="AB8">
    <cfRule type="colorScale" priority="45">
      <colorScale>
        <cfvo type="num" val="0.69"/>
        <cfvo type="num" val="0.8"/>
        <cfvo type="num" val="0.9"/>
        <color rgb="FFF8696B"/>
        <color rgb="FFFFEB84"/>
        <color rgb="FF63BE7B"/>
      </colorScale>
    </cfRule>
  </conditionalFormatting>
  <conditionalFormatting sqref="AH8">
    <cfRule type="colorScale" priority="44">
      <colorScale>
        <cfvo type="num" val="0.69"/>
        <cfvo type="num" val="0.8"/>
        <cfvo type="num" val="0.9"/>
        <color rgb="FFF8696B"/>
        <color rgb="FFFFEB84"/>
        <color rgb="FF63BE7B"/>
      </colorScale>
    </cfRule>
  </conditionalFormatting>
  <conditionalFormatting sqref="AT8">
    <cfRule type="colorScale" priority="43">
      <colorScale>
        <cfvo type="num" val="0.69"/>
        <cfvo type="num" val="0.8"/>
        <cfvo type="num" val="0.9"/>
        <color rgb="FFF8696B"/>
        <color rgb="FFFFEB84"/>
        <color rgb="FF63BE7B"/>
      </colorScale>
    </cfRule>
  </conditionalFormatting>
  <conditionalFormatting sqref="BF8">
    <cfRule type="colorScale" priority="42">
      <colorScale>
        <cfvo type="num" val="0.69"/>
        <cfvo type="num" val="0.8"/>
        <cfvo type="num" val="0.9"/>
        <color rgb="FFF8696B"/>
        <color rgb="FFFFEB84"/>
        <color rgb="FF63BE7B"/>
      </colorScale>
    </cfRule>
  </conditionalFormatting>
  <conditionalFormatting sqref="BL8">
    <cfRule type="colorScale" priority="41">
      <colorScale>
        <cfvo type="num" val="0.69"/>
        <cfvo type="num" val="0.8"/>
        <cfvo type="num" val="0.9"/>
        <color rgb="FFF8696B"/>
        <color rgb="FFFFEB84"/>
        <color rgb="FF63BE7B"/>
      </colorScale>
    </cfRule>
  </conditionalFormatting>
  <conditionalFormatting sqref="BX8">
    <cfRule type="colorScale" priority="40">
      <colorScale>
        <cfvo type="num" val="0.69"/>
        <cfvo type="num" val="0.8"/>
        <cfvo type="num" val="0.9"/>
        <color rgb="FFF8696B"/>
        <color rgb="FFFFEB84"/>
        <color rgb="FF63BE7B"/>
      </colorScale>
    </cfRule>
  </conditionalFormatting>
  <conditionalFormatting sqref="CD8">
    <cfRule type="colorScale" priority="39">
      <colorScale>
        <cfvo type="num" val="0.69"/>
        <cfvo type="num" val="0.8"/>
        <cfvo type="num" val="0.9"/>
        <color rgb="FFF8696B"/>
        <color rgb="FFFFEB84"/>
        <color rgb="FF63BE7B"/>
      </colorScale>
    </cfRule>
  </conditionalFormatting>
  <conditionalFormatting sqref="CP8">
    <cfRule type="colorScale" priority="38">
      <colorScale>
        <cfvo type="num" val="0.69"/>
        <cfvo type="num" val="0.8"/>
        <cfvo type="num" val="0.9"/>
        <color rgb="FFF8696B"/>
        <color rgb="FFFFEB84"/>
        <color rgb="FF63BE7B"/>
      </colorScale>
    </cfRule>
  </conditionalFormatting>
  <conditionalFormatting sqref="AT9">
    <cfRule type="colorScale" priority="37">
      <colorScale>
        <cfvo type="num" val="0.69"/>
        <cfvo type="num" val="0.8"/>
        <cfvo type="num" val="0.9"/>
        <color rgb="FFF8696B"/>
        <color rgb="FFFFEB84"/>
        <color rgb="FF63BE7B"/>
      </colorScale>
    </cfRule>
  </conditionalFormatting>
  <conditionalFormatting sqref="AH9">
    <cfRule type="colorScale" priority="36">
      <colorScale>
        <cfvo type="num" val="0.69"/>
        <cfvo type="num" val="0.8"/>
        <cfvo type="num" val="0.9"/>
        <color rgb="FFF8696B"/>
        <color rgb="FFFFEB84"/>
        <color rgb="FF63BE7B"/>
      </colorScale>
    </cfRule>
  </conditionalFormatting>
  <conditionalFormatting sqref="AN9">
    <cfRule type="colorScale" priority="35">
      <colorScale>
        <cfvo type="num" val="0.69"/>
        <cfvo type="num" val="0.8"/>
        <cfvo type="num" val="0.9"/>
        <color rgb="FFF8696B"/>
        <color rgb="FFFFEB84"/>
        <color rgb="FF63BE7B"/>
      </colorScale>
    </cfRule>
  </conditionalFormatting>
  <conditionalFormatting sqref="AN8">
    <cfRule type="colorScale" priority="34">
      <colorScale>
        <cfvo type="num" val="0.69"/>
        <cfvo type="num" val="0.8"/>
        <cfvo type="num" val="0.9"/>
        <color rgb="FFF8696B"/>
        <color rgb="FFFFEB84"/>
        <color rgb="FF63BE7B"/>
      </colorScale>
    </cfRule>
  </conditionalFormatting>
  <conditionalFormatting sqref="AN10:AN16">
    <cfRule type="colorScale" priority="33">
      <colorScale>
        <cfvo type="num" val="0.69"/>
        <cfvo type="num" val="0.8"/>
        <cfvo type="num" val="0.9"/>
        <color rgb="FFF8696B"/>
        <color rgb="FFFFEB84"/>
        <color rgb="FF63BE7B"/>
      </colorScale>
    </cfRule>
  </conditionalFormatting>
  <conditionalFormatting sqref="AT10:AT16">
    <cfRule type="colorScale" priority="32">
      <colorScale>
        <cfvo type="num" val="0.69"/>
        <cfvo type="num" val="0.8"/>
        <cfvo type="num" val="0.9"/>
        <color rgb="FFF8696B"/>
        <color rgb="FFFFEB84"/>
        <color rgb="FF63BE7B"/>
      </colorScale>
    </cfRule>
  </conditionalFormatting>
  <conditionalFormatting sqref="AT18:AT21">
    <cfRule type="colorScale" priority="31">
      <colorScale>
        <cfvo type="num" val="0.69"/>
        <cfvo type="num" val="0.8"/>
        <cfvo type="num" val="0.9"/>
        <color rgb="FFF8696B"/>
        <color rgb="FFFFEB84"/>
        <color rgb="FF63BE7B"/>
      </colorScale>
    </cfRule>
  </conditionalFormatting>
  <conditionalFormatting sqref="AN18:AN21">
    <cfRule type="colorScale" priority="30">
      <colorScale>
        <cfvo type="num" val="0.69"/>
        <cfvo type="num" val="0.8"/>
        <cfvo type="num" val="0.9"/>
        <color rgb="FFF8696B"/>
        <color rgb="FFFFEB84"/>
        <color rgb="FF63BE7B"/>
      </colorScale>
    </cfRule>
  </conditionalFormatting>
  <conditionalFormatting sqref="AH18:AH21">
    <cfRule type="colorScale" priority="29">
      <colorScale>
        <cfvo type="num" val="0.69"/>
        <cfvo type="num" val="0.8"/>
        <cfvo type="num" val="0.9"/>
        <color rgb="FFF8696B"/>
        <color rgb="FFFFEB84"/>
        <color rgb="FF63BE7B"/>
      </colorScale>
    </cfRule>
  </conditionalFormatting>
  <conditionalFormatting sqref="AB18:AB21">
    <cfRule type="colorScale" priority="28">
      <colorScale>
        <cfvo type="num" val="0.69"/>
        <cfvo type="num" val="0.8"/>
        <cfvo type="num" val="0.9"/>
        <color rgb="FFF8696B"/>
        <color rgb="FFFFEB84"/>
        <color rgb="FF63BE7B"/>
      </colorScale>
    </cfRule>
  </conditionalFormatting>
  <conditionalFormatting sqref="AB9:AB16">
    <cfRule type="colorScale" priority="27">
      <colorScale>
        <cfvo type="num" val="0.69"/>
        <cfvo type="num" val="0.8"/>
        <cfvo type="num" val="0.9"/>
        <color rgb="FFF8696B"/>
        <color rgb="FFFFEB84"/>
        <color rgb="FF63BE7B"/>
      </colorScale>
    </cfRule>
  </conditionalFormatting>
  <conditionalFormatting sqref="AH10:AH16">
    <cfRule type="colorScale" priority="26">
      <colorScale>
        <cfvo type="num" val="0.69"/>
        <cfvo type="num" val="0.8"/>
        <cfvo type="num" val="0.9"/>
        <color rgb="FFF8696B"/>
        <color rgb="FFFFEB84"/>
        <color rgb="FF63BE7B"/>
      </colorScale>
    </cfRule>
  </conditionalFormatting>
  <conditionalFormatting sqref="CV8:CV16">
    <cfRule type="colorScale" priority="25">
      <colorScale>
        <cfvo type="num" val="0.69"/>
        <cfvo type="num" val="0.8"/>
        <cfvo type="num" val="0.9"/>
        <color rgb="FFF8696B"/>
        <color rgb="FFFFEB84"/>
        <color rgb="FF63BE7B"/>
      </colorScale>
    </cfRule>
  </conditionalFormatting>
  <conditionalFormatting sqref="AZ8">
    <cfRule type="colorScale" priority="24">
      <colorScale>
        <cfvo type="num" val="0.69"/>
        <cfvo type="num" val="0.8"/>
        <cfvo type="num" val="0.9"/>
        <color rgb="FFF8696B"/>
        <color rgb="FFFFEB84"/>
        <color rgb="FF63BE7B"/>
      </colorScale>
    </cfRule>
  </conditionalFormatting>
  <conditionalFormatting sqref="AZ9:AZ21">
    <cfRule type="colorScale" priority="23">
      <colorScale>
        <cfvo type="num" val="0.69"/>
        <cfvo type="num" val="0.8"/>
        <cfvo type="num" val="0.9"/>
        <color rgb="FFF8696B"/>
        <color rgb="FFFFEB84"/>
        <color rgb="FF63BE7B"/>
      </colorScale>
    </cfRule>
  </conditionalFormatting>
  <conditionalFormatting sqref="BF9:BF16">
    <cfRule type="colorScale" priority="22">
      <colorScale>
        <cfvo type="num" val="0.69"/>
        <cfvo type="num" val="0.8"/>
        <cfvo type="num" val="0.9"/>
        <color rgb="FFF8696B"/>
        <color rgb="FFFFEB84"/>
        <color rgb="FF63BE7B"/>
      </colorScale>
    </cfRule>
  </conditionalFormatting>
  <conditionalFormatting sqref="BF18:BF21">
    <cfRule type="colorScale" priority="21">
      <colorScale>
        <cfvo type="num" val="0.69"/>
        <cfvo type="num" val="0.8"/>
        <cfvo type="num" val="0.9"/>
        <color rgb="FFF8696B"/>
        <color rgb="FFFFEB84"/>
        <color rgb="FF63BE7B"/>
      </colorScale>
    </cfRule>
  </conditionalFormatting>
  <conditionalFormatting sqref="BL9:BL16">
    <cfRule type="colorScale" priority="20">
      <colorScale>
        <cfvo type="num" val="0.69"/>
        <cfvo type="num" val="0.8"/>
        <cfvo type="num" val="0.9"/>
        <color rgb="FFF8696B"/>
        <color rgb="FFFFEB84"/>
        <color rgb="FF63BE7B"/>
      </colorScale>
    </cfRule>
  </conditionalFormatting>
  <conditionalFormatting sqref="BL18:BL21">
    <cfRule type="colorScale" priority="19">
      <colorScale>
        <cfvo type="num" val="0.69"/>
        <cfvo type="num" val="0.8"/>
        <cfvo type="num" val="0.9"/>
        <color rgb="FFF8696B"/>
        <color rgb="FFFFEB84"/>
        <color rgb="FF63BE7B"/>
      </colorScale>
    </cfRule>
  </conditionalFormatting>
  <conditionalFormatting sqref="BR8:BR16">
    <cfRule type="colorScale" priority="18">
      <colorScale>
        <cfvo type="num" val="0.69"/>
        <cfvo type="num" val="0.8"/>
        <cfvo type="num" val="0.9"/>
        <color rgb="FFF8696B"/>
        <color rgb="FFFFEB84"/>
        <color rgb="FF63BE7B"/>
      </colorScale>
    </cfRule>
  </conditionalFormatting>
  <conditionalFormatting sqref="BR18:BR21">
    <cfRule type="colorScale" priority="17">
      <colorScale>
        <cfvo type="num" val="0.69"/>
        <cfvo type="num" val="0.8"/>
        <cfvo type="num" val="0.9"/>
        <color rgb="FFF8696B"/>
        <color rgb="FFFFEB84"/>
        <color rgb="FF63BE7B"/>
      </colorScale>
    </cfRule>
  </conditionalFormatting>
  <conditionalFormatting sqref="CV18:CV21">
    <cfRule type="colorScale" priority="16">
      <colorScale>
        <cfvo type="num" val="0.69"/>
        <cfvo type="num" val="0.8"/>
        <cfvo type="num" val="0.9"/>
        <color rgb="FFF8696B"/>
        <color rgb="FFFFEB84"/>
        <color rgb="FF63BE7B"/>
      </colorScale>
    </cfRule>
  </conditionalFormatting>
  <conditionalFormatting sqref="BX9:BX16">
    <cfRule type="colorScale" priority="15">
      <colorScale>
        <cfvo type="num" val="0.69"/>
        <cfvo type="num" val="0.8"/>
        <cfvo type="num" val="0.9"/>
        <color rgb="FFF8696B"/>
        <color rgb="FFFFEB84"/>
        <color rgb="FF63BE7B"/>
      </colorScale>
    </cfRule>
  </conditionalFormatting>
  <conditionalFormatting sqref="BX18:BX20">
    <cfRule type="colorScale" priority="14">
      <colorScale>
        <cfvo type="num" val="0.69"/>
        <cfvo type="num" val="0.8"/>
        <cfvo type="num" val="0.9"/>
        <color rgb="FFF8696B"/>
        <color rgb="FFFFEB84"/>
        <color rgb="FF63BE7B"/>
      </colorScale>
    </cfRule>
  </conditionalFormatting>
  <conditionalFormatting sqref="BX21">
    <cfRule type="colorScale" priority="13">
      <colorScale>
        <cfvo type="num" val="0.69"/>
        <cfvo type="num" val="0.8"/>
        <cfvo type="num" val="0.9"/>
        <color rgb="FFF8696B"/>
        <color rgb="FFFFEB84"/>
        <color rgb="FF63BE7B"/>
      </colorScale>
    </cfRule>
  </conditionalFormatting>
  <conditionalFormatting sqref="CD9:CD14">
    <cfRule type="colorScale" priority="12">
      <colorScale>
        <cfvo type="num" val="0.69"/>
        <cfvo type="num" val="0.8"/>
        <cfvo type="num" val="0.9"/>
        <color rgb="FFF8696B"/>
        <color rgb="FFFFEB84"/>
        <color rgb="FF63BE7B"/>
      </colorScale>
    </cfRule>
  </conditionalFormatting>
  <conditionalFormatting sqref="CD19">
    <cfRule type="colorScale" priority="11">
      <colorScale>
        <cfvo type="num" val="0.69"/>
        <cfvo type="num" val="0.8"/>
        <cfvo type="num" val="0.9"/>
        <color rgb="FFF8696B"/>
        <color rgb="FFFFEB84"/>
        <color rgb="FF63BE7B"/>
      </colorScale>
    </cfRule>
  </conditionalFormatting>
  <conditionalFormatting sqref="CJ8:CJ13">
    <cfRule type="colorScale" priority="10">
      <colorScale>
        <cfvo type="num" val="0.69"/>
        <cfvo type="num" val="0.8"/>
        <cfvo type="num" val="0.9"/>
        <color rgb="FFF8696B"/>
        <color rgb="FFFFEB84"/>
        <color rgb="FF63BE7B"/>
      </colorScale>
    </cfRule>
  </conditionalFormatting>
  <conditionalFormatting sqref="CJ14">
    <cfRule type="colorScale" priority="9">
      <colorScale>
        <cfvo type="num" val="0.69"/>
        <cfvo type="num" val="0.8"/>
        <cfvo type="num" val="0.9"/>
        <color rgb="FFF8696B"/>
        <color rgb="FFFFEB84"/>
        <color rgb="FF63BE7B"/>
      </colorScale>
    </cfRule>
  </conditionalFormatting>
  <conditionalFormatting sqref="CJ19">
    <cfRule type="colorScale" priority="8">
      <colorScale>
        <cfvo type="num" val="0.69"/>
        <cfvo type="num" val="0.8"/>
        <cfvo type="num" val="0.9"/>
        <color rgb="FFF8696B"/>
        <color rgb="FFFFEB84"/>
        <color rgb="FF63BE7B"/>
      </colorScale>
    </cfRule>
  </conditionalFormatting>
  <conditionalFormatting sqref="CP9">
    <cfRule type="colorScale" priority="7">
      <colorScale>
        <cfvo type="num" val="0.69"/>
        <cfvo type="num" val="0.8"/>
        <cfvo type="num" val="0.9"/>
        <color rgb="FFF8696B"/>
        <color rgb="FFFFEB84"/>
        <color rgb="FF63BE7B"/>
      </colorScale>
    </cfRule>
  </conditionalFormatting>
  <conditionalFormatting sqref="CP10">
    <cfRule type="colorScale" priority="6">
      <colorScale>
        <cfvo type="num" val="0.69"/>
        <cfvo type="num" val="0.8"/>
        <cfvo type="num" val="0.9"/>
        <color rgb="FFF8696B"/>
        <color rgb="FFFFEB84"/>
        <color rgb="FF63BE7B"/>
      </colorScale>
    </cfRule>
  </conditionalFormatting>
  <conditionalFormatting sqref="CP11">
    <cfRule type="colorScale" priority="5">
      <colorScale>
        <cfvo type="num" val="0.69"/>
        <cfvo type="num" val="0.8"/>
        <cfvo type="num" val="0.9"/>
        <color rgb="FFF8696B"/>
        <color rgb="FFFFEB84"/>
        <color rgb="FF63BE7B"/>
      </colorScale>
    </cfRule>
  </conditionalFormatting>
  <conditionalFormatting sqref="CP12:CP14">
    <cfRule type="colorScale" priority="4">
      <colorScale>
        <cfvo type="num" val="0.69"/>
        <cfvo type="num" val="0.8"/>
        <cfvo type="num" val="0.9"/>
        <color rgb="FFF8696B"/>
        <color rgb="FFFFEB84"/>
        <color rgb="FF63BE7B"/>
      </colorScale>
    </cfRule>
  </conditionalFormatting>
  <conditionalFormatting sqref="CP20:CP21 CP18">
    <cfRule type="colorScale" priority="3">
      <colorScale>
        <cfvo type="num" val="0.69"/>
        <cfvo type="num" val="0.8"/>
        <cfvo type="num" val="0.9"/>
        <color rgb="FFF8696B"/>
        <color rgb="FFFFEB84"/>
        <color rgb="FF63BE7B"/>
      </colorScale>
    </cfRule>
  </conditionalFormatting>
  <conditionalFormatting sqref="CP15:CP16">
    <cfRule type="colorScale" priority="2">
      <colorScale>
        <cfvo type="num" val="0.69"/>
        <cfvo type="num" val="0.8"/>
        <cfvo type="num" val="0.9"/>
        <color rgb="FFF8696B"/>
        <color rgb="FFFFEB84"/>
        <color rgb="FF63BE7B"/>
      </colorScale>
    </cfRule>
  </conditionalFormatting>
  <conditionalFormatting sqref="CP19">
    <cfRule type="colorScale" priority="1">
      <colorScale>
        <cfvo type="num" val="0.69"/>
        <cfvo type="num" val="0.8"/>
        <cfvo type="num" val="0.9"/>
        <color rgb="FFF8696B"/>
        <color rgb="FFFFEB84"/>
        <color rgb="FF63BE7B"/>
      </colorScale>
    </cfRule>
  </conditionalFormatting>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W30"/>
  <sheetViews>
    <sheetView showGridLines="0" view="pageBreakPreview" topLeftCell="B1" zoomScale="60" zoomScaleNormal="100" workbookViewId="0">
      <selection activeCell="B6" sqref="B6:B7"/>
    </sheetView>
  </sheetViews>
  <sheetFormatPr baseColWidth="10" defaultRowHeight="14.25"/>
  <cols>
    <col min="1" max="1" width="8.28515625" style="419" hidden="1" customWidth="1"/>
    <col min="2" max="10" width="17.7109375" style="419" customWidth="1"/>
    <col min="11" max="11" width="4.42578125" style="419" customWidth="1"/>
    <col min="12" max="12" width="6.28515625" style="419" customWidth="1"/>
    <col min="13" max="13" width="6.7109375" style="419" customWidth="1"/>
    <col min="14" max="14" width="6.85546875" style="419" customWidth="1"/>
    <col min="15" max="15" width="4.28515625" style="419" customWidth="1"/>
    <col min="16" max="16" width="7" style="419" customWidth="1"/>
    <col min="17" max="17" width="5.5703125" style="419" customWidth="1"/>
    <col min="18" max="18" width="6.5703125" style="419" customWidth="1"/>
    <col min="19" max="19" width="7.7109375" style="419" customWidth="1"/>
    <col min="20" max="20" width="6.7109375" style="419" customWidth="1"/>
    <col min="21" max="21" width="4.28515625" style="419" customWidth="1"/>
    <col min="22" max="22" width="6.42578125" style="419" customWidth="1"/>
    <col min="23" max="23" width="8.7109375" style="419" customWidth="1"/>
    <col min="24" max="24" width="14.7109375" style="1745" hidden="1" customWidth="1"/>
    <col min="25" max="25" width="15.42578125" style="1745" hidden="1" customWidth="1"/>
    <col min="26" max="26" width="12.28515625" style="1746" hidden="1" customWidth="1"/>
    <col min="27" max="27" width="13" style="1746" hidden="1" customWidth="1"/>
    <col min="28" max="28" width="15.5703125" style="1746" hidden="1" customWidth="1"/>
    <col min="29" max="29" width="32.5703125" style="419" hidden="1" customWidth="1"/>
    <col min="30" max="30" width="14.85546875" style="1745" hidden="1" customWidth="1"/>
    <col min="31" max="31" width="15.28515625" style="1745" hidden="1" customWidth="1"/>
    <col min="32" max="32" width="12" style="419" hidden="1" customWidth="1"/>
    <col min="33" max="33" width="13.85546875" style="419" hidden="1" customWidth="1"/>
    <col min="34" max="34" width="12.85546875" style="419" hidden="1" customWidth="1"/>
    <col min="35" max="35" width="35.42578125" style="419" hidden="1" customWidth="1"/>
    <col min="36" max="37" width="19.85546875" style="419" hidden="1" customWidth="1"/>
    <col min="38" max="38" width="7.42578125" style="419" hidden="1" customWidth="1"/>
    <col min="39" max="39" width="7.7109375" style="419" hidden="1" customWidth="1"/>
    <col min="40" max="40" width="10.42578125" style="419" hidden="1" customWidth="1"/>
    <col min="41" max="41" width="34.42578125" style="419" hidden="1" customWidth="1"/>
    <col min="42" max="42" width="13.28515625" style="419" hidden="1" customWidth="1"/>
    <col min="43" max="43" width="18.5703125" style="419" hidden="1" customWidth="1"/>
    <col min="44" max="44" width="8.85546875" style="419" hidden="1" customWidth="1"/>
    <col min="45" max="45" width="8.140625" style="419" hidden="1" customWidth="1"/>
    <col min="46" max="46" width="11.85546875" style="419" hidden="1" customWidth="1"/>
    <col min="47" max="47" width="42.140625" style="419" hidden="1" customWidth="1"/>
    <col min="48" max="48" width="9.28515625" style="419" hidden="1" customWidth="1"/>
    <col min="49" max="49" width="11" style="419" hidden="1" customWidth="1"/>
    <col min="50" max="50" width="8.140625" style="419" hidden="1" customWidth="1"/>
    <col min="51" max="51" width="8.85546875" style="419" hidden="1" customWidth="1"/>
    <col min="52" max="52" width="11.5703125" style="419" hidden="1" customWidth="1"/>
    <col min="53" max="53" width="40.140625" style="419" hidden="1" customWidth="1"/>
    <col min="54" max="54" width="13.5703125" style="419" customWidth="1"/>
    <col min="55" max="55" width="16.28515625" style="419" customWidth="1"/>
    <col min="56" max="56" width="10.7109375" style="419" customWidth="1"/>
    <col min="57" max="57" width="8.140625" style="419" customWidth="1"/>
    <col min="58" max="58" width="11.5703125" style="419" customWidth="1"/>
    <col min="59" max="59" width="55.42578125" style="419" customWidth="1"/>
    <col min="60" max="60" width="16.42578125" style="419" customWidth="1"/>
    <col min="61" max="61" width="15.85546875" style="419" customWidth="1"/>
    <col min="62" max="63" width="8.140625" style="419" customWidth="1"/>
    <col min="64" max="64" width="11.5703125" style="419" customWidth="1"/>
    <col min="65" max="65" width="55.42578125" style="419" customWidth="1"/>
    <col min="66" max="66" width="9.28515625" style="419" customWidth="1"/>
    <col min="67" max="67" width="11" style="419" customWidth="1"/>
    <col min="68" max="69" width="8.140625" style="419" customWidth="1"/>
    <col min="70" max="70" width="11.5703125" style="419" customWidth="1"/>
    <col min="71" max="71" width="55.42578125" style="419" customWidth="1"/>
    <col min="72" max="72" width="9.28515625" style="419" customWidth="1"/>
    <col min="73" max="73" width="11" style="419" customWidth="1"/>
    <col min="74" max="75" width="8.140625" style="419" customWidth="1"/>
    <col min="76" max="76" width="11.5703125" style="419" customWidth="1"/>
    <col min="77" max="77" width="55.42578125" style="419" customWidth="1"/>
    <col min="78" max="78" width="9.28515625" style="419" customWidth="1"/>
    <col min="79" max="79" width="11" style="419" customWidth="1"/>
    <col min="80" max="81" width="8.140625" style="419" customWidth="1"/>
    <col min="82" max="82" width="11.5703125" style="419" customWidth="1"/>
    <col min="83" max="83" width="55.42578125" style="419" customWidth="1"/>
    <col min="84" max="84" width="9.28515625" style="419" customWidth="1"/>
    <col min="85" max="85" width="11" style="419" customWidth="1"/>
    <col min="86" max="87" width="8.140625" style="419" customWidth="1"/>
    <col min="88" max="88" width="11.5703125" style="419" customWidth="1"/>
    <col min="89" max="89" width="55.42578125" style="419" customWidth="1"/>
    <col min="90" max="90" width="9.28515625" style="419" bestFit="1" customWidth="1"/>
    <col min="91" max="91" width="11" style="419" customWidth="1"/>
    <col min="92" max="93" width="8.140625" style="419" customWidth="1"/>
    <col min="94" max="94" width="11.5703125" style="419" customWidth="1"/>
    <col min="95" max="95" width="55.42578125" style="419" customWidth="1"/>
    <col min="96" max="96" width="9.28515625" style="419" bestFit="1" customWidth="1"/>
    <col min="97" max="97" width="11" style="419" customWidth="1"/>
    <col min="98" max="98" width="8.140625" style="419" customWidth="1"/>
    <col min="99" max="99" width="9.140625" style="419" customWidth="1"/>
    <col min="100" max="100" width="12.85546875" style="419" customWidth="1"/>
    <col min="101" max="101" width="55.42578125" style="419" customWidth="1"/>
    <col min="102" max="16384" width="11.42578125" style="419"/>
  </cols>
  <sheetData>
    <row r="1" spans="2:101" s="415" customFormat="1" ht="15" customHeight="1">
      <c r="B1" s="2700" t="s">
        <v>332</v>
      </c>
      <c r="C1" s="2133"/>
      <c r="D1" s="2133"/>
      <c r="E1" s="2133"/>
      <c r="F1" s="2133"/>
      <c r="G1" s="2133"/>
      <c r="H1" s="2133"/>
      <c r="I1" s="2133"/>
      <c r="J1" s="2133"/>
      <c r="K1" s="2133"/>
      <c r="L1" s="2133"/>
      <c r="M1" s="2133"/>
      <c r="N1" s="2133"/>
      <c r="O1" s="2134"/>
      <c r="P1" s="2135"/>
      <c r="Q1" s="2135"/>
      <c r="R1" s="2135"/>
      <c r="S1" s="2136"/>
      <c r="T1" s="2136"/>
      <c r="U1" s="2136"/>
      <c r="V1" s="2136"/>
      <c r="W1" s="1741"/>
      <c r="X1" s="1742"/>
      <c r="Y1" s="1742"/>
      <c r="Z1" s="1743"/>
      <c r="AA1" s="1743"/>
      <c r="AB1" s="1743"/>
      <c r="AD1" s="1742"/>
      <c r="AE1" s="1742"/>
    </row>
    <row r="2" spans="2:101" ht="27.75" customHeight="1">
      <c r="B2" s="418"/>
      <c r="C2" s="417"/>
      <c r="D2" s="2139" t="s">
        <v>796</v>
      </c>
      <c r="E2" s="2139"/>
      <c r="F2" s="2139"/>
      <c r="G2" s="2139"/>
      <c r="H2" s="2139"/>
      <c r="I2" s="2139"/>
      <c r="J2" s="2139"/>
      <c r="K2" s="2139"/>
      <c r="L2" s="2139"/>
      <c r="M2" s="2139"/>
      <c r="N2" s="2138"/>
      <c r="O2" s="2140" t="s">
        <v>797</v>
      </c>
      <c r="P2" s="2140"/>
      <c r="Q2" s="2140"/>
      <c r="R2" s="2140"/>
      <c r="S2" s="2136"/>
      <c r="T2" s="2136"/>
      <c r="U2" s="2136"/>
      <c r="V2" s="2136"/>
      <c r="W2" s="1744"/>
    </row>
    <row r="3" spans="2:101" ht="12" customHeight="1">
      <c r="W3" s="1747"/>
    </row>
    <row r="4" spans="2:101" ht="21" customHeight="1">
      <c r="B4" s="421" t="s">
        <v>18</v>
      </c>
      <c r="C4" s="2139" t="s">
        <v>3273</v>
      </c>
      <c r="D4" s="2139"/>
      <c r="E4" s="2139"/>
      <c r="F4" s="2139"/>
      <c r="G4" s="2139"/>
      <c r="H4" s="2139"/>
      <c r="I4" s="2139"/>
      <c r="J4" s="2139"/>
      <c r="K4" s="2144" t="s">
        <v>21</v>
      </c>
      <c r="L4" s="2144"/>
      <c r="M4" s="2144"/>
      <c r="N4" s="2145">
        <v>2014</v>
      </c>
      <c r="O4" s="2146"/>
      <c r="P4" s="2146"/>
      <c r="Q4" s="2146"/>
      <c r="R4" s="2146"/>
      <c r="S4" s="2146"/>
      <c r="T4" s="2146"/>
      <c r="U4" s="2146"/>
      <c r="V4" s="2147"/>
      <c r="W4" s="1747"/>
      <c r="X4" s="2142" t="s">
        <v>29</v>
      </c>
      <c r="Y4" s="2142"/>
      <c r="Z4" s="2142"/>
      <c r="AA4" s="2142"/>
      <c r="AB4" s="2142"/>
      <c r="AC4" s="2143"/>
      <c r="AD4" s="2141" t="s">
        <v>29</v>
      </c>
      <c r="AE4" s="2142"/>
      <c r="AF4" s="2142"/>
      <c r="AG4" s="2142"/>
      <c r="AH4" s="2142"/>
      <c r="AI4" s="2143"/>
      <c r="AJ4" s="2141" t="s">
        <v>29</v>
      </c>
      <c r="AK4" s="2142"/>
      <c r="AL4" s="2142"/>
      <c r="AM4" s="2142"/>
      <c r="AN4" s="2142"/>
      <c r="AO4" s="2143"/>
      <c r="AP4" s="2141" t="s">
        <v>29</v>
      </c>
      <c r="AQ4" s="2142"/>
      <c r="AR4" s="2142"/>
      <c r="AS4" s="2142"/>
      <c r="AT4" s="2142"/>
      <c r="AU4" s="2143"/>
      <c r="AV4" s="2141" t="s">
        <v>29</v>
      </c>
      <c r="AW4" s="2142"/>
      <c r="AX4" s="2142"/>
      <c r="AY4" s="2142"/>
      <c r="AZ4" s="2142"/>
      <c r="BA4" s="2143"/>
      <c r="BB4" s="2141" t="s">
        <v>29</v>
      </c>
      <c r="BC4" s="2142"/>
      <c r="BD4" s="2142"/>
      <c r="BE4" s="2142"/>
      <c r="BF4" s="2142"/>
      <c r="BG4" s="2143"/>
      <c r="BH4" s="2141" t="s">
        <v>29</v>
      </c>
      <c r="BI4" s="2142"/>
      <c r="BJ4" s="2142"/>
      <c r="BK4" s="2142"/>
      <c r="BL4" s="2142"/>
      <c r="BM4" s="2143"/>
      <c r="BN4" s="2141" t="s">
        <v>29</v>
      </c>
      <c r="BO4" s="2142"/>
      <c r="BP4" s="2142"/>
      <c r="BQ4" s="2142"/>
      <c r="BR4" s="2142"/>
      <c r="BS4" s="2143"/>
      <c r="BT4" s="2141" t="s">
        <v>29</v>
      </c>
      <c r="BU4" s="2142"/>
      <c r="BV4" s="2142"/>
      <c r="BW4" s="2142"/>
      <c r="BX4" s="2142"/>
      <c r="BY4" s="2143"/>
      <c r="BZ4" s="2141" t="s">
        <v>29</v>
      </c>
      <c r="CA4" s="2142"/>
      <c r="CB4" s="2142"/>
      <c r="CC4" s="2142"/>
      <c r="CD4" s="2142"/>
      <c r="CE4" s="2143"/>
      <c r="CF4" s="2141" t="s">
        <v>29</v>
      </c>
      <c r="CG4" s="2142"/>
      <c r="CH4" s="2142"/>
      <c r="CI4" s="2142"/>
      <c r="CJ4" s="2142"/>
      <c r="CK4" s="2143"/>
      <c r="CL4" s="2141" t="s">
        <v>29</v>
      </c>
      <c r="CM4" s="2142"/>
      <c r="CN4" s="2142"/>
      <c r="CO4" s="2142"/>
      <c r="CP4" s="2142"/>
      <c r="CQ4" s="2143"/>
      <c r="CR4" s="2141" t="s">
        <v>30</v>
      </c>
      <c r="CS4" s="2142"/>
      <c r="CT4" s="2142"/>
      <c r="CU4" s="2142"/>
      <c r="CV4" s="2142"/>
      <c r="CW4" s="2142"/>
    </row>
    <row r="5" spans="2:101" ht="2.25" customHeight="1">
      <c r="B5" s="422"/>
      <c r="C5" s="423"/>
      <c r="D5" s="422"/>
      <c r="E5" s="422"/>
      <c r="F5" s="422"/>
      <c r="G5" s="422"/>
      <c r="H5" s="422"/>
      <c r="I5" s="422"/>
      <c r="J5" s="422"/>
      <c r="K5" s="422"/>
      <c r="L5" s="422"/>
      <c r="M5" s="422"/>
      <c r="N5" s="422"/>
      <c r="O5" s="422"/>
      <c r="P5" s="422"/>
      <c r="Q5" s="422"/>
      <c r="R5" s="422"/>
      <c r="S5" s="422"/>
      <c r="T5" s="422"/>
      <c r="U5" s="422"/>
      <c r="V5" s="422"/>
      <c r="W5" s="1747"/>
    </row>
    <row r="6" spans="2:101" ht="13.5" customHeight="1">
      <c r="B6" s="2149" t="s">
        <v>26</v>
      </c>
      <c r="C6" s="2701" t="s">
        <v>10</v>
      </c>
      <c r="D6" s="2149" t="s">
        <v>23</v>
      </c>
      <c r="E6" s="2149" t="s">
        <v>19</v>
      </c>
      <c r="F6" s="2149" t="s">
        <v>11</v>
      </c>
      <c r="G6" s="2149" t="s">
        <v>3274</v>
      </c>
      <c r="H6" s="2149" t="s">
        <v>12</v>
      </c>
      <c r="I6" s="2149" t="s">
        <v>20</v>
      </c>
      <c r="J6" s="2149" t="s">
        <v>16</v>
      </c>
      <c r="K6" s="2149" t="s">
        <v>24</v>
      </c>
      <c r="L6" s="2149"/>
      <c r="M6" s="2149"/>
      <c r="N6" s="2149"/>
      <c r="O6" s="2149"/>
      <c r="P6" s="2149"/>
      <c r="Q6" s="2149"/>
      <c r="R6" s="2149"/>
      <c r="S6" s="2149"/>
      <c r="T6" s="2149"/>
      <c r="U6" s="2149"/>
      <c r="V6" s="2149"/>
      <c r="W6" s="1748"/>
      <c r="X6" s="2150" t="s">
        <v>3275</v>
      </c>
      <c r="Y6" s="2151"/>
      <c r="Z6" s="2151"/>
      <c r="AA6" s="2151"/>
      <c r="AB6" s="2151"/>
      <c r="AC6" s="2151"/>
      <c r="AD6" s="2152" t="s">
        <v>3276</v>
      </c>
      <c r="AE6" s="2153"/>
      <c r="AF6" s="2153"/>
      <c r="AG6" s="2153"/>
      <c r="AH6" s="2153"/>
      <c r="AI6" s="2153"/>
      <c r="AJ6" s="2163" t="s">
        <v>44</v>
      </c>
      <c r="AK6" s="2164"/>
      <c r="AL6" s="2164"/>
      <c r="AM6" s="2164"/>
      <c r="AN6" s="2164"/>
      <c r="AO6" s="2164"/>
      <c r="AP6" s="2157" t="s">
        <v>3277</v>
      </c>
      <c r="AQ6" s="2158"/>
      <c r="AR6" s="2158"/>
      <c r="AS6" s="2158"/>
      <c r="AT6" s="2158"/>
      <c r="AU6" s="2158"/>
      <c r="AV6" s="2159" t="s">
        <v>46</v>
      </c>
      <c r="AW6" s="2151"/>
      <c r="AX6" s="2151"/>
      <c r="AY6" s="2151"/>
      <c r="AZ6" s="2151"/>
      <c r="BA6" s="2151"/>
      <c r="BB6" s="2165" t="s">
        <v>3278</v>
      </c>
      <c r="BC6" s="2166"/>
      <c r="BD6" s="2166"/>
      <c r="BE6" s="2166"/>
      <c r="BF6" s="2166"/>
      <c r="BG6" s="2166"/>
      <c r="BH6" s="2703" t="s">
        <v>3279</v>
      </c>
      <c r="BI6" s="2704"/>
      <c r="BJ6" s="2704"/>
      <c r="BK6" s="2704"/>
      <c r="BL6" s="2704"/>
      <c r="BM6" s="2704"/>
      <c r="BN6" s="2705" t="s">
        <v>44</v>
      </c>
      <c r="BO6" s="2706"/>
      <c r="BP6" s="2706"/>
      <c r="BQ6" s="2706"/>
      <c r="BR6" s="2706"/>
      <c r="BS6" s="2706"/>
      <c r="BT6" s="2152" t="s">
        <v>45</v>
      </c>
      <c r="BU6" s="2153"/>
      <c r="BV6" s="2153"/>
      <c r="BW6" s="2153"/>
      <c r="BX6" s="2153"/>
      <c r="BY6" s="2153"/>
      <c r="BZ6" s="2163" t="s">
        <v>46</v>
      </c>
      <c r="CA6" s="2164"/>
      <c r="CB6" s="2164"/>
      <c r="CC6" s="2164"/>
      <c r="CD6" s="2164"/>
      <c r="CE6" s="2164"/>
      <c r="CF6" s="2157" t="s">
        <v>47</v>
      </c>
      <c r="CG6" s="2158"/>
      <c r="CH6" s="2158"/>
      <c r="CI6" s="2158"/>
      <c r="CJ6" s="2158"/>
      <c r="CK6" s="2158"/>
      <c r="CL6" s="2159" t="s">
        <v>87</v>
      </c>
      <c r="CM6" s="2151"/>
      <c r="CN6" s="2151"/>
      <c r="CO6" s="2151"/>
      <c r="CP6" s="2151"/>
      <c r="CQ6" s="2151"/>
      <c r="CR6" s="2160" t="s">
        <v>51</v>
      </c>
      <c r="CS6" s="2161"/>
      <c r="CT6" s="2161"/>
      <c r="CU6" s="2161"/>
      <c r="CV6" s="2161"/>
      <c r="CW6" s="2161"/>
    </row>
    <row r="7" spans="2:101" ht="86.25" customHeight="1">
      <c r="B7" s="2149"/>
      <c r="C7" s="2702"/>
      <c r="D7" s="2149"/>
      <c r="E7" s="2149"/>
      <c r="F7" s="2149"/>
      <c r="G7" s="2149"/>
      <c r="H7" s="2173"/>
      <c r="I7" s="2149"/>
      <c r="J7" s="2149"/>
      <c r="K7" s="426" t="s">
        <v>13</v>
      </c>
      <c r="L7" s="426" t="s">
        <v>0</v>
      </c>
      <c r="M7" s="426" t="s">
        <v>1</v>
      </c>
      <c r="N7" s="426" t="s">
        <v>14</v>
      </c>
      <c r="O7" s="426" t="s">
        <v>2</v>
      </c>
      <c r="P7" s="426" t="s">
        <v>3</v>
      </c>
      <c r="Q7" s="426" t="s">
        <v>4</v>
      </c>
      <c r="R7" s="426" t="s">
        <v>5</v>
      </c>
      <c r="S7" s="426" t="s">
        <v>6</v>
      </c>
      <c r="T7" s="426" t="s">
        <v>7</v>
      </c>
      <c r="U7" s="426" t="s">
        <v>8</v>
      </c>
      <c r="V7" s="426" t="s">
        <v>9</v>
      </c>
      <c r="W7" s="1749" t="s">
        <v>65</v>
      </c>
      <c r="X7" s="1750" t="s">
        <v>31</v>
      </c>
      <c r="Y7" s="1751" t="s">
        <v>32</v>
      </c>
      <c r="Z7" s="1752" t="s">
        <v>33</v>
      </c>
      <c r="AA7" s="1752" t="s">
        <v>34</v>
      </c>
      <c r="AB7" s="1752" t="s">
        <v>35</v>
      </c>
      <c r="AC7" s="1753" t="s">
        <v>36</v>
      </c>
      <c r="AD7" s="1751" t="s">
        <v>31</v>
      </c>
      <c r="AE7" s="1751" t="s">
        <v>32</v>
      </c>
      <c r="AF7" s="1753" t="s">
        <v>33</v>
      </c>
      <c r="AG7" s="1753" t="s">
        <v>34</v>
      </c>
      <c r="AH7" s="1753" t="s">
        <v>35</v>
      </c>
      <c r="AI7" s="1753" t="s">
        <v>36</v>
      </c>
      <c r="AJ7" s="428" t="s">
        <v>31</v>
      </c>
      <c r="AK7" s="428" t="s">
        <v>32</v>
      </c>
      <c r="AL7" s="428" t="s">
        <v>33</v>
      </c>
      <c r="AM7" s="428" t="s">
        <v>34</v>
      </c>
      <c r="AN7" s="428" t="s">
        <v>35</v>
      </c>
      <c r="AO7" s="428" t="s">
        <v>36</v>
      </c>
      <c r="AP7" s="428" t="s">
        <v>31</v>
      </c>
      <c r="AQ7" s="428" t="s">
        <v>32</v>
      </c>
      <c r="AR7" s="428" t="s">
        <v>33</v>
      </c>
      <c r="AS7" s="428" t="s">
        <v>34</v>
      </c>
      <c r="AT7" s="428" t="s">
        <v>35</v>
      </c>
      <c r="AU7" s="428" t="s">
        <v>36</v>
      </c>
      <c r="AV7" s="428" t="s">
        <v>31</v>
      </c>
      <c r="AW7" s="428" t="s">
        <v>32</v>
      </c>
      <c r="AX7" s="428" t="s">
        <v>33</v>
      </c>
      <c r="AY7" s="428" t="s">
        <v>34</v>
      </c>
      <c r="AZ7" s="428" t="s">
        <v>35</v>
      </c>
      <c r="BA7" s="428" t="s">
        <v>36</v>
      </c>
      <c r="BB7" s="428" t="s">
        <v>31</v>
      </c>
      <c r="BC7" s="428" t="s">
        <v>32</v>
      </c>
      <c r="BD7" s="428" t="s">
        <v>33</v>
      </c>
      <c r="BE7" s="428" t="s">
        <v>34</v>
      </c>
      <c r="BF7" s="428" t="s">
        <v>35</v>
      </c>
      <c r="BG7" s="428" t="s">
        <v>36</v>
      </c>
      <c r="BH7" s="428" t="s">
        <v>31</v>
      </c>
      <c r="BI7" s="428" t="s">
        <v>32</v>
      </c>
      <c r="BJ7" s="428" t="s">
        <v>33</v>
      </c>
      <c r="BK7" s="428" t="s">
        <v>34</v>
      </c>
      <c r="BL7" s="428" t="s">
        <v>35</v>
      </c>
      <c r="BM7" s="428" t="s">
        <v>36</v>
      </c>
      <c r="BN7" s="428" t="s">
        <v>31</v>
      </c>
      <c r="BO7" s="428" t="s">
        <v>32</v>
      </c>
      <c r="BP7" s="428" t="s">
        <v>33</v>
      </c>
      <c r="BQ7" s="428" t="s">
        <v>34</v>
      </c>
      <c r="BR7" s="428" t="s">
        <v>35</v>
      </c>
      <c r="BS7" s="428" t="s">
        <v>36</v>
      </c>
      <c r="BT7" s="428" t="s">
        <v>31</v>
      </c>
      <c r="BU7" s="428" t="s">
        <v>32</v>
      </c>
      <c r="BV7" s="428" t="s">
        <v>33</v>
      </c>
      <c r="BW7" s="428" t="s">
        <v>34</v>
      </c>
      <c r="BX7" s="428" t="s">
        <v>35</v>
      </c>
      <c r="BY7" s="428" t="s">
        <v>36</v>
      </c>
      <c r="BZ7" s="428" t="s">
        <v>31</v>
      </c>
      <c r="CA7" s="428" t="s">
        <v>32</v>
      </c>
      <c r="CB7" s="428" t="s">
        <v>33</v>
      </c>
      <c r="CC7" s="428" t="s">
        <v>34</v>
      </c>
      <c r="CD7" s="428" t="s">
        <v>35</v>
      </c>
      <c r="CE7" s="428" t="s">
        <v>36</v>
      </c>
      <c r="CF7" s="428" t="s">
        <v>31</v>
      </c>
      <c r="CG7" s="428" t="s">
        <v>32</v>
      </c>
      <c r="CH7" s="428" t="s">
        <v>33</v>
      </c>
      <c r="CI7" s="428" t="s">
        <v>34</v>
      </c>
      <c r="CJ7" s="428" t="s">
        <v>35</v>
      </c>
      <c r="CK7" s="428" t="s">
        <v>36</v>
      </c>
      <c r="CL7" s="428" t="s">
        <v>31</v>
      </c>
      <c r="CM7" s="428" t="s">
        <v>32</v>
      </c>
      <c r="CN7" s="428" t="s">
        <v>33</v>
      </c>
      <c r="CO7" s="428" t="s">
        <v>34</v>
      </c>
      <c r="CP7" s="428" t="s">
        <v>35</v>
      </c>
      <c r="CQ7" s="428" t="s">
        <v>36</v>
      </c>
      <c r="CR7" s="428" t="s">
        <v>31</v>
      </c>
      <c r="CS7" s="428" t="s">
        <v>32</v>
      </c>
      <c r="CT7" s="428" t="s">
        <v>33</v>
      </c>
      <c r="CU7" s="428" t="s">
        <v>34</v>
      </c>
      <c r="CV7" s="428" t="s">
        <v>35</v>
      </c>
      <c r="CW7" s="428" t="s">
        <v>36</v>
      </c>
    </row>
    <row r="8" spans="2:101" ht="209.25" customHeight="1">
      <c r="B8" s="429" t="s">
        <v>3280</v>
      </c>
      <c r="C8" s="429"/>
      <c r="D8" s="429" t="s">
        <v>3281</v>
      </c>
      <c r="E8" s="1754" t="s">
        <v>3282</v>
      </c>
      <c r="F8" s="429" t="s">
        <v>3283</v>
      </c>
      <c r="G8" s="429" t="s">
        <v>352</v>
      </c>
      <c r="H8" s="429" t="s">
        <v>3284</v>
      </c>
      <c r="I8" s="429" t="s">
        <v>3285</v>
      </c>
      <c r="J8" s="429" t="s">
        <v>345</v>
      </c>
      <c r="K8" s="432"/>
      <c r="L8" s="432"/>
      <c r="M8" s="473">
        <v>0.02</v>
      </c>
      <c r="N8" s="432"/>
      <c r="O8" s="432"/>
      <c r="P8" s="1755">
        <v>0.02</v>
      </c>
      <c r="Q8" s="1755"/>
      <c r="R8" s="1755"/>
      <c r="S8" s="1755">
        <v>0.04</v>
      </c>
      <c r="T8" s="1755"/>
      <c r="U8" s="1755"/>
      <c r="V8" s="1755">
        <v>0.02</v>
      </c>
      <c r="W8" s="429"/>
      <c r="X8" s="1756">
        <v>84976895</v>
      </c>
      <c r="Y8" s="1757">
        <v>2908884280</v>
      </c>
      <c r="Z8" s="1679">
        <f t="shared" ref="Z8:Z14" si="0">IF(Y8=0," ",X8/Y8)</f>
        <v>2.921288261078574E-2</v>
      </c>
      <c r="AA8" s="1758">
        <v>0.02</v>
      </c>
      <c r="AB8" s="1759">
        <f t="shared" ref="AB8:AB14" si="1">IF(Y8=0," ",Z8/AA8)</f>
        <v>1.460644130539287</v>
      </c>
      <c r="AC8" s="1669" t="s">
        <v>3286</v>
      </c>
      <c r="AD8" s="1760">
        <v>150616587</v>
      </c>
      <c r="AE8" s="1757">
        <v>2908884280</v>
      </c>
      <c r="AF8" s="436">
        <f t="shared" ref="AF8:AF14" si="2">IF(AE8=0," ",AD8/AE8)</f>
        <v>5.1778129517066937E-2</v>
      </c>
      <c r="AG8" s="1755">
        <v>0.02</v>
      </c>
      <c r="AH8" s="438">
        <f t="shared" ref="AH8:AH14" si="3">IF(AE8=0," ",AF8/AG8)</f>
        <v>2.5889064758533467</v>
      </c>
      <c r="AI8" s="1669" t="s">
        <v>3287</v>
      </c>
      <c r="AJ8" s="435"/>
      <c r="AK8" s="435"/>
      <c r="AL8" s="436" t="str">
        <f t="shared" ref="AL8:AL14" si="4">IF(AK8=0," ",AJ8/AK8)</f>
        <v xml:space="preserve"> </v>
      </c>
      <c r="AM8" s="437"/>
      <c r="AN8" s="438" t="str">
        <f t="shared" ref="AN8:AN14" si="5">IF(AK8=0," ",AL8/AM8)</f>
        <v xml:space="preserve"> </v>
      </c>
      <c r="AO8" s="506" t="s">
        <v>3288</v>
      </c>
      <c r="AP8" s="1761">
        <v>58848691</v>
      </c>
      <c r="AQ8" s="1761">
        <v>2908884280</v>
      </c>
      <c r="AR8" s="436">
        <f t="shared" ref="AR8:AR14" si="6">IF(AQ8=0," ",AP8/AQ8)</f>
        <v>2.0230674490770737E-2</v>
      </c>
      <c r="AS8" s="1755">
        <v>0.04</v>
      </c>
      <c r="AT8" s="438">
        <f t="shared" ref="AT8:AT14" si="7">IF(AQ8=0," ",AR8/AS8)</f>
        <v>0.50576686226926837</v>
      </c>
      <c r="AU8" s="439" t="s">
        <v>3289</v>
      </c>
      <c r="AV8" s="435"/>
      <c r="AW8" s="435"/>
      <c r="AX8" s="436" t="str">
        <f t="shared" ref="AX8:AX14" si="8">IF(AW8=0," ",AV8/AW8)</f>
        <v xml:space="preserve"> </v>
      </c>
      <c r="AY8" s="437"/>
      <c r="AZ8" s="438" t="str">
        <f t="shared" ref="AZ8:AZ14" si="9">IF(AW8=0," ",AX8/AY8)</f>
        <v xml:space="preserve"> </v>
      </c>
      <c r="BA8" s="439" t="s">
        <v>3290</v>
      </c>
      <c r="BB8" s="1761">
        <v>116377727</v>
      </c>
      <c r="BC8" s="1761">
        <v>2908884280</v>
      </c>
      <c r="BD8" s="436">
        <f t="shared" ref="BD8:BD13" si="10">IF(BC8=0," ",BB8/BC8)</f>
        <v>4.0007685352130958E-2</v>
      </c>
      <c r="BE8" s="1755">
        <v>0.02</v>
      </c>
      <c r="BF8" s="438">
        <f t="shared" ref="BF8:BF13" si="11">IF(BC8=0," ",BD8/BE8)</f>
        <v>2.000384267606548</v>
      </c>
      <c r="BG8" s="1762" t="s">
        <v>3291</v>
      </c>
      <c r="BH8" s="1757">
        <f>X8+AD8+AP8+BB8</f>
        <v>410819900</v>
      </c>
      <c r="BI8" s="1761">
        <v>2908884280</v>
      </c>
      <c r="BJ8" s="436">
        <f>IF(BI8=0," ",BH8/BI8)</f>
        <v>0.14122937197075436</v>
      </c>
      <c r="BK8" s="437">
        <v>0.1</v>
      </c>
      <c r="BL8" s="438">
        <f t="shared" ref="BL8:BL13" si="12">IF(BI8=0," ",BJ8/BK8)</f>
        <v>1.4122937197075436</v>
      </c>
      <c r="BM8" s="1762" t="s">
        <v>3292</v>
      </c>
      <c r="BN8" s="435"/>
      <c r="BO8" s="435"/>
      <c r="BP8" s="436" t="str">
        <f t="shared" ref="BP8:BP14" si="13">IF(BO8=0," ",BN8/BO8)</f>
        <v xml:space="preserve"> </v>
      </c>
      <c r="BQ8" s="437"/>
      <c r="BR8" s="438" t="str">
        <f t="shared" ref="BR8:BR14" si="14">IF(BO8=0," ",BP8/BQ8)</f>
        <v xml:space="preserve"> </v>
      </c>
      <c r="BS8" s="439"/>
      <c r="BT8" s="435"/>
      <c r="BU8" s="435"/>
      <c r="BV8" s="436" t="str">
        <f t="shared" ref="BV8:BV14" si="15">IF(BU8=0," ",BT8/BU8)</f>
        <v xml:space="preserve"> </v>
      </c>
      <c r="BW8" s="437"/>
      <c r="BX8" s="438" t="str">
        <f t="shared" ref="BX8:BX14" si="16">IF(BU8=0," ",BV8/BW8)</f>
        <v xml:space="preserve"> </v>
      </c>
      <c r="BY8" s="439"/>
      <c r="BZ8" s="435"/>
      <c r="CA8" s="435"/>
      <c r="CB8" s="436" t="str">
        <f t="shared" ref="CB8:CB14" si="17">IF(CA8=0," ",BZ8/CA8)</f>
        <v xml:space="preserve"> </v>
      </c>
      <c r="CC8" s="437"/>
      <c r="CD8" s="438" t="str">
        <f t="shared" ref="CD8:CD14" si="18">IF(CA8=0," ",CB8/CC8)</f>
        <v xml:space="preserve"> </v>
      </c>
      <c r="CE8" s="439"/>
      <c r="CF8" s="435"/>
      <c r="CG8" s="435"/>
      <c r="CH8" s="436" t="str">
        <f t="shared" ref="CH8:CH14" si="19">IF(CG8=0," ",CF8/CG8)</f>
        <v xml:space="preserve"> </v>
      </c>
      <c r="CI8" s="437"/>
      <c r="CJ8" s="438" t="str">
        <f t="shared" ref="CJ8:CJ14" si="20">IF(CG8=0," ",CH8/CI8)</f>
        <v xml:space="preserve"> </v>
      </c>
      <c r="CK8" s="439"/>
      <c r="CL8" s="435"/>
      <c r="CM8" s="435"/>
      <c r="CN8" s="436" t="str">
        <f t="shared" ref="CN8:CN14" si="21">IF(CM8=0," ",CL8/CM8)</f>
        <v xml:space="preserve"> </v>
      </c>
      <c r="CO8" s="437"/>
      <c r="CP8" s="438" t="str">
        <f t="shared" ref="CP8:CP14" si="22">IF(CM8=0," ",CN8/CO8)</f>
        <v xml:space="preserve"> </v>
      </c>
      <c r="CQ8" s="439"/>
      <c r="CR8" s="435"/>
      <c r="CS8" s="435"/>
      <c r="CT8" s="436" t="str">
        <f t="shared" ref="CT8:CT14" si="23">IF(CS8=0," ",CR8/CS8)</f>
        <v xml:space="preserve"> </v>
      </c>
      <c r="CU8" s="437"/>
      <c r="CV8" s="438" t="str">
        <f t="shared" ref="CV8:CV14" si="24">IF(CS8=0," ",CT8/CU8)</f>
        <v xml:space="preserve"> </v>
      </c>
      <c r="CW8" s="439"/>
    </row>
    <row r="9" spans="2:101" ht="202.5" customHeight="1">
      <c r="B9" s="429" t="s">
        <v>3280</v>
      </c>
      <c r="C9" s="429"/>
      <c r="D9" s="429" t="s">
        <v>3293</v>
      </c>
      <c r="E9" s="1754" t="s">
        <v>3294</v>
      </c>
      <c r="F9" s="429" t="s">
        <v>3283</v>
      </c>
      <c r="G9" s="429" t="s">
        <v>352</v>
      </c>
      <c r="H9" s="429" t="s">
        <v>3295</v>
      </c>
      <c r="I9" s="429" t="s">
        <v>3285</v>
      </c>
      <c r="J9" s="429" t="s">
        <v>345</v>
      </c>
      <c r="K9" s="432"/>
      <c r="L9" s="432"/>
      <c r="M9" s="473">
        <v>0.02</v>
      </c>
      <c r="N9" s="432"/>
      <c r="O9" s="432"/>
      <c r="P9" s="1755">
        <v>0.02</v>
      </c>
      <c r="Q9" s="1755"/>
      <c r="R9" s="1755"/>
      <c r="S9" s="1755">
        <v>0.04</v>
      </c>
      <c r="T9" s="1755"/>
      <c r="U9" s="1755"/>
      <c r="V9" s="1755">
        <v>0.02</v>
      </c>
      <c r="W9" s="429"/>
      <c r="X9" s="1760">
        <v>97084373</v>
      </c>
      <c r="Y9" s="1757">
        <v>1859325732</v>
      </c>
      <c r="Z9" s="1670">
        <f t="shared" si="0"/>
        <v>5.2214827842763378E-2</v>
      </c>
      <c r="AA9" s="1758">
        <v>0.02</v>
      </c>
      <c r="AB9" s="1759">
        <f t="shared" si="1"/>
        <v>2.610741392138169</v>
      </c>
      <c r="AC9" s="1669" t="s">
        <v>3296</v>
      </c>
      <c r="AD9" s="1757">
        <v>57277852</v>
      </c>
      <c r="AE9" s="1757">
        <v>1859325732</v>
      </c>
      <c r="AF9" s="1670">
        <f t="shared" si="2"/>
        <v>3.0805711454543565E-2</v>
      </c>
      <c r="AG9" s="1755">
        <v>0.02</v>
      </c>
      <c r="AH9" s="438">
        <f t="shared" si="3"/>
        <v>1.5402855727271783</v>
      </c>
      <c r="AI9" s="1669" t="s">
        <v>3297</v>
      </c>
      <c r="AJ9" s="435"/>
      <c r="AK9" s="435"/>
      <c r="AL9" s="436" t="str">
        <f t="shared" si="4"/>
        <v xml:space="preserve"> </v>
      </c>
      <c r="AM9" s="437"/>
      <c r="AN9" s="438" t="str">
        <f t="shared" si="5"/>
        <v xml:space="preserve"> </v>
      </c>
      <c r="AO9" s="506" t="s">
        <v>3288</v>
      </c>
      <c r="AP9" s="1761">
        <v>9336050</v>
      </c>
      <c r="AQ9" s="1757">
        <v>1859325732</v>
      </c>
      <c r="AR9" s="436">
        <f t="shared" si="6"/>
        <v>5.0212019547309743E-3</v>
      </c>
      <c r="AS9" s="1755">
        <v>0.04</v>
      </c>
      <c r="AT9" s="438">
        <f t="shared" si="7"/>
        <v>0.12553004886827435</v>
      </c>
      <c r="AU9" s="1669" t="s">
        <v>3298</v>
      </c>
      <c r="AV9" s="435"/>
      <c r="AW9" s="435"/>
      <c r="AX9" s="436" t="str">
        <f t="shared" si="8"/>
        <v xml:space="preserve"> </v>
      </c>
      <c r="AY9" s="437"/>
      <c r="AZ9" s="438" t="str">
        <f t="shared" si="9"/>
        <v xml:space="preserve"> </v>
      </c>
      <c r="BA9" s="439" t="s">
        <v>3290</v>
      </c>
      <c r="BB9" s="1761">
        <v>4572464</v>
      </c>
      <c r="BC9" s="1757">
        <v>1859325732</v>
      </c>
      <c r="BD9" s="436">
        <f t="shared" si="10"/>
        <v>2.4592054642741854E-3</v>
      </c>
      <c r="BE9" s="1755">
        <v>0.02</v>
      </c>
      <c r="BF9" s="438">
        <f t="shared" si="11"/>
        <v>0.12296027321370927</v>
      </c>
      <c r="BG9" s="1762" t="s">
        <v>3299</v>
      </c>
      <c r="BH9" s="1757">
        <f>X9+AD9+AP9+BB9</f>
        <v>168270739</v>
      </c>
      <c r="BI9" s="1757">
        <v>1859325732</v>
      </c>
      <c r="BJ9" s="436">
        <f>IF(BI9=0," ",BH9/BI9)</f>
        <v>9.0500946716312106E-2</v>
      </c>
      <c r="BK9" s="437">
        <v>0.1</v>
      </c>
      <c r="BL9" s="438">
        <f t="shared" si="12"/>
        <v>0.90500946716312103</v>
      </c>
      <c r="BM9" s="1762" t="s">
        <v>3300</v>
      </c>
      <c r="BN9" s="435"/>
      <c r="BO9" s="435"/>
      <c r="BP9" s="436" t="str">
        <f t="shared" si="13"/>
        <v xml:space="preserve"> </v>
      </c>
      <c r="BQ9" s="437"/>
      <c r="BR9" s="438" t="str">
        <f t="shared" si="14"/>
        <v xml:space="preserve"> </v>
      </c>
      <c r="BS9" s="439"/>
      <c r="BT9" s="435"/>
      <c r="BU9" s="435"/>
      <c r="BV9" s="436" t="str">
        <f t="shared" si="15"/>
        <v xml:space="preserve"> </v>
      </c>
      <c r="BW9" s="437"/>
      <c r="BX9" s="438" t="str">
        <f t="shared" si="16"/>
        <v xml:space="preserve"> </v>
      </c>
      <c r="BY9" s="439"/>
      <c r="BZ9" s="435"/>
      <c r="CA9" s="435"/>
      <c r="CB9" s="436" t="str">
        <f t="shared" si="17"/>
        <v xml:space="preserve"> </v>
      </c>
      <c r="CC9" s="437"/>
      <c r="CD9" s="438" t="str">
        <f t="shared" si="18"/>
        <v xml:space="preserve"> </v>
      </c>
      <c r="CE9" s="439"/>
      <c r="CF9" s="435"/>
      <c r="CG9" s="435"/>
      <c r="CH9" s="436" t="str">
        <f t="shared" si="19"/>
        <v xml:space="preserve"> </v>
      </c>
      <c r="CI9" s="437"/>
      <c r="CJ9" s="438" t="str">
        <f t="shared" si="20"/>
        <v xml:space="preserve"> </v>
      </c>
      <c r="CK9" s="439"/>
      <c r="CL9" s="435"/>
      <c r="CM9" s="435"/>
      <c r="CN9" s="436" t="str">
        <f t="shared" si="21"/>
        <v xml:space="preserve"> </v>
      </c>
      <c r="CO9" s="437"/>
      <c r="CP9" s="438" t="str">
        <f t="shared" si="22"/>
        <v xml:space="preserve"> </v>
      </c>
      <c r="CQ9" s="439"/>
      <c r="CR9" s="435"/>
      <c r="CS9" s="435"/>
      <c r="CT9" s="436" t="str">
        <f t="shared" si="23"/>
        <v xml:space="preserve"> </v>
      </c>
      <c r="CU9" s="437"/>
      <c r="CV9" s="438" t="str">
        <f t="shared" si="24"/>
        <v xml:space="preserve"> </v>
      </c>
      <c r="CW9" s="439"/>
    </row>
    <row r="10" spans="2:101" ht="131.25" customHeight="1">
      <c r="B10" s="429" t="s">
        <v>3280</v>
      </c>
      <c r="C10" s="429"/>
      <c r="D10" s="429" t="s">
        <v>3301</v>
      </c>
      <c r="E10" s="1754" t="s">
        <v>3302</v>
      </c>
      <c r="F10" s="429" t="s">
        <v>3303</v>
      </c>
      <c r="G10" s="429" t="s">
        <v>352</v>
      </c>
      <c r="H10" s="429" t="s">
        <v>3304</v>
      </c>
      <c r="I10" s="429" t="s">
        <v>3285</v>
      </c>
      <c r="J10" s="429" t="s">
        <v>345</v>
      </c>
      <c r="K10" s="432"/>
      <c r="L10" s="432"/>
      <c r="M10" s="473">
        <v>0.01</v>
      </c>
      <c r="N10" s="432"/>
      <c r="O10" s="432"/>
      <c r="P10" s="1755">
        <v>0.01</v>
      </c>
      <c r="Q10" s="1755"/>
      <c r="R10" s="1755"/>
      <c r="S10" s="1755">
        <v>0.02</v>
      </c>
      <c r="T10" s="1755"/>
      <c r="U10" s="1755"/>
      <c r="V10" s="1755">
        <v>0.01</v>
      </c>
      <c r="W10" s="429"/>
      <c r="X10" s="1756">
        <v>15240871</v>
      </c>
      <c r="Y10" s="1757">
        <v>810719958</v>
      </c>
      <c r="Z10" s="1679">
        <f t="shared" si="0"/>
        <v>1.8799180715371015E-2</v>
      </c>
      <c r="AA10" s="1758">
        <v>0.01</v>
      </c>
      <c r="AB10" s="1759">
        <f t="shared" si="1"/>
        <v>1.8799180715371013</v>
      </c>
      <c r="AC10" s="1669" t="s">
        <v>3305</v>
      </c>
      <c r="AD10" s="1757">
        <v>51127897</v>
      </c>
      <c r="AE10" s="1757">
        <v>810719958</v>
      </c>
      <c r="AF10" s="436">
        <f t="shared" si="2"/>
        <v>6.3064806158380032E-2</v>
      </c>
      <c r="AG10" s="1755">
        <v>0.01</v>
      </c>
      <c r="AH10" s="438">
        <f t="shared" si="3"/>
        <v>6.3064806158380033</v>
      </c>
      <c r="AI10" s="1669" t="s">
        <v>3306</v>
      </c>
      <c r="AJ10" s="435"/>
      <c r="AK10" s="435"/>
      <c r="AL10" s="436" t="str">
        <f t="shared" si="4"/>
        <v xml:space="preserve"> </v>
      </c>
      <c r="AM10" s="437"/>
      <c r="AN10" s="438" t="str">
        <f t="shared" si="5"/>
        <v xml:space="preserve"> </v>
      </c>
      <c r="AO10" s="506" t="s">
        <v>3288</v>
      </c>
      <c r="AP10" s="1761">
        <v>84763622</v>
      </c>
      <c r="AQ10" s="1757">
        <v>810719958</v>
      </c>
      <c r="AR10" s="436">
        <f t="shared" si="6"/>
        <v>0.10455351587631694</v>
      </c>
      <c r="AS10" s="1755">
        <v>0.02</v>
      </c>
      <c r="AT10" s="438">
        <f t="shared" si="7"/>
        <v>5.2276757938158465</v>
      </c>
      <c r="AU10" s="1669" t="s">
        <v>3307</v>
      </c>
      <c r="AV10" s="435" t="s">
        <v>332</v>
      </c>
      <c r="AW10" s="435"/>
      <c r="AX10" s="436" t="str">
        <f t="shared" si="8"/>
        <v xml:space="preserve"> </v>
      </c>
      <c r="AY10" s="437"/>
      <c r="AZ10" s="438" t="str">
        <f t="shared" si="9"/>
        <v xml:space="preserve"> </v>
      </c>
      <c r="BA10" s="439" t="s">
        <v>3290</v>
      </c>
      <c r="BB10" s="1761">
        <v>70785306</v>
      </c>
      <c r="BC10" s="1757">
        <v>810719958</v>
      </c>
      <c r="BD10" s="436">
        <f t="shared" si="10"/>
        <v>8.7311660828756854E-2</v>
      </c>
      <c r="BE10" s="1755">
        <v>0.01</v>
      </c>
      <c r="BF10" s="438">
        <f t="shared" si="11"/>
        <v>8.731166082875685</v>
      </c>
      <c r="BG10" s="1762" t="s">
        <v>3308</v>
      </c>
      <c r="BH10" s="1757">
        <f>X10+AD10+AP10+BB10</f>
        <v>221917696</v>
      </c>
      <c r="BI10" s="1757">
        <v>810719958</v>
      </c>
      <c r="BJ10" s="436">
        <f>IF(BI10=0," ",BH10/BI10)</f>
        <v>0.27372916357882482</v>
      </c>
      <c r="BK10" s="437">
        <v>0.05</v>
      </c>
      <c r="BL10" s="438">
        <f t="shared" si="12"/>
        <v>5.4745832715764964</v>
      </c>
      <c r="BM10" s="1762" t="s">
        <v>3309</v>
      </c>
      <c r="BN10" s="435"/>
      <c r="BO10" s="435"/>
      <c r="BP10" s="436" t="str">
        <f t="shared" si="13"/>
        <v xml:space="preserve"> </v>
      </c>
      <c r="BQ10" s="437"/>
      <c r="BR10" s="438" t="str">
        <f t="shared" si="14"/>
        <v xml:space="preserve"> </v>
      </c>
      <c r="BS10" s="439"/>
      <c r="BT10" s="435"/>
      <c r="BU10" s="435"/>
      <c r="BV10" s="436" t="str">
        <f t="shared" si="15"/>
        <v xml:space="preserve"> </v>
      </c>
      <c r="BW10" s="437"/>
      <c r="BX10" s="438" t="str">
        <f t="shared" si="16"/>
        <v xml:space="preserve"> </v>
      </c>
      <c r="BY10" s="439"/>
      <c r="BZ10" s="435"/>
      <c r="CA10" s="435"/>
      <c r="CB10" s="436" t="str">
        <f t="shared" si="17"/>
        <v xml:space="preserve"> </v>
      </c>
      <c r="CC10" s="437"/>
      <c r="CD10" s="438" t="str">
        <f t="shared" si="18"/>
        <v xml:space="preserve"> </v>
      </c>
      <c r="CE10" s="439"/>
      <c r="CF10" s="435"/>
      <c r="CG10" s="435"/>
      <c r="CH10" s="436" t="str">
        <f t="shared" si="19"/>
        <v xml:space="preserve"> </v>
      </c>
      <c r="CI10" s="437"/>
      <c r="CJ10" s="438" t="str">
        <f t="shared" si="20"/>
        <v xml:space="preserve"> </v>
      </c>
      <c r="CK10" s="439"/>
      <c r="CL10" s="435"/>
      <c r="CM10" s="435"/>
      <c r="CN10" s="436" t="str">
        <f t="shared" si="21"/>
        <v xml:space="preserve"> </v>
      </c>
      <c r="CO10" s="437"/>
      <c r="CP10" s="438" t="str">
        <f t="shared" si="22"/>
        <v xml:space="preserve"> </v>
      </c>
      <c r="CQ10" s="439"/>
      <c r="CR10" s="435"/>
      <c r="CS10" s="435"/>
      <c r="CT10" s="436" t="str">
        <f t="shared" si="23"/>
        <v xml:space="preserve"> </v>
      </c>
      <c r="CU10" s="437"/>
      <c r="CV10" s="438" t="str">
        <f t="shared" si="24"/>
        <v xml:space="preserve"> </v>
      </c>
      <c r="CW10" s="439"/>
    </row>
    <row r="11" spans="2:101" ht="118.5" customHeight="1">
      <c r="B11" s="429" t="s">
        <v>3310</v>
      </c>
      <c r="C11" s="429"/>
      <c r="D11" s="429" t="s">
        <v>3311</v>
      </c>
      <c r="E11" s="429" t="s">
        <v>3312</v>
      </c>
      <c r="F11" s="429" t="s">
        <v>3313</v>
      </c>
      <c r="G11" s="429" t="s">
        <v>352</v>
      </c>
      <c r="H11" s="429" t="s">
        <v>3314</v>
      </c>
      <c r="I11" s="429" t="s">
        <v>3315</v>
      </c>
      <c r="J11" s="429" t="s">
        <v>345</v>
      </c>
      <c r="K11" s="432"/>
      <c r="L11" s="432"/>
      <c r="M11" s="473">
        <v>1</v>
      </c>
      <c r="N11" s="432"/>
      <c r="O11" s="432"/>
      <c r="P11" s="1755">
        <v>1</v>
      </c>
      <c r="Q11" s="1755"/>
      <c r="R11" s="1755"/>
      <c r="S11" s="1755">
        <v>1</v>
      </c>
      <c r="T11" s="1755"/>
      <c r="U11" s="1755"/>
      <c r="V11" s="1755">
        <v>1</v>
      </c>
      <c r="W11" s="429"/>
      <c r="X11" s="1756">
        <v>90311</v>
      </c>
      <c r="Y11" s="1757">
        <v>90311</v>
      </c>
      <c r="Z11" s="1679">
        <f t="shared" si="0"/>
        <v>1</v>
      </c>
      <c r="AA11" s="1758">
        <v>1</v>
      </c>
      <c r="AB11" s="1759">
        <f t="shared" si="1"/>
        <v>1</v>
      </c>
      <c r="AC11" s="1763" t="s">
        <v>3316</v>
      </c>
      <c r="AD11" s="1757">
        <v>100798</v>
      </c>
      <c r="AE11" s="1757">
        <v>100798</v>
      </c>
      <c r="AF11" s="436">
        <f t="shared" si="2"/>
        <v>1</v>
      </c>
      <c r="AG11" s="1755">
        <v>1</v>
      </c>
      <c r="AH11" s="438">
        <f t="shared" si="3"/>
        <v>1</v>
      </c>
      <c r="AI11" s="1763" t="s">
        <v>3317</v>
      </c>
      <c r="AJ11" s="435"/>
      <c r="AK11" s="435"/>
      <c r="AL11" s="436" t="str">
        <f t="shared" si="4"/>
        <v xml:space="preserve"> </v>
      </c>
      <c r="AM11" s="437"/>
      <c r="AN11" s="438" t="str">
        <f t="shared" si="5"/>
        <v xml:space="preserve"> </v>
      </c>
      <c r="AO11" s="506" t="s">
        <v>3288</v>
      </c>
      <c r="AP11" s="1757">
        <v>126184</v>
      </c>
      <c r="AQ11" s="1757">
        <v>126184</v>
      </c>
      <c r="AR11" s="436">
        <f t="shared" si="6"/>
        <v>1</v>
      </c>
      <c r="AS11" s="1755">
        <v>1</v>
      </c>
      <c r="AT11" s="438">
        <f t="shared" si="7"/>
        <v>1</v>
      </c>
      <c r="AU11" s="1763" t="s">
        <v>3318</v>
      </c>
      <c r="AV11" s="435"/>
      <c r="AW11" s="435"/>
      <c r="AX11" s="436" t="str">
        <f t="shared" si="8"/>
        <v xml:space="preserve"> </v>
      </c>
      <c r="AY11" s="437"/>
      <c r="AZ11" s="438" t="str">
        <f t="shared" si="9"/>
        <v xml:space="preserve"> </v>
      </c>
      <c r="BA11" s="439" t="s">
        <v>3290</v>
      </c>
      <c r="BB11" s="1757">
        <v>134486</v>
      </c>
      <c r="BC11" s="1757">
        <v>134486</v>
      </c>
      <c r="BD11" s="436">
        <f t="shared" si="10"/>
        <v>1</v>
      </c>
      <c r="BE11" s="437">
        <v>1</v>
      </c>
      <c r="BF11" s="438">
        <f t="shared" si="11"/>
        <v>1</v>
      </c>
      <c r="BG11" s="1762" t="s">
        <v>3319</v>
      </c>
      <c r="BH11" s="1757">
        <f>X11+AD11+AP11+BB11</f>
        <v>451779</v>
      </c>
      <c r="BI11" s="1757">
        <f>Y11+AE11+AQ11+BC11</f>
        <v>451779</v>
      </c>
      <c r="BJ11" s="436">
        <f>IF(BI11=0," ",BH11/BI11)</f>
        <v>1</v>
      </c>
      <c r="BK11" s="437">
        <v>1</v>
      </c>
      <c r="BL11" s="438">
        <f t="shared" si="12"/>
        <v>1</v>
      </c>
      <c r="BM11" s="1762" t="s">
        <v>3320</v>
      </c>
      <c r="BN11" s="435"/>
      <c r="BO11" s="435"/>
      <c r="BP11" s="436" t="str">
        <f t="shared" si="13"/>
        <v xml:space="preserve"> </v>
      </c>
      <c r="BQ11" s="437"/>
      <c r="BR11" s="438" t="str">
        <f t="shared" si="14"/>
        <v xml:space="preserve"> </v>
      </c>
      <c r="BS11" s="439"/>
      <c r="BT11" s="435"/>
      <c r="BU11" s="435"/>
      <c r="BV11" s="436" t="str">
        <f t="shared" si="15"/>
        <v xml:space="preserve"> </v>
      </c>
      <c r="BW11" s="437"/>
      <c r="BX11" s="438" t="str">
        <f t="shared" si="16"/>
        <v xml:space="preserve"> </v>
      </c>
      <c r="BY11" s="439"/>
      <c r="BZ11" s="435"/>
      <c r="CA11" s="435"/>
      <c r="CB11" s="436" t="str">
        <f t="shared" si="17"/>
        <v xml:space="preserve"> </v>
      </c>
      <c r="CC11" s="437"/>
      <c r="CD11" s="438" t="str">
        <f t="shared" si="18"/>
        <v xml:space="preserve"> </v>
      </c>
      <c r="CE11" s="439"/>
      <c r="CF11" s="435"/>
      <c r="CG11" s="435"/>
      <c r="CH11" s="436" t="str">
        <f t="shared" si="19"/>
        <v xml:space="preserve"> </v>
      </c>
      <c r="CI11" s="437"/>
      <c r="CJ11" s="438" t="str">
        <f t="shared" si="20"/>
        <v xml:space="preserve"> </v>
      </c>
      <c r="CK11" s="439"/>
      <c r="CL11" s="435"/>
      <c r="CM11" s="435"/>
      <c r="CN11" s="436" t="str">
        <f t="shared" si="21"/>
        <v xml:space="preserve"> </v>
      </c>
      <c r="CO11" s="437"/>
      <c r="CP11" s="438" t="str">
        <f t="shared" si="22"/>
        <v xml:space="preserve"> </v>
      </c>
      <c r="CQ11" s="439"/>
      <c r="CR11" s="435"/>
      <c r="CS11" s="435"/>
      <c r="CT11" s="436" t="str">
        <f t="shared" si="23"/>
        <v xml:space="preserve"> </v>
      </c>
      <c r="CU11" s="437"/>
      <c r="CV11" s="438" t="str">
        <f t="shared" si="24"/>
        <v xml:space="preserve"> </v>
      </c>
      <c r="CW11" s="439"/>
    </row>
    <row r="12" spans="2:101" ht="128.25" customHeight="1">
      <c r="B12" s="429" t="s">
        <v>3310</v>
      </c>
      <c r="C12" s="429"/>
      <c r="D12" s="430" t="s">
        <v>3321</v>
      </c>
      <c r="E12" s="429" t="s">
        <v>3322</v>
      </c>
      <c r="F12" s="429" t="s">
        <v>3323</v>
      </c>
      <c r="G12" s="429" t="s">
        <v>352</v>
      </c>
      <c r="H12" s="429" t="s">
        <v>3324</v>
      </c>
      <c r="I12" s="429" t="s">
        <v>3325</v>
      </c>
      <c r="J12" s="429" t="s">
        <v>345</v>
      </c>
      <c r="K12" s="432"/>
      <c r="L12" s="432"/>
      <c r="M12" s="473">
        <v>0.2</v>
      </c>
      <c r="N12" s="432"/>
      <c r="O12" s="432"/>
      <c r="P12" s="1755">
        <v>0.2</v>
      </c>
      <c r="Q12" s="1755"/>
      <c r="R12" s="1755"/>
      <c r="S12" s="1755">
        <v>0.2</v>
      </c>
      <c r="T12" s="1755"/>
      <c r="U12" s="1755"/>
      <c r="V12" s="1755">
        <v>0.3</v>
      </c>
      <c r="W12" s="429"/>
      <c r="X12" s="1756">
        <v>465</v>
      </c>
      <c r="Y12" s="1757">
        <v>479</v>
      </c>
      <c r="Z12" s="1679">
        <f t="shared" si="0"/>
        <v>0.97077244258872653</v>
      </c>
      <c r="AA12" s="1758">
        <v>0.2</v>
      </c>
      <c r="AB12" s="1759">
        <f t="shared" si="1"/>
        <v>4.853862212943632</v>
      </c>
      <c r="AC12" s="439" t="s">
        <v>3326</v>
      </c>
      <c r="AD12" s="1757">
        <v>590</v>
      </c>
      <c r="AE12" s="1757">
        <v>740</v>
      </c>
      <c r="AF12" s="436">
        <f t="shared" si="2"/>
        <v>0.79729729729729726</v>
      </c>
      <c r="AG12" s="1755">
        <v>0.2</v>
      </c>
      <c r="AH12" s="438">
        <f t="shared" si="3"/>
        <v>3.986486486486486</v>
      </c>
      <c r="AI12" s="439" t="s">
        <v>3327</v>
      </c>
      <c r="AJ12" s="435"/>
      <c r="AK12" s="435"/>
      <c r="AL12" s="436" t="str">
        <f t="shared" si="4"/>
        <v xml:space="preserve"> </v>
      </c>
      <c r="AM12" s="437"/>
      <c r="AN12" s="438" t="str">
        <f t="shared" si="5"/>
        <v xml:space="preserve"> </v>
      </c>
      <c r="AO12" s="506" t="s">
        <v>3288</v>
      </c>
      <c r="AP12" s="1680">
        <v>527</v>
      </c>
      <c r="AQ12" s="1680">
        <v>657</v>
      </c>
      <c r="AR12" s="436">
        <f t="shared" si="6"/>
        <v>0.80213089802130899</v>
      </c>
      <c r="AS12" s="1755">
        <v>0.2</v>
      </c>
      <c r="AT12" s="438">
        <f t="shared" si="7"/>
        <v>4.0106544901065444</v>
      </c>
      <c r="AU12" s="439" t="s">
        <v>3328</v>
      </c>
      <c r="AV12" s="435"/>
      <c r="AW12" s="435"/>
      <c r="AX12" s="436" t="str">
        <f t="shared" si="8"/>
        <v xml:space="preserve"> </v>
      </c>
      <c r="AY12" s="437"/>
      <c r="AZ12" s="438" t="str">
        <f t="shared" si="9"/>
        <v xml:space="preserve"> </v>
      </c>
      <c r="BA12" s="439" t="s">
        <v>3290</v>
      </c>
      <c r="BB12" s="1680">
        <v>570</v>
      </c>
      <c r="BC12" s="1680">
        <v>525</v>
      </c>
      <c r="BD12" s="436">
        <f t="shared" si="10"/>
        <v>1.0857142857142856</v>
      </c>
      <c r="BE12" s="1755">
        <v>0.3</v>
      </c>
      <c r="BF12" s="438">
        <f t="shared" si="11"/>
        <v>3.6190476190476191</v>
      </c>
      <c r="BG12" s="1762" t="s">
        <v>3329</v>
      </c>
      <c r="BH12" s="1757">
        <f>X12+AD12+AP12+BB12</f>
        <v>2152</v>
      </c>
      <c r="BI12" s="1757">
        <f>Y12+AE12+AQ12+BC12</f>
        <v>2401</v>
      </c>
      <c r="BJ12" s="436">
        <f>IF(BI12=0," ",BH12/BI12)</f>
        <v>0.89629321116201588</v>
      </c>
      <c r="BK12" s="437">
        <v>0.9</v>
      </c>
      <c r="BL12" s="438">
        <f t="shared" si="12"/>
        <v>0.99588134573557319</v>
      </c>
      <c r="BM12" s="1762" t="s">
        <v>3330</v>
      </c>
      <c r="BN12" s="435"/>
      <c r="BO12" s="435"/>
      <c r="BP12" s="436" t="str">
        <f t="shared" si="13"/>
        <v xml:space="preserve"> </v>
      </c>
      <c r="BQ12" s="437"/>
      <c r="BR12" s="438" t="str">
        <f t="shared" si="14"/>
        <v xml:space="preserve"> </v>
      </c>
      <c r="BS12" s="439"/>
      <c r="BT12" s="435"/>
      <c r="BU12" s="435"/>
      <c r="BV12" s="436" t="str">
        <f t="shared" si="15"/>
        <v xml:space="preserve"> </v>
      </c>
      <c r="BW12" s="437"/>
      <c r="BX12" s="438" t="str">
        <f t="shared" si="16"/>
        <v xml:space="preserve"> </v>
      </c>
      <c r="BY12" s="439"/>
      <c r="BZ12" s="435"/>
      <c r="CA12" s="435"/>
      <c r="CB12" s="436" t="str">
        <f t="shared" si="17"/>
        <v xml:space="preserve"> </v>
      </c>
      <c r="CC12" s="437"/>
      <c r="CD12" s="438" t="str">
        <f t="shared" si="18"/>
        <v xml:space="preserve"> </v>
      </c>
      <c r="CE12" s="439"/>
      <c r="CF12" s="435"/>
      <c r="CG12" s="435"/>
      <c r="CH12" s="436" t="str">
        <f t="shared" si="19"/>
        <v xml:space="preserve"> </v>
      </c>
      <c r="CI12" s="437"/>
      <c r="CJ12" s="438" t="str">
        <f t="shared" si="20"/>
        <v xml:space="preserve"> </v>
      </c>
      <c r="CK12" s="439"/>
      <c r="CL12" s="435"/>
      <c r="CM12" s="435"/>
      <c r="CN12" s="436" t="str">
        <f t="shared" si="21"/>
        <v xml:space="preserve"> </v>
      </c>
      <c r="CO12" s="437"/>
      <c r="CP12" s="438" t="str">
        <f t="shared" si="22"/>
        <v xml:space="preserve"> </v>
      </c>
      <c r="CQ12" s="439"/>
      <c r="CR12" s="435"/>
      <c r="CS12" s="435"/>
      <c r="CT12" s="436" t="str">
        <f t="shared" si="23"/>
        <v xml:space="preserve"> </v>
      </c>
      <c r="CU12" s="437"/>
      <c r="CV12" s="438" t="str">
        <f t="shared" si="24"/>
        <v xml:space="preserve"> </v>
      </c>
      <c r="CW12" s="439"/>
    </row>
    <row r="13" spans="2:101" ht="106.5" customHeight="1">
      <c r="B13" s="429" t="s">
        <v>3310</v>
      </c>
      <c r="C13" s="429"/>
      <c r="D13" s="430" t="s">
        <v>3331</v>
      </c>
      <c r="E13" s="429" t="s">
        <v>3332</v>
      </c>
      <c r="F13" s="429" t="s">
        <v>3333</v>
      </c>
      <c r="G13" s="429" t="s">
        <v>352</v>
      </c>
      <c r="H13" s="429" t="s">
        <v>3334</v>
      </c>
      <c r="I13" s="429" t="s">
        <v>3325</v>
      </c>
      <c r="J13" s="429" t="s">
        <v>345</v>
      </c>
      <c r="K13" s="432"/>
      <c r="L13" s="432"/>
      <c r="M13" s="473"/>
      <c r="N13" s="432"/>
      <c r="O13" s="432"/>
      <c r="P13" s="1755"/>
      <c r="Q13" s="1755"/>
      <c r="R13" s="1755"/>
      <c r="S13" s="1755">
        <v>0.2</v>
      </c>
      <c r="T13" s="1755"/>
      <c r="U13" s="1755"/>
      <c r="V13" s="1755">
        <v>0.4</v>
      </c>
      <c r="W13" s="429"/>
      <c r="X13" s="1756"/>
      <c r="Y13" s="1757"/>
      <c r="Z13" s="1679"/>
      <c r="AA13" s="1758"/>
      <c r="AB13" s="1759"/>
      <c r="AC13" s="439" t="s">
        <v>3335</v>
      </c>
      <c r="AD13" s="1757"/>
      <c r="AE13" s="1757"/>
      <c r="AF13" s="436"/>
      <c r="AG13" s="1755"/>
      <c r="AH13" s="438"/>
      <c r="AI13" s="439" t="s">
        <v>3335</v>
      </c>
      <c r="AJ13" s="435"/>
      <c r="AK13" s="435"/>
      <c r="AL13" s="436"/>
      <c r="AM13" s="437"/>
      <c r="AN13" s="438"/>
      <c r="AO13" s="506" t="s">
        <v>3288</v>
      </c>
      <c r="AP13" s="1680">
        <v>12</v>
      </c>
      <c r="AQ13" s="1680">
        <v>21</v>
      </c>
      <c r="AR13" s="436">
        <f t="shared" si="6"/>
        <v>0.5714285714285714</v>
      </c>
      <c r="AS13" s="1755">
        <v>0.2</v>
      </c>
      <c r="AT13" s="438">
        <f t="shared" si="7"/>
        <v>2.8571428571428568</v>
      </c>
      <c r="AU13" s="439" t="s">
        <v>3336</v>
      </c>
      <c r="AV13" s="435"/>
      <c r="AW13" s="435"/>
      <c r="AX13" s="436"/>
      <c r="AY13" s="437"/>
      <c r="AZ13" s="438"/>
      <c r="BA13" s="439" t="s">
        <v>3290</v>
      </c>
      <c r="BB13" s="1680">
        <v>120</v>
      </c>
      <c r="BC13" s="1680">
        <v>281</v>
      </c>
      <c r="BD13" s="436">
        <f t="shared" si="10"/>
        <v>0.42704626334519574</v>
      </c>
      <c r="BE13" s="1755">
        <v>0.4</v>
      </c>
      <c r="BF13" s="438">
        <f t="shared" si="11"/>
        <v>1.0676156583629892</v>
      </c>
      <c r="BG13" s="1762" t="s">
        <v>3337</v>
      </c>
      <c r="BH13" s="1757">
        <v>132</v>
      </c>
      <c r="BI13" s="1757">
        <v>302</v>
      </c>
      <c r="BJ13" s="436">
        <v>1</v>
      </c>
      <c r="BK13" s="437">
        <v>0.6</v>
      </c>
      <c r="BL13" s="438">
        <f t="shared" si="12"/>
        <v>1.6666666666666667</v>
      </c>
      <c r="BM13" s="1762" t="s">
        <v>3338</v>
      </c>
      <c r="BN13" s="435"/>
      <c r="BO13" s="435"/>
      <c r="BP13" s="436"/>
      <c r="BQ13" s="437"/>
      <c r="BR13" s="438"/>
      <c r="BS13" s="439"/>
      <c r="BT13" s="435"/>
      <c r="BU13" s="435"/>
      <c r="BV13" s="436"/>
      <c r="BW13" s="437"/>
      <c r="BX13" s="438"/>
      <c r="BY13" s="439"/>
      <c r="BZ13" s="435"/>
      <c r="CA13" s="435"/>
      <c r="CB13" s="436"/>
      <c r="CC13" s="437"/>
      <c r="CD13" s="438"/>
      <c r="CE13" s="439"/>
      <c r="CF13" s="435"/>
      <c r="CG13" s="435"/>
      <c r="CH13" s="436"/>
      <c r="CI13" s="437"/>
      <c r="CJ13" s="438"/>
      <c r="CK13" s="439"/>
      <c r="CL13" s="435"/>
      <c r="CM13" s="435"/>
      <c r="CN13" s="436"/>
      <c r="CO13" s="437"/>
      <c r="CP13" s="438"/>
      <c r="CQ13" s="439"/>
      <c r="CR13" s="435"/>
      <c r="CS13" s="435"/>
      <c r="CT13" s="436"/>
      <c r="CU13" s="437"/>
      <c r="CV13" s="438"/>
      <c r="CW13" s="439"/>
    </row>
    <row r="14" spans="2:101" ht="232.5" customHeight="1">
      <c r="B14" s="429" t="s">
        <v>3310</v>
      </c>
      <c r="C14" s="429"/>
      <c r="D14" s="429" t="s">
        <v>3339</v>
      </c>
      <c r="E14" s="429" t="s">
        <v>3340</v>
      </c>
      <c r="F14" s="429" t="s">
        <v>3341</v>
      </c>
      <c r="G14" s="429" t="s">
        <v>352</v>
      </c>
      <c r="H14" s="429" t="s">
        <v>3342</v>
      </c>
      <c r="I14" s="429" t="s">
        <v>3325</v>
      </c>
      <c r="J14" s="429" t="s">
        <v>345</v>
      </c>
      <c r="K14" s="432"/>
      <c r="L14" s="432"/>
      <c r="M14" s="473"/>
      <c r="N14" s="432"/>
      <c r="O14" s="432"/>
      <c r="P14" s="1755">
        <v>1</v>
      </c>
      <c r="Q14" s="1755"/>
      <c r="R14" s="1755"/>
      <c r="S14" s="1755"/>
      <c r="T14" s="1755"/>
      <c r="U14" s="1755"/>
      <c r="V14" s="1755">
        <v>1</v>
      </c>
      <c r="W14" s="429"/>
      <c r="X14" s="1757"/>
      <c r="Y14" s="1757"/>
      <c r="Z14" s="1679" t="str">
        <f t="shared" si="0"/>
        <v xml:space="preserve"> </v>
      </c>
      <c r="AA14" s="1758"/>
      <c r="AB14" s="1759" t="str">
        <f t="shared" si="1"/>
        <v xml:space="preserve"> </v>
      </c>
      <c r="AC14" s="439" t="s">
        <v>3343</v>
      </c>
      <c r="AD14" s="1757">
        <v>44701</v>
      </c>
      <c r="AE14" s="1757">
        <v>53825</v>
      </c>
      <c r="AF14" s="436">
        <f t="shared" si="2"/>
        <v>0.83048769159312585</v>
      </c>
      <c r="AG14" s="1755">
        <v>1</v>
      </c>
      <c r="AH14" s="438">
        <f t="shared" si="3"/>
        <v>0.83048769159312585</v>
      </c>
      <c r="AI14" s="439" t="s">
        <v>3344</v>
      </c>
      <c r="AJ14" s="435"/>
      <c r="AK14" s="435"/>
      <c r="AL14" s="436" t="str">
        <f t="shared" si="4"/>
        <v xml:space="preserve"> </v>
      </c>
      <c r="AM14" s="437"/>
      <c r="AN14" s="438" t="str">
        <f t="shared" si="5"/>
        <v xml:space="preserve"> </v>
      </c>
      <c r="AO14" s="506" t="s">
        <v>3288</v>
      </c>
      <c r="AP14" s="435"/>
      <c r="AQ14" s="435"/>
      <c r="AR14" s="436" t="str">
        <f t="shared" si="6"/>
        <v xml:space="preserve"> </v>
      </c>
      <c r="AS14" s="1755"/>
      <c r="AT14" s="438" t="str">
        <f t="shared" si="7"/>
        <v xml:space="preserve"> </v>
      </c>
      <c r="AU14" s="439" t="s">
        <v>3345</v>
      </c>
      <c r="AV14" s="435"/>
      <c r="AW14" s="435"/>
      <c r="AX14" s="436" t="str">
        <f t="shared" si="8"/>
        <v xml:space="preserve"> </v>
      </c>
      <c r="AY14" s="437"/>
      <c r="AZ14" s="438" t="str">
        <f t="shared" si="9"/>
        <v xml:space="preserve"> </v>
      </c>
      <c r="BA14" s="439" t="s">
        <v>3290</v>
      </c>
      <c r="BB14" s="1757">
        <v>81404</v>
      </c>
      <c r="BC14" s="1757">
        <v>64611</v>
      </c>
      <c r="BD14" s="22">
        <f>IF(BC14=0," ",BB14/BC14)</f>
        <v>1.2599093033693953</v>
      </c>
      <c r="BE14" s="112">
        <v>1</v>
      </c>
      <c r="BF14" s="145">
        <f>IF(BC14=0," ",BD14/BE14)</f>
        <v>1.2599093033693953</v>
      </c>
      <c r="BG14" s="1762" t="s">
        <v>3346</v>
      </c>
      <c r="BH14" s="1757">
        <v>118397</v>
      </c>
      <c r="BI14" s="1757">
        <v>118436</v>
      </c>
      <c r="BJ14" s="22">
        <f>IF(BI14=0," ",BH14/BI14)</f>
        <v>0.99967070823060555</v>
      </c>
      <c r="BK14" s="112">
        <v>1</v>
      </c>
      <c r="BL14" s="145">
        <f>IF(BI14=0," ",BJ14/BK14)</f>
        <v>0.99967070823060555</v>
      </c>
      <c r="BM14" s="1762" t="s">
        <v>3347</v>
      </c>
      <c r="BN14" s="435"/>
      <c r="BO14" s="435"/>
      <c r="BP14" s="436" t="str">
        <f t="shared" si="13"/>
        <v xml:space="preserve"> </v>
      </c>
      <c r="BQ14" s="437"/>
      <c r="BR14" s="438" t="str">
        <f t="shared" si="14"/>
        <v xml:space="preserve"> </v>
      </c>
      <c r="BS14" s="439"/>
      <c r="BT14" s="435"/>
      <c r="BU14" s="435"/>
      <c r="BV14" s="436" t="str">
        <f t="shared" si="15"/>
        <v xml:space="preserve"> </v>
      </c>
      <c r="BW14" s="437"/>
      <c r="BX14" s="438" t="str">
        <f t="shared" si="16"/>
        <v xml:space="preserve"> </v>
      </c>
      <c r="BY14" s="439"/>
      <c r="BZ14" s="435"/>
      <c r="CA14" s="435"/>
      <c r="CB14" s="436" t="str">
        <f t="shared" si="17"/>
        <v xml:space="preserve"> </v>
      </c>
      <c r="CC14" s="437"/>
      <c r="CD14" s="438" t="str">
        <f t="shared" si="18"/>
        <v xml:space="preserve"> </v>
      </c>
      <c r="CE14" s="439"/>
      <c r="CF14" s="435"/>
      <c r="CG14" s="435"/>
      <c r="CH14" s="436" t="str">
        <f t="shared" si="19"/>
        <v xml:space="preserve"> </v>
      </c>
      <c r="CI14" s="437"/>
      <c r="CJ14" s="438" t="str">
        <f t="shared" si="20"/>
        <v xml:space="preserve"> </v>
      </c>
      <c r="CK14" s="439"/>
      <c r="CL14" s="435"/>
      <c r="CM14" s="435"/>
      <c r="CN14" s="436" t="str">
        <f t="shared" si="21"/>
        <v xml:space="preserve"> </v>
      </c>
      <c r="CO14" s="437"/>
      <c r="CP14" s="438" t="str">
        <f t="shared" si="22"/>
        <v xml:space="preserve"> </v>
      </c>
      <c r="CQ14" s="439"/>
      <c r="CR14" s="435"/>
      <c r="CS14" s="435"/>
      <c r="CT14" s="436" t="str">
        <f t="shared" si="23"/>
        <v xml:space="preserve"> </v>
      </c>
      <c r="CU14" s="437"/>
      <c r="CV14" s="438" t="str">
        <f t="shared" si="24"/>
        <v xml:space="preserve"> </v>
      </c>
      <c r="CW14" s="439"/>
    </row>
    <row r="15" spans="2:101" ht="40.5" customHeight="1">
      <c r="B15" s="1764"/>
      <c r="C15" s="1765"/>
      <c r="D15" s="1766"/>
      <c r="E15" s="1766"/>
      <c r="F15" s="1765"/>
      <c r="G15" s="1765"/>
      <c r="H15" s="1766" t="s">
        <v>49</v>
      </c>
      <c r="I15" s="1765"/>
      <c r="J15" s="1765"/>
      <c r="K15" s="1767"/>
      <c r="L15" s="1767"/>
      <c r="M15" s="1768"/>
      <c r="N15" s="1767"/>
      <c r="O15" s="1767"/>
      <c r="P15" s="1769"/>
      <c r="Q15" s="1769"/>
      <c r="R15" s="1769"/>
      <c r="S15" s="1769"/>
      <c r="T15" s="1769"/>
      <c r="U15" s="1769"/>
      <c r="V15" s="1769"/>
      <c r="W15" s="1770"/>
      <c r="X15" s="1771"/>
      <c r="Y15" s="1772"/>
      <c r="Z15" s="1679"/>
      <c r="AA15" s="1759"/>
      <c r="AB15" s="1759"/>
      <c r="AC15" s="482"/>
      <c r="AD15" s="1773"/>
      <c r="AE15" s="1772"/>
      <c r="AF15" s="1677"/>
      <c r="AG15" s="1769"/>
      <c r="AH15" s="438"/>
      <c r="AI15" s="438"/>
      <c r="AJ15" s="482"/>
      <c r="AK15" s="1677"/>
      <c r="AL15" s="1677"/>
      <c r="AM15" s="436"/>
      <c r="AN15" s="438"/>
      <c r="AO15" s="506"/>
      <c r="AP15" s="1677"/>
      <c r="AQ15" s="1677"/>
      <c r="AR15" s="436"/>
      <c r="AS15" s="1769"/>
      <c r="AT15" s="438"/>
      <c r="AU15" s="1678"/>
      <c r="AV15" s="482"/>
      <c r="AW15" s="1677"/>
      <c r="AX15" s="1677"/>
      <c r="AY15" s="436"/>
      <c r="AZ15" s="438"/>
      <c r="BA15" s="438"/>
      <c r="BB15" s="1677"/>
      <c r="BC15" s="1677"/>
      <c r="BD15" s="436"/>
      <c r="BE15" s="438"/>
      <c r="BF15" s="438"/>
      <c r="BG15" s="1762"/>
      <c r="BH15" s="482"/>
      <c r="BI15" s="1774"/>
      <c r="BJ15" s="1677"/>
      <c r="BK15" s="436"/>
      <c r="BL15" s="438"/>
      <c r="BM15" s="1762"/>
      <c r="BN15" s="1677"/>
      <c r="BO15" s="1677"/>
      <c r="BP15" s="436"/>
      <c r="BQ15" s="438"/>
      <c r="BR15" s="438"/>
      <c r="BS15" s="1678"/>
      <c r="BT15" s="482"/>
      <c r="BU15" s="1677"/>
      <c r="BV15" s="1677"/>
      <c r="BW15" s="436"/>
      <c r="BX15" s="438"/>
      <c r="BY15" s="438"/>
      <c r="BZ15" s="1677"/>
      <c r="CA15" s="1677"/>
      <c r="CB15" s="436"/>
      <c r="CC15" s="438"/>
      <c r="CD15" s="438"/>
      <c r="CE15" s="1678"/>
      <c r="CF15" s="482"/>
      <c r="CG15" s="1677"/>
      <c r="CH15" s="1677"/>
      <c r="CI15" s="436"/>
      <c r="CJ15" s="438"/>
      <c r="CK15" s="438"/>
      <c r="CL15" s="1677"/>
      <c r="CM15" s="1677"/>
      <c r="CN15" s="436"/>
      <c r="CO15" s="438"/>
      <c r="CP15" s="438"/>
      <c r="CQ15" s="1678"/>
      <c r="CR15" s="482"/>
      <c r="CS15" s="1677"/>
      <c r="CT15" s="1677"/>
      <c r="CU15" s="436"/>
      <c r="CV15" s="438"/>
      <c r="CW15" s="438"/>
    </row>
    <row r="16" spans="2:101" ht="262.5" customHeight="1">
      <c r="B16" s="429" t="s">
        <v>155</v>
      </c>
      <c r="C16" s="429" t="s">
        <v>156</v>
      </c>
      <c r="D16" s="430" t="s">
        <v>157</v>
      </c>
      <c r="E16" s="430" t="s">
        <v>158</v>
      </c>
      <c r="F16" s="429" t="s">
        <v>159</v>
      </c>
      <c r="G16" s="429" t="s">
        <v>53</v>
      </c>
      <c r="H16" s="430" t="s">
        <v>160</v>
      </c>
      <c r="I16" s="429" t="s">
        <v>161</v>
      </c>
      <c r="J16" s="429" t="s">
        <v>54</v>
      </c>
      <c r="K16" s="432"/>
      <c r="L16" s="432"/>
      <c r="M16" s="473"/>
      <c r="N16" s="473">
        <v>1</v>
      </c>
      <c r="O16" s="432"/>
      <c r="P16" s="473">
        <v>1</v>
      </c>
      <c r="Q16" s="491"/>
      <c r="R16" s="491"/>
      <c r="S16" s="473">
        <v>1</v>
      </c>
      <c r="T16" s="491"/>
      <c r="U16" s="491"/>
      <c r="V16" s="473">
        <v>1</v>
      </c>
      <c r="W16" s="429" t="s">
        <v>79</v>
      </c>
      <c r="X16" s="1756">
        <v>1</v>
      </c>
      <c r="Y16" s="1757">
        <v>2</v>
      </c>
      <c r="Z16" s="1679">
        <f>IF(Y16=0," ",X16/Y16)</f>
        <v>0.5</v>
      </c>
      <c r="AA16" s="1758">
        <v>1</v>
      </c>
      <c r="AB16" s="1759">
        <f>IF(Y16=0," ",Z16/AA16)</f>
        <v>0.5</v>
      </c>
      <c r="AC16" s="1669" t="s">
        <v>3348</v>
      </c>
      <c r="AD16" s="1757">
        <v>3</v>
      </c>
      <c r="AE16" s="1757">
        <v>11</v>
      </c>
      <c r="AF16" s="436">
        <f>IF(AE16=0," ",AD16/AE16)</f>
        <v>0.27272727272727271</v>
      </c>
      <c r="AG16" s="473">
        <v>1</v>
      </c>
      <c r="AH16" s="438">
        <f>IF(AE16=0," ",AF16/AG16)</f>
        <v>0.27272727272727271</v>
      </c>
      <c r="AI16" s="1775" t="s">
        <v>3349</v>
      </c>
      <c r="AJ16" s="435"/>
      <c r="AK16" s="435"/>
      <c r="AL16" s="436" t="str">
        <f>IF(AK16=0," ",AJ16/AK16)</f>
        <v xml:space="preserve"> </v>
      </c>
      <c r="AM16" s="437"/>
      <c r="AN16" s="438" t="str">
        <f>IF(AK16=0," ",AL16/AM16)</f>
        <v xml:space="preserve"> </v>
      </c>
      <c r="AO16" s="506" t="s">
        <v>3288</v>
      </c>
      <c r="AP16" s="1680">
        <v>4</v>
      </c>
      <c r="AQ16" s="1680">
        <v>12</v>
      </c>
      <c r="AR16" s="436">
        <f>IF(AQ16=0," ",AP16/AQ16)</f>
        <v>0.33333333333333331</v>
      </c>
      <c r="AS16" s="473">
        <v>1</v>
      </c>
      <c r="AT16" s="438">
        <f>IF(AQ16=0," ",AR16/AS16)</f>
        <v>0.33333333333333331</v>
      </c>
      <c r="AU16" s="502" t="s">
        <v>3350</v>
      </c>
      <c r="AV16" s="435"/>
      <c r="AW16" s="435"/>
      <c r="AX16" s="436" t="str">
        <f>IF(AW16=0," ",AV16/AW16)</f>
        <v xml:space="preserve"> </v>
      </c>
      <c r="AY16" s="437"/>
      <c r="AZ16" s="438" t="str">
        <f>IF(AW16=0," ",AX16/AY16)</f>
        <v xml:space="preserve"> </v>
      </c>
      <c r="BA16" s="439" t="s">
        <v>3290</v>
      </c>
      <c r="BB16" s="1680">
        <v>10</v>
      </c>
      <c r="BC16" s="1680">
        <v>13</v>
      </c>
      <c r="BD16" s="436">
        <f>IF(BC16=0," ",BB16/BC16)</f>
        <v>0.76923076923076927</v>
      </c>
      <c r="BE16" s="437">
        <v>1</v>
      </c>
      <c r="BF16" s="438">
        <f>IF(BC16=0," ",BD16/BE16)</f>
        <v>0.76923076923076927</v>
      </c>
      <c r="BG16" s="1762" t="s">
        <v>3351</v>
      </c>
      <c r="BH16" s="1757">
        <v>10</v>
      </c>
      <c r="BI16" s="1757">
        <v>13</v>
      </c>
      <c r="BJ16" s="436">
        <f>IF(BI16=0," ",BH16/BI16)</f>
        <v>0.76923076923076927</v>
      </c>
      <c r="BK16" s="437">
        <v>1</v>
      </c>
      <c r="BL16" s="438">
        <f>IF(BI16=0," ",BJ16/BK16)</f>
        <v>0.76923076923076927</v>
      </c>
      <c r="BM16" s="1762" t="s">
        <v>3352</v>
      </c>
      <c r="BN16" s="435"/>
      <c r="BO16" s="435"/>
      <c r="BP16" s="436" t="str">
        <f>IF(BO16=0," ",BN16/BO16)</f>
        <v xml:space="preserve"> </v>
      </c>
      <c r="BQ16" s="437"/>
      <c r="BR16" s="438" t="str">
        <f>IF(BO16=0," ",BP16/BQ16)</f>
        <v xml:space="preserve"> </v>
      </c>
      <c r="BS16" s="439"/>
      <c r="BT16" s="435"/>
      <c r="BU16" s="435"/>
      <c r="BV16" s="436" t="str">
        <f>IF(BU16=0," ",BT16/BU16)</f>
        <v xml:space="preserve"> </v>
      </c>
      <c r="BW16" s="437"/>
      <c r="BX16" s="438" t="str">
        <f>IF(BU16=0," ",BV16/BW16)</f>
        <v xml:space="preserve"> </v>
      </c>
      <c r="BY16" s="439"/>
      <c r="BZ16" s="435"/>
      <c r="CA16" s="435"/>
      <c r="CB16" s="436" t="str">
        <f>IF(CA16=0," ",BZ16/CA16)</f>
        <v xml:space="preserve"> </v>
      </c>
      <c r="CC16" s="437"/>
      <c r="CD16" s="438" t="str">
        <f>IF(CA16=0," ",CB16/CC16)</f>
        <v xml:space="preserve"> </v>
      </c>
      <c r="CE16" s="439"/>
      <c r="CF16" s="435"/>
      <c r="CG16" s="435"/>
      <c r="CH16" s="436" t="str">
        <f>IF(CG16=0," ",CF16/CG16)</f>
        <v xml:space="preserve"> </v>
      </c>
      <c r="CI16" s="437"/>
      <c r="CJ16" s="438" t="str">
        <f>IF(CG16=0," ",CH16/CI16)</f>
        <v xml:space="preserve"> </v>
      </c>
      <c r="CK16" s="439"/>
      <c r="CL16" s="435"/>
      <c r="CM16" s="435"/>
      <c r="CN16" s="436" t="str">
        <f>IF(CM16=0," ",CL16/CM16)</f>
        <v xml:space="preserve"> </v>
      </c>
      <c r="CO16" s="437"/>
      <c r="CP16" s="438" t="str">
        <f>IF(CM16=0," ",CN16/CO16)</f>
        <v xml:space="preserve"> </v>
      </c>
      <c r="CQ16" s="439"/>
      <c r="CR16" s="435"/>
      <c r="CS16" s="435"/>
      <c r="CT16" s="436" t="str">
        <f>IF(CS16=0," ",CR16/CS16)</f>
        <v xml:space="preserve"> </v>
      </c>
      <c r="CU16" s="437"/>
      <c r="CV16" s="438" t="str">
        <f>IF(CS16=0," ",CT16/CU16)</f>
        <v xml:space="preserve"> </v>
      </c>
      <c r="CW16" s="439"/>
    </row>
    <row r="17" spans="2:101" ht="150.75" customHeight="1">
      <c r="B17" s="429" t="s">
        <v>55</v>
      </c>
      <c r="C17" s="429" t="s">
        <v>89</v>
      </c>
      <c r="D17" s="429" t="s">
        <v>56</v>
      </c>
      <c r="E17" s="429" t="s">
        <v>57</v>
      </c>
      <c r="F17" s="496" t="s">
        <v>58</v>
      </c>
      <c r="G17" s="429" t="s">
        <v>53</v>
      </c>
      <c r="H17" s="496" t="s">
        <v>59</v>
      </c>
      <c r="I17" s="429" t="s">
        <v>60</v>
      </c>
      <c r="J17" s="429" t="s">
        <v>54</v>
      </c>
      <c r="K17" s="432"/>
      <c r="L17" s="432"/>
      <c r="M17" s="473">
        <v>1</v>
      </c>
      <c r="N17" s="432"/>
      <c r="O17" s="432"/>
      <c r="P17" s="473">
        <v>1</v>
      </c>
      <c r="Q17" s="473"/>
      <c r="R17" s="432"/>
      <c r="S17" s="473">
        <v>1</v>
      </c>
      <c r="T17" s="473"/>
      <c r="U17" s="432"/>
      <c r="V17" s="473">
        <v>1</v>
      </c>
      <c r="W17" s="429" t="s">
        <v>79</v>
      </c>
      <c r="X17" s="1756">
        <v>1</v>
      </c>
      <c r="Y17" s="1757">
        <v>2</v>
      </c>
      <c r="Z17" s="1679">
        <f>IF(Y17=0," ",X17/Y17)</f>
        <v>0.5</v>
      </c>
      <c r="AA17" s="1758">
        <v>1</v>
      </c>
      <c r="AB17" s="1759">
        <f>IF(Y17=0," ",Z17/AA17)</f>
        <v>0.5</v>
      </c>
      <c r="AC17" s="1776" t="s">
        <v>3353</v>
      </c>
      <c r="AD17" s="435" t="s">
        <v>1108</v>
      </c>
      <c r="AE17" s="1757">
        <v>0</v>
      </c>
      <c r="AF17" s="436"/>
      <c r="AG17" s="473">
        <v>1</v>
      </c>
      <c r="AH17" s="438" t="str">
        <f>IF(AE17=0," ",AF17/AG17)</f>
        <v xml:space="preserve"> </v>
      </c>
      <c r="AI17" s="1763" t="s">
        <v>1281</v>
      </c>
      <c r="AJ17" s="435"/>
      <c r="AK17" s="435"/>
      <c r="AL17" s="436" t="str">
        <f>IF(AK17=0," ",AJ17/AK17)</f>
        <v xml:space="preserve"> </v>
      </c>
      <c r="AM17" s="437"/>
      <c r="AN17" s="438" t="str">
        <f>IF(AK17=0," ",AL17/AM17)</f>
        <v xml:space="preserve"> </v>
      </c>
      <c r="AO17" s="506" t="s">
        <v>3288</v>
      </c>
      <c r="AP17" s="476">
        <v>1</v>
      </c>
      <c r="AQ17" s="476">
        <v>1</v>
      </c>
      <c r="AR17" s="436">
        <f>IF(AQ17=0," ",AP17/AQ17)</f>
        <v>1</v>
      </c>
      <c r="AS17" s="473">
        <v>1</v>
      </c>
      <c r="AT17" s="438">
        <f>IF(AQ17=0," ",AR17/AS17)</f>
        <v>1</v>
      </c>
      <c r="AU17" s="1777" t="s">
        <v>3354</v>
      </c>
      <c r="AV17" s="435"/>
      <c r="AW17" s="435"/>
      <c r="AX17" s="436" t="str">
        <f>IF(AW17=0," ",AV17/AW17)</f>
        <v xml:space="preserve"> </v>
      </c>
      <c r="AY17" s="437"/>
      <c r="AZ17" s="438" t="str">
        <f>IF(AW17=0," ",AX17/AY17)</f>
        <v xml:space="preserve"> </v>
      </c>
      <c r="BA17" s="439" t="s">
        <v>3290</v>
      </c>
      <c r="BB17" s="1680">
        <v>100</v>
      </c>
      <c r="BC17" s="435">
        <v>100</v>
      </c>
      <c r="BD17" s="436">
        <f>IF(BC17=0," ",BB17/BC17)</f>
        <v>1</v>
      </c>
      <c r="BE17" s="437">
        <v>1</v>
      </c>
      <c r="BF17" s="438">
        <f>IF(BC17=0," ",BD17/BE17)</f>
        <v>1</v>
      </c>
      <c r="BG17" s="1762" t="s">
        <v>1108</v>
      </c>
      <c r="BH17" s="435">
        <v>100</v>
      </c>
      <c r="BI17" s="435">
        <v>100</v>
      </c>
      <c r="BJ17" s="436">
        <v>1</v>
      </c>
      <c r="BK17" s="437">
        <v>1</v>
      </c>
      <c r="BL17" s="438">
        <f>IF(BI17=0," ",BJ17/BK17)</f>
        <v>1</v>
      </c>
      <c r="BM17" s="1762" t="s">
        <v>1108</v>
      </c>
      <c r="BN17" s="435"/>
      <c r="BO17" s="435"/>
      <c r="BP17" s="436" t="str">
        <f>IF(BO17=0," ",BN17/BO17)</f>
        <v xml:space="preserve"> </v>
      </c>
      <c r="BQ17" s="437"/>
      <c r="BR17" s="438" t="str">
        <f>IF(BO17=0," ",BP17/BQ17)</f>
        <v xml:space="preserve"> </v>
      </c>
      <c r="BS17" s="439"/>
      <c r="BT17" s="435"/>
      <c r="BU17" s="435"/>
      <c r="BV17" s="436" t="str">
        <f>IF(BU17=0," ",BT17/BU17)</f>
        <v xml:space="preserve"> </v>
      </c>
      <c r="BW17" s="437"/>
      <c r="BX17" s="438" t="str">
        <f>IF(BU17=0," ",BV17/BW17)</f>
        <v xml:space="preserve"> </v>
      </c>
      <c r="BY17" s="439"/>
      <c r="BZ17" s="435"/>
      <c r="CA17" s="435"/>
      <c r="CB17" s="436" t="str">
        <f>IF(CA17=0," ",BZ17/CA17)</f>
        <v xml:space="preserve"> </v>
      </c>
      <c r="CC17" s="437"/>
      <c r="CD17" s="438" t="str">
        <f>IF(CA17=0," ",CB17/CC17)</f>
        <v xml:space="preserve"> </v>
      </c>
      <c r="CE17" s="439"/>
      <c r="CF17" s="435"/>
      <c r="CG17" s="435"/>
      <c r="CH17" s="436" t="str">
        <f>IF(CG17=0," ",CF17/CG17)</f>
        <v xml:space="preserve"> </v>
      </c>
      <c r="CI17" s="437"/>
      <c r="CJ17" s="438" t="str">
        <f>IF(CG17=0," ",CH17/CI17)</f>
        <v xml:space="preserve"> </v>
      </c>
      <c r="CK17" s="439"/>
      <c r="CL17" s="435"/>
      <c r="CM17" s="435"/>
      <c r="CN17" s="436" t="str">
        <f>IF(CM17=0," ",CL17/CM17)</f>
        <v xml:space="preserve"> </v>
      </c>
      <c r="CO17" s="437"/>
      <c r="CP17" s="438" t="str">
        <f>IF(CM17=0," ",CN17/CO17)</f>
        <v xml:space="preserve"> </v>
      </c>
      <c r="CQ17" s="439"/>
      <c r="CR17" s="435"/>
      <c r="CS17" s="435"/>
      <c r="CT17" s="436" t="str">
        <f>IF(CS17=0," ",CR17/CS17)</f>
        <v xml:space="preserve"> </v>
      </c>
      <c r="CU17" s="437"/>
      <c r="CV17" s="438" t="str">
        <f>IF(CS17=0," ",CT17/CU17)</f>
        <v xml:space="preserve"> </v>
      </c>
      <c r="CW17" s="439"/>
    </row>
    <row r="18" spans="2:101" ht="178.5" customHeight="1">
      <c r="B18" s="429" t="s">
        <v>55</v>
      </c>
      <c r="C18" s="429" t="s">
        <v>88</v>
      </c>
      <c r="D18" s="429" t="s">
        <v>61</v>
      </c>
      <c r="E18" s="429" t="s">
        <v>57</v>
      </c>
      <c r="F18" s="496" t="s">
        <v>62</v>
      </c>
      <c r="G18" s="429" t="s">
        <v>53</v>
      </c>
      <c r="H18" s="429" t="s">
        <v>63</v>
      </c>
      <c r="I18" s="429" t="s">
        <v>64</v>
      </c>
      <c r="J18" s="429" t="s">
        <v>54</v>
      </c>
      <c r="K18" s="498"/>
      <c r="L18" s="499">
        <v>1</v>
      </c>
      <c r="M18" s="499"/>
      <c r="N18" s="499">
        <v>1</v>
      </c>
      <c r="O18" s="498"/>
      <c r="P18" s="473">
        <v>1</v>
      </c>
      <c r="Q18" s="500"/>
      <c r="R18" s="473">
        <v>1</v>
      </c>
      <c r="S18" s="500"/>
      <c r="T18" s="473">
        <v>1</v>
      </c>
      <c r="U18" s="501"/>
      <c r="V18" s="473">
        <v>1</v>
      </c>
      <c r="W18" s="429" t="s">
        <v>79</v>
      </c>
      <c r="X18" s="1756"/>
      <c r="Y18" s="1757"/>
      <c r="Z18" s="1679" t="str">
        <f>IF(Y18=0," ",X18/Y18)</f>
        <v xml:space="preserve"> </v>
      </c>
      <c r="AA18" s="1758"/>
      <c r="AB18" s="1759" t="str">
        <f>IF(Y18=0," ",Z18/AA18)</f>
        <v xml:space="preserve"> </v>
      </c>
      <c r="AC18" s="439" t="s">
        <v>3355</v>
      </c>
      <c r="AD18" s="1757">
        <v>100</v>
      </c>
      <c r="AE18" s="1757">
        <v>100</v>
      </c>
      <c r="AF18" s="436">
        <f>IF(AE18=0," ",AD18/AE18)</f>
        <v>1</v>
      </c>
      <c r="AG18" s="473">
        <v>1</v>
      </c>
      <c r="AH18" s="438">
        <f>IF(AE18=0," ",AF18/AG18)</f>
        <v>1</v>
      </c>
      <c r="AI18" s="1778" t="s">
        <v>972</v>
      </c>
      <c r="AJ18" s="435"/>
      <c r="AK18" s="435"/>
      <c r="AL18" s="436" t="str">
        <f>IF(AK18=0," ",AJ18/AK18)</f>
        <v xml:space="preserve"> </v>
      </c>
      <c r="AM18" s="437"/>
      <c r="AN18" s="438" t="str">
        <f>IF(AK18=0," ",AL18/AM18)</f>
        <v xml:space="preserve"> </v>
      </c>
      <c r="AO18" s="1779" t="s">
        <v>3356</v>
      </c>
      <c r="AP18" s="435" t="s">
        <v>1108</v>
      </c>
      <c r="AQ18" s="435"/>
      <c r="AR18" s="436" t="str">
        <f>IF(AQ18=0," ",AP18/AQ18)</f>
        <v xml:space="preserve"> </v>
      </c>
      <c r="AS18" s="500"/>
      <c r="AT18" s="438" t="str">
        <f>IF(AQ18=0," ",AR18/AS18)</f>
        <v xml:space="preserve"> </v>
      </c>
      <c r="AU18" s="502" t="s">
        <v>3357</v>
      </c>
      <c r="AV18" s="435"/>
      <c r="AW18" s="435"/>
      <c r="AX18" s="436" t="str">
        <f>IF(AW18=0," ",AV18/AW18)</f>
        <v xml:space="preserve"> </v>
      </c>
      <c r="AY18" s="437"/>
      <c r="AZ18" s="438" t="str">
        <f>IF(AW18=0," ",AX18/AY18)</f>
        <v xml:space="preserve"> </v>
      </c>
      <c r="BA18" s="1779" t="s">
        <v>3358</v>
      </c>
      <c r="BB18" s="435"/>
      <c r="BC18" s="435"/>
      <c r="BD18" s="436" t="s">
        <v>325</v>
      </c>
      <c r="BE18" s="437"/>
      <c r="BF18" s="438" t="str">
        <f>IF(BC18=0," ",BD18/BE18)</f>
        <v xml:space="preserve"> </v>
      </c>
      <c r="BG18" s="1762" t="s">
        <v>162</v>
      </c>
      <c r="BH18" s="435">
        <v>100</v>
      </c>
      <c r="BI18" s="435">
        <v>100</v>
      </c>
      <c r="BJ18" s="436">
        <v>1</v>
      </c>
      <c r="BK18" s="437">
        <v>1</v>
      </c>
      <c r="BL18" s="438">
        <f>IF(BI18=0," ",BJ18/BK18)</f>
        <v>1</v>
      </c>
      <c r="BM18" s="1762" t="s">
        <v>162</v>
      </c>
      <c r="BN18" s="435"/>
      <c r="BO18" s="435"/>
      <c r="BP18" s="436" t="str">
        <f>IF(BO18=0," ",BN18/BO18)</f>
        <v xml:space="preserve"> </v>
      </c>
      <c r="BQ18" s="437"/>
      <c r="BR18" s="438" t="str">
        <f>IF(BO18=0," ",BP18/BQ18)</f>
        <v xml:space="preserve"> </v>
      </c>
      <c r="BS18" s="439"/>
      <c r="BT18" s="435"/>
      <c r="BU18" s="435"/>
      <c r="BV18" s="436" t="str">
        <f>IF(BU18=0," ",BT18/BU18)</f>
        <v xml:space="preserve"> </v>
      </c>
      <c r="BW18" s="437"/>
      <c r="BX18" s="438" t="str">
        <f>IF(BU18=0," ",BV18/BW18)</f>
        <v xml:space="preserve"> </v>
      </c>
      <c r="BY18" s="439"/>
      <c r="BZ18" s="435"/>
      <c r="CA18" s="435"/>
      <c r="CB18" s="436" t="str">
        <f>IF(CA18=0," ",BZ18/CA18)</f>
        <v xml:space="preserve"> </v>
      </c>
      <c r="CC18" s="437"/>
      <c r="CD18" s="438" t="str">
        <f>IF(CA18=0," ",CB18/CC18)</f>
        <v xml:space="preserve"> </v>
      </c>
      <c r="CE18" s="439"/>
      <c r="CF18" s="435"/>
      <c r="CG18" s="435"/>
      <c r="CH18" s="436" t="str">
        <f>IF(CG18=0," ",CF18/CG18)</f>
        <v xml:space="preserve"> </v>
      </c>
      <c r="CI18" s="437"/>
      <c r="CJ18" s="438" t="str">
        <f>IF(CG18=0," ",CH18/CI18)</f>
        <v xml:space="preserve"> </v>
      </c>
      <c r="CK18" s="439"/>
      <c r="CL18" s="435"/>
      <c r="CM18" s="435"/>
      <c r="CN18" s="436" t="str">
        <f>IF(CM18=0," ",CL18/CM18)</f>
        <v xml:space="preserve"> </v>
      </c>
      <c r="CO18" s="437"/>
      <c r="CP18" s="438" t="str">
        <f>IF(CM18=0," ",CN18/CO18)</f>
        <v xml:space="preserve"> </v>
      </c>
      <c r="CQ18" s="439"/>
      <c r="CR18" s="435"/>
      <c r="CS18" s="435"/>
      <c r="CT18" s="436" t="str">
        <f>IF(CS18=0," ",CR18/CS18)</f>
        <v xml:space="preserve"> </v>
      </c>
      <c r="CU18" s="437"/>
      <c r="CV18" s="438" t="str">
        <f>IF(CS18=0," ",CT18/CU18)</f>
        <v xml:space="preserve"> </v>
      </c>
      <c r="CW18" s="439"/>
    </row>
    <row r="19" spans="2:101" ht="228" customHeight="1">
      <c r="B19" s="503" t="s">
        <v>81</v>
      </c>
      <c r="C19" s="429" t="s">
        <v>92</v>
      </c>
      <c r="D19" s="418" t="s">
        <v>83</v>
      </c>
      <c r="E19" s="429" t="s">
        <v>84</v>
      </c>
      <c r="F19" s="496" t="s">
        <v>82</v>
      </c>
      <c r="G19" s="429" t="s">
        <v>98</v>
      </c>
      <c r="H19" s="429" t="s">
        <v>1323</v>
      </c>
      <c r="I19" s="429" t="s">
        <v>85</v>
      </c>
      <c r="J19" s="429" t="s">
        <v>54</v>
      </c>
      <c r="K19" s="473"/>
      <c r="L19" s="473"/>
      <c r="M19" s="473">
        <v>1</v>
      </c>
      <c r="N19" s="473"/>
      <c r="O19" s="473"/>
      <c r="P19" s="473">
        <v>1</v>
      </c>
      <c r="Q19" s="473"/>
      <c r="R19" s="473"/>
      <c r="S19" s="473">
        <v>1</v>
      </c>
      <c r="T19" s="473"/>
      <c r="U19" s="473"/>
      <c r="V19" s="473">
        <v>1</v>
      </c>
      <c r="W19" s="474" t="s">
        <v>79</v>
      </c>
      <c r="X19" s="1756">
        <v>325</v>
      </c>
      <c r="Y19" s="1757">
        <v>325</v>
      </c>
      <c r="Z19" s="1679">
        <f>IF(Y19=0," ",X19/Y19)</f>
        <v>1</v>
      </c>
      <c r="AA19" s="1758">
        <v>1</v>
      </c>
      <c r="AB19" s="1759">
        <f>IF(Y19=0," ",Z19/AA19)</f>
        <v>1</v>
      </c>
      <c r="AC19" s="439" t="s">
        <v>3359</v>
      </c>
      <c r="AD19" s="1757">
        <v>520</v>
      </c>
      <c r="AE19" s="1757">
        <v>530</v>
      </c>
      <c r="AF19" s="436">
        <f>IF(AE19=0," ",AD19/AE19)</f>
        <v>0.98113207547169812</v>
      </c>
      <c r="AG19" s="473">
        <v>1</v>
      </c>
      <c r="AH19" s="438">
        <f>IF(AE19=0," ",AF19/AG19)</f>
        <v>0.98113207547169812</v>
      </c>
      <c r="AI19" s="439" t="s">
        <v>3360</v>
      </c>
      <c r="AJ19" s="435"/>
      <c r="AK19" s="435"/>
      <c r="AL19" s="436" t="str">
        <f>IF(AK19=0," ",AJ19/AK19)</f>
        <v xml:space="preserve"> </v>
      </c>
      <c r="AM19" s="437"/>
      <c r="AN19" s="438" t="str">
        <f>IF(AK19=0," ",AL19/AM19)</f>
        <v xml:space="preserve"> </v>
      </c>
      <c r="AO19" s="506" t="s">
        <v>3288</v>
      </c>
      <c r="AP19" s="1680">
        <v>717</v>
      </c>
      <c r="AQ19" s="1680">
        <v>735</v>
      </c>
      <c r="AR19" s="436">
        <f>IF(AQ19=0," ",AP19/AQ19)</f>
        <v>0.97551020408163269</v>
      </c>
      <c r="AS19" s="473">
        <v>1</v>
      </c>
      <c r="AT19" s="438">
        <f>IF(AQ19=0," ",AR19/AS19)</f>
        <v>0.97551020408163269</v>
      </c>
      <c r="AU19" s="502" t="s">
        <v>3361</v>
      </c>
      <c r="AV19" s="435"/>
      <c r="AW19" s="435"/>
      <c r="AX19" s="436" t="str">
        <f>IF(AW19=0," ",AV19/AW19)</f>
        <v xml:space="preserve"> </v>
      </c>
      <c r="AY19" s="437"/>
      <c r="AZ19" s="438" t="str">
        <f>IF(AW19=0," ",AX19/AY19)</f>
        <v xml:space="preserve"> </v>
      </c>
      <c r="BA19" s="439" t="s">
        <v>3290</v>
      </c>
      <c r="BB19" s="435">
        <v>772</v>
      </c>
      <c r="BC19" s="435">
        <v>773</v>
      </c>
      <c r="BD19" s="436">
        <f>IF(BC19=0," ",BB19/BC19)</f>
        <v>0.99870633893919791</v>
      </c>
      <c r="BE19" s="437">
        <v>1</v>
      </c>
      <c r="BF19" s="438">
        <f>IF(BC19=0," ",BD19/BE19)</f>
        <v>0.99870633893919791</v>
      </c>
      <c r="BG19" s="1762" t="s">
        <v>3362</v>
      </c>
      <c r="BH19" s="1680">
        <v>100</v>
      </c>
      <c r="BI19" s="1680">
        <v>100</v>
      </c>
      <c r="BJ19" s="436">
        <v>1</v>
      </c>
      <c r="BK19" s="437">
        <v>1</v>
      </c>
      <c r="BL19" s="438">
        <f>IF(BI19=0," ",BJ19/BK19)</f>
        <v>1</v>
      </c>
      <c r="BM19" s="1762" t="s">
        <v>3362</v>
      </c>
      <c r="BN19" s="435"/>
      <c r="BO19" s="435"/>
      <c r="BP19" s="436" t="str">
        <f>IF(BO19=0," ",BN19/BO19)</f>
        <v xml:space="preserve"> </v>
      </c>
      <c r="BQ19" s="437"/>
      <c r="BR19" s="438" t="str">
        <f>IF(BO19=0," ",BP19/BQ19)</f>
        <v xml:space="preserve"> </v>
      </c>
      <c r="BS19" s="439"/>
      <c r="BT19" s="435"/>
      <c r="BU19" s="435"/>
      <c r="BV19" s="436" t="str">
        <f>IF(BU19=0," ",BT19/BU19)</f>
        <v xml:space="preserve"> </v>
      </c>
      <c r="BW19" s="437"/>
      <c r="BX19" s="438" t="str">
        <f>IF(BU19=0," ",BV19/BW19)</f>
        <v xml:space="preserve"> </v>
      </c>
      <c r="BY19" s="439"/>
      <c r="BZ19" s="435"/>
      <c r="CA19" s="435"/>
      <c r="CB19" s="436" t="str">
        <f>IF(CA19=0," ",BZ19/CA19)</f>
        <v xml:space="preserve"> </v>
      </c>
      <c r="CC19" s="437"/>
      <c r="CD19" s="438" t="str">
        <f>IF(CA19=0," ",CB19/CC19)</f>
        <v xml:space="preserve"> </v>
      </c>
      <c r="CE19" s="439"/>
      <c r="CF19" s="435"/>
      <c r="CG19" s="435"/>
      <c r="CH19" s="436" t="str">
        <f>IF(CG19=0," ",CF19/CG19)</f>
        <v xml:space="preserve"> </v>
      </c>
      <c r="CI19" s="437"/>
      <c r="CJ19" s="438" t="str">
        <f>IF(CG19=0," ",CH19/CI19)</f>
        <v xml:space="preserve"> </v>
      </c>
      <c r="CK19" s="439"/>
      <c r="CL19" s="435"/>
      <c r="CM19" s="435"/>
      <c r="CN19" s="436" t="str">
        <f>IF(CM19=0," ",CL19/CM19)</f>
        <v xml:space="preserve"> </v>
      </c>
      <c r="CO19" s="437"/>
      <c r="CP19" s="438" t="str">
        <f>IF(CM19=0," ",CN19/CO19)</f>
        <v xml:space="preserve"> </v>
      </c>
      <c r="CQ19" s="439"/>
      <c r="CR19" s="435"/>
      <c r="CS19" s="435"/>
      <c r="CT19" s="436" t="str">
        <f>IF(CS19=0," ",CR19/CS19)</f>
        <v xml:space="preserve"> </v>
      </c>
      <c r="CU19" s="437"/>
      <c r="CV19" s="438" t="str">
        <f>IF(CS19=0," ",CT19/CU19)</f>
        <v xml:space="preserve"> </v>
      </c>
      <c r="CW19" s="439"/>
    </row>
    <row r="20" spans="2:101" ht="71.25" customHeight="1">
      <c r="B20" s="1780"/>
      <c r="C20" s="1781"/>
      <c r="D20" s="1782"/>
      <c r="E20" s="1781"/>
      <c r="F20" s="1783"/>
      <c r="G20" s="1781"/>
      <c r="H20" s="1781"/>
      <c r="I20" s="1781"/>
      <c r="J20" s="1781"/>
      <c r="K20" s="1784"/>
      <c r="L20" s="1972" t="s">
        <v>17</v>
      </c>
      <c r="M20" s="1972"/>
      <c r="N20" s="1972"/>
      <c r="O20" s="1972"/>
      <c r="P20" s="1784"/>
      <c r="Q20" s="1784"/>
      <c r="R20" s="1784"/>
      <c r="S20" s="1784"/>
      <c r="T20" s="1784"/>
      <c r="U20" s="1784"/>
      <c r="V20" s="1784"/>
      <c r="W20" s="1785"/>
      <c r="X20" s="1786"/>
      <c r="Y20" s="1786"/>
      <c r="Z20" s="1787"/>
      <c r="AA20" s="1788"/>
      <c r="AB20" s="1789"/>
      <c r="AC20" s="1790"/>
      <c r="AD20" s="1786"/>
      <c r="AE20" s="1786"/>
      <c r="AF20" s="1791"/>
      <c r="AG20" s="1784"/>
      <c r="AH20" s="1792"/>
      <c r="AI20" s="1790"/>
      <c r="AJ20" s="1793"/>
      <c r="AK20" s="1793"/>
      <c r="AL20" s="1791"/>
      <c r="AM20" s="1794"/>
      <c r="AN20" s="1792"/>
      <c r="AO20" s="1795"/>
      <c r="AP20" s="1796"/>
      <c r="AQ20" s="1796"/>
      <c r="AR20" s="1791"/>
      <c r="AS20" s="1784"/>
      <c r="AT20" s="1792"/>
      <c r="AU20" s="1797"/>
      <c r="AV20" s="1793"/>
      <c r="AW20" s="1793"/>
      <c r="AX20" s="1798"/>
      <c r="AY20" s="1794"/>
      <c r="AZ20" s="1799"/>
      <c r="BA20" s="1790"/>
      <c r="BB20" s="1793"/>
      <c r="BC20" s="1793"/>
      <c r="BD20" s="1798"/>
      <c r="BE20" s="1794"/>
      <c r="BF20" s="1799"/>
      <c r="BG20" s="1790"/>
      <c r="BH20" s="1793"/>
      <c r="BI20" s="1793"/>
      <c r="BJ20" s="1798"/>
      <c r="BK20" s="1799"/>
      <c r="BL20" s="1799"/>
      <c r="BM20" s="1790"/>
      <c r="BN20" s="1793"/>
      <c r="BO20" s="1793"/>
      <c r="BP20" s="1791"/>
      <c r="BQ20" s="1794"/>
      <c r="BR20" s="1792"/>
      <c r="BS20" s="1790"/>
      <c r="BT20" s="1793"/>
      <c r="BU20" s="1793"/>
      <c r="BV20" s="1791"/>
      <c r="BW20" s="1794"/>
      <c r="BX20" s="1792"/>
      <c r="BY20" s="1790"/>
      <c r="BZ20" s="1793"/>
      <c r="CA20" s="1793"/>
      <c r="CB20" s="1791"/>
      <c r="CC20" s="1794"/>
      <c r="CD20" s="1792"/>
      <c r="CE20" s="1790"/>
      <c r="CF20" s="1793"/>
      <c r="CG20" s="1793"/>
      <c r="CH20" s="1791"/>
      <c r="CI20" s="1794"/>
      <c r="CJ20" s="1792"/>
      <c r="CK20" s="1790"/>
      <c r="CL20" s="1793"/>
      <c r="CM20" s="1793"/>
      <c r="CN20" s="1791"/>
      <c r="CO20" s="1794"/>
      <c r="CP20" s="1792"/>
      <c r="CQ20" s="1790"/>
      <c r="CR20" s="1793"/>
      <c r="CS20" s="1793"/>
      <c r="CT20" s="1791"/>
      <c r="CU20" s="1794"/>
      <c r="CV20" s="1792"/>
      <c r="CW20" s="1790"/>
    </row>
    <row r="21" spans="2:101" ht="24.75" customHeight="1">
      <c r="B21" s="2709" t="s">
        <v>17</v>
      </c>
      <c r="C21" s="2709"/>
      <c r="D21" s="2709"/>
      <c r="E21" s="2709"/>
      <c r="F21" s="508"/>
      <c r="G21" s="508"/>
      <c r="H21" s="508"/>
      <c r="I21" s="508"/>
      <c r="J21" s="508"/>
      <c r="K21" s="509"/>
      <c r="L21" s="509"/>
      <c r="M21" s="509"/>
      <c r="N21" s="509"/>
      <c r="O21" s="509"/>
      <c r="P21" s="509"/>
      <c r="Q21" s="509"/>
      <c r="R21" s="509"/>
      <c r="S21" s="509"/>
      <c r="T21" s="509"/>
      <c r="U21" s="509"/>
      <c r="V21" s="2710"/>
      <c r="W21" s="2710"/>
      <c r="X21" s="2710"/>
      <c r="Y21" s="2710"/>
      <c r="Z21" s="2710"/>
      <c r="AA21" s="2710"/>
      <c r="AB21" s="2710"/>
      <c r="AC21" s="2710"/>
      <c r="AD21" s="2710"/>
      <c r="AE21" s="2710"/>
      <c r="AF21" s="2710"/>
      <c r="AG21" s="2710"/>
      <c r="AH21" s="2710"/>
      <c r="AI21" s="2710"/>
      <c r="AJ21" s="2710"/>
      <c r="AK21" s="2710"/>
      <c r="AL21" s="2710"/>
      <c r="AM21" s="2710"/>
      <c r="AN21" s="2710"/>
      <c r="AO21" s="2710"/>
      <c r="AP21" s="2710"/>
      <c r="AQ21" s="2710"/>
      <c r="AR21" s="2710"/>
      <c r="AS21" s="2710"/>
      <c r="AT21" s="2710"/>
      <c r="AU21" s="2710"/>
      <c r="AV21" s="2710"/>
      <c r="AW21" s="2710"/>
      <c r="AX21" s="2710"/>
      <c r="AY21" s="2710"/>
      <c r="AZ21" s="2710"/>
      <c r="BA21" s="2710"/>
      <c r="BB21" s="2710"/>
      <c r="BC21" s="2710"/>
      <c r="BD21" s="2710"/>
      <c r="BE21" s="2710"/>
    </row>
    <row r="22" spans="2:101" ht="16.5" customHeight="1">
      <c r="B22" s="1800"/>
      <c r="C22" s="1800"/>
      <c r="D22" s="1800"/>
      <c r="E22" s="1800"/>
      <c r="F22" s="508"/>
      <c r="G22" s="508"/>
      <c r="H22" s="508"/>
      <c r="I22" s="508"/>
      <c r="J22" s="508"/>
      <c r="K22" s="509"/>
      <c r="L22" s="509"/>
      <c r="M22" s="509"/>
      <c r="N22" s="509"/>
      <c r="O22" s="509"/>
      <c r="P22" s="509"/>
      <c r="Q22" s="509"/>
      <c r="R22" s="509"/>
      <c r="S22" s="509"/>
      <c r="T22" s="509"/>
      <c r="U22" s="509"/>
      <c r="V22" s="752"/>
      <c r="W22" s="752"/>
      <c r="X22" s="752"/>
      <c r="Y22" s="752"/>
      <c r="Z22" s="1801"/>
      <c r="AA22" s="1801"/>
      <c r="AB22" s="1801"/>
      <c r="AC22" s="1802"/>
      <c r="AD22" s="1803"/>
      <c r="AE22" s="1803"/>
      <c r="AF22" s="1802"/>
      <c r="AG22" s="1802"/>
      <c r="AH22" s="1802"/>
      <c r="AI22" s="1802"/>
      <c r="AJ22" s="1802"/>
      <c r="AK22" s="1802"/>
      <c r="AL22" s="1802"/>
      <c r="AM22" s="1802"/>
      <c r="AN22" s="1802"/>
      <c r="AO22" s="1802"/>
      <c r="AP22" s="1802"/>
      <c r="AQ22" s="1802"/>
      <c r="AR22" s="1802"/>
      <c r="AS22" s="1802"/>
      <c r="AT22" s="1802"/>
      <c r="AU22" s="1802"/>
      <c r="AV22" s="1802"/>
      <c r="AW22" s="1802"/>
      <c r="AX22" s="1802"/>
      <c r="AY22" s="1802"/>
      <c r="AZ22" s="1802"/>
      <c r="BA22" s="1802"/>
      <c r="BB22" s="1802"/>
      <c r="BC22" s="1802"/>
      <c r="BD22" s="1802"/>
      <c r="BE22" s="1802"/>
    </row>
    <row r="23" spans="2:101" ht="41.25" customHeight="1">
      <c r="V23" s="2711" t="s">
        <v>3363</v>
      </c>
      <c r="W23" s="2711"/>
      <c r="X23" s="2711"/>
      <c r="Y23" s="2711"/>
      <c r="Z23" s="2711"/>
      <c r="AA23" s="2711"/>
      <c r="AB23" s="2711"/>
      <c r="AC23" s="2711"/>
      <c r="AD23" s="2711"/>
      <c r="AE23" s="2711"/>
      <c r="AF23" s="2711"/>
      <c r="AG23" s="2711"/>
      <c r="AH23" s="2711"/>
      <c r="AI23" s="2711"/>
      <c r="AJ23" s="2711"/>
      <c r="AK23" s="2711"/>
      <c r="AL23" s="2711"/>
      <c r="AM23" s="2711"/>
      <c r="AN23" s="2711"/>
      <c r="AO23" s="2711"/>
      <c r="AP23" s="2711"/>
      <c r="AQ23" s="2711"/>
      <c r="AR23" s="2711"/>
      <c r="AS23" s="2711"/>
      <c r="AT23" s="2711"/>
      <c r="AU23" s="2711"/>
      <c r="AV23" s="2711"/>
      <c r="AW23" s="2711"/>
      <c r="AX23" s="2711"/>
      <c r="AY23" s="2711"/>
      <c r="AZ23" s="2711"/>
      <c r="BA23" s="2711"/>
      <c r="BB23" s="2711"/>
      <c r="BC23" s="2711"/>
      <c r="BD23" s="2711"/>
      <c r="BE23" s="2711"/>
    </row>
    <row r="24" spans="2:101" ht="23.25" customHeight="1">
      <c r="E24" s="2707"/>
      <c r="F24" s="2707"/>
      <c r="G24" s="2707"/>
      <c r="H24" s="2707"/>
      <c r="K24" s="419" t="s">
        <v>28</v>
      </c>
      <c r="V24" s="1804" t="s">
        <v>3364</v>
      </c>
      <c r="W24" s="1804"/>
      <c r="X24" s="1804"/>
      <c r="Y24" s="1804"/>
      <c r="Z24" s="1805"/>
      <c r="AA24" s="1805"/>
      <c r="AB24" s="1805"/>
      <c r="AC24" s="1806"/>
      <c r="AD24" s="1807"/>
      <c r="AE24" s="1807"/>
      <c r="AF24" s="1806"/>
      <c r="AG24" s="1806"/>
      <c r="AH24" s="1806"/>
      <c r="AI24" s="1806"/>
      <c r="AJ24" s="1806"/>
      <c r="AK24" s="1806"/>
      <c r="AL24" s="1806"/>
      <c r="AM24" s="1806"/>
      <c r="AN24" s="1806"/>
      <c r="AO24" s="1806"/>
      <c r="AP24" s="1806"/>
      <c r="AQ24" s="1806"/>
      <c r="AR24" s="1806"/>
      <c r="AS24" s="1806"/>
      <c r="AT24" s="1806"/>
      <c r="AU24" s="1806"/>
      <c r="AV24" s="1806"/>
      <c r="AW24" s="1806"/>
      <c r="AX24" s="1806"/>
      <c r="AY24" s="1806"/>
      <c r="AZ24" s="1806"/>
      <c r="BA24" s="1806"/>
      <c r="BB24" s="1806"/>
      <c r="BC24" s="1806"/>
      <c r="BD24" s="1806"/>
    </row>
    <row r="25" spans="2:101" ht="18">
      <c r="E25" s="2162" t="s">
        <v>3365</v>
      </c>
      <c r="F25" s="2162"/>
      <c r="G25" s="2162"/>
      <c r="H25" s="2162"/>
      <c r="W25" s="422"/>
    </row>
    <row r="26" spans="2:101" ht="26.25" customHeight="1">
      <c r="E26" s="2708" t="s">
        <v>3366</v>
      </c>
      <c r="F26" s="2708"/>
      <c r="G26" s="2708"/>
      <c r="H26" s="2708"/>
      <c r="W26" s="422"/>
    </row>
    <row r="27" spans="2:101">
      <c r="E27" s="422"/>
      <c r="F27" s="422"/>
      <c r="G27" s="422"/>
      <c r="H27" s="422"/>
    </row>
    <row r="28" spans="2:101" ht="19.5" customHeight="1"/>
    <row r="29" spans="2:101" ht="12.75" customHeight="1"/>
    <row r="30" spans="2:101" ht="12.75" customHeight="1"/>
  </sheetData>
  <mergeCells count="51">
    <mergeCell ref="E24:H24"/>
    <mergeCell ref="E25:H25"/>
    <mergeCell ref="E26:H26"/>
    <mergeCell ref="CL6:CQ6"/>
    <mergeCell ref="CR6:CW6"/>
    <mergeCell ref="L20:O20"/>
    <mergeCell ref="B21:E21"/>
    <mergeCell ref="V21:BE21"/>
    <mergeCell ref="V23:BE23"/>
    <mergeCell ref="BB6:BG6"/>
    <mergeCell ref="CF6:CK6"/>
    <mergeCell ref="K6:V6"/>
    <mergeCell ref="X6:AC6"/>
    <mergeCell ref="AD6:AI6"/>
    <mergeCell ref="AJ6:AO6"/>
    <mergeCell ref="AP6:AU6"/>
    <mergeCell ref="CR4:CW4"/>
    <mergeCell ref="B6:B7"/>
    <mergeCell ref="C6:C7"/>
    <mergeCell ref="D6:D7"/>
    <mergeCell ref="E6:E7"/>
    <mergeCell ref="F6:F7"/>
    <mergeCell ref="G6:G7"/>
    <mergeCell ref="H6:H7"/>
    <mergeCell ref="I6:I7"/>
    <mergeCell ref="BH6:BM6"/>
    <mergeCell ref="J6:J7"/>
    <mergeCell ref="BH4:BM4"/>
    <mergeCell ref="BN4:BS4"/>
    <mergeCell ref="BT4:BY4"/>
    <mergeCell ref="BZ4:CE4"/>
    <mergeCell ref="CF4:CK4"/>
    <mergeCell ref="AV6:BA6"/>
    <mergeCell ref="BN6:BS6"/>
    <mergeCell ref="BT6:BY6"/>
    <mergeCell ref="BZ6:CE6"/>
    <mergeCell ref="CL4:CQ4"/>
    <mergeCell ref="X4:AC4"/>
    <mergeCell ref="AD4:AI4"/>
    <mergeCell ref="AJ4:AO4"/>
    <mergeCell ref="AP4:AU4"/>
    <mergeCell ref="AV4:BA4"/>
    <mergeCell ref="BB4:BG4"/>
    <mergeCell ref="B1:N1"/>
    <mergeCell ref="O1:R1"/>
    <mergeCell ref="S1:V2"/>
    <mergeCell ref="D2:N2"/>
    <mergeCell ref="O2:R2"/>
    <mergeCell ref="C4:J4"/>
    <mergeCell ref="K4:M4"/>
    <mergeCell ref="N4:V4"/>
  </mergeCells>
  <conditionalFormatting sqref="AB16:AB20 AB11 AH16:AH20 AN16:AN20 AT16:AT20 AZ16:AZ20 BF16:BF20 BR16:BR20 BX16:BX20 CD16:CD20 CJ16:CJ20 CP16:CP20 CV16:CV20 BL16:BL20">
    <cfRule type="colorScale" priority="89">
      <colorScale>
        <cfvo type="num" val="0.69"/>
        <cfvo type="num" val="0.8"/>
        <cfvo type="num" val="0.9"/>
        <color rgb="FFF8696B"/>
        <color rgb="FFFFEB84"/>
        <color rgb="FF63BE7B"/>
      </colorScale>
    </cfRule>
  </conditionalFormatting>
  <conditionalFormatting sqref="AH11">
    <cfRule type="colorScale" priority="88">
      <colorScale>
        <cfvo type="num" val="0.69"/>
        <cfvo type="num" val="0.8"/>
        <cfvo type="num" val="0.9"/>
        <color rgb="FFF8696B"/>
        <color rgb="FFFFEB84"/>
        <color rgb="FF63BE7B"/>
      </colorScale>
    </cfRule>
  </conditionalFormatting>
  <conditionalFormatting sqref="AN11">
    <cfRule type="colorScale" priority="87">
      <colorScale>
        <cfvo type="num" val="0.69"/>
        <cfvo type="num" val="0.8"/>
        <cfvo type="num" val="0.9"/>
        <color rgb="FFF8696B"/>
        <color rgb="FFFFEB84"/>
        <color rgb="FF63BE7B"/>
      </colorScale>
    </cfRule>
  </conditionalFormatting>
  <conditionalFormatting sqref="AT11">
    <cfRule type="colorScale" priority="86">
      <colorScale>
        <cfvo type="num" val="0.69"/>
        <cfvo type="num" val="0.8"/>
        <cfvo type="num" val="0.9"/>
        <color rgb="FFF8696B"/>
        <color rgb="FFFFEB84"/>
        <color rgb="FF63BE7B"/>
      </colorScale>
    </cfRule>
  </conditionalFormatting>
  <conditionalFormatting sqref="AZ11">
    <cfRule type="colorScale" priority="85">
      <colorScale>
        <cfvo type="num" val="0.69"/>
        <cfvo type="num" val="0.8"/>
        <cfvo type="num" val="0.9"/>
        <color rgb="FFF8696B"/>
        <color rgb="FFFFEB84"/>
        <color rgb="FF63BE7B"/>
      </colorScale>
    </cfRule>
  </conditionalFormatting>
  <conditionalFormatting sqref="BF11">
    <cfRule type="colorScale" priority="84">
      <colorScale>
        <cfvo type="num" val="0.69"/>
        <cfvo type="num" val="0.8"/>
        <cfvo type="num" val="0.9"/>
        <color rgb="FFF8696B"/>
        <color rgb="FFFFEB84"/>
        <color rgb="FF63BE7B"/>
      </colorScale>
    </cfRule>
  </conditionalFormatting>
  <conditionalFormatting sqref="BL11">
    <cfRule type="colorScale" priority="83">
      <colorScale>
        <cfvo type="num" val="0.69"/>
        <cfvo type="num" val="0.8"/>
        <cfvo type="num" val="0.9"/>
        <color rgb="FFF8696B"/>
        <color rgb="FFFFEB84"/>
        <color rgb="FF63BE7B"/>
      </colorScale>
    </cfRule>
  </conditionalFormatting>
  <conditionalFormatting sqref="BR11">
    <cfRule type="colorScale" priority="82">
      <colorScale>
        <cfvo type="num" val="0.69"/>
        <cfvo type="num" val="0.8"/>
        <cfvo type="num" val="0.9"/>
        <color rgb="FFF8696B"/>
        <color rgb="FFFFEB84"/>
        <color rgb="FF63BE7B"/>
      </colorScale>
    </cfRule>
  </conditionalFormatting>
  <conditionalFormatting sqref="BX11">
    <cfRule type="colorScale" priority="81">
      <colorScale>
        <cfvo type="num" val="0.69"/>
        <cfvo type="num" val="0.8"/>
        <cfvo type="num" val="0.9"/>
        <color rgb="FFF8696B"/>
        <color rgb="FFFFEB84"/>
        <color rgb="FF63BE7B"/>
      </colorScale>
    </cfRule>
  </conditionalFormatting>
  <conditionalFormatting sqref="CD11">
    <cfRule type="colorScale" priority="80">
      <colorScale>
        <cfvo type="num" val="0.69"/>
        <cfvo type="num" val="0.8"/>
        <cfvo type="num" val="0.9"/>
        <color rgb="FFF8696B"/>
        <color rgb="FFFFEB84"/>
        <color rgb="FF63BE7B"/>
      </colorScale>
    </cfRule>
  </conditionalFormatting>
  <conditionalFormatting sqref="CJ11">
    <cfRule type="colorScale" priority="79">
      <colorScale>
        <cfvo type="num" val="0.69"/>
        <cfvo type="num" val="0.8"/>
        <cfvo type="num" val="0.9"/>
        <color rgb="FFF8696B"/>
        <color rgb="FFFFEB84"/>
        <color rgb="FF63BE7B"/>
      </colorScale>
    </cfRule>
  </conditionalFormatting>
  <conditionalFormatting sqref="CP11">
    <cfRule type="colorScale" priority="78">
      <colorScale>
        <cfvo type="num" val="0.69"/>
        <cfvo type="num" val="0.8"/>
        <cfvo type="num" val="0.9"/>
        <color rgb="FFF8696B"/>
        <color rgb="FFFFEB84"/>
        <color rgb="FF63BE7B"/>
      </colorScale>
    </cfRule>
  </conditionalFormatting>
  <conditionalFormatting sqref="CV11">
    <cfRule type="colorScale" priority="77">
      <colorScale>
        <cfvo type="num" val="0.69"/>
        <cfvo type="num" val="0.8"/>
        <cfvo type="num" val="0.9"/>
        <color rgb="FFF8696B"/>
        <color rgb="FFFFEB84"/>
        <color rgb="FF63BE7B"/>
      </colorScale>
    </cfRule>
  </conditionalFormatting>
  <conditionalFormatting sqref="AB12:AB13">
    <cfRule type="colorScale" priority="76">
      <colorScale>
        <cfvo type="num" val="0.69"/>
        <cfvo type="num" val="0.8"/>
        <cfvo type="num" val="0.9"/>
        <color rgb="FFF8696B"/>
        <color rgb="FFFFEB84"/>
        <color rgb="FF63BE7B"/>
      </colorScale>
    </cfRule>
  </conditionalFormatting>
  <conditionalFormatting sqref="AH12:AH13">
    <cfRule type="colorScale" priority="75">
      <colorScale>
        <cfvo type="num" val="0.69"/>
        <cfvo type="num" val="0.8"/>
        <cfvo type="num" val="0.9"/>
        <color rgb="FFF8696B"/>
        <color rgb="FFFFEB84"/>
        <color rgb="FF63BE7B"/>
      </colorScale>
    </cfRule>
  </conditionalFormatting>
  <conditionalFormatting sqref="AN12:AN13">
    <cfRule type="colorScale" priority="74">
      <colorScale>
        <cfvo type="num" val="0.69"/>
        <cfvo type="num" val="0.8"/>
        <cfvo type="num" val="0.9"/>
        <color rgb="FFF8696B"/>
        <color rgb="FFFFEB84"/>
        <color rgb="FF63BE7B"/>
      </colorScale>
    </cfRule>
  </conditionalFormatting>
  <conditionalFormatting sqref="AT12:AT13">
    <cfRule type="colorScale" priority="73">
      <colorScale>
        <cfvo type="num" val="0.69"/>
        <cfvo type="num" val="0.8"/>
        <cfvo type="num" val="0.9"/>
        <color rgb="FFF8696B"/>
        <color rgb="FFFFEB84"/>
        <color rgb="FF63BE7B"/>
      </colorScale>
    </cfRule>
  </conditionalFormatting>
  <conditionalFormatting sqref="AZ12:AZ13">
    <cfRule type="colorScale" priority="72">
      <colorScale>
        <cfvo type="num" val="0.69"/>
        <cfvo type="num" val="0.8"/>
        <cfvo type="num" val="0.9"/>
        <color rgb="FFF8696B"/>
        <color rgb="FFFFEB84"/>
        <color rgb="FF63BE7B"/>
      </colorScale>
    </cfRule>
  </conditionalFormatting>
  <conditionalFormatting sqref="BF12:BF13">
    <cfRule type="colorScale" priority="71">
      <colorScale>
        <cfvo type="num" val="0.69"/>
        <cfvo type="num" val="0.8"/>
        <cfvo type="num" val="0.9"/>
        <color rgb="FFF8696B"/>
        <color rgb="FFFFEB84"/>
        <color rgb="FF63BE7B"/>
      </colorScale>
    </cfRule>
  </conditionalFormatting>
  <conditionalFormatting sqref="BL12:BL13">
    <cfRule type="colorScale" priority="70">
      <colorScale>
        <cfvo type="num" val="0.69"/>
        <cfvo type="num" val="0.8"/>
        <cfvo type="num" val="0.9"/>
        <color rgb="FFF8696B"/>
        <color rgb="FFFFEB84"/>
        <color rgb="FF63BE7B"/>
      </colorScale>
    </cfRule>
  </conditionalFormatting>
  <conditionalFormatting sqref="BR12:BR13">
    <cfRule type="colorScale" priority="69">
      <colorScale>
        <cfvo type="num" val="0.69"/>
        <cfvo type="num" val="0.8"/>
        <cfvo type="num" val="0.9"/>
        <color rgb="FFF8696B"/>
        <color rgb="FFFFEB84"/>
        <color rgb="FF63BE7B"/>
      </colorScale>
    </cfRule>
  </conditionalFormatting>
  <conditionalFormatting sqref="BX12:BX13">
    <cfRule type="colorScale" priority="68">
      <colorScale>
        <cfvo type="num" val="0.69"/>
        <cfvo type="num" val="0.8"/>
        <cfvo type="num" val="0.9"/>
        <color rgb="FFF8696B"/>
        <color rgb="FFFFEB84"/>
        <color rgb="FF63BE7B"/>
      </colorScale>
    </cfRule>
  </conditionalFormatting>
  <conditionalFormatting sqref="CD12:CD13">
    <cfRule type="colorScale" priority="67">
      <colorScale>
        <cfvo type="num" val="0.69"/>
        <cfvo type="num" val="0.8"/>
        <cfvo type="num" val="0.9"/>
        <color rgb="FFF8696B"/>
        <color rgb="FFFFEB84"/>
        <color rgb="FF63BE7B"/>
      </colorScale>
    </cfRule>
  </conditionalFormatting>
  <conditionalFormatting sqref="CJ12:CJ13">
    <cfRule type="colorScale" priority="66">
      <colorScale>
        <cfvo type="num" val="0.69"/>
        <cfvo type="num" val="0.8"/>
        <cfvo type="num" val="0.9"/>
        <color rgb="FFF8696B"/>
        <color rgb="FFFFEB84"/>
        <color rgb="FF63BE7B"/>
      </colorScale>
    </cfRule>
  </conditionalFormatting>
  <conditionalFormatting sqref="CP12:CP13">
    <cfRule type="colorScale" priority="65">
      <colorScale>
        <cfvo type="num" val="0.69"/>
        <cfvo type="num" val="0.8"/>
        <cfvo type="num" val="0.9"/>
        <color rgb="FFF8696B"/>
        <color rgb="FFFFEB84"/>
        <color rgb="FF63BE7B"/>
      </colorScale>
    </cfRule>
  </conditionalFormatting>
  <conditionalFormatting sqref="CV12:CV13">
    <cfRule type="colorScale" priority="64">
      <colorScale>
        <cfvo type="num" val="0.69"/>
        <cfvo type="num" val="0.8"/>
        <cfvo type="num" val="0.9"/>
        <color rgb="FFF8696B"/>
        <color rgb="FFFFEB84"/>
        <color rgb="FF63BE7B"/>
      </colorScale>
    </cfRule>
  </conditionalFormatting>
  <conditionalFormatting sqref="AB14">
    <cfRule type="colorScale" priority="63">
      <colorScale>
        <cfvo type="num" val="0.69"/>
        <cfvo type="num" val="0.8"/>
        <cfvo type="num" val="0.9"/>
        <color rgb="FFF8696B"/>
        <color rgb="FFFFEB84"/>
        <color rgb="FF63BE7B"/>
      </colorScale>
    </cfRule>
  </conditionalFormatting>
  <conditionalFormatting sqref="AH14">
    <cfRule type="colorScale" priority="62">
      <colorScale>
        <cfvo type="num" val="0.69"/>
        <cfvo type="num" val="0.8"/>
        <cfvo type="num" val="0.9"/>
        <color rgb="FFF8696B"/>
        <color rgb="FFFFEB84"/>
        <color rgb="FF63BE7B"/>
      </colorScale>
    </cfRule>
  </conditionalFormatting>
  <conditionalFormatting sqref="AN14">
    <cfRule type="colorScale" priority="61">
      <colorScale>
        <cfvo type="num" val="0.69"/>
        <cfvo type="num" val="0.8"/>
        <cfvo type="num" val="0.9"/>
        <color rgb="FFF8696B"/>
        <color rgb="FFFFEB84"/>
        <color rgb="FF63BE7B"/>
      </colorScale>
    </cfRule>
  </conditionalFormatting>
  <conditionalFormatting sqref="AT14">
    <cfRule type="colorScale" priority="60">
      <colorScale>
        <cfvo type="num" val="0.69"/>
        <cfvo type="num" val="0.8"/>
        <cfvo type="num" val="0.9"/>
        <color rgb="FFF8696B"/>
        <color rgb="FFFFEB84"/>
        <color rgb="FF63BE7B"/>
      </colorScale>
    </cfRule>
  </conditionalFormatting>
  <conditionalFormatting sqref="AZ14">
    <cfRule type="colorScale" priority="59">
      <colorScale>
        <cfvo type="num" val="0.69"/>
        <cfvo type="num" val="0.8"/>
        <cfvo type="num" val="0.9"/>
        <color rgb="FFF8696B"/>
        <color rgb="FFFFEB84"/>
        <color rgb="FF63BE7B"/>
      </colorScale>
    </cfRule>
  </conditionalFormatting>
  <conditionalFormatting sqref="BR14">
    <cfRule type="colorScale" priority="58">
      <colorScale>
        <cfvo type="num" val="0.69"/>
        <cfvo type="num" val="0.8"/>
        <cfvo type="num" val="0.9"/>
        <color rgb="FFF8696B"/>
        <color rgb="FFFFEB84"/>
        <color rgb="FF63BE7B"/>
      </colorScale>
    </cfRule>
  </conditionalFormatting>
  <conditionalFormatting sqref="BX14">
    <cfRule type="colorScale" priority="57">
      <colorScale>
        <cfvo type="num" val="0.69"/>
        <cfvo type="num" val="0.8"/>
        <cfvo type="num" val="0.9"/>
        <color rgb="FFF8696B"/>
        <color rgb="FFFFEB84"/>
        <color rgb="FF63BE7B"/>
      </colorScale>
    </cfRule>
  </conditionalFormatting>
  <conditionalFormatting sqref="CD14">
    <cfRule type="colorScale" priority="56">
      <colorScale>
        <cfvo type="num" val="0.69"/>
        <cfvo type="num" val="0.8"/>
        <cfvo type="num" val="0.9"/>
        <color rgb="FFF8696B"/>
        <color rgb="FFFFEB84"/>
        <color rgb="FF63BE7B"/>
      </colorScale>
    </cfRule>
  </conditionalFormatting>
  <conditionalFormatting sqref="CJ14">
    <cfRule type="colorScale" priority="55">
      <colorScale>
        <cfvo type="num" val="0.69"/>
        <cfvo type="num" val="0.8"/>
        <cfvo type="num" val="0.9"/>
        <color rgb="FFF8696B"/>
        <color rgb="FFFFEB84"/>
        <color rgb="FF63BE7B"/>
      </colorScale>
    </cfRule>
  </conditionalFormatting>
  <conditionalFormatting sqref="CP14">
    <cfRule type="colorScale" priority="54">
      <colorScale>
        <cfvo type="num" val="0.69"/>
        <cfvo type="num" val="0.8"/>
        <cfvo type="num" val="0.9"/>
        <color rgb="FFF8696B"/>
        <color rgb="FFFFEB84"/>
        <color rgb="FF63BE7B"/>
      </colorScale>
    </cfRule>
  </conditionalFormatting>
  <conditionalFormatting sqref="CV14">
    <cfRule type="colorScale" priority="53">
      <colorScale>
        <cfvo type="num" val="0.69"/>
        <cfvo type="num" val="0.8"/>
        <cfvo type="num" val="0.9"/>
        <color rgb="FFF8696B"/>
        <color rgb="FFFFEB84"/>
        <color rgb="FF63BE7B"/>
      </colorScale>
    </cfRule>
  </conditionalFormatting>
  <conditionalFormatting sqref="AB15">
    <cfRule type="colorScale" priority="52">
      <colorScale>
        <cfvo type="num" val="0.69"/>
        <cfvo type="num" val="0.8"/>
        <cfvo type="num" val="0.9"/>
        <color rgb="FFF8696B"/>
        <color rgb="FFFFEB84"/>
        <color rgb="FF63BE7B"/>
      </colorScale>
    </cfRule>
  </conditionalFormatting>
  <conditionalFormatting sqref="AT15">
    <cfRule type="colorScale" priority="51">
      <colorScale>
        <cfvo type="num" val="0.69"/>
        <cfvo type="num" val="0.8"/>
        <cfvo type="num" val="0.9"/>
        <color rgb="FFF8696B"/>
        <color rgb="FFFFEB84"/>
        <color rgb="FF63BE7B"/>
      </colorScale>
    </cfRule>
  </conditionalFormatting>
  <conditionalFormatting sqref="BF15">
    <cfRule type="colorScale" priority="50">
      <colorScale>
        <cfvo type="num" val="0.69"/>
        <cfvo type="num" val="0.8"/>
        <cfvo type="num" val="0.9"/>
        <color rgb="FFF8696B"/>
        <color rgb="FFFFEB84"/>
        <color rgb="FF63BE7B"/>
      </colorScale>
    </cfRule>
  </conditionalFormatting>
  <conditionalFormatting sqref="BR15">
    <cfRule type="colorScale" priority="49">
      <colorScale>
        <cfvo type="num" val="0.69"/>
        <cfvo type="num" val="0.8"/>
        <cfvo type="num" val="0.9"/>
        <color rgb="FFF8696B"/>
        <color rgb="FFFFEB84"/>
        <color rgb="FF63BE7B"/>
      </colorScale>
    </cfRule>
  </conditionalFormatting>
  <conditionalFormatting sqref="CD15">
    <cfRule type="colorScale" priority="48">
      <colorScale>
        <cfvo type="num" val="0.69"/>
        <cfvo type="num" val="0.8"/>
        <cfvo type="num" val="0.9"/>
        <color rgb="FFF8696B"/>
        <color rgb="FFFFEB84"/>
        <color rgb="FF63BE7B"/>
      </colorScale>
    </cfRule>
  </conditionalFormatting>
  <conditionalFormatting sqref="CP15">
    <cfRule type="colorScale" priority="47">
      <colorScale>
        <cfvo type="num" val="0.69"/>
        <cfvo type="num" val="0.8"/>
        <cfvo type="num" val="0.9"/>
        <color rgb="FFF8696B"/>
        <color rgb="FFFFEB84"/>
        <color rgb="FF63BE7B"/>
      </colorScale>
    </cfRule>
  </conditionalFormatting>
  <conditionalFormatting sqref="AI15">
    <cfRule type="colorScale" priority="46">
      <colorScale>
        <cfvo type="num" val="0.69"/>
        <cfvo type="num" val="0.8"/>
        <cfvo type="num" val="0.9"/>
        <color rgb="FFF8696B"/>
        <color rgb="FFFFEB84"/>
        <color rgb="FF63BE7B"/>
      </colorScale>
    </cfRule>
  </conditionalFormatting>
  <conditionalFormatting sqref="BA15">
    <cfRule type="colorScale" priority="45">
      <colorScale>
        <cfvo type="num" val="0.69"/>
        <cfvo type="num" val="0.8"/>
        <cfvo type="num" val="0.9"/>
        <color rgb="FFF8696B"/>
        <color rgb="FFFFEB84"/>
        <color rgb="FF63BE7B"/>
      </colorScale>
    </cfRule>
  </conditionalFormatting>
  <conditionalFormatting sqref="BY15">
    <cfRule type="colorScale" priority="44">
      <colorScale>
        <cfvo type="num" val="0.69"/>
        <cfvo type="num" val="0.8"/>
        <cfvo type="num" val="0.9"/>
        <color rgb="FFF8696B"/>
        <color rgb="FFFFEB84"/>
        <color rgb="FF63BE7B"/>
      </colorScale>
    </cfRule>
  </conditionalFormatting>
  <conditionalFormatting sqref="CK15">
    <cfRule type="colorScale" priority="43">
      <colorScale>
        <cfvo type="num" val="0.69"/>
        <cfvo type="num" val="0.8"/>
        <cfvo type="num" val="0.9"/>
        <color rgb="FFF8696B"/>
        <color rgb="FFFFEB84"/>
        <color rgb="FF63BE7B"/>
      </colorScale>
    </cfRule>
  </conditionalFormatting>
  <conditionalFormatting sqref="CW15">
    <cfRule type="colorScale" priority="42">
      <colorScale>
        <cfvo type="num" val="0.69"/>
        <cfvo type="num" val="0.8"/>
        <cfvo type="num" val="0.9"/>
        <color rgb="FFF8696B"/>
        <color rgb="FFFFEB84"/>
        <color rgb="FF63BE7B"/>
      </colorScale>
    </cfRule>
  </conditionalFormatting>
  <conditionalFormatting sqref="AB8">
    <cfRule type="colorScale" priority="41">
      <colorScale>
        <cfvo type="num" val="0.69"/>
        <cfvo type="num" val="0.8"/>
        <cfvo type="num" val="0.9"/>
        <color rgb="FFF8696B"/>
        <color rgb="FFFFEB84"/>
        <color rgb="FF63BE7B"/>
      </colorScale>
    </cfRule>
  </conditionalFormatting>
  <conditionalFormatting sqref="AH8">
    <cfRule type="colorScale" priority="40">
      <colorScale>
        <cfvo type="num" val="0.69"/>
        <cfvo type="num" val="0.8"/>
        <cfvo type="num" val="0.9"/>
        <color rgb="FFF8696B"/>
        <color rgb="FFFFEB84"/>
        <color rgb="FF63BE7B"/>
      </colorScale>
    </cfRule>
  </conditionalFormatting>
  <conditionalFormatting sqref="AN8">
    <cfRule type="colorScale" priority="39">
      <colorScale>
        <cfvo type="num" val="0.69"/>
        <cfvo type="num" val="0.8"/>
        <cfvo type="num" val="0.9"/>
        <color rgb="FFF8696B"/>
        <color rgb="FFFFEB84"/>
        <color rgb="FF63BE7B"/>
      </colorScale>
    </cfRule>
  </conditionalFormatting>
  <conditionalFormatting sqref="AT8">
    <cfRule type="colorScale" priority="38">
      <colorScale>
        <cfvo type="num" val="0.69"/>
        <cfvo type="num" val="0.8"/>
        <cfvo type="num" val="0.9"/>
        <color rgb="FFF8696B"/>
        <color rgb="FFFFEB84"/>
        <color rgb="FF63BE7B"/>
      </colorScale>
    </cfRule>
  </conditionalFormatting>
  <conditionalFormatting sqref="AZ8">
    <cfRule type="colorScale" priority="37">
      <colorScale>
        <cfvo type="num" val="0.69"/>
        <cfvo type="num" val="0.8"/>
        <cfvo type="num" val="0.9"/>
        <color rgb="FFF8696B"/>
        <color rgb="FFFFEB84"/>
        <color rgb="FF63BE7B"/>
      </colorScale>
    </cfRule>
  </conditionalFormatting>
  <conditionalFormatting sqref="BF8">
    <cfRule type="colorScale" priority="36">
      <colorScale>
        <cfvo type="num" val="0.69"/>
        <cfvo type="num" val="0.8"/>
        <cfvo type="num" val="0.9"/>
        <color rgb="FFF8696B"/>
        <color rgb="FFFFEB84"/>
        <color rgb="FF63BE7B"/>
      </colorScale>
    </cfRule>
  </conditionalFormatting>
  <conditionalFormatting sqref="BL8">
    <cfRule type="colorScale" priority="35">
      <colorScale>
        <cfvo type="num" val="0.69"/>
        <cfvo type="num" val="0.8"/>
        <cfvo type="num" val="0.9"/>
        <color rgb="FFF8696B"/>
        <color rgb="FFFFEB84"/>
        <color rgb="FF63BE7B"/>
      </colorScale>
    </cfRule>
  </conditionalFormatting>
  <conditionalFormatting sqref="BR8">
    <cfRule type="colorScale" priority="34">
      <colorScale>
        <cfvo type="num" val="0.69"/>
        <cfvo type="num" val="0.8"/>
        <cfvo type="num" val="0.9"/>
        <color rgb="FFF8696B"/>
        <color rgb="FFFFEB84"/>
        <color rgb="FF63BE7B"/>
      </colorScale>
    </cfRule>
  </conditionalFormatting>
  <conditionalFormatting sqref="BX8">
    <cfRule type="colorScale" priority="33">
      <colorScale>
        <cfvo type="num" val="0.69"/>
        <cfvo type="num" val="0.8"/>
        <cfvo type="num" val="0.9"/>
        <color rgb="FFF8696B"/>
        <color rgb="FFFFEB84"/>
        <color rgb="FF63BE7B"/>
      </colorScale>
    </cfRule>
  </conditionalFormatting>
  <conditionalFormatting sqref="CD8">
    <cfRule type="colorScale" priority="32">
      <colorScale>
        <cfvo type="num" val="0.69"/>
        <cfvo type="num" val="0.8"/>
        <cfvo type="num" val="0.9"/>
        <color rgb="FFF8696B"/>
        <color rgb="FFFFEB84"/>
        <color rgb="FF63BE7B"/>
      </colorScale>
    </cfRule>
  </conditionalFormatting>
  <conditionalFormatting sqref="CJ8">
    <cfRule type="colorScale" priority="31">
      <colorScale>
        <cfvo type="num" val="0.69"/>
        <cfvo type="num" val="0.8"/>
        <cfvo type="num" val="0.9"/>
        <color rgb="FFF8696B"/>
        <color rgb="FFFFEB84"/>
        <color rgb="FF63BE7B"/>
      </colorScale>
    </cfRule>
  </conditionalFormatting>
  <conditionalFormatting sqref="CP8">
    <cfRule type="colorScale" priority="30">
      <colorScale>
        <cfvo type="num" val="0.69"/>
        <cfvo type="num" val="0.8"/>
        <cfvo type="num" val="0.9"/>
        <color rgb="FFF8696B"/>
        <color rgb="FFFFEB84"/>
        <color rgb="FF63BE7B"/>
      </colorScale>
    </cfRule>
  </conditionalFormatting>
  <conditionalFormatting sqref="CV8">
    <cfRule type="colorScale" priority="29">
      <colorScale>
        <cfvo type="num" val="0.69"/>
        <cfvo type="num" val="0.8"/>
        <cfvo type="num" val="0.9"/>
        <color rgb="FFF8696B"/>
        <color rgb="FFFFEB84"/>
        <color rgb="FF63BE7B"/>
      </colorScale>
    </cfRule>
  </conditionalFormatting>
  <conditionalFormatting sqref="AB9">
    <cfRule type="colorScale" priority="28">
      <colorScale>
        <cfvo type="num" val="0.69"/>
        <cfvo type="num" val="0.8"/>
        <cfvo type="num" val="0.9"/>
        <color rgb="FFF8696B"/>
        <color rgb="FFFFEB84"/>
        <color rgb="FF63BE7B"/>
      </colorScale>
    </cfRule>
  </conditionalFormatting>
  <conditionalFormatting sqref="AH9">
    <cfRule type="colorScale" priority="27">
      <colorScale>
        <cfvo type="num" val="0.69"/>
        <cfvo type="num" val="0.8"/>
        <cfvo type="num" val="0.9"/>
        <color rgb="FFF8696B"/>
        <color rgb="FFFFEB84"/>
        <color rgb="FF63BE7B"/>
      </colorScale>
    </cfRule>
  </conditionalFormatting>
  <conditionalFormatting sqref="AN9">
    <cfRule type="colorScale" priority="26">
      <colorScale>
        <cfvo type="num" val="0.69"/>
        <cfvo type="num" val="0.8"/>
        <cfvo type="num" val="0.9"/>
        <color rgb="FFF8696B"/>
        <color rgb="FFFFEB84"/>
        <color rgb="FF63BE7B"/>
      </colorScale>
    </cfRule>
  </conditionalFormatting>
  <conditionalFormatting sqref="AT9">
    <cfRule type="colorScale" priority="25">
      <colorScale>
        <cfvo type="num" val="0.69"/>
        <cfvo type="num" val="0.8"/>
        <cfvo type="num" val="0.9"/>
        <color rgb="FFF8696B"/>
        <color rgb="FFFFEB84"/>
        <color rgb="FF63BE7B"/>
      </colorScale>
    </cfRule>
  </conditionalFormatting>
  <conditionalFormatting sqref="AZ9">
    <cfRule type="colorScale" priority="24">
      <colorScale>
        <cfvo type="num" val="0.69"/>
        <cfvo type="num" val="0.8"/>
        <cfvo type="num" val="0.9"/>
        <color rgb="FFF8696B"/>
        <color rgb="FFFFEB84"/>
        <color rgb="FF63BE7B"/>
      </colorScale>
    </cfRule>
  </conditionalFormatting>
  <conditionalFormatting sqref="BF9">
    <cfRule type="colorScale" priority="23">
      <colorScale>
        <cfvo type="num" val="0.69"/>
        <cfvo type="num" val="0.8"/>
        <cfvo type="num" val="0.9"/>
        <color rgb="FFF8696B"/>
        <color rgb="FFFFEB84"/>
        <color rgb="FF63BE7B"/>
      </colorScale>
    </cfRule>
  </conditionalFormatting>
  <conditionalFormatting sqref="BL9">
    <cfRule type="colorScale" priority="22">
      <colorScale>
        <cfvo type="num" val="0.69"/>
        <cfvo type="num" val="0.8"/>
        <cfvo type="num" val="0.9"/>
        <color rgb="FFF8696B"/>
        <color rgb="FFFFEB84"/>
        <color rgb="FF63BE7B"/>
      </colorScale>
    </cfRule>
  </conditionalFormatting>
  <conditionalFormatting sqref="BR9">
    <cfRule type="colorScale" priority="21">
      <colorScale>
        <cfvo type="num" val="0.69"/>
        <cfvo type="num" val="0.8"/>
        <cfvo type="num" val="0.9"/>
        <color rgb="FFF8696B"/>
        <color rgb="FFFFEB84"/>
        <color rgb="FF63BE7B"/>
      </colorScale>
    </cfRule>
  </conditionalFormatting>
  <conditionalFormatting sqref="BX9">
    <cfRule type="colorScale" priority="20">
      <colorScale>
        <cfvo type="num" val="0.69"/>
        <cfvo type="num" val="0.8"/>
        <cfvo type="num" val="0.9"/>
        <color rgb="FFF8696B"/>
        <color rgb="FFFFEB84"/>
        <color rgb="FF63BE7B"/>
      </colorScale>
    </cfRule>
  </conditionalFormatting>
  <conditionalFormatting sqref="CD9">
    <cfRule type="colorScale" priority="19">
      <colorScale>
        <cfvo type="num" val="0.69"/>
        <cfvo type="num" val="0.8"/>
        <cfvo type="num" val="0.9"/>
        <color rgb="FFF8696B"/>
        <color rgb="FFFFEB84"/>
        <color rgb="FF63BE7B"/>
      </colorScale>
    </cfRule>
  </conditionalFormatting>
  <conditionalFormatting sqref="CJ9">
    <cfRule type="colorScale" priority="18">
      <colorScale>
        <cfvo type="num" val="0.69"/>
        <cfvo type="num" val="0.8"/>
        <cfvo type="num" val="0.9"/>
        <color rgb="FFF8696B"/>
        <color rgb="FFFFEB84"/>
        <color rgb="FF63BE7B"/>
      </colorScale>
    </cfRule>
  </conditionalFormatting>
  <conditionalFormatting sqref="CP9">
    <cfRule type="colorScale" priority="17">
      <colorScale>
        <cfvo type="num" val="0.69"/>
        <cfvo type="num" val="0.8"/>
        <cfvo type="num" val="0.9"/>
        <color rgb="FFF8696B"/>
        <color rgb="FFFFEB84"/>
        <color rgb="FF63BE7B"/>
      </colorScale>
    </cfRule>
  </conditionalFormatting>
  <conditionalFormatting sqref="CV9">
    <cfRule type="colorScale" priority="16">
      <colorScale>
        <cfvo type="num" val="0.69"/>
        <cfvo type="num" val="0.8"/>
        <cfvo type="num" val="0.9"/>
        <color rgb="FFF8696B"/>
        <color rgb="FFFFEB84"/>
        <color rgb="FF63BE7B"/>
      </colorScale>
    </cfRule>
  </conditionalFormatting>
  <conditionalFormatting sqref="AB10">
    <cfRule type="colorScale" priority="15">
      <colorScale>
        <cfvo type="num" val="0.69"/>
        <cfvo type="num" val="0.8"/>
        <cfvo type="num" val="0.9"/>
        <color rgb="FFF8696B"/>
        <color rgb="FFFFEB84"/>
        <color rgb="FF63BE7B"/>
      </colorScale>
    </cfRule>
  </conditionalFormatting>
  <conditionalFormatting sqref="AH10">
    <cfRule type="colorScale" priority="14">
      <colorScale>
        <cfvo type="num" val="0.69"/>
        <cfvo type="num" val="0.8"/>
        <cfvo type="num" val="0.9"/>
        <color rgb="FFF8696B"/>
        <color rgb="FFFFEB84"/>
        <color rgb="FF63BE7B"/>
      </colorScale>
    </cfRule>
  </conditionalFormatting>
  <conditionalFormatting sqref="AN10">
    <cfRule type="colorScale" priority="13">
      <colorScale>
        <cfvo type="num" val="0.69"/>
        <cfvo type="num" val="0.8"/>
        <cfvo type="num" val="0.9"/>
        <color rgb="FFF8696B"/>
        <color rgb="FFFFEB84"/>
        <color rgb="FF63BE7B"/>
      </colorScale>
    </cfRule>
  </conditionalFormatting>
  <conditionalFormatting sqref="AT10">
    <cfRule type="colorScale" priority="12">
      <colorScale>
        <cfvo type="num" val="0.69"/>
        <cfvo type="num" val="0.8"/>
        <cfvo type="num" val="0.9"/>
        <color rgb="FFF8696B"/>
        <color rgb="FFFFEB84"/>
        <color rgb="FF63BE7B"/>
      </colorScale>
    </cfRule>
  </conditionalFormatting>
  <conditionalFormatting sqref="AZ10">
    <cfRule type="colorScale" priority="11">
      <colorScale>
        <cfvo type="num" val="0.69"/>
        <cfvo type="num" val="0.8"/>
        <cfvo type="num" val="0.9"/>
        <color rgb="FFF8696B"/>
        <color rgb="FFFFEB84"/>
        <color rgb="FF63BE7B"/>
      </colorScale>
    </cfRule>
  </conditionalFormatting>
  <conditionalFormatting sqref="BF10">
    <cfRule type="colorScale" priority="10">
      <colorScale>
        <cfvo type="num" val="0.69"/>
        <cfvo type="num" val="0.8"/>
        <cfvo type="num" val="0.9"/>
        <color rgb="FFF8696B"/>
        <color rgb="FFFFEB84"/>
        <color rgb="FF63BE7B"/>
      </colorScale>
    </cfRule>
  </conditionalFormatting>
  <conditionalFormatting sqref="BL10">
    <cfRule type="colorScale" priority="9">
      <colorScale>
        <cfvo type="num" val="0.69"/>
        <cfvo type="num" val="0.8"/>
        <cfvo type="num" val="0.9"/>
        <color rgb="FFF8696B"/>
        <color rgb="FFFFEB84"/>
        <color rgb="FF63BE7B"/>
      </colorScale>
    </cfRule>
  </conditionalFormatting>
  <conditionalFormatting sqref="BR10">
    <cfRule type="colorScale" priority="8">
      <colorScale>
        <cfvo type="num" val="0.69"/>
        <cfvo type="num" val="0.8"/>
        <cfvo type="num" val="0.9"/>
        <color rgb="FFF8696B"/>
        <color rgb="FFFFEB84"/>
        <color rgb="FF63BE7B"/>
      </colorScale>
    </cfRule>
  </conditionalFormatting>
  <conditionalFormatting sqref="BX10">
    <cfRule type="colorScale" priority="7">
      <colorScale>
        <cfvo type="num" val="0.69"/>
        <cfvo type="num" val="0.8"/>
        <cfvo type="num" val="0.9"/>
        <color rgb="FFF8696B"/>
        <color rgb="FFFFEB84"/>
        <color rgb="FF63BE7B"/>
      </colorScale>
    </cfRule>
  </conditionalFormatting>
  <conditionalFormatting sqref="CD10">
    <cfRule type="colorScale" priority="6">
      <colorScale>
        <cfvo type="num" val="0.69"/>
        <cfvo type="num" val="0.8"/>
        <cfvo type="num" val="0.9"/>
        <color rgb="FFF8696B"/>
        <color rgb="FFFFEB84"/>
        <color rgb="FF63BE7B"/>
      </colorScale>
    </cfRule>
  </conditionalFormatting>
  <conditionalFormatting sqref="CJ10">
    <cfRule type="colorScale" priority="5">
      <colorScale>
        <cfvo type="num" val="0.69"/>
        <cfvo type="num" val="0.8"/>
        <cfvo type="num" val="0.9"/>
        <color rgb="FFF8696B"/>
        <color rgb="FFFFEB84"/>
        <color rgb="FF63BE7B"/>
      </colorScale>
    </cfRule>
  </conditionalFormatting>
  <conditionalFormatting sqref="CP10">
    <cfRule type="colorScale" priority="4">
      <colorScale>
        <cfvo type="num" val="0.69"/>
        <cfvo type="num" val="0.8"/>
        <cfvo type="num" val="0.9"/>
        <color rgb="FFF8696B"/>
        <color rgb="FFFFEB84"/>
        <color rgb="FF63BE7B"/>
      </colorScale>
    </cfRule>
  </conditionalFormatting>
  <conditionalFormatting sqref="CV10">
    <cfRule type="colorScale" priority="3">
      <colorScale>
        <cfvo type="num" val="0.69"/>
        <cfvo type="num" val="0.8"/>
        <cfvo type="num" val="0.9"/>
        <color rgb="FFF8696B"/>
        <color rgb="FFFFEB84"/>
        <color rgb="FF63BE7B"/>
      </colorScale>
    </cfRule>
  </conditionalFormatting>
  <conditionalFormatting sqref="BF14">
    <cfRule type="colorScale" priority="2">
      <colorScale>
        <cfvo type="num" val="0.69"/>
        <cfvo type="num" val="0.8"/>
        <cfvo type="num" val="0.9"/>
        <color rgb="FFF8696B"/>
        <color rgb="FFFFEB84"/>
        <color rgb="FF63BE7B"/>
      </colorScale>
    </cfRule>
  </conditionalFormatting>
  <conditionalFormatting sqref="BL14">
    <cfRule type="colorScale" priority="1">
      <colorScale>
        <cfvo type="num" val="0.69"/>
        <cfvo type="num" val="0.8"/>
        <cfvo type="num" val="0.9"/>
        <color rgb="FFF8696B"/>
        <color rgb="FFFFEB84"/>
        <color rgb="FF63BE7B"/>
      </colorScale>
    </cfRule>
  </conditionalFormatting>
  <printOptions horizontalCentered="1" verticalCentered="1"/>
  <pageMargins left="0.27559055118110237" right="0.86614173228346458" top="0.74803149606299213" bottom="0.74803149606299213" header="0.31496062992125984" footer="0.31496062992125984"/>
  <pageSetup paperSize="5" scale="48" fitToHeight="0" orientation="landscape" r:id="rId1"/>
  <headerFooter alignWithMargins="0"/>
  <rowBreaks count="2" manualBreakCount="2">
    <brk id="12" min="1" max="64" man="1"/>
    <brk id="17" min="1" max="64"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BM20"/>
  <sheetViews>
    <sheetView view="pageBreakPreview" topLeftCell="B1" zoomScale="90" zoomScaleNormal="85" zoomScaleSheetLayoutView="90" zoomScalePageLayoutView="10" workbookViewId="0">
      <selection activeCell="B1" sqref="B1:N1"/>
    </sheetView>
  </sheetViews>
  <sheetFormatPr baseColWidth="10" defaultRowHeight="12.75"/>
  <cols>
    <col min="1" max="1" width="1.140625" style="15" customWidth="1"/>
    <col min="2" max="2" width="33.42578125" style="15" customWidth="1"/>
    <col min="3" max="3" width="5.42578125" style="2" hidden="1" customWidth="1"/>
    <col min="4" max="4" width="36.42578125" style="15" customWidth="1"/>
    <col min="5" max="5" width="20.42578125" style="15" customWidth="1"/>
    <col min="6" max="6" width="32" style="15" customWidth="1"/>
    <col min="7" max="7" width="15.28515625" style="15" customWidth="1"/>
    <col min="8" max="8" width="32" style="15" customWidth="1"/>
    <col min="9" max="9" width="16.7109375" style="15" customWidth="1"/>
    <col min="10" max="10" width="10" style="15" customWidth="1"/>
    <col min="11" max="15" width="4.7109375" style="15" customWidth="1"/>
    <col min="16" max="16" width="6" style="15" customWidth="1"/>
    <col min="17" max="21" width="4.7109375" style="15" customWidth="1"/>
    <col min="22" max="22" width="9.28515625" style="15" customWidth="1"/>
    <col min="23" max="23" width="11" style="15" customWidth="1"/>
    <col min="24" max="24" width="12.140625" style="15" customWidth="1"/>
    <col min="25" max="25" width="8.140625" style="15" customWidth="1"/>
    <col min="26" max="26" width="11.5703125" style="15" customWidth="1"/>
    <col min="27" max="27" width="65.85546875" style="15" customWidth="1"/>
    <col min="28" max="28" width="9.28515625" style="15" hidden="1" customWidth="1"/>
    <col min="29" max="29" width="11" style="15" hidden="1" customWidth="1"/>
    <col min="30" max="31" width="8.140625" style="15" hidden="1" customWidth="1"/>
    <col min="32" max="32" width="11.5703125" style="15" hidden="1" customWidth="1"/>
    <col min="33" max="33" width="47.85546875" style="15" hidden="1" customWidth="1"/>
    <col min="34" max="34" width="9.28515625" style="15" hidden="1" customWidth="1"/>
    <col min="35" max="35" width="11" style="15" hidden="1" customWidth="1"/>
    <col min="36" max="37" width="8.140625" style="15" hidden="1" customWidth="1"/>
    <col min="38" max="38" width="11.5703125" style="15" hidden="1" customWidth="1"/>
    <col min="39" max="39" width="37.7109375" style="15" hidden="1" customWidth="1"/>
    <col min="40" max="40" width="9.28515625" style="15" hidden="1" customWidth="1"/>
    <col min="41" max="41" width="11" style="15" hidden="1" customWidth="1"/>
    <col min="42" max="43" width="8.140625" style="15" hidden="1" customWidth="1"/>
    <col min="44" max="44" width="11.5703125" style="15" hidden="1" customWidth="1"/>
    <col min="45" max="45" width="37.7109375" style="15" hidden="1" customWidth="1"/>
    <col min="46" max="46" width="9.28515625" style="15" hidden="1" customWidth="1"/>
    <col min="47" max="47" width="11" style="15" hidden="1" customWidth="1"/>
    <col min="48" max="49" width="8.140625" style="15" hidden="1" customWidth="1"/>
    <col min="50" max="50" width="11.5703125" style="15" hidden="1" customWidth="1"/>
    <col min="51" max="51" width="37.7109375" style="15" hidden="1" customWidth="1"/>
    <col min="52" max="52" width="9.28515625" style="15" hidden="1" customWidth="1"/>
    <col min="53" max="53" width="11" style="15" hidden="1" customWidth="1"/>
    <col min="54" max="55" width="8.140625" style="15" hidden="1" customWidth="1"/>
    <col min="56" max="56" width="11.5703125" style="15" hidden="1" customWidth="1"/>
    <col min="57" max="57" width="37.7109375" style="15" hidden="1" customWidth="1"/>
    <col min="58" max="58" width="9.28515625" style="15" hidden="1" customWidth="1"/>
    <col min="59" max="59" width="11" style="15" hidden="1" customWidth="1"/>
    <col min="60" max="60" width="8.140625" style="15" hidden="1" customWidth="1"/>
    <col min="61" max="61" width="9.140625" style="15" hidden="1" customWidth="1"/>
    <col min="62" max="62" width="12.85546875" style="15" hidden="1" customWidth="1"/>
    <col min="63" max="64" width="37.7109375" style="15" hidden="1" customWidth="1"/>
    <col min="65" max="65" width="0" style="15" hidden="1" customWidth="1"/>
    <col min="66" max="16384" width="11.42578125" style="15"/>
  </cols>
  <sheetData>
    <row r="1" spans="1:65"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row>
    <row r="2" spans="1:65"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row>
    <row r="3" spans="1:65" ht="5.25" customHeight="1"/>
    <row r="4" spans="1:65" ht="19.5" customHeight="1">
      <c r="B4" s="49" t="s">
        <v>18</v>
      </c>
      <c r="C4" s="1979" t="s">
        <v>3367</v>
      </c>
      <c r="D4" s="1979"/>
      <c r="E4" s="1979"/>
      <c r="F4" s="1979"/>
      <c r="G4" s="1979"/>
      <c r="H4" s="1979"/>
      <c r="I4" s="1979"/>
      <c r="J4" s="1979"/>
      <c r="K4" s="1996" t="s">
        <v>21</v>
      </c>
      <c r="L4" s="1996"/>
      <c r="M4" s="1996"/>
      <c r="N4" s="1999"/>
      <c r="O4" s="2000"/>
      <c r="P4" s="2000"/>
      <c r="Q4" s="2000"/>
      <c r="R4" s="2000"/>
      <c r="S4" s="2000"/>
      <c r="T4" s="2000"/>
      <c r="U4" s="2001"/>
      <c r="V4" s="1808" t="s">
        <v>30</v>
      </c>
      <c r="W4" s="1808"/>
      <c r="X4" s="1808"/>
      <c r="Y4" s="1808"/>
      <c r="Z4" s="1808"/>
      <c r="AA4" s="1809"/>
      <c r="AB4" s="1993" t="s">
        <v>29</v>
      </c>
      <c r="AC4" s="1994"/>
      <c r="AD4" s="1994"/>
      <c r="AE4" s="1994"/>
      <c r="AF4" s="1994"/>
      <c r="AG4" s="1995"/>
      <c r="AH4" s="1993" t="s">
        <v>29</v>
      </c>
      <c r="AI4" s="1994"/>
      <c r="AJ4" s="1994"/>
      <c r="AK4" s="1994"/>
      <c r="AL4" s="1994"/>
      <c r="AM4" s="1995"/>
      <c r="AN4" s="1993" t="s">
        <v>29</v>
      </c>
      <c r="AO4" s="1994"/>
      <c r="AP4" s="1994"/>
      <c r="AQ4" s="1994"/>
      <c r="AR4" s="1994"/>
      <c r="AS4" s="1995"/>
      <c r="AT4" s="1993" t="s">
        <v>29</v>
      </c>
      <c r="AU4" s="1994"/>
      <c r="AV4" s="1994"/>
      <c r="AW4" s="1994"/>
      <c r="AX4" s="1994"/>
      <c r="AY4" s="1995"/>
      <c r="AZ4" s="1993" t="s">
        <v>29</v>
      </c>
      <c r="BA4" s="1994"/>
      <c r="BB4" s="1994"/>
      <c r="BC4" s="1994"/>
      <c r="BD4" s="1994"/>
      <c r="BE4" s="1995"/>
      <c r="BF4" s="1993" t="s">
        <v>30</v>
      </c>
      <c r="BG4" s="1994"/>
      <c r="BH4" s="1994"/>
      <c r="BI4" s="1994"/>
      <c r="BJ4" s="1994"/>
      <c r="BK4" s="1994"/>
    </row>
    <row r="5" spans="1:65" ht="6" customHeight="1">
      <c r="A5" s="128"/>
      <c r="B5" s="128"/>
      <c r="C5" s="44"/>
      <c r="D5" s="128"/>
      <c r="E5" s="128"/>
      <c r="F5" s="128"/>
      <c r="G5" s="128"/>
      <c r="H5" s="128"/>
      <c r="I5" s="128"/>
      <c r="J5" s="128"/>
      <c r="K5" s="128"/>
      <c r="L5" s="128"/>
      <c r="M5" s="128"/>
      <c r="N5" s="128"/>
      <c r="O5" s="128"/>
      <c r="P5" s="128"/>
      <c r="Q5" s="128"/>
      <c r="R5" s="128"/>
      <c r="S5" s="128"/>
      <c r="T5" s="128"/>
      <c r="U5" s="128"/>
    </row>
    <row r="6" spans="1:65" s="2" customFormat="1" ht="22.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810"/>
      <c r="W6" s="1076"/>
      <c r="X6" s="1076"/>
      <c r="Y6" s="1076"/>
      <c r="Z6" s="1810"/>
      <c r="AA6" s="1810" t="s">
        <v>51</v>
      </c>
      <c r="AB6" s="2712" t="s">
        <v>44</v>
      </c>
      <c r="AC6" s="2379"/>
      <c r="AD6" s="2379"/>
      <c r="AE6" s="2379"/>
      <c r="AF6" s="2379"/>
      <c r="AG6" s="1990"/>
      <c r="AH6" s="1966" t="s">
        <v>45</v>
      </c>
      <c r="AI6" s="1967"/>
      <c r="AJ6" s="1967"/>
      <c r="AK6" s="1967"/>
      <c r="AL6" s="1967"/>
      <c r="AM6" s="1967"/>
      <c r="AN6" s="1976" t="s">
        <v>46</v>
      </c>
      <c r="AO6" s="1977"/>
      <c r="AP6" s="1977"/>
      <c r="AQ6" s="1977"/>
      <c r="AR6" s="1977"/>
      <c r="AS6" s="1977"/>
      <c r="AT6" s="1962" t="s">
        <v>47</v>
      </c>
      <c r="AU6" s="1963"/>
      <c r="AV6" s="1963"/>
      <c r="AW6" s="1963"/>
      <c r="AX6" s="1963"/>
      <c r="AY6" s="1963"/>
      <c r="AZ6" s="1986" t="s">
        <v>87</v>
      </c>
      <c r="BA6" s="1987"/>
      <c r="BB6" s="1987"/>
      <c r="BC6" s="1987"/>
      <c r="BD6" s="1987"/>
      <c r="BE6" s="1987"/>
      <c r="BF6" s="1988" t="s">
        <v>51</v>
      </c>
      <c r="BG6" s="1989"/>
      <c r="BH6" s="1989"/>
      <c r="BI6" s="1989"/>
      <c r="BJ6" s="1989"/>
      <c r="BK6" s="1989"/>
    </row>
    <row r="7" spans="1:65"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9</v>
      </c>
      <c r="V7" s="16" t="s">
        <v>31</v>
      </c>
      <c r="W7" s="16" t="s">
        <v>32</v>
      </c>
      <c r="X7" s="17" t="s">
        <v>33</v>
      </c>
      <c r="Y7" s="18" t="s">
        <v>34</v>
      </c>
      <c r="Z7" s="19" t="s">
        <v>35</v>
      </c>
      <c r="AA7" s="20" t="s">
        <v>36</v>
      </c>
      <c r="AB7" s="16" t="s">
        <v>31</v>
      </c>
      <c r="AC7" s="16" t="s">
        <v>32</v>
      </c>
      <c r="AD7" s="17" t="s">
        <v>33</v>
      </c>
      <c r="AE7" s="18" t="s">
        <v>34</v>
      </c>
      <c r="AF7" s="19" t="s">
        <v>35</v>
      </c>
      <c r="AG7" s="20" t="s">
        <v>36</v>
      </c>
      <c r="AH7" s="16" t="s">
        <v>31</v>
      </c>
      <c r="AI7" s="16" t="s">
        <v>32</v>
      </c>
      <c r="AJ7" s="17" t="s">
        <v>33</v>
      </c>
      <c r="AK7" s="18" t="s">
        <v>34</v>
      </c>
      <c r="AL7" s="19" t="s">
        <v>35</v>
      </c>
      <c r="AM7" s="20" t="s">
        <v>36</v>
      </c>
      <c r="AN7" s="16" t="s">
        <v>31</v>
      </c>
      <c r="AO7" s="16" t="s">
        <v>32</v>
      </c>
      <c r="AP7" s="17" t="s">
        <v>33</v>
      </c>
      <c r="AQ7" s="18" t="s">
        <v>34</v>
      </c>
      <c r="AR7" s="19" t="s">
        <v>35</v>
      </c>
      <c r="AS7" s="20" t="s">
        <v>36</v>
      </c>
      <c r="AT7" s="16" t="s">
        <v>31</v>
      </c>
      <c r="AU7" s="16" t="s">
        <v>32</v>
      </c>
      <c r="AV7" s="17" t="s">
        <v>33</v>
      </c>
      <c r="AW7" s="18" t="s">
        <v>34</v>
      </c>
      <c r="AX7" s="19" t="s">
        <v>35</v>
      </c>
      <c r="AY7" s="20" t="s">
        <v>36</v>
      </c>
      <c r="AZ7" s="16" t="s">
        <v>31</v>
      </c>
      <c r="BA7" s="16" t="s">
        <v>32</v>
      </c>
      <c r="BB7" s="17" t="s">
        <v>33</v>
      </c>
      <c r="BC7" s="18" t="s">
        <v>34</v>
      </c>
      <c r="BD7" s="19" t="s">
        <v>35</v>
      </c>
      <c r="BE7" s="20" t="s">
        <v>36</v>
      </c>
      <c r="BF7" s="16" t="s">
        <v>31</v>
      </c>
      <c r="BG7" s="16" t="s">
        <v>32</v>
      </c>
      <c r="BH7" s="17" t="s">
        <v>33</v>
      </c>
      <c r="BI7" s="18" t="s">
        <v>34</v>
      </c>
      <c r="BJ7" s="19" t="s">
        <v>35</v>
      </c>
      <c r="BK7" s="20" t="s">
        <v>36</v>
      </c>
    </row>
    <row r="8" spans="1:65" ht="162" customHeight="1">
      <c r="B8" s="489" t="s">
        <v>105</v>
      </c>
      <c r="C8" s="135"/>
      <c r="D8" s="430" t="s">
        <v>3368</v>
      </c>
      <c r="E8" s="430" t="s">
        <v>3369</v>
      </c>
      <c r="F8" s="429" t="s">
        <v>3370</v>
      </c>
      <c r="G8" s="135" t="s">
        <v>53</v>
      </c>
      <c r="H8" s="430" t="s">
        <v>3371</v>
      </c>
      <c r="I8" s="8" t="s">
        <v>3372</v>
      </c>
      <c r="J8" s="8" t="s">
        <v>54</v>
      </c>
      <c r="K8" s="7">
        <v>1</v>
      </c>
      <c r="L8" s="7">
        <v>1</v>
      </c>
      <c r="M8" s="7">
        <v>1</v>
      </c>
      <c r="N8" s="7">
        <v>1</v>
      </c>
      <c r="O8" s="7">
        <v>1</v>
      </c>
      <c r="P8" s="7">
        <v>1</v>
      </c>
      <c r="Q8" s="7">
        <v>1</v>
      </c>
      <c r="R8" s="7">
        <v>1</v>
      </c>
      <c r="S8" s="7">
        <v>1</v>
      </c>
      <c r="T8" s="7">
        <v>1</v>
      </c>
      <c r="U8" s="7">
        <v>1</v>
      </c>
      <c r="V8" s="1811">
        <v>100</v>
      </c>
      <c r="W8" s="658">
        <v>100</v>
      </c>
      <c r="X8" s="281">
        <v>1</v>
      </c>
      <c r="Y8" s="1812">
        <v>1</v>
      </c>
      <c r="Z8" s="1813">
        <v>1</v>
      </c>
      <c r="AA8" s="1814" t="s">
        <v>3373</v>
      </c>
      <c r="AB8" s="1815">
        <v>1</v>
      </c>
      <c r="AC8" s="435">
        <v>1</v>
      </c>
      <c r="AD8" s="436">
        <f>IF(AC8=0," ",AB8/AC8)</f>
        <v>1</v>
      </c>
      <c r="AE8" s="1816">
        <v>1</v>
      </c>
      <c r="AF8" s="1816">
        <f>IF(AC8=0," ",AD8/AE8)</f>
        <v>1</v>
      </c>
      <c r="AG8" s="1817" t="s">
        <v>3374</v>
      </c>
      <c r="AH8" s="26"/>
      <c r="AI8" s="21"/>
      <c r="AJ8" s="22" t="str">
        <f>IF(AI8=0," ",AH8/AI8)</f>
        <v xml:space="preserve"> </v>
      </c>
      <c r="AK8" s="23"/>
      <c r="AL8" s="24" t="str">
        <f>IF(AI8=0," ",AJ8/AK8)</f>
        <v xml:space="preserve"> </v>
      </c>
      <c r="AM8" s="25"/>
      <c r="AN8" s="26"/>
      <c r="AO8" s="21"/>
      <c r="AP8" s="22" t="str">
        <f>IF(AO8=0," ",AN8/AO8)</f>
        <v xml:space="preserve"> </v>
      </c>
      <c r="AQ8" s="23"/>
      <c r="AR8" s="24" t="str">
        <f>IF(AO8=0," ",AP8/AQ8)</f>
        <v xml:space="preserve"> </v>
      </c>
      <c r="AS8" s="25"/>
      <c r="AT8" s="26"/>
      <c r="AU8" s="21"/>
      <c r="AV8" s="22" t="str">
        <f>IF(AU8=0," ",AT8/AU8)</f>
        <v xml:space="preserve"> </v>
      </c>
      <c r="AW8" s="23"/>
      <c r="AX8" s="24" t="str">
        <f>IF(AU8=0," ",AV8/AW8)</f>
        <v xml:space="preserve"> </v>
      </c>
      <c r="AY8" s="25"/>
      <c r="AZ8" s="26"/>
      <c r="BA8" s="21"/>
      <c r="BB8" s="22" t="str">
        <f>IF(BA8=0," ",AZ8/BA8)</f>
        <v xml:space="preserve"> </v>
      </c>
      <c r="BC8" s="23"/>
      <c r="BD8" s="24" t="str">
        <f>IF(BA8=0," ",BB8/BC8)</f>
        <v xml:space="preserve"> </v>
      </c>
      <c r="BE8" s="25"/>
      <c r="BF8" s="26"/>
      <c r="BG8" s="21"/>
      <c r="BH8" s="22" t="str">
        <f>IF(BG8=0," ",BF8/BG8)</f>
        <v xml:space="preserve"> </v>
      </c>
      <c r="BI8" s="23"/>
      <c r="BJ8" s="24" t="str">
        <f>IF(BG8=0," ",BH8/BI8)</f>
        <v xml:space="preserve"> </v>
      </c>
      <c r="BK8" s="25"/>
      <c r="BM8" s="15" t="s">
        <v>3375</v>
      </c>
    </row>
    <row r="9" spans="1:65" ht="178.5" customHeight="1">
      <c r="B9" s="489" t="s">
        <v>73</v>
      </c>
      <c r="C9" s="489"/>
      <c r="D9" s="1818" t="s">
        <v>3376</v>
      </c>
      <c r="E9" s="1818" t="s">
        <v>3377</v>
      </c>
      <c r="F9" s="489" t="s">
        <v>3378</v>
      </c>
      <c r="G9" s="489" t="s">
        <v>53</v>
      </c>
      <c r="H9" s="1818" t="s">
        <v>3379</v>
      </c>
      <c r="I9" s="135" t="s">
        <v>3380</v>
      </c>
      <c r="J9" s="135" t="s">
        <v>54</v>
      </c>
      <c r="K9" s="250"/>
      <c r="L9" s="250">
        <v>1</v>
      </c>
      <c r="M9" s="250">
        <v>1</v>
      </c>
      <c r="N9" s="250">
        <v>1</v>
      </c>
      <c r="O9" s="250">
        <v>1</v>
      </c>
      <c r="P9" s="250">
        <v>1</v>
      </c>
      <c r="Q9" s="250">
        <v>1</v>
      </c>
      <c r="R9" s="250">
        <v>1</v>
      </c>
      <c r="S9" s="250">
        <v>1</v>
      </c>
      <c r="T9" s="250">
        <v>1</v>
      </c>
      <c r="U9" s="250">
        <v>1</v>
      </c>
      <c r="V9" s="1819">
        <v>11</v>
      </c>
      <c r="W9" s="1819">
        <v>11</v>
      </c>
      <c r="X9" s="1820">
        <v>1</v>
      </c>
      <c r="Y9" s="1821">
        <v>1</v>
      </c>
      <c r="Z9" s="1821">
        <v>1</v>
      </c>
      <c r="AA9" s="1822" t="s">
        <v>3381</v>
      </c>
      <c r="AB9" s="1819">
        <v>9</v>
      </c>
      <c r="AC9" s="1819">
        <v>9</v>
      </c>
      <c r="AD9" s="1820">
        <f>IF(AC9=0," ",AB9/AC9)</f>
        <v>1</v>
      </c>
      <c r="AE9" s="1821">
        <v>1</v>
      </c>
      <c r="AF9" s="1821">
        <f>IF(AC9=0," ",AD9/AE9)</f>
        <v>1</v>
      </c>
      <c r="AG9" s="1822" t="s">
        <v>3382</v>
      </c>
      <c r="AH9" s="26"/>
      <c r="AI9" s="21"/>
      <c r="AJ9" s="22" t="str">
        <f>IF(AI9=0," ",AH9/AI9)</f>
        <v xml:space="preserve"> </v>
      </c>
      <c r="AK9" s="23"/>
      <c r="AL9" s="24" t="str">
        <f>IF(AI9=0," ",AJ9/AK9)</f>
        <v xml:space="preserve"> </v>
      </c>
      <c r="AM9" s="25"/>
      <c r="AN9" s="26"/>
      <c r="AO9" s="21"/>
      <c r="AP9" s="22" t="str">
        <f>IF(AO9=0," ",AN9/AO9)</f>
        <v xml:space="preserve"> </v>
      </c>
      <c r="AQ9" s="23"/>
      <c r="AR9" s="24" t="str">
        <f>IF(AO9=0," ",AP9/AQ9)</f>
        <v xml:space="preserve"> </v>
      </c>
      <c r="AS9" s="25"/>
      <c r="AT9" s="26"/>
      <c r="AU9" s="21"/>
      <c r="AV9" s="22" t="str">
        <f>IF(AU9=0," ",AT9/AU9)</f>
        <v xml:space="preserve"> </v>
      </c>
      <c r="AW9" s="23"/>
      <c r="AX9" s="24" t="str">
        <f>IF(AU9=0," ",AV9/AW9)</f>
        <v xml:space="preserve"> </v>
      </c>
      <c r="AY9" s="25"/>
      <c r="AZ9" s="26"/>
      <c r="BA9" s="21"/>
      <c r="BB9" s="22" t="str">
        <f>IF(BA9=0," ",AZ9/BA9)</f>
        <v xml:space="preserve"> </v>
      </c>
      <c r="BC9" s="23"/>
      <c r="BD9" s="24" t="str">
        <f>IF(BA9=0," ",BB9/BC9)</f>
        <v xml:space="preserve"> </v>
      </c>
      <c r="BE9" s="25"/>
      <c r="BF9" s="26"/>
      <c r="BG9" s="21"/>
      <c r="BH9" s="22" t="str">
        <f>IF(BG9=0," ",BF9/BG9)</f>
        <v xml:space="preserve"> </v>
      </c>
      <c r="BI9" s="23"/>
      <c r="BJ9" s="24" t="str">
        <f>IF(BG9=0," ",BH9/BI9)</f>
        <v xml:space="preserve"> </v>
      </c>
      <c r="BK9" s="25"/>
      <c r="BM9" s="15" t="s">
        <v>3375</v>
      </c>
    </row>
    <row r="10" spans="1:65" ht="190.5" customHeight="1">
      <c r="B10" s="489" t="s">
        <v>73</v>
      </c>
      <c r="C10" s="489"/>
      <c r="D10" s="1818" t="s">
        <v>3383</v>
      </c>
      <c r="E10" s="1818" t="s">
        <v>3384</v>
      </c>
      <c r="F10" s="489" t="s">
        <v>3385</v>
      </c>
      <c r="G10" s="489" t="s">
        <v>53</v>
      </c>
      <c r="H10" s="1818" t="s">
        <v>3386</v>
      </c>
      <c r="I10" s="135" t="s">
        <v>3387</v>
      </c>
      <c r="J10" s="135" t="s">
        <v>54</v>
      </c>
      <c r="K10" s="250"/>
      <c r="L10" s="250">
        <v>1</v>
      </c>
      <c r="M10" s="250">
        <v>1</v>
      </c>
      <c r="N10" s="250">
        <v>1</v>
      </c>
      <c r="O10" s="250">
        <v>1</v>
      </c>
      <c r="P10" s="250">
        <v>1</v>
      </c>
      <c r="Q10" s="250">
        <v>1</v>
      </c>
      <c r="R10" s="250">
        <v>1</v>
      </c>
      <c r="S10" s="250">
        <v>1</v>
      </c>
      <c r="T10" s="250">
        <v>1</v>
      </c>
      <c r="U10" s="250">
        <v>1</v>
      </c>
      <c r="V10" s="1819">
        <v>11</v>
      </c>
      <c r="W10" s="1819">
        <v>11</v>
      </c>
      <c r="X10" s="1820">
        <v>1</v>
      </c>
      <c r="Y10" s="1821">
        <v>1</v>
      </c>
      <c r="Z10" s="1821">
        <v>1</v>
      </c>
      <c r="AA10" s="1822" t="s">
        <v>3388</v>
      </c>
      <c r="AB10" s="1819">
        <v>76</v>
      </c>
      <c r="AC10" s="1819">
        <v>76</v>
      </c>
      <c r="AD10" s="1820">
        <f>IF(AC10=0," ",AB10/AC10)</f>
        <v>1</v>
      </c>
      <c r="AE10" s="1821">
        <v>1</v>
      </c>
      <c r="AF10" s="1821">
        <f>IF(AC10=0," ",AD10/AE10)</f>
        <v>1</v>
      </c>
      <c r="AG10" s="1822" t="s">
        <v>3389</v>
      </c>
      <c r="AH10" s="26"/>
      <c r="AI10" s="21"/>
      <c r="AJ10" s="22" t="str">
        <f>IF(AI10=0," ",AH10/AI10)</f>
        <v xml:space="preserve"> </v>
      </c>
      <c r="AK10" s="23"/>
      <c r="AL10" s="24" t="str">
        <f>IF(AI10=0," ",AJ10/AK10)</f>
        <v xml:space="preserve"> </v>
      </c>
      <c r="AM10" s="25"/>
      <c r="AN10" s="26"/>
      <c r="AO10" s="21"/>
      <c r="AP10" s="22" t="str">
        <f>IF(AO10=0," ",AN10/AO10)</f>
        <v xml:space="preserve"> </v>
      </c>
      <c r="AQ10" s="23"/>
      <c r="AR10" s="24" t="str">
        <f>IF(AO10=0," ",AP10/AQ10)</f>
        <v xml:space="preserve"> </v>
      </c>
      <c r="AS10" s="25"/>
      <c r="AT10" s="26"/>
      <c r="AU10" s="21"/>
      <c r="AV10" s="22" t="str">
        <f>IF(AU10=0," ",AT10/AU10)</f>
        <v xml:space="preserve"> </v>
      </c>
      <c r="AW10" s="23"/>
      <c r="AX10" s="24" t="str">
        <f>IF(AU10=0," ",AV10/AW10)</f>
        <v xml:space="preserve"> </v>
      </c>
      <c r="AY10" s="25"/>
      <c r="AZ10" s="26"/>
      <c r="BA10" s="21"/>
      <c r="BB10" s="22" t="str">
        <f>IF(BA10=0," ",AZ10/BA10)</f>
        <v xml:space="preserve"> </v>
      </c>
      <c r="BC10" s="23"/>
      <c r="BD10" s="24" t="str">
        <f>IF(BA10=0," ",BB10/BC10)</f>
        <v xml:space="preserve"> </v>
      </c>
      <c r="BE10" s="25"/>
      <c r="BF10" s="26"/>
      <c r="BG10" s="21"/>
      <c r="BH10" s="22" t="str">
        <f>IF(BG10=0," ",BF10/BG10)</f>
        <v xml:space="preserve"> </v>
      </c>
      <c r="BI10" s="23"/>
      <c r="BJ10" s="24" t="str">
        <f>IF(BG10=0," ",BH10/BI10)</f>
        <v xml:space="preserve"> </v>
      </c>
      <c r="BK10" s="25"/>
      <c r="BM10" s="15" t="s">
        <v>3375</v>
      </c>
    </row>
    <row r="11" spans="1:65" ht="99.75" customHeight="1">
      <c r="B11" s="489" t="s">
        <v>105</v>
      </c>
      <c r="C11" s="489"/>
      <c r="D11" s="1818" t="s">
        <v>3390</v>
      </c>
      <c r="E11" s="1818" t="s">
        <v>3391</v>
      </c>
      <c r="F11" s="489" t="s">
        <v>3392</v>
      </c>
      <c r="G11" s="489" t="s">
        <v>53</v>
      </c>
      <c r="H11" s="1818" t="s">
        <v>3393</v>
      </c>
      <c r="I11" s="489" t="s">
        <v>3394</v>
      </c>
      <c r="J11" s="489" t="s">
        <v>54</v>
      </c>
      <c r="K11" s="1823">
        <v>1</v>
      </c>
      <c r="L11" s="1823"/>
      <c r="M11" s="1824"/>
      <c r="N11" s="1823">
        <v>1</v>
      </c>
      <c r="O11" s="1823"/>
      <c r="P11" s="1823"/>
      <c r="Q11" s="1823">
        <v>1</v>
      </c>
      <c r="R11" s="1823"/>
      <c r="S11" s="1823"/>
      <c r="T11" s="1823">
        <v>1</v>
      </c>
      <c r="U11" s="1823"/>
      <c r="V11" s="1811">
        <v>1</v>
      </c>
      <c r="W11" s="658">
        <v>1</v>
      </c>
      <c r="X11" s="281">
        <v>1</v>
      </c>
      <c r="Y11" s="1812">
        <v>1</v>
      </c>
      <c r="Z11" s="1812">
        <v>1</v>
      </c>
      <c r="AA11" s="1822" t="s">
        <v>3395</v>
      </c>
      <c r="AB11" s="8"/>
      <c r="AC11" s="8"/>
      <c r="AD11" s="733" t="str">
        <f>IF(AC11=0," ",AB11/AC11)</f>
        <v xml:space="preserve"> </v>
      </c>
      <c r="AE11" s="734"/>
      <c r="AF11" s="735" t="str">
        <f>IF(AC11=0," ",AD11/AE11)</f>
        <v xml:space="preserve"> </v>
      </c>
      <c r="AG11" s="1817" t="s">
        <v>3396</v>
      </c>
      <c r="AH11" s="27"/>
      <c r="AI11" s="28"/>
      <c r="AJ11" s="257" t="str">
        <f>IF(AI11=0," ",AH11/AI11)</f>
        <v xml:space="preserve"> </v>
      </c>
      <c r="AK11" s="30"/>
      <c r="AL11" s="529" t="str">
        <f>IF(AI11=0," ",AJ11/AK11)</f>
        <v xml:space="preserve"> </v>
      </c>
      <c r="AM11" s="32"/>
      <c r="AN11" s="27"/>
      <c r="AO11" s="28"/>
      <c r="AP11" s="257" t="str">
        <f>IF(AO11=0," ",AN11/AO11)</f>
        <v xml:space="preserve"> </v>
      </c>
      <c r="AQ11" s="30"/>
      <c r="AR11" s="529" t="str">
        <f>IF(AO11=0," ",AP11/AQ11)</f>
        <v xml:space="preserve"> </v>
      </c>
      <c r="AS11" s="32"/>
      <c r="AT11" s="27"/>
      <c r="AU11" s="28"/>
      <c r="AV11" s="257" t="str">
        <f>IF(AU11=0," ",AT11/AU11)</f>
        <v xml:space="preserve"> </v>
      </c>
      <c r="AW11" s="30"/>
      <c r="AX11" s="529" t="str">
        <f>IF(AU11=0," ",AV11/AW11)</f>
        <v xml:space="preserve"> </v>
      </c>
      <c r="AY11" s="32"/>
      <c r="AZ11" s="27"/>
      <c r="BA11" s="28"/>
      <c r="BB11" s="257" t="str">
        <f>IF(BA11=0," ",AZ11/BA11)</f>
        <v xml:space="preserve"> </v>
      </c>
      <c r="BC11" s="30"/>
      <c r="BD11" s="529" t="str">
        <f>IF(BA11=0," ",BB11/BC11)</f>
        <v xml:space="preserve"> </v>
      </c>
      <c r="BE11" s="32"/>
      <c r="BF11" s="27"/>
      <c r="BG11" s="28"/>
      <c r="BH11" s="257" t="str">
        <f>IF(BG11=0," ",BF11/BG11)</f>
        <v xml:space="preserve"> </v>
      </c>
      <c r="BI11" s="30"/>
      <c r="BJ11" s="529" t="str">
        <f>IF(BG11=0," ",BH11/BI11)</f>
        <v xml:space="preserve"> </v>
      </c>
      <c r="BK11" s="32"/>
      <c r="BM11" s="15" t="s">
        <v>3375</v>
      </c>
    </row>
    <row r="12" spans="1:65" ht="14.25" customHeight="1">
      <c r="B12" s="33"/>
      <c r="C12" s="34"/>
      <c r="D12" s="35"/>
      <c r="E12" s="35"/>
      <c r="F12" s="36"/>
      <c r="G12" s="36"/>
      <c r="H12" s="35" t="s">
        <v>49</v>
      </c>
      <c r="I12" s="36"/>
      <c r="J12" s="36"/>
      <c r="K12" s="37"/>
      <c r="L12" s="37"/>
      <c r="M12" s="38"/>
      <c r="N12" s="37"/>
      <c r="O12" s="37"/>
      <c r="P12" s="39"/>
      <c r="Q12" s="39"/>
      <c r="R12" s="39"/>
      <c r="S12" s="39"/>
      <c r="T12" s="39"/>
      <c r="U12" s="39"/>
      <c r="V12" s="1825"/>
      <c r="W12" s="1825"/>
      <c r="X12" s="1826"/>
      <c r="Y12" s="1827"/>
      <c r="Z12" s="1828"/>
      <c r="AA12" s="1829"/>
      <c r="AB12" s="40"/>
      <c r="AC12" s="40"/>
      <c r="AD12" s="41"/>
      <c r="AE12" s="42"/>
      <c r="AF12" s="43"/>
      <c r="AG12" s="33"/>
      <c r="AH12" s="33"/>
      <c r="AI12" s="40"/>
      <c r="AJ12" s="40"/>
      <c r="AK12" s="41"/>
      <c r="AL12" s="42"/>
      <c r="AM12" s="43"/>
      <c r="AN12" s="40"/>
      <c r="AO12" s="40"/>
      <c r="AP12" s="41"/>
      <c r="AQ12" s="42"/>
      <c r="AR12" s="42"/>
      <c r="AS12" s="730"/>
      <c r="AT12" s="33"/>
      <c r="AU12" s="40"/>
      <c r="AV12" s="40"/>
      <c r="AW12" s="41"/>
      <c r="AX12" s="42"/>
      <c r="AY12" s="43"/>
      <c r="AZ12" s="40"/>
      <c r="BA12" s="40"/>
      <c r="BB12" s="41"/>
      <c r="BC12" s="42"/>
      <c r="BD12" s="42"/>
      <c r="BE12" s="730"/>
      <c r="BF12" s="33"/>
      <c r="BG12" s="40"/>
      <c r="BH12" s="40"/>
      <c r="BI12" s="41"/>
      <c r="BJ12" s="42"/>
      <c r="BK12" s="43"/>
    </row>
    <row r="13" spans="1:65" ht="135" customHeight="1">
      <c r="B13" s="489" t="s">
        <v>383</v>
      </c>
      <c r="C13" s="489"/>
      <c r="D13" s="489" t="s">
        <v>56</v>
      </c>
      <c r="E13" s="489" t="s">
        <v>57</v>
      </c>
      <c r="F13" s="489" t="s">
        <v>58</v>
      </c>
      <c r="G13" s="489" t="s">
        <v>53</v>
      </c>
      <c r="H13" s="489" t="s">
        <v>59</v>
      </c>
      <c r="I13" s="135" t="s">
        <v>60</v>
      </c>
      <c r="J13" s="8" t="s">
        <v>54</v>
      </c>
      <c r="K13" s="8"/>
      <c r="L13" s="8"/>
      <c r="M13" s="629">
        <v>1</v>
      </c>
      <c r="N13" s="8"/>
      <c r="O13" s="8"/>
      <c r="P13" s="629">
        <v>1</v>
      </c>
      <c r="Q13" s="8"/>
      <c r="R13" s="8"/>
      <c r="S13" s="629">
        <v>1</v>
      </c>
      <c r="T13" s="8"/>
      <c r="U13" s="629">
        <v>1</v>
      </c>
      <c r="V13" s="1830">
        <v>100</v>
      </c>
      <c r="W13" s="1831">
        <v>100</v>
      </c>
      <c r="X13" s="1813">
        <f>IF(W13=0," ",V13/W13)</f>
        <v>1</v>
      </c>
      <c r="Y13" s="1832">
        <v>1</v>
      </c>
      <c r="Z13" s="1833">
        <f>IF(W13=0," ",X13/Y13)</f>
        <v>1</v>
      </c>
      <c r="AA13" s="1834" t="s">
        <v>3397</v>
      </c>
      <c r="AB13" s="8"/>
      <c r="AC13" s="8"/>
      <c r="AD13" s="733" t="str">
        <f>IF(AC13=0," ",AB13/AC13)</f>
        <v xml:space="preserve"> </v>
      </c>
      <c r="AE13" s="734"/>
      <c r="AF13" s="735" t="str">
        <f>IF(AC13=0," ",AD13/AE13)</f>
        <v xml:space="preserve"> </v>
      </c>
      <c r="AG13" s="1817" t="s">
        <v>3396</v>
      </c>
      <c r="AH13" s="731"/>
      <c r="AI13" s="732"/>
      <c r="AJ13" s="733" t="str">
        <f>IF(AI13=0," ",AH13/AI13)</f>
        <v xml:space="preserve"> </v>
      </c>
      <c r="AK13" s="734"/>
      <c r="AL13" s="735" t="str">
        <f>IF(AI13=0," ",AJ13/AK13)</f>
        <v xml:space="preserve"> </v>
      </c>
      <c r="AM13" s="736"/>
      <c r="AN13" s="731"/>
      <c r="AO13" s="732"/>
      <c r="AP13" s="733" t="str">
        <f>IF(AO13=0," ",AN13/AO13)</f>
        <v xml:space="preserve"> </v>
      </c>
      <c r="AQ13" s="734"/>
      <c r="AR13" s="735" t="str">
        <f>IF(AO13=0," ",AP13/AQ13)</f>
        <v xml:space="preserve"> </v>
      </c>
      <c r="AS13" s="736"/>
      <c r="AT13" s="731"/>
      <c r="AU13" s="732"/>
      <c r="AV13" s="733" t="str">
        <f>IF(AU13=0," ",AT13/AU13)</f>
        <v xml:space="preserve"> </v>
      </c>
      <c r="AW13" s="734"/>
      <c r="AX13" s="735" t="str">
        <f>IF(AU13=0," ",AV13/AW13)</f>
        <v xml:space="preserve"> </v>
      </c>
      <c r="AY13" s="736"/>
      <c r="AZ13" s="731"/>
      <c r="BA13" s="732"/>
      <c r="BB13" s="733" t="str">
        <f>IF(BA13=0," ",AZ13/BA13)</f>
        <v xml:space="preserve"> </v>
      </c>
      <c r="BC13" s="734"/>
      <c r="BD13" s="735" t="str">
        <f>IF(BA13=0," ",BB13/BC13)</f>
        <v xml:space="preserve"> </v>
      </c>
      <c r="BE13" s="736"/>
      <c r="BF13" s="731"/>
      <c r="BG13" s="732"/>
      <c r="BH13" s="733" t="str">
        <f>IF(BG13=0," ",BF13/BG13)</f>
        <v xml:space="preserve"> </v>
      </c>
      <c r="BI13" s="734"/>
      <c r="BJ13" s="735" t="str">
        <f>IF(BG13=0," ",BH13/BI13)</f>
        <v xml:space="preserve"> </v>
      </c>
      <c r="BK13" s="736"/>
      <c r="BM13" s="15" t="s">
        <v>3375</v>
      </c>
    </row>
    <row r="14" spans="1:65" ht="161.25" customHeight="1">
      <c r="B14" s="489" t="s">
        <v>383</v>
      </c>
      <c r="C14" s="489"/>
      <c r="D14" s="489" t="s">
        <v>61</v>
      </c>
      <c r="E14" s="489" t="s">
        <v>57</v>
      </c>
      <c r="F14" s="489" t="s">
        <v>62</v>
      </c>
      <c r="G14" s="489" t="s">
        <v>53</v>
      </c>
      <c r="H14" s="489" t="s">
        <v>63</v>
      </c>
      <c r="I14" s="135" t="s">
        <v>64</v>
      </c>
      <c r="J14" s="8" t="s">
        <v>54</v>
      </c>
      <c r="K14" s="8"/>
      <c r="L14" s="629">
        <v>1</v>
      </c>
      <c r="M14" s="8"/>
      <c r="N14" s="629">
        <v>1</v>
      </c>
      <c r="O14" s="629"/>
      <c r="P14" s="629">
        <v>1</v>
      </c>
      <c r="Q14" s="629"/>
      <c r="R14" s="629">
        <v>1</v>
      </c>
      <c r="S14" s="629"/>
      <c r="T14" s="629">
        <v>1</v>
      </c>
      <c r="U14" s="629">
        <v>1</v>
      </c>
      <c r="V14" s="1830">
        <v>100</v>
      </c>
      <c r="W14" s="1831">
        <v>100</v>
      </c>
      <c r="X14" s="1813">
        <f>IF(W14=0," ",V14/W14)</f>
        <v>1</v>
      </c>
      <c r="Y14" s="1832">
        <v>1</v>
      </c>
      <c r="Z14" s="1833">
        <f>IF(W14=0," ",X14/Y14)</f>
        <v>1</v>
      </c>
      <c r="AA14" s="1835" t="s">
        <v>3398</v>
      </c>
      <c r="AB14" s="1815"/>
      <c r="AC14" s="435"/>
      <c r="AD14" s="436"/>
      <c r="AE14" s="1816"/>
      <c r="AF14" s="1816"/>
      <c r="AG14" s="1836" t="s">
        <v>3399</v>
      </c>
      <c r="BM14" s="15" t="s">
        <v>3400</v>
      </c>
    </row>
    <row r="15" spans="1:65" ht="133.5" customHeight="1">
      <c r="B15" s="489" t="s">
        <v>155</v>
      </c>
      <c r="C15" s="489" t="s">
        <v>156</v>
      </c>
      <c r="D15" s="489" t="s">
        <v>157</v>
      </c>
      <c r="E15" s="489" t="s">
        <v>158</v>
      </c>
      <c r="F15" s="489" t="s">
        <v>159</v>
      </c>
      <c r="G15" s="489" t="s">
        <v>53</v>
      </c>
      <c r="H15" s="489" t="s">
        <v>160</v>
      </c>
      <c r="I15" s="135" t="s">
        <v>161</v>
      </c>
      <c r="J15" s="8" t="s">
        <v>54</v>
      </c>
      <c r="K15" s="8"/>
      <c r="L15" s="8"/>
      <c r="M15" s="8"/>
      <c r="N15" s="629">
        <v>1</v>
      </c>
      <c r="O15" s="8"/>
      <c r="P15" s="629">
        <v>1</v>
      </c>
      <c r="Q15" s="629"/>
      <c r="R15" s="629"/>
      <c r="S15" s="629">
        <v>1</v>
      </c>
      <c r="T15" s="629"/>
      <c r="U15" s="629">
        <v>1</v>
      </c>
      <c r="V15" s="1830">
        <v>100</v>
      </c>
      <c r="W15" s="1830">
        <v>100</v>
      </c>
      <c r="X15" s="1813">
        <f>IF(W15=0," ",V15/W15)</f>
        <v>1</v>
      </c>
      <c r="Y15" s="1833">
        <v>1</v>
      </c>
      <c r="Z15" s="1833">
        <f>IF(W15=0," ",X15/Y15)</f>
        <v>1</v>
      </c>
      <c r="AA15" s="1835" t="s">
        <v>3401</v>
      </c>
      <c r="AB15" s="8"/>
      <c r="AC15" s="8"/>
      <c r="AD15" s="733" t="str">
        <f>IF(AC15=0," ",AB15/AC15)</f>
        <v xml:space="preserve"> </v>
      </c>
      <c r="AE15" s="734"/>
      <c r="AF15" s="735" t="str">
        <f>IF(AC15=0," ",AD15/AE15)</f>
        <v xml:space="preserve"> </v>
      </c>
      <c r="AG15" s="1817" t="s">
        <v>3396</v>
      </c>
      <c r="BM15" s="15" t="s">
        <v>3400</v>
      </c>
    </row>
    <row r="16" spans="1:65" ht="152.25" customHeight="1">
      <c r="B16" s="489" t="s">
        <v>81</v>
      </c>
      <c r="C16" s="489" t="s">
        <v>92</v>
      </c>
      <c r="D16" s="489" t="s">
        <v>83</v>
      </c>
      <c r="E16" s="489" t="s">
        <v>84</v>
      </c>
      <c r="F16" s="489" t="s">
        <v>1322</v>
      </c>
      <c r="G16" s="489" t="s">
        <v>66</v>
      </c>
      <c r="H16" s="489" t="s">
        <v>3402</v>
      </c>
      <c r="I16" s="135" t="s">
        <v>85</v>
      </c>
      <c r="J16" s="8" t="s">
        <v>54</v>
      </c>
      <c r="K16" s="8"/>
      <c r="L16" s="8"/>
      <c r="M16" s="629">
        <v>1</v>
      </c>
      <c r="N16" s="8"/>
      <c r="O16" s="8"/>
      <c r="P16" s="629">
        <v>1</v>
      </c>
      <c r="Q16" s="8"/>
      <c r="R16" s="8"/>
      <c r="S16" s="629">
        <v>1</v>
      </c>
      <c r="T16" s="8"/>
      <c r="U16" s="629">
        <v>1</v>
      </c>
      <c r="V16" s="1830">
        <v>1</v>
      </c>
      <c r="W16" s="1830">
        <v>1</v>
      </c>
      <c r="X16" s="1813">
        <f>V16/W16</f>
        <v>1</v>
      </c>
      <c r="Y16" s="1833">
        <v>1</v>
      </c>
      <c r="Z16" s="1833">
        <f>X16/Y16</f>
        <v>1</v>
      </c>
      <c r="AA16" s="1837" t="s">
        <v>3403</v>
      </c>
      <c r="AB16" s="697" t="s">
        <v>1456</v>
      </c>
      <c r="AC16" s="8"/>
      <c r="AD16" s="733" t="str">
        <f>IF(AC16=0," ",#REF!/AC16)</f>
        <v xml:space="preserve"> </v>
      </c>
      <c r="AE16" s="734"/>
      <c r="AF16" s="735" t="str">
        <f>IF(AC16=0," ",AD16/AE16)</f>
        <v xml:space="preserve"> </v>
      </c>
      <c r="AG16" s="1817" t="s">
        <v>3396</v>
      </c>
      <c r="BM16" s="15" t="s">
        <v>3400</v>
      </c>
    </row>
    <row r="17" spans="2:33" ht="60.75" customHeight="1">
      <c r="B17" s="1838"/>
      <c r="C17" s="1838"/>
      <c r="D17" s="1838"/>
      <c r="E17" s="1838"/>
      <c r="F17" s="1838"/>
      <c r="G17" s="1838"/>
      <c r="H17" s="1838"/>
      <c r="I17" s="1247"/>
      <c r="J17" s="1247"/>
      <c r="K17" s="1247"/>
      <c r="L17" s="1247"/>
      <c r="M17" s="1839"/>
      <c r="N17" s="1247"/>
      <c r="O17" s="1247"/>
      <c r="P17" s="1839"/>
      <c r="Q17" s="1247"/>
      <c r="R17" s="1247"/>
      <c r="S17" s="1839"/>
      <c r="T17" s="1247"/>
      <c r="U17" s="1840"/>
      <c r="V17" s="53"/>
      <c r="W17" s="53"/>
      <c r="X17" s="1841"/>
      <c r="Y17" s="1842"/>
      <c r="Z17" s="1842"/>
      <c r="AA17" s="1843"/>
      <c r="AB17" s="1844"/>
      <c r="AC17" s="1247"/>
      <c r="AD17" s="1845"/>
      <c r="AE17" s="1392"/>
      <c r="AF17" s="1846"/>
      <c r="AG17" s="1843"/>
    </row>
    <row r="18" spans="2:33" ht="25.5" customHeight="1">
      <c r="B18" s="1247"/>
      <c r="C18" s="1247"/>
      <c r="D18" s="1247"/>
      <c r="E18" s="1247"/>
      <c r="F18" s="1247"/>
      <c r="G18" s="1247"/>
      <c r="H18" s="1247"/>
      <c r="I18" s="1247"/>
      <c r="J18" s="1247"/>
      <c r="K18" s="1247"/>
      <c r="L18" s="1247"/>
      <c r="M18" s="1839"/>
      <c r="N18" s="1247"/>
      <c r="O18" s="1247"/>
      <c r="P18" s="1839"/>
      <c r="Q18" s="1247"/>
      <c r="R18" s="1247"/>
      <c r="S18" s="1839"/>
      <c r="T18" s="1247"/>
      <c r="U18" s="1840"/>
      <c r="V18" s="53"/>
      <c r="W18" s="53"/>
      <c r="X18" s="1841"/>
      <c r="Y18" s="1842"/>
      <c r="Z18" s="1842"/>
      <c r="AA18" s="1843"/>
    </row>
    <row r="19" spans="2:33" ht="33.75" customHeight="1">
      <c r="B19" s="419" t="s">
        <v>3404</v>
      </c>
      <c r="E19" s="2709" t="s">
        <v>3405</v>
      </c>
      <c r="F19" s="2709"/>
      <c r="G19" s="2709"/>
      <c r="H19" s="2709"/>
      <c r="U19" s="210"/>
      <c r="V19" s="210"/>
      <c r="W19" s="210"/>
      <c r="X19" s="210"/>
      <c r="Y19" s="210"/>
      <c r="Z19" s="210"/>
    </row>
    <row r="20" spans="2:33" ht="19.5" customHeight="1">
      <c r="E20" s="2709" t="s">
        <v>3406</v>
      </c>
      <c r="F20" s="2709"/>
      <c r="G20" s="2709"/>
      <c r="H20" s="2709"/>
      <c r="U20" s="210"/>
      <c r="V20" s="210"/>
      <c r="W20" s="210"/>
      <c r="X20" s="210"/>
      <c r="Y20" s="210"/>
      <c r="Z20" s="210"/>
    </row>
  </sheetData>
  <mergeCells count="33">
    <mergeCell ref="AN4:AS4"/>
    <mergeCell ref="B1:N1"/>
    <mergeCell ref="O1:R1"/>
    <mergeCell ref="S1:U2"/>
    <mergeCell ref="A2:B2"/>
    <mergeCell ref="D2:N2"/>
    <mergeCell ref="O2:R2"/>
    <mergeCell ref="H6:H7"/>
    <mergeCell ref="C4:J4"/>
    <mergeCell ref="K4:M4"/>
    <mergeCell ref="N4:U4"/>
    <mergeCell ref="AB4:AG4"/>
    <mergeCell ref="AH4:AM4"/>
    <mergeCell ref="AN6:AS6"/>
    <mergeCell ref="AT4:AY4"/>
    <mergeCell ref="AZ4:BE4"/>
    <mergeCell ref="BF4:BK4"/>
    <mergeCell ref="B6:B7"/>
    <mergeCell ref="C6:C7"/>
    <mergeCell ref="D6:D7"/>
    <mergeCell ref="E6:E7"/>
    <mergeCell ref="F6:F7"/>
    <mergeCell ref="G6:G7"/>
    <mergeCell ref="AT6:AY6"/>
    <mergeCell ref="AZ6:BE6"/>
    <mergeCell ref="BF6:BK6"/>
    <mergeCell ref="E19:H19"/>
    <mergeCell ref="E20:H20"/>
    <mergeCell ref="I6:I7"/>
    <mergeCell ref="J6:J7"/>
    <mergeCell ref="K6:U6"/>
    <mergeCell ref="AB6:AG6"/>
    <mergeCell ref="AH6:AM6"/>
  </mergeCells>
  <conditionalFormatting sqref="AL8">
    <cfRule type="colorScale" priority="51">
      <colorScale>
        <cfvo type="num" val="0.69"/>
        <cfvo type="num" val="0.8"/>
        <cfvo type="num" val="0.9"/>
        <color rgb="FFF8696B"/>
        <color rgb="FFFFEB84"/>
        <color rgb="FF63BE7B"/>
      </colorScale>
    </cfRule>
  </conditionalFormatting>
  <conditionalFormatting sqref="AR8">
    <cfRule type="colorScale" priority="50">
      <colorScale>
        <cfvo type="num" val="0.69"/>
        <cfvo type="num" val="0.8"/>
        <cfvo type="num" val="0.9"/>
        <color rgb="FFF8696B"/>
        <color rgb="FFFFEB84"/>
        <color rgb="FF63BE7B"/>
      </colorScale>
    </cfRule>
  </conditionalFormatting>
  <conditionalFormatting sqref="AX8">
    <cfRule type="colorScale" priority="49">
      <colorScale>
        <cfvo type="num" val="0.69"/>
        <cfvo type="num" val="0.8"/>
        <cfvo type="num" val="0.9"/>
        <color rgb="FFF8696B"/>
        <color rgb="FFFFEB84"/>
        <color rgb="FF63BE7B"/>
      </colorScale>
    </cfRule>
  </conditionalFormatting>
  <conditionalFormatting sqref="BD8">
    <cfRule type="colorScale" priority="48">
      <colorScale>
        <cfvo type="num" val="0.69"/>
        <cfvo type="num" val="0.8"/>
        <cfvo type="num" val="0.9"/>
        <color rgb="FFF8696B"/>
        <color rgb="FFFFEB84"/>
        <color rgb="FF63BE7B"/>
      </colorScale>
    </cfRule>
  </conditionalFormatting>
  <conditionalFormatting sqref="BJ8">
    <cfRule type="colorScale" priority="47">
      <colorScale>
        <cfvo type="num" val="0.69"/>
        <cfvo type="num" val="0.8"/>
        <cfvo type="num" val="0.9"/>
        <color rgb="FFF8696B"/>
        <color rgb="FFFFEB84"/>
        <color rgb="FF63BE7B"/>
      </colorScale>
    </cfRule>
  </conditionalFormatting>
  <conditionalFormatting sqref="AL9">
    <cfRule type="colorScale" priority="46">
      <colorScale>
        <cfvo type="num" val="0.69"/>
        <cfvo type="num" val="0.8"/>
        <cfvo type="num" val="0.9"/>
        <color rgb="FFF8696B"/>
        <color rgb="FFFFEB84"/>
        <color rgb="FF63BE7B"/>
      </colorScale>
    </cfRule>
  </conditionalFormatting>
  <conditionalFormatting sqref="AR9">
    <cfRule type="colorScale" priority="45">
      <colorScale>
        <cfvo type="num" val="0.69"/>
        <cfvo type="num" val="0.8"/>
        <cfvo type="num" val="0.9"/>
        <color rgb="FFF8696B"/>
        <color rgb="FFFFEB84"/>
        <color rgb="FF63BE7B"/>
      </colorScale>
    </cfRule>
  </conditionalFormatting>
  <conditionalFormatting sqref="AX9">
    <cfRule type="colorScale" priority="44">
      <colorScale>
        <cfvo type="num" val="0.69"/>
        <cfvo type="num" val="0.8"/>
        <cfvo type="num" val="0.9"/>
        <color rgb="FFF8696B"/>
        <color rgb="FFFFEB84"/>
        <color rgb="FF63BE7B"/>
      </colorScale>
    </cfRule>
  </conditionalFormatting>
  <conditionalFormatting sqref="BD9">
    <cfRule type="colorScale" priority="43">
      <colorScale>
        <cfvo type="num" val="0.69"/>
        <cfvo type="num" val="0.8"/>
        <cfvo type="num" val="0.9"/>
        <color rgb="FFF8696B"/>
        <color rgb="FFFFEB84"/>
        <color rgb="FF63BE7B"/>
      </colorScale>
    </cfRule>
  </conditionalFormatting>
  <conditionalFormatting sqref="BJ9">
    <cfRule type="colorScale" priority="42">
      <colorScale>
        <cfvo type="num" val="0.69"/>
        <cfvo type="num" val="0.8"/>
        <cfvo type="num" val="0.9"/>
        <color rgb="FFF8696B"/>
        <color rgb="FFFFEB84"/>
        <color rgb="FF63BE7B"/>
      </colorScale>
    </cfRule>
  </conditionalFormatting>
  <conditionalFormatting sqref="AL10">
    <cfRule type="colorScale" priority="41">
      <colorScale>
        <cfvo type="num" val="0.69"/>
        <cfvo type="num" val="0.8"/>
        <cfvo type="num" val="0.9"/>
        <color rgb="FFF8696B"/>
        <color rgb="FFFFEB84"/>
        <color rgb="FF63BE7B"/>
      </colorScale>
    </cfRule>
  </conditionalFormatting>
  <conditionalFormatting sqref="AR10">
    <cfRule type="colorScale" priority="40">
      <colorScale>
        <cfvo type="num" val="0.69"/>
        <cfvo type="num" val="0.8"/>
        <cfvo type="num" val="0.9"/>
        <color rgb="FFF8696B"/>
        <color rgb="FFFFEB84"/>
        <color rgb="FF63BE7B"/>
      </colorScale>
    </cfRule>
  </conditionalFormatting>
  <conditionalFormatting sqref="AX10">
    <cfRule type="colorScale" priority="39">
      <colorScale>
        <cfvo type="num" val="0.69"/>
        <cfvo type="num" val="0.8"/>
        <cfvo type="num" val="0.9"/>
        <color rgb="FFF8696B"/>
        <color rgb="FFFFEB84"/>
        <color rgb="FF63BE7B"/>
      </colorScale>
    </cfRule>
  </conditionalFormatting>
  <conditionalFormatting sqref="BD10">
    <cfRule type="colorScale" priority="38">
      <colorScale>
        <cfvo type="num" val="0.69"/>
        <cfvo type="num" val="0.8"/>
        <cfvo type="num" val="0.9"/>
        <color rgb="FFF8696B"/>
        <color rgb="FFFFEB84"/>
        <color rgb="FF63BE7B"/>
      </colorScale>
    </cfRule>
  </conditionalFormatting>
  <conditionalFormatting sqref="BJ10">
    <cfRule type="colorScale" priority="37">
      <colorScale>
        <cfvo type="num" val="0.69"/>
        <cfvo type="num" val="0.8"/>
        <cfvo type="num" val="0.9"/>
        <color rgb="FFF8696B"/>
        <color rgb="FFFFEB84"/>
        <color rgb="FF63BE7B"/>
      </colorScale>
    </cfRule>
  </conditionalFormatting>
  <conditionalFormatting sqref="AL11">
    <cfRule type="colorScale" priority="36">
      <colorScale>
        <cfvo type="num" val="0.69"/>
        <cfvo type="num" val="0.8"/>
        <cfvo type="num" val="0.9"/>
        <color rgb="FFF8696B"/>
        <color rgb="FFFFEB84"/>
        <color rgb="FF63BE7B"/>
      </colorScale>
    </cfRule>
  </conditionalFormatting>
  <conditionalFormatting sqref="AR11">
    <cfRule type="colorScale" priority="35">
      <colorScale>
        <cfvo type="num" val="0.69"/>
        <cfvo type="num" val="0.8"/>
        <cfvo type="num" val="0.9"/>
        <color rgb="FFF8696B"/>
        <color rgb="FFFFEB84"/>
        <color rgb="FF63BE7B"/>
      </colorScale>
    </cfRule>
  </conditionalFormatting>
  <conditionalFormatting sqref="AX11">
    <cfRule type="colorScale" priority="34">
      <colorScale>
        <cfvo type="num" val="0.69"/>
        <cfvo type="num" val="0.8"/>
        <cfvo type="num" val="0.9"/>
        <color rgb="FFF8696B"/>
        <color rgb="FFFFEB84"/>
        <color rgb="FF63BE7B"/>
      </colorScale>
    </cfRule>
  </conditionalFormatting>
  <conditionalFormatting sqref="BD11">
    <cfRule type="colorScale" priority="33">
      <colorScale>
        <cfvo type="num" val="0.69"/>
        <cfvo type="num" val="0.8"/>
        <cfvo type="num" val="0.9"/>
        <color rgb="FFF8696B"/>
        <color rgb="FFFFEB84"/>
        <color rgb="FF63BE7B"/>
      </colorScale>
    </cfRule>
  </conditionalFormatting>
  <conditionalFormatting sqref="BJ11">
    <cfRule type="colorScale" priority="32">
      <colorScale>
        <cfvo type="num" val="0.69"/>
        <cfvo type="num" val="0.8"/>
        <cfvo type="num" val="0.9"/>
        <color rgb="FFF8696B"/>
        <color rgb="FFFFEB84"/>
        <color rgb="FF63BE7B"/>
      </colorScale>
    </cfRule>
  </conditionalFormatting>
  <conditionalFormatting sqref="Z12">
    <cfRule type="colorScale" priority="31">
      <colorScale>
        <cfvo type="num" val="0.69"/>
        <cfvo type="num" val="0.8"/>
        <cfvo type="num" val="0.9"/>
        <color rgb="FFF8696B"/>
        <color rgb="FFFFEB84"/>
        <color rgb="FF63BE7B"/>
      </colorScale>
    </cfRule>
  </conditionalFormatting>
  <conditionalFormatting sqref="AR12">
    <cfRule type="colorScale" priority="30">
      <colorScale>
        <cfvo type="num" val="0.69"/>
        <cfvo type="num" val="0.8"/>
        <cfvo type="num" val="0.9"/>
        <color rgb="FFF8696B"/>
        <color rgb="FFFFEB84"/>
        <color rgb="FF63BE7B"/>
      </colorScale>
    </cfRule>
  </conditionalFormatting>
  <conditionalFormatting sqref="BD12">
    <cfRule type="colorScale" priority="29">
      <colorScale>
        <cfvo type="num" val="0.69"/>
        <cfvo type="num" val="0.8"/>
        <cfvo type="num" val="0.9"/>
        <color rgb="FFF8696B"/>
        <color rgb="FFFFEB84"/>
        <color rgb="FF63BE7B"/>
      </colorScale>
    </cfRule>
  </conditionalFormatting>
  <conditionalFormatting sqref="AL13">
    <cfRule type="colorScale" priority="28">
      <colorScale>
        <cfvo type="num" val="0.69"/>
        <cfvo type="num" val="0.8"/>
        <cfvo type="num" val="0.9"/>
        <color rgb="FFF8696B"/>
        <color rgb="FFFFEB84"/>
        <color rgb="FF63BE7B"/>
      </colorScale>
    </cfRule>
  </conditionalFormatting>
  <conditionalFormatting sqref="AR13">
    <cfRule type="colorScale" priority="27">
      <colorScale>
        <cfvo type="num" val="0.69"/>
        <cfvo type="num" val="0.8"/>
        <cfvo type="num" val="0.9"/>
        <color rgb="FFF8696B"/>
        <color rgb="FFFFEB84"/>
        <color rgb="FF63BE7B"/>
      </colorScale>
    </cfRule>
  </conditionalFormatting>
  <conditionalFormatting sqref="AX13">
    <cfRule type="colorScale" priority="26">
      <colorScale>
        <cfvo type="num" val="0.69"/>
        <cfvo type="num" val="0.8"/>
        <cfvo type="num" val="0.9"/>
        <color rgb="FFF8696B"/>
        <color rgb="FFFFEB84"/>
        <color rgb="FF63BE7B"/>
      </colorScale>
    </cfRule>
  </conditionalFormatting>
  <conditionalFormatting sqref="BD13">
    <cfRule type="colorScale" priority="25">
      <colorScale>
        <cfvo type="num" val="0.69"/>
        <cfvo type="num" val="0.8"/>
        <cfvo type="num" val="0.9"/>
        <color rgb="FFF8696B"/>
        <color rgb="FFFFEB84"/>
        <color rgb="FF63BE7B"/>
      </colorScale>
    </cfRule>
  </conditionalFormatting>
  <conditionalFormatting sqref="BJ13">
    <cfRule type="colorScale" priority="24">
      <colorScale>
        <cfvo type="num" val="0.69"/>
        <cfvo type="num" val="0.8"/>
        <cfvo type="num" val="0.9"/>
        <color rgb="FFF8696B"/>
        <color rgb="FFFFEB84"/>
        <color rgb="FF63BE7B"/>
      </colorScale>
    </cfRule>
  </conditionalFormatting>
  <conditionalFormatting sqref="AM12">
    <cfRule type="colorScale" priority="23">
      <colorScale>
        <cfvo type="num" val="0.69"/>
        <cfvo type="num" val="0.8"/>
        <cfvo type="num" val="0.9"/>
        <color rgb="FFF8696B"/>
        <color rgb="FFFFEB84"/>
        <color rgb="FF63BE7B"/>
      </colorScale>
    </cfRule>
  </conditionalFormatting>
  <conditionalFormatting sqref="AY12">
    <cfRule type="colorScale" priority="22">
      <colorScale>
        <cfvo type="num" val="0.69"/>
        <cfvo type="num" val="0.8"/>
        <cfvo type="num" val="0.9"/>
        <color rgb="FFF8696B"/>
        <color rgb="FFFFEB84"/>
        <color rgb="FF63BE7B"/>
      </colorScale>
    </cfRule>
  </conditionalFormatting>
  <conditionalFormatting sqref="BK12">
    <cfRule type="colorScale" priority="21">
      <colorScale>
        <cfvo type="num" val="0.69"/>
        <cfvo type="num" val="0.8"/>
        <cfvo type="num" val="0.9"/>
        <color rgb="FFF8696B"/>
        <color rgb="FFFFEB84"/>
        <color rgb="FF63BE7B"/>
      </colorScale>
    </cfRule>
  </conditionalFormatting>
  <conditionalFormatting sqref="Z17:Z18">
    <cfRule type="colorScale" priority="20">
      <colorScale>
        <cfvo type="num" val="0.69"/>
        <cfvo type="num" val="0.8"/>
        <cfvo type="num" val="0.9"/>
        <color rgb="FFF8696B"/>
        <color rgb="FFFFEB84"/>
        <color rgb="FF63BE7B"/>
      </colorScale>
    </cfRule>
  </conditionalFormatting>
  <conditionalFormatting sqref="Z11">
    <cfRule type="colorScale" priority="19">
      <colorScale>
        <cfvo type="num" val="0.69"/>
        <cfvo type="num" val="0.8"/>
        <cfvo type="num" val="0.9"/>
        <color rgb="FFF8696B"/>
        <color rgb="FFFFEB84"/>
        <color rgb="FF63BE7B"/>
      </colorScale>
    </cfRule>
  </conditionalFormatting>
  <conditionalFormatting sqref="AF12">
    <cfRule type="colorScale" priority="18">
      <colorScale>
        <cfvo type="num" val="0.69"/>
        <cfvo type="num" val="0.8"/>
        <cfvo type="num" val="0.9"/>
        <color rgb="FFF8696B"/>
        <color rgb="FFFFEB84"/>
        <color rgb="FF63BE7B"/>
      </colorScale>
    </cfRule>
  </conditionalFormatting>
  <conditionalFormatting sqref="AF13">
    <cfRule type="colorScale" priority="17">
      <colorScale>
        <cfvo type="num" val="0.69"/>
        <cfvo type="num" val="0.8"/>
        <cfvo type="num" val="0.9"/>
        <color rgb="FFF8696B"/>
        <color rgb="FFFFEB84"/>
        <color rgb="FF63BE7B"/>
      </colorScale>
    </cfRule>
  </conditionalFormatting>
  <conditionalFormatting sqref="AF15">
    <cfRule type="colorScale" priority="16">
      <colorScale>
        <cfvo type="num" val="0.69"/>
        <cfvo type="num" val="0.8"/>
        <cfvo type="num" val="0.9"/>
        <color rgb="FFF8696B"/>
        <color rgb="FFFFEB84"/>
        <color rgb="FF63BE7B"/>
      </colorScale>
    </cfRule>
  </conditionalFormatting>
  <conditionalFormatting sqref="AF16:AF17">
    <cfRule type="colorScale" priority="15">
      <colorScale>
        <cfvo type="num" val="0.69"/>
        <cfvo type="num" val="0.8"/>
        <cfvo type="num" val="0.9"/>
        <color rgb="FFF8696B"/>
        <color rgb="FFFFEB84"/>
        <color rgb="FF63BE7B"/>
      </colorScale>
    </cfRule>
  </conditionalFormatting>
  <conditionalFormatting sqref="AF8">
    <cfRule type="colorScale" priority="14">
      <colorScale>
        <cfvo type="num" val="0.69"/>
        <cfvo type="num" val="0.8"/>
        <cfvo type="num" val="0.9"/>
        <color rgb="FFF8696B"/>
        <color rgb="FFFFEB84"/>
        <color rgb="FF63BE7B"/>
      </colorScale>
    </cfRule>
  </conditionalFormatting>
  <conditionalFormatting sqref="AF11">
    <cfRule type="colorScale" priority="13">
      <colorScale>
        <cfvo type="num" val="0.69"/>
        <cfvo type="num" val="0.8"/>
        <cfvo type="num" val="0.9"/>
        <color rgb="FFF8696B"/>
        <color rgb="FFFFEB84"/>
        <color rgb="FF63BE7B"/>
      </colorScale>
    </cfRule>
  </conditionalFormatting>
  <conditionalFormatting sqref="AF9">
    <cfRule type="colorScale" priority="12">
      <colorScale>
        <cfvo type="num" val="0.69"/>
        <cfvo type="num" val="0.8"/>
        <cfvo type="num" val="0.9"/>
        <color rgb="FFF8696B"/>
        <color rgb="FFFFEB84"/>
        <color rgb="FF63BE7B"/>
      </colorScale>
    </cfRule>
  </conditionalFormatting>
  <conditionalFormatting sqref="AF10">
    <cfRule type="colorScale" priority="11">
      <colorScale>
        <cfvo type="num" val="0.69"/>
        <cfvo type="num" val="0.8"/>
        <cfvo type="num" val="0.9"/>
        <color rgb="FFF8696B"/>
        <color rgb="FFFFEB84"/>
        <color rgb="FF63BE7B"/>
      </colorScale>
    </cfRule>
  </conditionalFormatting>
  <conditionalFormatting sqref="AF14">
    <cfRule type="colorScale" priority="10">
      <colorScale>
        <cfvo type="num" val="0.69"/>
        <cfvo type="num" val="0.8"/>
        <cfvo type="num" val="0.9"/>
        <color rgb="FFF8696B"/>
        <color rgb="FFFFEB84"/>
        <color rgb="FF63BE7B"/>
      </colorScale>
    </cfRule>
  </conditionalFormatting>
  <conditionalFormatting sqref="Z8">
    <cfRule type="colorScale" priority="9">
      <colorScale>
        <cfvo type="num" val="0.69"/>
        <cfvo type="num" val="0.8"/>
        <cfvo type="num" val="0.9"/>
        <color rgb="FFF8696B"/>
        <color rgb="FFFFEB84"/>
        <color rgb="FF63BE7B"/>
      </colorScale>
    </cfRule>
  </conditionalFormatting>
  <conditionalFormatting sqref="Z8">
    <cfRule type="colorScale" priority="8">
      <colorScale>
        <cfvo type="num" val="0.69"/>
        <cfvo type="num" val="0.8"/>
        <cfvo type="num" val="0.9"/>
        <color rgb="FFF8696B"/>
        <color rgb="FFFFEB84"/>
        <color rgb="FF63BE7B"/>
      </colorScale>
    </cfRule>
  </conditionalFormatting>
  <conditionalFormatting sqref="Z8">
    <cfRule type="colorScale" priority="7">
      <colorScale>
        <cfvo type="num" val="0.69"/>
        <cfvo type="num" val="0.8"/>
        <cfvo type="num" val="0.9"/>
        <color rgb="FFF8696B"/>
        <color rgb="FFFFEB84"/>
        <color rgb="FF63BE7B"/>
      </colorScale>
    </cfRule>
  </conditionalFormatting>
  <conditionalFormatting sqref="Z15">
    <cfRule type="colorScale" priority="6">
      <colorScale>
        <cfvo type="num" val="0.69"/>
        <cfvo type="num" val="0.8"/>
        <cfvo type="num" val="0.9"/>
        <color rgb="FFF8696B"/>
        <color rgb="FFFFEB84"/>
        <color rgb="FF63BE7B"/>
      </colorScale>
    </cfRule>
  </conditionalFormatting>
  <conditionalFormatting sqref="Z13">
    <cfRule type="colorScale" priority="5">
      <colorScale>
        <cfvo type="num" val="0.69"/>
        <cfvo type="num" val="0.8"/>
        <cfvo type="num" val="0.9"/>
        <color rgb="FFF8696B"/>
        <color rgb="FFFFEB84"/>
        <color rgb="FF63BE7B"/>
      </colorScale>
    </cfRule>
  </conditionalFormatting>
  <conditionalFormatting sqref="Z14">
    <cfRule type="colorScale" priority="4">
      <colorScale>
        <cfvo type="num" val="0.69"/>
        <cfvo type="num" val="0.8"/>
        <cfvo type="num" val="0.9"/>
        <color rgb="FFF8696B"/>
        <color rgb="FFFFEB84"/>
        <color rgb="FF63BE7B"/>
      </colorScale>
    </cfRule>
  </conditionalFormatting>
  <conditionalFormatting sqref="Z9">
    <cfRule type="colorScale" priority="3">
      <colorScale>
        <cfvo type="num" val="0.69"/>
        <cfvo type="num" val="0.8"/>
        <cfvo type="num" val="0.9"/>
        <color rgb="FFF8696B"/>
        <color rgb="FFFFEB84"/>
        <color rgb="FF63BE7B"/>
      </colorScale>
    </cfRule>
  </conditionalFormatting>
  <conditionalFormatting sqref="Z10">
    <cfRule type="colorScale" priority="2">
      <colorScale>
        <cfvo type="num" val="0.69"/>
        <cfvo type="num" val="0.8"/>
        <cfvo type="num" val="0.9"/>
        <color rgb="FFF8696B"/>
        <color rgb="FFFFEB84"/>
        <color rgb="FF63BE7B"/>
      </colorScale>
    </cfRule>
  </conditionalFormatting>
  <conditionalFormatting sqref="Z16">
    <cfRule type="colorScale" priority="1">
      <colorScale>
        <cfvo type="num" val="0.69"/>
        <cfvo type="num" val="0.8"/>
        <cfvo type="num" val="0.9"/>
        <color rgb="FFF8696B"/>
        <color rgb="FFFFEB84"/>
        <color rgb="FF63BE7B"/>
      </colorScale>
    </cfRule>
  </conditionalFormatting>
  <printOptions horizontalCentered="1"/>
  <pageMargins left="0.70866141732283472" right="0.70866141732283472" top="0" bottom="0" header="0.31496062992125984" footer="0.31496062992125984"/>
  <pageSetup paperSize="5" scale="33" fitToHeight="4" orientation="landscape" r:id="rId1"/>
  <headerFooter alignWithMargins="0"/>
  <colBreaks count="1" manualBreakCount="1">
    <brk id="27" max="18" man="1"/>
  </col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W36"/>
  <sheetViews>
    <sheetView workbookViewId="0">
      <selection activeCell="A2" sqref="A2:B2"/>
    </sheetView>
  </sheetViews>
  <sheetFormatPr baseColWidth="10" defaultRowHeight="12.75"/>
  <cols>
    <col min="1" max="1" width="3.5703125" style="15" customWidth="1"/>
    <col min="2" max="2" width="14.7109375" style="15" customWidth="1"/>
    <col min="3" max="3" width="4.28515625" style="2" customWidth="1"/>
    <col min="4" max="4" width="18.5703125" style="15" customWidth="1"/>
    <col min="5" max="5" width="13.28515625" style="15" customWidth="1"/>
    <col min="6" max="6" width="15" style="15" customWidth="1"/>
    <col min="7" max="7" width="9.28515625" style="15" customWidth="1"/>
    <col min="8" max="8" width="18" style="15" customWidth="1"/>
    <col min="9" max="9" width="13" style="15" customWidth="1"/>
    <col min="10" max="10" width="10" style="15" customWidth="1"/>
    <col min="11" max="21" width="6" style="15" bestFit="1" customWidth="1"/>
    <col min="22" max="22" width="5.85546875" style="15" bestFit="1" customWidth="1"/>
    <col min="23" max="23" width="13.28515625" style="15" customWidth="1"/>
    <col min="24" max="24" width="9.28515625" style="15" hidden="1" customWidth="1"/>
    <col min="25" max="25" width="11" style="15" hidden="1" customWidth="1"/>
    <col min="26" max="27" width="8.140625" style="15" hidden="1" customWidth="1"/>
    <col min="28" max="28" width="11.5703125" style="15" hidden="1" customWidth="1"/>
    <col min="29" max="29" width="55.42578125" style="15" hidden="1" customWidth="1"/>
    <col min="30" max="30" width="10" style="15" hidden="1" customWidth="1"/>
    <col min="31" max="31" width="11" style="15" hidden="1" customWidth="1"/>
    <col min="32" max="33" width="8.140625" style="15" hidden="1" customWidth="1"/>
    <col min="34" max="34" width="11.5703125" style="15" hidden="1" customWidth="1"/>
    <col min="35" max="35" width="55.42578125" style="15" hidden="1" customWidth="1"/>
    <col min="36" max="36" width="11.28515625" style="15" hidden="1" customWidth="1"/>
    <col min="37" max="37" width="11.5703125" style="15" hidden="1" customWidth="1"/>
    <col min="38" max="39" width="8.140625" style="15" hidden="1" customWidth="1"/>
    <col min="40" max="40" width="11.5703125" style="15" hidden="1" customWidth="1"/>
    <col min="41" max="41" width="55.42578125" style="15" hidden="1" customWidth="1"/>
    <col min="42" max="42" width="13.28515625" style="15" hidden="1" customWidth="1"/>
    <col min="43" max="43" width="13" style="15" hidden="1" customWidth="1"/>
    <col min="44" max="45" width="8.140625" style="15" hidden="1" customWidth="1"/>
    <col min="46" max="46" width="11.5703125" style="15" hidden="1" customWidth="1"/>
    <col min="47" max="47" width="55.42578125" style="15" hidden="1" customWidth="1"/>
    <col min="48" max="48" width="10.7109375" style="15" hidden="1" customWidth="1"/>
    <col min="49" max="49" width="11" style="15" hidden="1" customWidth="1"/>
    <col min="50" max="51" width="8.140625" style="15" hidden="1" customWidth="1"/>
    <col min="52" max="52" width="11.5703125" style="15" hidden="1" customWidth="1"/>
    <col min="53" max="53" width="55.42578125" style="15" hidden="1" customWidth="1"/>
    <col min="54" max="54" width="13.28515625" style="15" hidden="1" customWidth="1"/>
    <col min="55" max="55" width="12.140625" style="15" hidden="1" customWidth="1"/>
    <col min="56" max="57" width="8.140625" style="15" hidden="1" customWidth="1"/>
    <col min="58" max="58" width="11.5703125" style="15" hidden="1" customWidth="1"/>
    <col min="59" max="59" width="55.42578125" style="15" hidden="1" customWidth="1"/>
    <col min="60" max="60" width="13.28515625" style="15" hidden="1" customWidth="1"/>
    <col min="61" max="61" width="13.5703125" style="15" hidden="1" customWidth="1"/>
    <col min="62" max="63" width="8.140625" style="15" hidden="1" customWidth="1"/>
    <col min="64" max="64" width="11.5703125" style="15" hidden="1" customWidth="1"/>
    <col min="65" max="65" width="55.42578125" style="15" hidden="1" customWidth="1"/>
    <col min="66" max="66" width="12.140625" style="15" hidden="1" customWidth="1"/>
    <col min="67" max="67" width="12.28515625" style="15" hidden="1" customWidth="1"/>
    <col min="68" max="69" width="8.140625" style="15" hidden="1" customWidth="1"/>
    <col min="70" max="70" width="11.5703125" style="15" hidden="1" customWidth="1"/>
    <col min="71" max="71" width="55.42578125" style="15" hidden="1" customWidth="1"/>
    <col min="72" max="73" width="13.5703125" style="15" hidden="1" customWidth="1"/>
    <col min="74" max="75" width="8.140625" style="15" hidden="1" customWidth="1"/>
    <col min="76" max="76" width="11.5703125" style="15" hidden="1" customWidth="1"/>
    <col min="77" max="77" width="55.42578125" style="15" hidden="1" customWidth="1"/>
    <col min="78" max="78" width="12.7109375" style="15" hidden="1" customWidth="1"/>
    <col min="79" max="79" width="13.42578125" style="15" hidden="1" customWidth="1"/>
    <col min="80" max="81" width="8.140625" style="15" hidden="1" customWidth="1"/>
    <col min="82" max="82" width="12.140625" style="15" hidden="1" customWidth="1"/>
    <col min="83" max="83" width="4.7109375" style="15" hidden="1" customWidth="1"/>
    <col min="84" max="84" width="13.140625" style="15" hidden="1" customWidth="1"/>
    <col min="85" max="85" width="13.85546875" style="15" hidden="1" customWidth="1"/>
    <col min="86" max="87" width="8.140625" style="15" hidden="1" customWidth="1"/>
    <col min="88" max="88" width="11.5703125" style="15" hidden="1" customWidth="1"/>
    <col min="89" max="89" width="55.42578125" style="15" hidden="1" customWidth="1"/>
    <col min="90" max="90" width="9.28515625" style="15" bestFit="1" customWidth="1"/>
    <col min="91" max="91" width="11" style="15" customWidth="1"/>
    <col min="92" max="93" width="8.140625" style="15" customWidth="1"/>
    <col min="94" max="94" width="11.5703125" style="15" customWidth="1"/>
    <col min="95" max="95" width="55.42578125" style="15" customWidth="1"/>
    <col min="96" max="96" width="14.140625" style="15" customWidth="1"/>
    <col min="97" max="97" width="12.140625" style="15" bestFit="1" customWidth="1"/>
    <col min="98" max="98" width="8.140625" style="15" customWidth="1"/>
    <col min="99" max="99" width="9.140625" style="15" customWidth="1"/>
    <col min="100" max="100" width="12.85546875" style="15" customWidth="1"/>
    <col min="101" max="101" width="55.42578125" style="15" customWidth="1"/>
    <col min="102" max="16384" width="11.42578125" style="15"/>
  </cols>
  <sheetData>
    <row r="1" spans="1:101"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c r="W1" s="573"/>
    </row>
    <row r="2" spans="1:101"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c r="W2" s="575"/>
    </row>
    <row r="3" spans="1:101" ht="5.25" customHeight="1">
      <c r="A3" s="893"/>
      <c r="B3" s="128"/>
      <c r="C3" s="679"/>
      <c r="D3" s="128"/>
      <c r="E3" s="128"/>
      <c r="F3" s="128"/>
      <c r="G3" s="128"/>
      <c r="H3" s="128"/>
      <c r="I3" s="128"/>
      <c r="J3" s="128"/>
      <c r="K3" s="128"/>
      <c r="L3" s="128"/>
      <c r="M3" s="128"/>
      <c r="N3" s="128"/>
      <c r="O3" s="128"/>
      <c r="P3" s="128"/>
      <c r="Q3" s="128"/>
      <c r="R3" s="128"/>
      <c r="S3" s="128"/>
      <c r="T3" s="128"/>
      <c r="U3" s="128"/>
      <c r="V3" s="128"/>
      <c r="W3" s="683"/>
    </row>
    <row r="4" spans="1:101" ht="19.5" customHeight="1">
      <c r="A4" s="893"/>
      <c r="B4" s="49" t="s">
        <v>18</v>
      </c>
      <c r="C4" s="1979" t="s">
        <v>3407</v>
      </c>
      <c r="D4" s="1979"/>
      <c r="E4" s="1979"/>
      <c r="F4" s="1979"/>
      <c r="G4" s="1979"/>
      <c r="H4" s="1979"/>
      <c r="I4" s="1979"/>
      <c r="J4" s="1979"/>
      <c r="K4" s="1996" t="s">
        <v>21</v>
      </c>
      <c r="L4" s="1996"/>
      <c r="M4" s="1996"/>
      <c r="N4" s="1999">
        <v>2014</v>
      </c>
      <c r="O4" s="2000"/>
      <c r="P4" s="2000"/>
      <c r="Q4" s="2000"/>
      <c r="R4" s="2000"/>
      <c r="S4" s="2000"/>
      <c r="T4" s="2000"/>
      <c r="U4" s="2000"/>
      <c r="V4" s="2001"/>
      <c r="W4" s="683"/>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6" customHeight="1">
      <c r="A5" s="893"/>
      <c r="B5" s="128"/>
      <c r="C5" s="44"/>
      <c r="D5" s="128"/>
      <c r="E5" s="128"/>
      <c r="F5" s="128"/>
      <c r="G5" s="128"/>
      <c r="H5" s="128"/>
      <c r="I5" s="128"/>
      <c r="J5" s="128"/>
      <c r="K5" s="128"/>
      <c r="L5" s="128"/>
      <c r="M5" s="128"/>
      <c r="N5" s="128"/>
      <c r="O5" s="128"/>
      <c r="P5" s="128"/>
      <c r="Q5" s="128"/>
      <c r="R5" s="128"/>
      <c r="S5" s="128"/>
      <c r="T5" s="128"/>
      <c r="U5" s="128"/>
      <c r="V5" s="128"/>
      <c r="W5" s="683"/>
    </row>
    <row r="6" spans="1:101" s="1140" customFormat="1" ht="13.5" customHeight="1">
      <c r="A6" s="1428"/>
      <c r="B6" s="2007" t="s">
        <v>26</v>
      </c>
      <c r="C6" s="2007" t="s">
        <v>10</v>
      </c>
      <c r="D6" s="2007" t="s">
        <v>23</v>
      </c>
      <c r="E6" s="2007" t="s">
        <v>19</v>
      </c>
      <c r="F6" s="2007" t="s">
        <v>11</v>
      </c>
      <c r="G6" s="2007" t="s">
        <v>15</v>
      </c>
      <c r="H6" s="2007" t="s">
        <v>12</v>
      </c>
      <c r="I6" s="2007" t="s">
        <v>20</v>
      </c>
      <c r="J6" s="2007" t="s">
        <v>16</v>
      </c>
      <c r="K6" s="2007" t="s">
        <v>24</v>
      </c>
      <c r="L6" s="2007"/>
      <c r="M6" s="2007"/>
      <c r="N6" s="2007"/>
      <c r="O6" s="2007"/>
      <c r="P6" s="2007"/>
      <c r="Q6" s="2007"/>
      <c r="R6" s="2007"/>
      <c r="S6" s="2007"/>
      <c r="T6" s="2007"/>
      <c r="U6" s="2007"/>
      <c r="V6" s="2007"/>
      <c r="W6" s="1847"/>
      <c r="X6" s="2732" t="s">
        <v>37</v>
      </c>
      <c r="Y6" s="2722"/>
      <c r="Z6" s="2722"/>
      <c r="AA6" s="2722"/>
      <c r="AB6" s="2722"/>
      <c r="AC6" s="2722"/>
      <c r="AD6" s="2715" t="s">
        <v>38</v>
      </c>
      <c r="AE6" s="2716"/>
      <c r="AF6" s="2716"/>
      <c r="AG6" s="2716"/>
      <c r="AH6" s="2716"/>
      <c r="AI6" s="2716"/>
      <c r="AJ6" s="2717" t="s">
        <v>39</v>
      </c>
      <c r="AK6" s="2718"/>
      <c r="AL6" s="2718"/>
      <c r="AM6" s="2718"/>
      <c r="AN6" s="2718"/>
      <c r="AO6" s="2718"/>
      <c r="AP6" s="2719" t="s">
        <v>40</v>
      </c>
      <c r="AQ6" s="2720"/>
      <c r="AR6" s="2720"/>
      <c r="AS6" s="2720"/>
      <c r="AT6" s="2720"/>
      <c r="AU6" s="2720"/>
      <c r="AV6" s="2721" t="s">
        <v>41</v>
      </c>
      <c r="AW6" s="2722"/>
      <c r="AX6" s="2722"/>
      <c r="AY6" s="2722"/>
      <c r="AZ6" s="2722"/>
      <c r="BA6" s="2722"/>
      <c r="BB6" s="2725" t="s">
        <v>42</v>
      </c>
      <c r="BC6" s="2726"/>
      <c r="BD6" s="2726"/>
      <c r="BE6" s="2726"/>
      <c r="BF6" s="2726"/>
      <c r="BG6" s="2726"/>
      <c r="BH6" s="2727" t="s">
        <v>43</v>
      </c>
      <c r="BI6" s="2728"/>
      <c r="BJ6" s="2728"/>
      <c r="BK6" s="2728"/>
      <c r="BL6" s="2728"/>
      <c r="BM6" s="2728"/>
      <c r="BN6" s="2729" t="s">
        <v>44</v>
      </c>
      <c r="BO6" s="2730"/>
      <c r="BP6" s="2730"/>
      <c r="BQ6" s="2730"/>
      <c r="BR6" s="2730"/>
      <c r="BS6" s="2730"/>
      <c r="BT6" s="2715" t="s">
        <v>45</v>
      </c>
      <c r="BU6" s="2716"/>
      <c r="BV6" s="2716"/>
      <c r="BW6" s="2716"/>
      <c r="BX6" s="2716"/>
      <c r="BY6" s="2716"/>
      <c r="BZ6" s="2717" t="s">
        <v>46</v>
      </c>
      <c r="CA6" s="2718"/>
      <c r="CB6" s="2718"/>
      <c r="CC6" s="2718"/>
      <c r="CD6" s="2718"/>
      <c r="CE6" s="2718"/>
      <c r="CF6" s="2719" t="s">
        <v>47</v>
      </c>
      <c r="CG6" s="2720"/>
      <c r="CH6" s="2720"/>
      <c r="CI6" s="2720"/>
      <c r="CJ6" s="2720"/>
      <c r="CK6" s="2720"/>
      <c r="CL6" s="2721" t="s">
        <v>87</v>
      </c>
      <c r="CM6" s="2722"/>
      <c r="CN6" s="2722"/>
      <c r="CO6" s="2722"/>
      <c r="CP6" s="2722"/>
      <c r="CQ6" s="2722"/>
      <c r="CR6" s="2723" t="s">
        <v>51</v>
      </c>
      <c r="CS6" s="2724"/>
      <c r="CT6" s="2724"/>
      <c r="CU6" s="2724"/>
      <c r="CV6" s="2724"/>
      <c r="CW6" s="2724"/>
    </row>
    <row r="7" spans="1:101" s="1140" customFormat="1" ht="30.75" customHeight="1">
      <c r="A7" s="1428"/>
      <c r="B7" s="2007"/>
      <c r="C7" s="2007"/>
      <c r="D7" s="2007"/>
      <c r="E7" s="2007"/>
      <c r="F7" s="2007"/>
      <c r="G7" s="2007"/>
      <c r="H7" s="2731"/>
      <c r="I7" s="2007"/>
      <c r="J7" s="2007"/>
      <c r="K7" s="47" t="s">
        <v>13</v>
      </c>
      <c r="L7" s="47" t="s">
        <v>0</v>
      </c>
      <c r="M7" s="47" t="s">
        <v>1</v>
      </c>
      <c r="N7" s="47" t="s">
        <v>14</v>
      </c>
      <c r="O7" s="47" t="s">
        <v>2</v>
      </c>
      <c r="P7" s="47" t="s">
        <v>3</v>
      </c>
      <c r="Q7" s="47" t="s">
        <v>4</v>
      </c>
      <c r="R7" s="47" t="s">
        <v>5</v>
      </c>
      <c r="S7" s="47" t="s">
        <v>6</v>
      </c>
      <c r="T7" s="47" t="s">
        <v>7</v>
      </c>
      <c r="U7" s="47" t="s">
        <v>8</v>
      </c>
      <c r="V7" s="47" t="s">
        <v>9</v>
      </c>
      <c r="W7" s="1683" t="s">
        <v>65</v>
      </c>
      <c r="X7" s="1402" t="s">
        <v>31</v>
      </c>
      <c r="Y7" s="56" t="s">
        <v>32</v>
      </c>
      <c r="Z7" s="56" t="s">
        <v>33</v>
      </c>
      <c r="AA7" s="56" t="s">
        <v>34</v>
      </c>
      <c r="AB7" s="56" t="s">
        <v>35</v>
      </c>
      <c r="AC7" s="56" t="s">
        <v>36</v>
      </c>
      <c r="AD7" s="56" t="s">
        <v>31</v>
      </c>
      <c r="AE7" s="56" t="s">
        <v>32</v>
      </c>
      <c r="AF7" s="56" t="s">
        <v>33</v>
      </c>
      <c r="AG7" s="56" t="s">
        <v>34</v>
      </c>
      <c r="AH7" s="56" t="s">
        <v>35</v>
      </c>
      <c r="AI7" s="56" t="s">
        <v>36</v>
      </c>
      <c r="AJ7" s="56" t="s">
        <v>31</v>
      </c>
      <c r="AK7" s="56" t="s">
        <v>32</v>
      </c>
      <c r="AL7" s="56" t="s">
        <v>33</v>
      </c>
      <c r="AM7" s="56" t="s">
        <v>34</v>
      </c>
      <c r="AN7" s="56" t="s">
        <v>35</v>
      </c>
      <c r="AO7" s="56" t="s">
        <v>36</v>
      </c>
      <c r="AP7" s="56" t="s">
        <v>31</v>
      </c>
      <c r="AQ7" s="56" t="s">
        <v>32</v>
      </c>
      <c r="AR7" s="56" t="s">
        <v>33</v>
      </c>
      <c r="AS7" s="56" t="s">
        <v>34</v>
      </c>
      <c r="AT7" s="56" t="s">
        <v>35</v>
      </c>
      <c r="AU7" s="56" t="s">
        <v>36</v>
      </c>
      <c r="AV7" s="56" t="s">
        <v>31</v>
      </c>
      <c r="AW7" s="56" t="s">
        <v>32</v>
      </c>
      <c r="AX7" s="56" t="s">
        <v>33</v>
      </c>
      <c r="AY7" s="56" t="s">
        <v>34</v>
      </c>
      <c r="AZ7" s="56" t="s">
        <v>35</v>
      </c>
      <c r="BA7" s="56" t="s">
        <v>36</v>
      </c>
      <c r="BB7" s="56" t="s">
        <v>31</v>
      </c>
      <c r="BC7" s="56" t="s">
        <v>32</v>
      </c>
      <c r="BD7" s="56" t="s">
        <v>33</v>
      </c>
      <c r="BE7" s="56" t="s">
        <v>34</v>
      </c>
      <c r="BF7" s="56" t="s">
        <v>35</v>
      </c>
      <c r="BG7" s="56" t="s">
        <v>36</v>
      </c>
      <c r="BH7" s="56" t="s">
        <v>31</v>
      </c>
      <c r="BI7" s="56" t="s">
        <v>32</v>
      </c>
      <c r="BJ7" s="56" t="s">
        <v>33</v>
      </c>
      <c r="BK7" s="56" t="s">
        <v>34</v>
      </c>
      <c r="BL7" s="56" t="s">
        <v>35</v>
      </c>
      <c r="BM7" s="56" t="s">
        <v>36</v>
      </c>
      <c r="BN7" s="56" t="s">
        <v>31</v>
      </c>
      <c r="BO7" s="56" t="s">
        <v>32</v>
      </c>
      <c r="BP7" s="56" t="s">
        <v>33</v>
      </c>
      <c r="BQ7" s="56" t="s">
        <v>34</v>
      </c>
      <c r="BR7" s="56" t="s">
        <v>35</v>
      </c>
      <c r="BS7" s="56" t="s">
        <v>36</v>
      </c>
      <c r="BT7" s="56" t="s">
        <v>31</v>
      </c>
      <c r="BU7" s="56" t="s">
        <v>32</v>
      </c>
      <c r="BV7" s="56" t="s">
        <v>33</v>
      </c>
      <c r="BW7" s="56" t="s">
        <v>34</v>
      </c>
      <c r="BX7" s="56" t="s">
        <v>35</v>
      </c>
      <c r="BY7" s="56" t="s">
        <v>36</v>
      </c>
      <c r="BZ7" s="56" t="s">
        <v>31</v>
      </c>
      <c r="CA7" s="56" t="s">
        <v>32</v>
      </c>
      <c r="CB7" s="56" t="s">
        <v>33</v>
      </c>
      <c r="CC7" s="56" t="s">
        <v>34</v>
      </c>
      <c r="CD7" s="56" t="s">
        <v>35</v>
      </c>
      <c r="CE7" s="56" t="s">
        <v>36</v>
      </c>
      <c r="CF7" s="56" t="s">
        <v>31</v>
      </c>
      <c r="CG7" s="56" t="s">
        <v>32</v>
      </c>
      <c r="CH7" s="56" t="s">
        <v>33</v>
      </c>
      <c r="CI7" s="56" t="s">
        <v>34</v>
      </c>
      <c r="CJ7" s="56" t="s">
        <v>35</v>
      </c>
      <c r="CK7" s="56" t="s">
        <v>36</v>
      </c>
      <c r="CL7" s="56" t="s">
        <v>31</v>
      </c>
      <c r="CM7" s="56" t="s">
        <v>32</v>
      </c>
      <c r="CN7" s="56" t="s">
        <v>33</v>
      </c>
      <c r="CO7" s="56" t="s">
        <v>34</v>
      </c>
      <c r="CP7" s="56" t="s">
        <v>35</v>
      </c>
      <c r="CQ7" s="56" t="s">
        <v>36</v>
      </c>
      <c r="CR7" s="56" t="s">
        <v>31</v>
      </c>
      <c r="CS7" s="56" t="s">
        <v>32</v>
      </c>
      <c r="CT7" s="56" t="s">
        <v>33</v>
      </c>
      <c r="CU7" s="56" t="s">
        <v>34</v>
      </c>
      <c r="CV7" s="56" t="s">
        <v>35</v>
      </c>
      <c r="CW7" s="56" t="s">
        <v>36</v>
      </c>
    </row>
    <row r="8" spans="1:101" s="1140" customFormat="1" ht="107.25" customHeight="1">
      <c r="A8" s="1428"/>
      <c r="B8" s="8" t="s">
        <v>3408</v>
      </c>
      <c r="C8" s="8"/>
      <c r="D8" s="8" t="s">
        <v>3409</v>
      </c>
      <c r="E8" s="8" t="s">
        <v>3410</v>
      </c>
      <c r="F8" s="8" t="s">
        <v>3411</v>
      </c>
      <c r="G8" s="8" t="s">
        <v>53</v>
      </c>
      <c r="H8" s="8" t="s">
        <v>3412</v>
      </c>
      <c r="I8" s="8" t="s">
        <v>3413</v>
      </c>
      <c r="J8" s="8" t="s">
        <v>345</v>
      </c>
      <c r="K8" s="12"/>
      <c r="L8" s="12"/>
      <c r="M8" s="12">
        <v>1</v>
      </c>
      <c r="N8" s="12"/>
      <c r="O8" s="12"/>
      <c r="P8" s="12">
        <v>1</v>
      </c>
      <c r="Q8" s="12"/>
      <c r="R8" s="12"/>
      <c r="S8" s="12">
        <v>1</v>
      </c>
      <c r="T8" s="12"/>
      <c r="U8" s="12"/>
      <c r="V8" s="12">
        <v>1</v>
      </c>
      <c r="W8" s="8" t="s">
        <v>3414</v>
      </c>
      <c r="X8" s="1848">
        <v>0</v>
      </c>
      <c r="Y8" s="1849">
        <v>0</v>
      </c>
      <c r="Z8" s="1091" t="str">
        <f t="shared" ref="Z8:Z22" si="0">IF(Y8=0," ",X8/Y8)</f>
        <v xml:space="preserve"> </v>
      </c>
      <c r="AA8" s="309">
        <v>0</v>
      </c>
      <c r="AB8" s="1092" t="str">
        <f t="shared" ref="AB8:AB22" si="1">IF(Y8=0," ",Z8/AA8)</f>
        <v xml:space="preserve"> </v>
      </c>
      <c r="AC8" s="1122" t="s">
        <v>3415</v>
      </c>
      <c r="AD8" s="1849">
        <v>0</v>
      </c>
      <c r="AE8" s="1849">
        <v>0</v>
      </c>
      <c r="AF8" s="1091" t="str">
        <f>IF(AE8=0," ",AD8/AE8)</f>
        <v xml:space="preserve"> </v>
      </c>
      <c r="AG8" s="309">
        <v>0</v>
      </c>
      <c r="AH8" s="1092" t="str">
        <f t="shared" ref="AH8:AH22" si="2">IF(AE8=0," ",AF8/AG8)</f>
        <v xml:space="preserve"> </v>
      </c>
      <c r="AI8" s="1122" t="s">
        <v>3415</v>
      </c>
      <c r="AJ8" s="1849">
        <v>334</v>
      </c>
      <c r="AK8" s="1849">
        <v>401</v>
      </c>
      <c r="AL8" s="1091">
        <f t="shared" ref="AL8:AL16" si="3">IF(AK8=0," ",AJ8/AK8)</f>
        <v>0.83291770573566082</v>
      </c>
      <c r="AM8" s="309">
        <v>1</v>
      </c>
      <c r="AN8" s="1092">
        <f t="shared" ref="AN8:AN17" si="4">IF(AK8=0," ",AL8/AM8)</f>
        <v>0.83291770573566082</v>
      </c>
      <c r="AO8" s="1850" t="s">
        <v>3416</v>
      </c>
      <c r="AP8" s="1849">
        <v>132</v>
      </c>
      <c r="AQ8" s="1849">
        <v>172</v>
      </c>
      <c r="AR8" s="1091">
        <f t="shared" ref="AR8:AR13" si="5">IF(AQ8=0," ",AP8/AQ8)</f>
        <v>0.76744186046511631</v>
      </c>
      <c r="AS8" s="309">
        <v>1</v>
      </c>
      <c r="AT8" s="1092">
        <f t="shared" ref="AT8:AT13" si="6">IF(AQ8=0," ",AR8/AS8)</f>
        <v>0.76744186046511631</v>
      </c>
      <c r="AU8" s="1122" t="s">
        <v>3417</v>
      </c>
      <c r="AV8" s="1849">
        <v>0</v>
      </c>
      <c r="AW8" s="1849">
        <v>0</v>
      </c>
      <c r="AX8" s="1091" t="str">
        <f t="shared" ref="AX8:AX16" si="7">IF(AW8=0," ",AV8/AW8)</f>
        <v xml:space="preserve"> </v>
      </c>
      <c r="AY8" s="309">
        <v>0</v>
      </c>
      <c r="AZ8" s="1092" t="str">
        <f t="shared" ref="AZ8:AZ16" si="8">IF(AW8=0," ",AX8/AY8)</f>
        <v xml:space="preserve"> </v>
      </c>
      <c r="BA8" s="1122" t="s">
        <v>3415</v>
      </c>
      <c r="BB8" s="21">
        <v>90</v>
      </c>
      <c r="BC8" s="21">
        <v>106</v>
      </c>
      <c r="BD8" s="22">
        <f>IF(BC8=0," ",BB8/BC8)</f>
        <v>0.84905660377358494</v>
      </c>
      <c r="BE8" s="58">
        <v>1</v>
      </c>
      <c r="BF8" s="24">
        <f t="shared" ref="BF8:BF22" si="9">IF(BC8=0," ",BD8/BE8)</f>
        <v>0.84905660377358494</v>
      </c>
      <c r="BG8" s="25" t="s">
        <v>3417</v>
      </c>
      <c r="BH8" s="1849">
        <v>0</v>
      </c>
      <c r="BI8" s="1849">
        <v>0</v>
      </c>
      <c r="BJ8" s="1091" t="str">
        <f t="shared" ref="BJ8:BJ16" si="10">IF(BI8=0," ",BH8/BI8)</f>
        <v xml:space="preserve"> </v>
      </c>
      <c r="BK8" s="309">
        <v>0</v>
      </c>
      <c r="BL8" s="1092" t="str">
        <f t="shared" ref="BL8:BL22" si="11">IF(BI8=0," ",BJ8/BK8)</f>
        <v xml:space="preserve"> </v>
      </c>
      <c r="BM8" s="25" t="s">
        <v>3415</v>
      </c>
      <c r="BN8" s="1849">
        <v>0</v>
      </c>
      <c r="BO8" s="1849">
        <v>0</v>
      </c>
      <c r="BP8" s="1091" t="str">
        <f t="shared" ref="BP8:BP16" si="12">IF(BO8=0," ",BN8/BO8)</f>
        <v xml:space="preserve"> </v>
      </c>
      <c r="BQ8" s="309">
        <v>0</v>
      </c>
      <c r="BR8" s="1092" t="str">
        <f>IF(BO8=0," ",BP8/BQ8)</f>
        <v xml:space="preserve"> </v>
      </c>
      <c r="BS8" s="25" t="s">
        <v>3415</v>
      </c>
      <c r="BT8" s="21">
        <v>102</v>
      </c>
      <c r="BU8" s="21">
        <v>121</v>
      </c>
      <c r="BV8" s="22">
        <f t="shared" ref="BV8:BV13" si="13">IF(BU8=0," ",BT8/BU8)</f>
        <v>0.84297520661157022</v>
      </c>
      <c r="BW8" s="58">
        <v>1</v>
      </c>
      <c r="BX8" s="24">
        <f t="shared" ref="BX8:BX13" si="14">IF(BU8=0," ",BV8/BW8)</f>
        <v>0.84297520661157022</v>
      </c>
      <c r="BY8" s="25" t="s">
        <v>3417</v>
      </c>
      <c r="BZ8" s="1848">
        <v>0</v>
      </c>
      <c r="CA8" s="1849">
        <v>0</v>
      </c>
      <c r="CB8" s="1091" t="str">
        <f t="shared" ref="CB8:CB16" si="15">IF(CA8=0," ",BZ8/CA8)</f>
        <v xml:space="preserve"> </v>
      </c>
      <c r="CC8" s="309">
        <v>0</v>
      </c>
      <c r="CD8" s="1092" t="str">
        <f t="shared" ref="CD8:CD13" si="16">IF(CA8=0," ",CB8/CC8)</f>
        <v xml:space="preserve"> </v>
      </c>
      <c r="CE8" s="25" t="s">
        <v>3415</v>
      </c>
      <c r="CF8" s="1848">
        <v>0</v>
      </c>
      <c r="CG8" s="1849">
        <v>0</v>
      </c>
      <c r="CH8" s="1091" t="str">
        <f t="shared" ref="CH8:CH17" si="17">IF(CG8=0," ",CF8/CG8)</f>
        <v xml:space="preserve"> </v>
      </c>
      <c r="CI8" s="309">
        <v>0</v>
      </c>
      <c r="CJ8" s="1092" t="str">
        <f>IF(CG8=0," ",CH8/CI8)</f>
        <v xml:space="preserve"> </v>
      </c>
      <c r="CK8" s="25" t="s">
        <v>3415</v>
      </c>
      <c r="CL8" s="21">
        <v>395</v>
      </c>
      <c r="CM8" s="21">
        <v>451</v>
      </c>
      <c r="CN8" s="22">
        <f t="shared" ref="CN8:CN14" si="18">IF(CM8=0," ",CL8/CM8)</f>
        <v>0.87583148558758317</v>
      </c>
      <c r="CO8" s="58">
        <v>1</v>
      </c>
      <c r="CP8" s="24">
        <f t="shared" ref="CP8:CP22" si="19">IF(CM8=0," ",CN8/CO8)</f>
        <v>0.87583148558758317</v>
      </c>
      <c r="CQ8" s="1122" t="s">
        <v>3418</v>
      </c>
      <c r="CR8" s="1849">
        <f>+CL8+BT8+BB8+AP8+AJ8</f>
        <v>1053</v>
      </c>
      <c r="CS8" s="1849">
        <f>+CM8+BU8+BC8+AQ8+AK8</f>
        <v>1251</v>
      </c>
      <c r="CT8" s="1091">
        <f t="shared" ref="CT8:CT16" si="20">IF(CS8=0," ",CR8/CS8)</f>
        <v>0.84172661870503596</v>
      </c>
      <c r="CU8" s="309">
        <v>1</v>
      </c>
      <c r="CV8" s="1092">
        <f t="shared" ref="CV8:CV16" si="21">IF(CS8=0," ",CT8/CU8)</f>
        <v>0.84172661870503596</v>
      </c>
      <c r="CW8" s="1122" t="s">
        <v>3419</v>
      </c>
    </row>
    <row r="9" spans="1:101" s="1140" customFormat="1" ht="69.75" customHeight="1">
      <c r="A9" s="1428"/>
      <c r="B9" s="8" t="s">
        <v>3420</v>
      </c>
      <c r="C9" s="8"/>
      <c r="D9" s="8" t="s">
        <v>3421</v>
      </c>
      <c r="E9" s="8" t="s">
        <v>3422</v>
      </c>
      <c r="F9" s="8" t="s">
        <v>3423</v>
      </c>
      <c r="G9" s="8" t="s">
        <v>53</v>
      </c>
      <c r="H9" s="8" t="s">
        <v>3424</v>
      </c>
      <c r="I9" s="8" t="s">
        <v>3425</v>
      </c>
      <c r="J9" s="8" t="s">
        <v>345</v>
      </c>
      <c r="K9" s="12">
        <v>1</v>
      </c>
      <c r="L9" s="12">
        <v>1</v>
      </c>
      <c r="M9" s="12">
        <v>1</v>
      </c>
      <c r="N9" s="12">
        <v>1</v>
      </c>
      <c r="O9" s="12">
        <v>1</v>
      </c>
      <c r="P9" s="12">
        <v>1</v>
      </c>
      <c r="Q9" s="12">
        <v>1</v>
      </c>
      <c r="R9" s="12">
        <v>1</v>
      </c>
      <c r="S9" s="12">
        <v>1</v>
      </c>
      <c r="T9" s="12">
        <v>1</v>
      </c>
      <c r="U9" s="12">
        <v>1</v>
      </c>
      <c r="V9" s="12">
        <v>1</v>
      </c>
      <c r="W9" s="8" t="s">
        <v>3414</v>
      </c>
      <c r="X9" s="1848">
        <v>0</v>
      </c>
      <c r="Y9" s="1849">
        <v>0</v>
      </c>
      <c r="Z9" s="1091" t="str">
        <f t="shared" si="0"/>
        <v xml:space="preserve"> </v>
      </c>
      <c r="AA9" s="309">
        <v>1</v>
      </c>
      <c r="AB9" s="1092" t="str">
        <f t="shared" si="1"/>
        <v xml:space="preserve"> </v>
      </c>
      <c r="AC9" s="1122" t="s">
        <v>3426</v>
      </c>
      <c r="AD9" s="1849">
        <v>2</v>
      </c>
      <c r="AE9" s="1849">
        <v>2</v>
      </c>
      <c r="AF9" s="1091">
        <f>IF(AE9=0," ",AD9/AE9)</f>
        <v>1</v>
      </c>
      <c r="AG9" s="309">
        <v>1</v>
      </c>
      <c r="AH9" s="1092">
        <f t="shared" si="2"/>
        <v>1</v>
      </c>
      <c r="AI9" s="1122" t="s">
        <v>3427</v>
      </c>
      <c r="AJ9" s="1849">
        <v>0</v>
      </c>
      <c r="AK9" s="1849">
        <v>0</v>
      </c>
      <c r="AL9" s="1091" t="str">
        <f t="shared" si="3"/>
        <v xml:space="preserve"> </v>
      </c>
      <c r="AM9" s="309">
        <v>1</v>
      </c>
      <c r="AN9" s="1092" t="str">
        <f t="shared" si="4"/>
        <v xml:space="preserve"> </v>
      </c>
      <c r="AO9" s="1122" t="s">
        <v>3428</v>
      </c>
      <c r="AP9" s="1849">
        <v>2</v>
      </c>
      <c r="AQ9" s="1849">
        <v>2</v>
      </c>
      <c r="AR9" s="1091">
        <f t="shared" si="5"/>
        <v>1</v>
      </c>
      <c r="AS9" s="309">
        <v>1</v>
      </c>
      <c r="AT9" s="1092">
        <f t="shared" si="6"/>
        <v>1</v>
      </c>
      <c r="AU9" s="1122" t="s">
        <v>3429</v>
      </c>
      <c r="AV9" s="1849">
        <v>1</v>
      </c>
      <c r="AW9" s="1849">
        <v>1</v>
      </c>
      <c r="AX9" s="1091">
        <f t="shared" si="7"/>
        <v>1</v>
      </c>
      <c r="AY9" s="309">
        <v>1</v>
      </c>
      <c r="AZ9" s="1092">
        <f t="shared" si="8"/>
        <v>1</v>
      </c>
      <c r="BA9" s="1122" t="s">
        <v>3430</v>
      </c>
      <c r="BB9" s="21">
        <v>1</v>
      </c>
      <c r="BC9" s="21">
        <v>1</v>
      </c>
      <c r="BD9" s="22">
        <f>IF(BC9=0," ",BB9/BC9)</f>
        <v>1</v>
      </c>
      <c r="BE9" s="58">
        <v>1</v>
      </c>
      <c r="BF9" s="24">
        <f t="shared" si="9"/>
        <v>1</v>
      </c>
      <c r="BG9" s="25" t="s">
        <v>3431</v>
      </c>
      <c r="BH9" s="1849">
        <v>0</v>
      </c>
      <c r="BI9" s="1849">
        <v>0</v>
      </c>
      <c r="BJ9" s="1091" t="str">
        <f t="shared" si="10"/>
        <v xml:space="preserve"> </v>
      </c>
      <c r="BK9" s="309">
        <v>1</v>
      </c>
      <c r="BL9" s="1092" t="str">
        <f t="shared" si="11"/>
        <v xml:space="preserve"> </v>
      </c>
      <c r="BM9" s="25" t="s">
        <v>3432</v>
      </c>
      <c r="BN9" s="1849">
        <v>0</v>
      </c>
      <c r="BO9" s="1849">
        <v>0</v>
      </c>
      <c r="BP9" s="1091" t="str">
        <f t="shared" si="12"/>
        <v xml:space="preserve"> </v>
      </c>
      <c r="BQ9" s="309">
        <v>1</v>
      </c>
      <c r="BR9" s="1092" t="str">
        <f>IF(BO9=0," ",BP9/BQ9)</f>
        <v xml:space="preserve"> </v>
      </c>
      <c r="BS9" s="25" t="s">
        <v>3432</v>
      </c>
      <c r="BT9" s="21">
        <v>2</v>
      </c>
      <c r="BU9" s="21">
        <v>2</v>
      </c>
      <c r="BV9" s="22">
        <f t="shared" si="13"/>
        <v>1</v>
      </c>
      <c r="BW9" s="58">
        <v>1</v>
      </c>
      <c r="BX9" s="24">
        <f t="shared" si="14"/>
        <v>1</v>
      </c>
      <c r="BY9" s="25" t="s">
        <v>3433</v>
      </c>
      <c r="BZ9" s="21">
        <v>1</v>
      </c>
      <c r="CA9" s="21">
        <v>1</v>
      </c>
      <c r="CB9" s="22">
        <f t="shared" si="15"/>
        <v>1</v>
      </c>
      <c r="CC9" s="58">
        <v>1</v>
      </c>
      <c r="CD9" s="24">
        <f t="shared" si="16"/>
        <v>1</v>
      </c>
      <c r="CE9" s="25" t="s">
        <v>3434</v>
      </c>
      <c r="CF9" s="21">
        <v>1</v>
      </c>
      <c r="CG9" s="21">
        <v>1</v>
      </c>
      <c r="CH9" s="22">
        <f t="shared" si="17"/>
        <v>1</v>
      </c>
      <c r="CI9" s="58">
        <v>1</v>
      </c>
      <c r="CJ9" s="24">
        <f>IF(CG9=0," ",CH9/CI9)</f>
        <v>1</v>
      </c>
      <c r="CK9" s="25" t="s">
        <v>3435</v>
      </c>
      <c r="CL9" s="21">
        <v>1</v>
      </c>
      <c r="CM9" s="21">
        <v>1</v>
      </c>
      <c r="CN9" s="22">
        <f t="shared" si="18"/>
        <v>1</v>
      </c>
      <c r="CO9" s="58">
        <v>1</v>
      </c>
      <c r="CP9" s="24">
        <f t="shared" si="19"/>
        <v>1</v>
      </c>
      <c r="CQ9" s="25" t="s">
        <v>3436</v>
      </c>
      <c r="CR9" s="1849">
        <f>+AD9+AJ9+AP9+AV9+BB9+BH9+BN9+BT9+BZ9+CF9+CL9</f>
        <v>11</v>
      </c>
      <c r="CS9" s="1849">
        <f>+AE9+AK9+AQ9+AW9+BC9+BI9+BO9+BU9+CA9+CG9+CM9</f>
        <v>11</v>
      </c>
      <c r="CT9" s="1091">
        <f t="shared" si="20"/>
        <v>1</v>
      </c>
      <c r="CU9" s="309">
        <v>1</v>
      </c>
      <c r="CV9" s="1092">
        <f t="shared" si="21"/>
        <v>1</v>
      </c>
      <c r="CW9" s="25" t="s">
        <v>3437</v>
      </c>
    </row>
    <row r="10" spans="1:101" s="1140" customFormat="1" ht="69.75" customHeight="1">
      <c r="A10" s="1428"/>
      <c r="B10" s="8" t="s">
        <v>3420</v>
      </c>
      <c r="C10" s="8"/>
      <c r="D10" s="8" t="s">
        <v>3438</v>
      </c>
      <c r="E10" s="8" t="s">
        <v>3439</v>
      </c>
      <c r="F10" s="8" t="s">
        <v>3440</v>
      </c>
      <c r="G10" s="8" t="s">
        <v>53</v>
      </c>
      <c r="H10" s="8" t="s">
        <v>3441</v>
      </c>
      <c r="I10" s="8" t="s">
        <v>3442</v>
      </c>
      <c r="J10" s="8" t="s">
        <v>345</v>
      </c>
      <c r="K10" s="12">
        <v>1</v>
      </c>
      <c r="L10" s="12">
        <v>1</v>
      </c>
      <c r="M10" s="12">
        <v>1</v>
      </c>
      <c r="N10" s="12">
        <v>1</v>
      </c>
      <c r="O10" s="12">
        <v>1</v>
      </c>
      <c r="P10" s="12">
        <v>1</v>
      </c>
      <c r="Q10" s="12">
        <v>1</v>
      </c>
      <c r="R10" s="12">
        <v>1</v>
      </c>
      <c r="S10" s="12">
        <v>1</v>
      </c>
      <c r="T10" s="12">
        <v>1</v>
      </c>
      <c r="U10" s="12">
        <v>1</v>
      </c>
      <c r="V10" s="12">
        <v>1</v>
      </c>
      <c r="W10" s="8" t="s">
        <v>3414</v>
      </c>
      <c r="X10" s="1848">
        <v>1550</v>
      </c>
      <c r="Y10" s="1849">
        <v>1550</v>
      </c>
      <c r="Z10" s="1091">
        <f t="shared" si="0"/>
        <v>1</v>
      </c>
      <c r="AA10" s="309">
        <v>1</v>
      </c>
      <c r="AB10" s="1092">
        <f t="shared" si="1"/>
        <v>1</v>
      </c>
      <c r="AC10" s="1122" t="s">
        <v>3443</v>
      </c>
      <c r="AD10" s="1849">
        <v>1673</v>
      </c>
      <c r="AE10" s="1849">
        <v>1673</v>
      </c>
      <c r="AF10" s="1091">
        <f>IF(AE10=0," ",AD10/AE10)</f>
        <v>1</v>
      </c>
      <c r="AG10" s="309">
        <v>1</v>
      </c>
      <c r="AH10" s="1092">
        <f t="shared" si="2"/>
        <v>1</v>
      </c>
      <c r="AI10" s="1122" t="s">
        <v>3444</v>
      </c>
      <c r="AJ10" s="1849">
        <v>1673</v>
      </c>
      <c r="AK10" s="1849">
        <v>1673</v>
      </c>
      <c r="AL10" s="1091">
        <f t="shared" si="3"/>
        <v>1</v>
      </c>
      <c r="AM10" s="309">
        <v>1</v>
      </c>
      <c r="AN10" s="1092">
        <f t="shared" si="4"/>
        <v>1</v>
      </c>
      <c r="AO10" s="1122" t="s">
        <v>3445</v>
      </c>
      <c r="AP10" s="1849">
        <v>1673</v>
      </c>
      <c r="AQ10" s="1849">
        <v>1673</v>
      </c>
      <c r="AR10" s="1091">
        <f t="shared" si="5"/>
        <v>1</v>
      </c>
      <c r="AS10" s="309">
        <v>1</v>
      </c>
      <c r="AT10" s="1092">
        <f t="shared" si="6"/>
        <v>1</v>
      </c>
      <c r="AU10" s="1122" t="s">
        <v>3446</v>
      </c>
      <c r="AV10" s="1848">
        <v>1568</v>
      </c>
      <c r="AW10" s="1849">
        <v>1568</v>
      </c>
      <c r="AX10" s="1091">
        <f t="shared" si="7"/>
        <v>1</v>
      </c>
      <c r="AY10" s="309">
        <v>1</v>
      </c>
      <c r="AZ10" s="1092">
        <f t="shared" si="8"/>
        <v>1</v>
      </c>
      <c r="BA10" s="1122" t="s">
        <v>3447</v>
      </c>
      <c r="BB10" s="1848">
        <v>1582</v>
      </c>
      <c r="BC10" s="1849">
        <v>1582</v>
      </c>
      <c r="BD10" s="1091">
        <f>IF(BC10=0," ",BB10/BC10)</f>
        <v>1</v>
      </c>
      <c r="BE10" s="309">
        <v>1</v>
      </c>
      <c r="BF10" s="24">
        <f t="shared" si="9"/>
        <v>1</v>
      </c>
      <c r="BG10" s="25" t="s">
        <v>3448</v>
      </c>
      <c r="BH10" s="1848">
        <v>940</v>
      </c>
      <c r="BI10" s="1849">
        <v>940</v>
      </c>
      <c r="BJ10" s="22">
        <f t="shared" si="10"/>
        <v>1</v>
      </c>
      <c r="BK10" s="309">
        <v>1</v>
      </c>
      <c r="BL10" s="24">
        <f t="shared" si="11"/>
        <v>1</v>
      </c>
      <c r="BM10" s="25" t="s">
        <v>3449</v>
      </c>
      <c r="BN10" s="1848">
        <v>1044</v>
      </c>
      <c r="BO10" s="1849">
        <v>1044</v>
      </c>
      <c r="BP10" s="22">
        <f t="shared" si="12"/>
        <v>1</v>
      </c>
      <c r="BQ10" s="309">
        <v>1</v>
      </c>
      <c r="BR10" s="24">
        <f>IF(BO10=0," ",BP10/BQ10)</f>
        <v>1</v>
      </c>
      <c r="BS10" s="25" t="s">
        <v>3450</v>
      </c>
      <c r="BT10" s="1848">
        <v>1198</v>
      </c>
      <c r="BU10" s="1849">
        <v>1198</v>
      </c>
      <c r="BV10" s="22">
        <f t="shared" si="13"/>
        <v>1</v>
      </c>
      <c r="BW10" s="309">
        <v>1</v>
      </c>
      <c r="BX10" s="24">
        <f t="shared" si="14"/>
        <v>1</v>
      </c>
      <c r="BY10" s="25" t="s">
        <v>3451</v>
      </c>
      <c r="BZ10" s="1848">
        <v>1535</v>
      </c>
      <c r="CA10" s="1849">
        <v>1535</v>
      </c>
      <c r="CB10" s="22">
        <f t="shared" si="15"/>
        <v>1</v>
      </c>
      <c r="CC10" s="309">
        <v>1</v>
      </c>
      <c r="CD10" s="24">
        <f t="shared" si="16"/>
        <v>1</v>
      </c>
      <c r="CE10" s="25" t="s">
        <v>3452</v>
      </c>
      <c r="CF10" s="1848">
        <v>1570</v>
      </c>
      <c r="CG10" s="1849">
        <v>1570</v>
      </c>
      <c r="CH10" s="22">
        <f t="shared" si="17"/>
        <v>1</v>
      </c>
      <c r="CI10" s="309">
        <v>1</v>
      </c>
      <c r="CJ10" s="24">
        <f>IF(CG10=0," ",CH10/CI10)</f>
        <v>1</v>
      </c>
      <c r="CK10" s="25" t="s">
        <v>3453</v>
      </c>
      <c r="CL10" s="1848">
        <v>1721</v>
      </c>
      <c r="CM10" s="1849">
        <v>1721</v>
      </c>
      <c r="CN10" s="22">
        <f t="shared" si="18"/>
        <v>1</v>
      </c>
      <c r="CO10" s="309">
        <v>1</v>
      </c>
      <c r="CP10" s="24">
        <f t="shared" si="19"/>
        <v>1</v>
      </c>
      <c r="CQ10" s="25" t="s">
        <v>3454</v>
      </c>
      <c r="CR10" s="1848">
        <v>1721</v>
      </c>
      <c r="CS10" s="1849">
        <v>1721</v>
      </c>
      <c r="CT10" s="22">
        <f t="shared" si="20"/>
        <v>1</v>
      </c>
      <c r="CU10" s="309">
        <v>1</v>
      </c>
      <c r="CV10" s="24">
        <f t="shared" si="21"/>
        <v>1</v>
      </c>
      <c r="CW10" s="25" t="s">
        <v>3455</v>
      </c>
    </row>
    <row r="11" spans="1:101" s="1140" customFormat="1" ht="90" customHeight="1">
      <c r="A11" s="1428"/>
      <c r="B11" s="8" t="s">
        <v>3420</v>
      </c>
      <c r="C11" s="8"/>
      <c r="D11" s="8" t="s">
        <v>3456</v>
      </c>
      <c r="E11" s="8" t="s">
        <v>3457</v>
      </c>
      <c r="F11" s="8" t="s">
        <v>3458</v>
      </c>
      <c r="G11" s="8" t="s">
        <v>53</v>
      </c>
      <c r="H11" s="8" t="s">
        <v>3459</v>
      </c>
      <c r="I11" s="8" t="s">
        <v>3460</v>
      </c>
      <c r="J11" s="8" t="s">
        <v>1825</v>
      </c>
      <c r="K11" s="1449">
        <v>1900</v>
      </c>
      <c r="L11" s="1449">
        <v>1900</v>
      </c>
      <c r="M11" s="1449">
        <v>1900</v>
      </c>
      <c r="N11" s="1449">
        <v>1900</v>
      </c>
      <c r="O11" s="1449">
        <v>1900</v>
      </c>
      <c r="P11" s="1449">
        <v>1900</v>
      </c>
      <c r="Q11" s="1449">
        <v>1900</v>
      </c>
      <c r="R11" s="1449">
        <v>1900</v>
      </c>
      <c r="S11" s="1449">
        <v>1900</v>
      </c>
      <c r="T11" s="1449">
        <v>1900</v>
      </c>
      <c r="U11" s="1449">
        <v>1900</v>
      </c>
      <c r="V11" s="1449">
        <v>1900</v>
      </c>
      <c r="W11" s="8" t="s">
        <v>3414</v>
      </c>
      <c r="X11" s="1848">
        <v>2000</v>
      </c>
      <c r="Y11" s="1849">
        <v>1900</v>
      </c>
      <c r="Z11" s="1091">
        <f t="shared" si="0"/>
        <v>1.0526315789473684</v>
      </c>
      <c r="AA11" s="309">
        <v>1</v>
      </c>
      <c r="AB11" s="1092">
        <f t="shared" si="1"/>
        <v>1.0526315789473684</v>
      </c>
      <c r="AC11" s="1122" t="s">
        <v>3461</v>
      </c>
      <c r="AD11" s="1849">
        <v>2000</v>
      </c>
      <c r="AE11" s="1849">
        <v>1900</v>
      </c>
      <c r="AF11" s="1091">
        <f>IF(AE11=0," ",AD11/AE11)</f>
        <v>1.0526315789473684</v>
      </c>
      <c r="AG11" s="309">
        <v>1</v>
      </c>
      <c r="AH11" s="1092">
        <f t="shared" si="2"/>
        <v>1.0526315789473684</v>
      </c>
      <c r="AI11" s="1122" t="s">
        <v>3462</v>
      </c>
      <c r="AJ11" s="1849">
        <v>2350</v>
      </c>
      <c r="AK11" s="1849">
        <v>1900</v>
      </c>
      <c r="AL11" s="1091">
        <f t="shared" si="3"/>
        <v>1.236842105263158</v>
      </c>
      <c r="AM11" s="309">
        <v>1</v>
      </c>
      <c r="AN11" s="1092">
        <f t="shared" si="4"/>
        <v>1.236842105263158</v>
      </c>
      <c r="AO11" s="1122" t="s">
        <v>3463</v>
      </c>
      <c r="AP11" s="1849">
        <v>2500</v>
      </c>
      <c r="AQ11" s="1849">
        <v>1900</v>
      </c>
      <c r="AR11" s="1091">
        <f t="shared" si="5"/>
        <v>1.3157894736842106</v>
      </c>
      <c r="AS11" s="309">
        <v>1</v>
      </c>
      <c r="AT11" s="1092">
        <f t="shared" si="6"/>
        <v>1.3157894736842106</v>
      </c>
      <c r="AU11" s="1122" t="s">
        <v>3464</v>
      </c>
      <c r="AV11" s="21">
        <v>2900</v>
      </c>
      <c r="AW11" s="21">
        <v>1900</v>
      </c>
      <c r="AX11" s="22">
        <f t="shared" si="7"/>
        <v>1.5263157894736843</v>
      </c>
      <c r="AY11" s="58">
        <v>1</v>
      </c>
      <c r="AZ11" s="24">
        <f t="shared" si="8"/>
        <v>1.5263157894736843</v>
      </c>
      <c r="BA11" s="25" t="s">
        <v>3465</v>
      </c>
      <c r="BB11" s="21">
        <v>2600</v>
      </c>
      <c r="BC11" s="21">
        <v>1900</v>
      </c>
      <c r="BD11" s="22">
        <v>1.368421052631579</v>
      </c>
      <c r="BE11" s="58">
        <v>1</v>
      </c>
      <c r="BF11" s="24">
        <f t="shared" si="9"/>
        <v>1.368421052631579</v>
      </c>
      <c r="BG11" s="25" t="s">
        <v>3466</v>
      </c>
      <c r="BH11" s="21">
        <v>2300</v>
      </c>
      <c r="BI11" s="21">
        <v>1900</v>
      </c>
      <c r="BJ11" s="22">
        <f t="shared" si="10"/>
        <v>1.2105263157894737</v>
      </c>
      <c r="BK11" s="58">
        <v>1</v>
      </c>
      <c r="BL11" s="24">
        <f>IF(BI11=0," ",BJ11/BK11)</f>
        <v>1.2105263157894737</v>
      </c>
      <c r="BM11" s="25" t="s">
        <v>3467</v>
      </c>
      <c r="BN11" s="21">
        <v>2400</v>
      </c>
      <c r="BO11" s="21">
        <v>1900</v>
      </c>
      <c r="BP11" s="22">
        <f t="shared" si="12"/>
        <v>1.263157894736842</v>
      </c>
      <c r="BQ11" s="58">
        <v>1</v>
      </c>
      <c r="BR11" s="24">
        <f>IF(BO11=0," ",BP11/BQ11)</f>
        <v>1.263157894736842</v>
      </c>
      <c r="BS11" s="25" t="s">
        <v>3468</v>
      </c>
      <c r="BT11" s="21">
        <v>1800</v>
      </c>
      <c r="BU11" s="21">
        <v>1900</v>
      </c>
      <c r="BV11" s="22">
        <f t="shared" si="13"/>
        <v>0.94736842105263153</v>
      </c>
      <c r="BW11" s="58">
        <v>1</v>
      </c>
      <c r="BX11" s="24">
        <f t="shared" si="14"/>
        <v>0.94736842105263153</v>
      </c>
      <c r="BY11" s="25" t="s">
        <v>3468</v>
      </c>
      <c r="BZ11" s="21">
        <v>2000</v>
      </c>
      <c r="CA11" s="21">
        <v>1900</v>
      </c>
      <c r="CB11" s="22">
        <f t="shared" si="15"/>
        <v>1.0526315789473684</v>
      </c>
      <c r="CC11" s="58">
        <v>1</v>
      </c>
      <c r="CD11" s="24">
        <f t="shared" si="16"/>
        <v>1.0526315789473684</v>
      </c>
      <c r="CE11" s="25" t="s">
        <v>3469</v>
      </c>
      <c r="CF11" s="21">
        <v>2000</v>
      </c>
      <c r="CG11" s="21">
        <v>1900</v>
      </c>
      <c r="CH11" s="22">
        <f t="shared" si="17"/>
        <v>1.0526315789473684</v>
      </c>
      <c r="CI11" s="58">
        <v>1</v>
      </c>
      <c r="CJ11" s="24">
        <f>IF(CG11=0," ",CH11/CI11)</f>
        <v>1.0526315789473684</v>
      </c>
      <c r="CK11" s="25" t="s">
        <v>3470</v>
      </c>
      <c r="CL11" s="21">
        <v>1300</v>
      </c>
      <c r="CM11" s="21">
        <v>1900</v>
      </c>
      <c r="CN11" s="22">
        <f t="shared" si="18"/>
        <v>0.68421052631578949</v>
      </c>
      <c r="CO11" s="309">
        <v>1</v>
      </c>
      <c r="CP11" s="24">
        <f t="shared" si="19"/>
        <v>0.68421052631578949</v>
      </c>
      <c r="CQ11" s="25" t="s">
        <v>3470</v>
      </c>
      <c r="CR11" s="1849">
        <f t="shared" ref="CR11:CS14" si="22">+AD11+AJ11+AP11+AV11+BB11+BH11+BN11+BT11+BZ11+CF11+CL11</f>
        <v>24150</v>
      </c>
      <c r="CS11" s="1849">
        <f t="shared" si="22"/>
        <v>20900</v>
      </c>
      <c r="CT11" s="1091">
        <f t="shared" si="20"/>
        <v>1.1555023923444976</v>
      </c>
      <c r="CU11" s="309">
        <v>1</v>
      </c>
      <c r="CV11" s="1092">
        <f t="shared" si="21"/>
        <v>1.1555023923444976</v>
      </c>
      <c r="CW11" s="25" t="s">
        <v>3471</v>
      </c>
    </row>
    <row r="12" spans="1:101" s="1140" customFormat="1" ht="90" customHeight="1">
      <c r="A12" s="1428"/>
      <c r="B12" s="8" t="s">
        <v>3420</v>
      </c>
      <c r="C12" s="8"/>
      <c r="D12" s="8" t="s">
        <v>3472</v>
      </c>
      <c r="E12" s="8" t="s">
        <v>3473</v>
      </c>
      <c r="F12" s="8" t="s">
        <v>3474</v>
      </c>
      <c r="G12" s="8" t="s">
        <v>53</v>
      </c>
      <c r="H12" s="8" t="s">
        <v>3475</v>
      </c>
      <c r="I12" s="8" t="s">
        <v>3476</v>
      </c>
      <c r="J12" s="8" t="s">
        <v>1825</v>
      </c>
      <c r="K12" s="1449">
        <v>41660</v>
      </c>
      <c r="L12" s="1449">
        <v>41660</v>
      </c>
      <c r="M12" s="1449">
        <v>41660</v>
      </c>
      <c r="N12" s="1449">
        <v>41660</v>
      </c>
      <c r="O12" s="1449">
        <v>41660</v>
      </c>
      <c r="P12" s="1449">
        <v>41660</v>
      </c>
      <c r="Q12" s="1449">
        <v>41660</v>
      </c>
      <c r="R12" s="1449">
        <v>41660</v>
      </c>
      <c r="S12" s="1449">
        <v>41660</v>
      </c>
      <c r="T12" s="1449">
        <v>41660</v>
      </c>
      <c r="U12" s="1449">
        <v>41660</v>
      </c>
      <c r="V12" s="1449">
        <v>41740</v>
      </c>
      <c r="W12" s="8" t="s">
        <v>3414</v>
      </c>
      <c r="X12" s="1851">
        <v>40890</v>
      </c>
      <c r="Y12" s="1449">
        <v>41660</v>
      </c>
      <c r="Z12" s="1091">
        <f>IF(Y12=0," ",X12/Y12)</f>
        <v>0.98151704272683626</v>
      </c>
      <c r="AA12" s="309">
        <v>1</v>
      </c>
      <c r="AB12" s="1092">
        <f t="shared" si="1"/>
        <v>0.98151704272683626</v>
      </c>
      <c r="AC12" s="1122" t="s">
        <v>3477</v>
      </c>
      <c r="AD12" s="1849">
        <v>51909</v>
      </c>
      <c r="AE12" s="1449">
        <v>41660</v>
      </c>
      <c r="AF12" s="1091">
        <f>IF(AE12=0," ",AD12/AE12)</f>
        <v>1.2460153624579933</v>
      </c>
      <c r="AG12" s="309">
        <v>1</v>
      </c>
      <c r="AH12" s="1092">
        <f t="shared" si="2"/>
        <v>1.2460153624579933</v>
      </c>
      <c r="AI12" s="1122" t="s">
        <v>3478</v>
      </c>
      <c r="AJ12" s="1852">
        <v>43068</v>
      </c>
      <c r="AK12" s="1449">
        <v>41660</v>
      </c>
      <c r="AL12" s="1091">
        <f t="shared" si="3"/>
        <v>1.0337974075852137</v>
      </c>
      <c r="AM12" s="309">
        <v>1</v>
      </c>
      <c r="AN12" s="1092">
        <f t="shared" si="4"/>
        <v>1.0337974075852137</v>
      </c>
      <c r="AO12" s="1122" t="s">
        <v>3479</v>
      </c>
      <c r="AP12" s="1852">
        <v>35668</v>
      </c>
      <c r="AQ12" s="1852">
        <v>41660</v>
      </c>
      <c r="AR12" s="1091">
        <f t="shared" si="5"/>
        <v>0.8561689870379261</v>
      </c>
      <c r="AS12" s="309">
        <v>1</v>
      </c>
      <c r="AT12" s="1092">
        <f t="shared" si="6"/>
        <v>0.8561689870379261</v>
      </c>
      <c r="AU12" s="1122" t="s">
        <v>3480</v>
      </c>
      <c r="AV12" s="21">
        <f>17430+16111</f>
        <v>33541</v>
      </c>
      <c r="AW12" s="1449">
        <v>41660</v>
      </c>
      <c r="AX12" s="22">
        <f t="shared" si="7"/>
        <v>0.80511281805088819</v>
      </c>
      <c r="AY12" s="58">
        <v>1</v>
      </c>
      <c r="AZ12" s="24">
        <f t="shared" si="8"/>
        <v>0.80511281805088819</v>
      </c>
      <c r="BA12" s="25" t="s">
        <v>3481</v>
      </c>
      <c r="BB12" s="1849">
        <v>0</v>
      </c>
      <c r="BC12" s="1849">
        <v>41660</v>
      </c>
      <c r="BD12" s="1091">
        <v>0</v>
      </c>
      <c r="BE12" s="309">
        <v>1</v>
      </c>
      <c r="BF12" s="24">
        <f t="shared" si="9"/>
        <v>0</v>
      </c>
      <c r="BG12" s="25" t="s">
        <v>3482</v>
      </c>
      <c r="BH12" s="696">
        <f>9690+1967</f>
        <v>11657</v>
      </c>
      <c r="BI12" s="1449">
        <v>41660</v>
      </c>
      <c r="BJ12" s="22">
        <f t="shared" si="10"/>
        <v>0.27981277004320693</v>
      </c>
      <c r="BK12" s="58">
        <v>1</v>
      </c>
      <c r="BL12" s="24">
        <f t="shared" si="11"/>
        <v>0.27981277004320693</v>
      </c>
      <c r="BM12" s="25" t="s">
        <v>3483</v>
      </c>
      <c r="BN12" s="696">
        <v>0</v>
      </c>
      <c r="BO12" s="1449">
        <v>41660</v>
      </c>
      <c r="BP12" s="22">
        <f t="shared" si="12"/>
        <v>0</v>
      </c>
      <c r="BQ12" s="58">
        <v>1</v>
      </c>
      <c r="BR12" s="24">
        <f>IF(BO12=0," ",BP12/BQ12)</f>
        <v>0</v>
      </c>
      <c r="BS12" s="25" t="s">
        <v>3484</v>
      </c>
      <c r="BT12" s="21">
        <v>0</v>
      </c>
      <c r="BU12" s="21">
        <v>41660</v>
      </c>
      <c r="BV12" s="22">
        <f t="shared" si="13"/>
        <v>0</v>
      </c>
      <c r="BW12" s="58">
        <v>1</v>
      </c>
      <c r="BX12" s="24">
        <f t="shared" si="14"/>
        <v>0</v>
      </c>
      <c r="BZ12" s="21">
        <v>37643</v>
      </c>
      <c r="CA12" s="21">
        <v>41660</v>
      </c>
      <c r="CB12" s="22">
        <f t="shared" si="15"/>
        <v>0.90357657225156029</v>
      </c>
      <c r="CC12" s="58">
        <v>1</v>
      </c>
      <c r="CD12" s="24">
        <f t="shared" si="16"/>
        <v>0.90357657225156029</v>
      </c>
      <c r="CE12" s="25" t="s">
        <v>3485</v>
      </c>
      <c r="CF12" s="21">
        <v>44133</v>
      </c>
      <c r="CG12" s="1449">
        <v>41660</v>
      </c>
      <c r="CH12" s="22">
        <f t="shared" si="17"/>
        <v>1.0593614978396544</v>
      </c>
      <c r="CI12" s="58">
        <v>1</v>
      </c>
      <c r="CJ12" s="24">
        <f t="shared" ref="CJ12:CJ22" si="23">IF(CG12=0," ",CH12/CI12)</f>
        <v>1.0593614978396544</v>
      </c>
      <c r="CK12" s="25" t="s">
        <v>3486</v>
      </c>
      <c r="CL12" s="21">
        <v>14010</v>
      </c>
      <c r="CM12" s="21">
        <v>41740</v>
      </c>
      <c r="CN12" s="22">
        <f t="shared" si="18"/>
        <v>0.33564925730713946</v>
      </c>
      <c r="CO12" s="58">
        <v>1</v>
      </c>
      <c r="CP12" s="24">
        <f t="shared" si="19"/>
        <v>0.33564925730713946</v>
      </c>
      <c r="CQ12" s="25" t="s">
        <v>3487</v>
      </c>
      <c r="CR12" s="1849">
        <f t="shared" si="22"/>
        <v>271629</v>
      </c>
      <c r="CS12" s="1849">
        <f t="shared" si="22"/>
        <v>458340</v>
      </c>
      <c r="CT12" s="1091">
        <f t="shared" si="20"/>
        <v>0.59263647074224379</v>
      </c>
      <c r="CU12" s="309">
        <v>1</v>
      </c>
      <c r="CV12" s="1092">
        <f t="shared" si="21"/>
        <v>0.59263647074224379</v>
      </c>
      <c r="CW12" s="25" t="s">
        <v>3488</v>
      </c>
    </row>
    <row r="13" spans="1:101" s="1140" customFormat="1" ht="84.75" customHeight="1">
      <c r="A13" s="1428"/>
      <c r="B13" s="8" t="s">
        <v>3420</v>
      </c>
      <c r="C13" s="8"/>
      <c r="D13" s="8" t="s">
        <v>3489</v>
      </c>
      <c r="E13" s="8" t="s">
        <v>3490</v>
      </c>
      <c r="F13" s="8" t="s">
        <v>3491</v>
      </c>
      <c r="G13" s="8" t="s">
        <v>53</v>
      </c>
      <c r="H13" s="8" t="s">
        <v>3492</v>
      </c>
      <c r="I13" s="8" t="s">
        <v>3493</v>
      </c>
      <c r="J13" s="8" t="s">
        <v>345</v>
      </c>
      <c r="K13" s="12">
        <v>1</v>
      </c>
      <c r="L13" s="12">
        <v>1</v>
      </c>
      <c r="M13" s="12">
        <v>1</v>
      </c>
      <c r="N13" s="12">
        <v>1</v>
      </c>
      <c r="O13" s="12">
        <v>1</v>
      </c>
      <c r="P13" s="12">
        <v>1</v>
      </c>
      <c r="Q13" s="12">
        <v>1</v>
      </c>
      <c r="R13" s="12">
        <v>1</v>
      </c>
      <c r="S13" s="12">
        <v>1</v>
      </c>
      <c r="T13" s="12">
        <v>1</v>
      </c>
      <c r="U13" s="12">
        <v>1</v>
      </c>
      <c r="V13" s="12">
        <v>1</v>
      </c>
      <c r="W13" s="8" t="s">
        <v>3414</v>
      </c>
      <c r="X13" s="1848">
        <v>62606422</v>
      </c>
      <c r="Y13" s="1849">
        <v>32000000</v>
      </c>
      <c r="Z13" s="1091">
        <f>IF(Y13=0," ",X13/Y13)</f>
        <v>1.9564506875000001</v>
      </c>
      <c r="AA13" s="309">
        <v>1</v>
      </c>
      <c r="AB13" s="1092">
        <f t="shared" si="1"/>
        <v>1.9564506875000001</v>
      </c>
      <c r="AC13" s="1122" t="s">
        <v>3494</v>
      </c>
      <c r="AD13" s="1849">
        <v>33463396</v>
      </c>
      <c r="AE13" s="1849">
        <v>32000000</v>
      </c>
      <c r="AF13" s="1091">
        <f t="shared" ref="AF13:AF22" si="24">IF(AE13=0," ",AD13/AE13)</f>
        <v>1.0457311250000001</v>
      </c>
      <c r="AG13" s="309">
        <v>1</v>
      </c>
      <c r="AH13" s="1092">
        <f t="shared" si="2"/>
        <v>1.0457311250000001</v>
      </c>
      <c r="AI13" s="1122" t="s">
        <v>3495</v>
      </c>
      <c r="AJ13" s="1849">
        <v>0</v>
      </c>
      <c r="AK13" s="1849">
        <v>32000000</v>
      </c>
      <c r="AL13" s="1091">
        <f t="shared" si="3"/>
        <v>0</v>
      </c>
      <c r="AM13" s="309">
        <v>1</v>
      </c>
      <c r="AN13" s="1092">
        <f t="shared" si="4"/>
        <v>0</v>
      </c>
      <c r="AO13" s="1122" t="s">
        <v>3496</v>
      </c>
      <c r="AP13" s="1849">
        <v>29968006</v>
      </c>
      <c r="AQ13" s="1849">
        <v>32000000</v>
      </c>
      <c r="AR13" s="1091">
        <f t="shared" si="5"/>
        <v>0.93650018749999997</v>
      </c>
      <c r="AS13" s="309">
        <v>1</v>
      </c>
      <c r="AT13" s="1092">
        <f t="shared" si="6"/>
        <v>0.93650018749999997</v>
      </c>
      <c r="AU13" s="1122" t="s">
        <v>3497</v>
      </c>
      <c r="AV13" s="21">
        <v>33736967</v>
      </c>
      <c r="AW13" s="21">
        <v>32000000</v>
      </c>
      <c r="AX13" s="22">
        <f t="shared" si="7"/>
        <v>1.05428021875</v>
      </c>
      <c r="AY13" s="58">
        <v>1</v>
      </c>
      <c r="AZ13" s="24">
        <f t="shared" si="8"/>
        <v>1.05428021875</v>
      </c>
      <c r="BA13" s="25" t="s">
        <v>3498</v>
      </c>
      <c r="BB13" s="1853">
        <v>106858227</v>
      </c>
      <c r="BC13" s="1853">
        <v>32000000</v>
      </c>
      <c r="BD13" s="1091">
        <v>3.33931959375</v>
      </c>
      <c r="BE13" s="309">
        <v>1</v>
      </c>
      <c r="BF13" s="24">
        <f t="shared" si="9"/>
        <v>3.33931959375</v>
      </c>
      <c r="BG13" s="25" t="s">
        <v>3499</v>
      </c>
      <c r="BH13" s="1849">
        <v>0</v>
      </c>
      <c r="BI13" s="1849">
        <v>0</v>
      </c>
      <c r="BJ13" s="22" t="str">
        <f t="shared" si="10"/>
        <v xml:space="preserve"> </v>
      </c>
      <c r="BK13" s="309">
        <v>0</v>
      </c>
      <c r="BL13" s="24" t="str">
        <f t="shared" si="11"/>
        <v xml:space="preserve"> </v>
      </c>
      <c r="BM13" s="25" t="s">
        <v>3500</v>
      </c>
      <c r="BN13" s="1849">
        <v>0</v>
      </c>
      <c r="BO13" s="1849">
        <v>0</v>
      </c>
      <c r="BP13" s="22" t="str">
        <f t="shared" si="12"/>
        <v xml:space="preserve"> </v>
      </c>
      <c r="BQ13" s="309">
        <v>0</v>
      </c>
      <c r="BR13" s="24" t="str">
        <f t="shared" ref="BR13:BR22" si="25">IF(BO13=0," ",BP13/BQ13)</f>
        <v xml:space="preserve"> </v>
      </c>
      <c r="BS13" s="25" t="s">
        <v>3501</v>
      </c>
      <c r="BT13" s="1854">
        <f>21685851+12173201</f>
        <v>33859052</v>
      </c>
      <c r="BU13" s="1854">
        <v>32000000</v>
      </c>
      <c r="BV13" s="22">
        <f t="shared" si="13"/>
        <v>1.0580953749999999</v>
      </c>
      <c r="BW13" s="58">
        <v>1</v>
      </c>
      <c r="BX13" s="24">
        <f t="shared" si="14"/>
        <v>1.0580953749999999</v>
      </c>
      <c r="BY13" s="25" t="s">
        <v>3495</v>
      </c>
      <c r="BZ13" s="1854">
        <v>51433468</v>
      </c>
      <c r="CA13" s="1854">
        <v>32000000</v>
      </c>
      <c r="CB13" s="22">
        <f t="shared" si="15"/>
        <v>1.6072958749999999</v>
      </c>
      <c r="CC13" s="58">
        <v>1</v>
      </c>
      <c r="CD13" s="24">
        <f t="shared" si="16"/>
        <v>1.6072958749999999</v>
      </c>
      <c r="CE13" s="25" t="s">
        <v>3502</v>
      </c>
      <c r="CF13" s="1854">
        <f>50901180+40774834</f>
        <v>91676014</v>
      </c>
      <c r="CG13" s="1854">
        <v>32000000</v>
      </c>
      <c r="CH13" s="22">
        <f t="shared" si="17"/>
        <v>2.8648754374999998</v>
      </c>
      <c r="CI13" s="58">
        <v>1</v>
      </c>
      <c r="CJ13" s="24">
        <f t="shared" si="23"/>
        <v>2.8648754374999998</v>
      </c>
      <c r="CK13" s="25" t="s">
        <v>3503</v>
      </c>
      <c r="CL13" s="1849">
        <v>0</v>
      </c>
      <c r="CM13" s="1849">
        <v>0</v>
      </c>
      <c r="CN13" s="22" t="str">
        <f t="shared" si="18"/>
        <v xml:space="preserve"> </v>
      </c>
      <c r="CO13" s="309">
        <v>0</v>
      </c>
      <c r="CP13" s="24" t="str">
        <f t="shared" si="19"/>
        <v xml:space="preserve"> </v>
      </c>
      <c r="CQ13" s="1122" t="s">
        <v>3504</v>
      </c>
      <c r="CR13" s="1849">
        <f t="shared" si="22"/>
        <v>380995130</v>
      </c>
      <c r="CS13" s="1849">
        <f t="shared" si="22"/>
        <v>256000000</v>
      </c>
      <c r="CT13" s="1091">
        <f t="shared" si="20"/>
        <v>1.4882622265625001</v>
      </c>
      <c r="CU13" s="309">
        <v>1</v>
      </c>
      <c r="CV13" s="1092">
        <f t="shared" si="21"/>
        <v>1.4882622265625001</v>
      </c>
      <c r="CW13" s="25" t="s">
        <v>3494</v>
      </c>
    </row>
    <row r="14" spans="1:101" s="1140" customFormat="1" ht="89.25" customHeight="1">
      <c r="A14" s="1428"/>
      <c r="B14" s="8" t="s">
        <v>3420</v>
      </c>
      <c r="C14" s="8"/>
      <c r="D14" s="8" t="s">
        <v>3505</v>
      </c>
      <c r="E14" s="8" t="s">
        <v>3506</v>
      </c>
      <c r="F14" s="8" t="s">
        <v>3507</v>
      </c>
      <c r="G14" s="8" t="s">
        <v>53</v>
      </c>
      <c r="H14" s="8" t="s">
        <v>3508</v>
      </c>
      <c r="I14" s="8" t="s">
        <v>3509</v>
      </c>
      <c r="J14" s="8" t="s">
        <v>345</v>
      </c>
      <c r="K14" s="12">
        <v>1</v>
      </c>
      <c r="L14" s="12">
        <v>1</v>
      </c>
      <c r="M14" s="12">
        <v>1</v>
      </c>
      <c r="N14" s="12">
        <v>1</v>
      </c>
      <c r="O14" s="12">
        <v>1</v>
      </c>
      <c r="P14" s="12">
        <v>1</v>
      </c>
      <c r="Q14" s="12">
        <v>1</v>
      </c>
      <c r="R14" s="12">
        <v>1</v>
      </c>
      <c r="S14" s="12">
        <v>1</v>
      </c>
      <c r="T14" s="12">
        <v>1</v>
      </c>
      <c r="U14" s="12">
        <v>1</v>
      </c>
      <c r="V14" s="12">
        <v>1</v>
      </c>
      <c r="W14" s="8" t="s">
        <v>3414</v>
      </c>
      <c r="X14" s="1848">
        <v>494</v>
      </c>
      <c r="Y14" s="1849">
        <v>556</v>
      </c>
      <c r="Z14" s="1091">
        <f>IF(Y14=0," ",X14/Y14)</f>
        <v>0.88848920863309355</v>
      </c>
      <c r="AA14" s="309">
        <v>1</v>
      </c>
      <c r="AB14" s="1092">
        <f t="shared" si="1"/>
        <v>0.88848920863309355</v>
      </c>
      <c r="AC14" s="1122" t="s">
        <v>3510</v>
      </c>
      <c r="AD14" s="1849">
        <v>562</v>
      </c>
      <c r="AE14" s="1849">
        <v>787</v>
      </c>
      <c r="AF14" s="1091">
        <f t="shared" si="24"/>
        <v>0.7141041931385006</v>
      </c>
      <c r="AG14" s="309">
        <v>1</v>
      </c>
      <c r="AH14" s="1092">
        <f t="shared" si="2"/>
        <v>0.7141041931385006</v>
      </c>
      <c r="AI14" s="1122" t="s">
        <v>3511</v>
      </c>
      <c r="AJ14" s="1849">
        <v>648</v>
      </c>
      <c r="AK14" s="1849">
        <v>872</v>
      </c>
      <c r="AL14" s="1091">
        <f t="shared" si="3"/>
        <v>0.74311926605504586</v>
      </c>
      <c r="AM14" s="309">
        <v>1</v>
      </c>
      <c r="AN14" s="1092">
        <f t="shared" si="4"/>
        <v>0.74311926605504586</v>
      </c>
      <c r="AO14" s="1122" t="s">
        <v>3512</v>
      </c>
      <c r="AP14" s="1849">
        <v>562</v>
      </c>
      <c r="AQ14" s="1849">
        <v>790</v>
      </c>
      <c r="AR14" s="1091">
        <f>+IF(AQ14="",,AP14/AQ14)</f>
        <v>0.71139240506329116</v>
      </c>
      <c r="AS14" s="309">
        <v>1</v>
      </c>
      <c r="AT14" s="1091">
        <f>+IF(AS14="",,AR14/AS14)</f>
        <v>0.71139240506329116</v>
      </c>
      <c r="AU14" s="1122" t="s">
        <v>3512</v>
      </c>
      <c r="AV14" s="21">
        <v>696</v>
      </c>
      <c r="AW14" s="21">
        <v>1034</v>
      </c>
      <c r="AX14" s="22">
        <f t="shared" si="7"/>
        <v>0.67311411992263059</v>
      </c>
      <c r="AY14" s="58">
        <v>1</v>
      </c>
      <c r="AZ14" s="24">
        <f t="shared" si="8"/>
        <v>0.67311411992263059</v>
      </c>
      <c r="BA14" s="25" t="s">
        <v>3513</v>
      </c>
      <c r="BB14" s="21">
        <v>566</v>
      </c>
      <c r="BC14" s="21">
        <v>826</v>
      </c>
      <c r="BD14" s="22">
        <f>+IF(BC14="",,BB14/BC14)</f>
        <v>0.68523002421307511</v>
      </c>
      <c r="BE14" s="58">
        <v>1</v>
      </c>
      <c r="BF14" s="24">
        <f t="shared" si="9"/>
        <v>0.68523002421307511</v>
      </c>
      <c r="BG14" s="25" t="s">
        <v>3514</v>
      </c>
      <c r="BH14" s="21">
        <v>805</v>
      </c>
      <c r="BI14" s="21">
        <v>1027</v>
      </c>
      <c r="BJ14" s="22">
        <f t="shared" si="10"/>
        <v>0.78383641674780913</v>
      </c>
      <c r="BK14" s="58">
        <v>1</v>
      </c>
      <c r="BL14" s="24">
        <f t="shared" si="11"/>
        <v>0.78383641674780913</v>
      </c>
      <c r="BM14" s="25" t="s">
        <v>3515</v>
      </c>
      <c r="BN14" s="1849">
        <v>677</v>
      </c>
      <c r="BO14" s="1849">
        <v>794</v>
      </c>
      <c r="BP14" s="22">
        <f t="shared" si="12"/>
        <v>0.85264483627204035</v>
      </c>
      <c r="BQ14" s="309">
        <v>1</v>
      </c>
      <c r="BR14" s="24">
        <f t="shared" si="25"/>
        <v>0.85264483627204035</v>
      </c>
      <c r="BS14" s="25" t="s">
        <v>3516</v>
      </c>
      <c r="BT14" s="21">
        <v>834</v>
      </c>
      <c r="BU14" s="21">
        <v>871</v>
      </c>
      <c r="BV14" s="22">
        <v>0.95752009184845011</v>
      </c>
      <c r="BW14" s="58">
        <v>1</v>
      </c>
      <c r="BX14" s="24">
        <v>0.95752009184845011</v>
      </c>
      <c r="BY14" s="25" t="s">
        <v>3517</v>
      </c>
      <c r="BZ14" s="21">
        <v>688</v>
      </c>
      <c r="CA14" s="21">
        <v>725</v>
      </c>
      <c r="CB14" s="22">
        <f t="shared" si="15"/>
        <v>0.94896551724137934</v>
      </c>
      <c r="CC14" s="58">
        <v>1</v>
      </c>
      <c r="CD14" s="24">
        <v>0.95752009184845011</v>
      </c>
      <c r="CE14" s="25" t="s">
        <v>3518</v>
      </c>
      <c r="CF14" s="21">
        <v>490</v>
      </c>
      <c r="CG14" s="21">
        <v>505</v>
      </c>
      <c r="CH14" s="22">
        <f t="shared" si="17"/>
        <v>0.97029702970297027</v>
      </c>
      <c r="CI14" s="58">
        <v>1</v>
      </c>
      <c r="CJ14" s="24">
        <f t="shared" si="23"/>
        <v>0.97029702970297027</v>
      </c>
      <c r="CK14" s="25" t="s">
        <v>3519</v>
      </c>
      <c r="CL14" s="1849">
        <v>372</v>
      </c>
      <c r="CM14" s="1849">
        <v>386</v>
      </c>
      <c r="CN14" s="1091">
        <f t="shared" si="18"/>
        <v>0.96373056994818651</v>
      </c>
      <c r="CO14" s="309">
        <v>1</v>
      </c>
      <c r="CP14" s="24">
        <f t="shared" si="19"/>
        <v>0.96373056994818651</v>
      </c>
      <c r="CQ14" s="25" t="s">
        <v>3520</v>
      </c>
      <c r="CR14" s="1849">
        <f t="shared" si="22"/>
        <v>6900</v>
      </c>
      <c r="CS14" s="1849">
        <f t="shared" si="22"/>
        <v>8617</v>
      </c>
      <c r="CT14" s="1091">
        <f t="shared" si="20"/>
        <v>0.80074271788325402</v>
      </c>
      <c r="CU14" s="309">
        <v>1</v>
      </c>
      <c r="CV14" s="1092">
        <f t="shared" si="21"/>
        <v>0.80074271788325402</v>
      </c>
      <c r="CW14" s="25" t="s">
        <v>3521</v>
      </c>
    </row>
    <row r="15" spans="1:101" s="1140" customFormat="1" ht="75.75" customHeight="1">
      <c r="A15" s="1428"/>
      <c r="B15" s="8" t="s">
        <v>3420</v>
      </c>
      <c r="C15" s="8"/>
      <c r="D15" s="8" t="s">
        <v>3522</v>
      </c>
      <c r="E15" s="8" t="s">
        <v>3523</v>
      </c>
      <c r="F15" s="8" t="s">
        <v>3524</v>
      </c>
      <c r="G15" s="8" t="s">
        <v>53</v>
      </c>
      <c r="H15" s="8" t="s">
        <v>3525</v>
      </c>
      <c r="I15" s="8" t="s">
        <v>3526</v>
      </c>
      <c r="J15" s="8" t="s">
        <v>345</v>
      </c>
      <c r="K15" s="12"/>
      <c r="L15" s="12"/>
      <c r="M15" s="12">
        <v>1</v>
      </c>
      <c r="N15" s="12"/>
      <c r="O15" s="12"/>
      <c r="P15" s="12">
        <v>1</v>
      </c>
      <c r="Q15" s="12"/>
      <c r="R15" s="12"/>
      <c r="S15" s="12">
        <v>1</v>
      </c>
      <c r="T15" s="12"/>
      <c r="U15" s="12"/>
      <c r="V15" s="12">
        <v>1</v>
      </c>
      <c r="W15" s="8" t="s">
        <v>3414</v>
      </c>
      <c r="X15" s="1848">
        <v>0</v>
      </c>
      <c r="Y15" s="1849">
        <v>0</v>
      </c>
      <c r="Z15" s="1091" t="str">
        <f>IF(Y15=0," ",X15/Y15)</f>
        <v xml:space="preserve"> </v>
      </c>
      <c r="AA15" s="309">
        <v>0</v>
      </c>
      <c r="AB15" s="1092" t="str">
        <f t="shared" si="1"/>
        <v xml:space="preserve"> </v>
      </c>
      <c r="AC15" s="1122" t="s">
        <v>3415</v>
      </c>
      <c r="AD15" s="1849">
        <v>0</v>
      </c>
      <c r="AE15" s="1849">
        <v>0</v>
      </c>
      <c r="AF15" s="1091" t="str">
        <f t="shared" si="24"/>
        <v xml:space="preserve"> </v>
      </c>
      <c r="AG15" s="309">
        <v>0</v>
      </c>
      <c r="AH15" s="1092" t="str">
        <f t="shared" si="2"/>
        <v xml:space="preserve"> </v>
      </c>
      <c r="AI15" s="1122" t="s">
        <v>3415</v>
      </c>
      <c r="AJ15" s="1849">
        <v>26</v>
      </c>
      <c r="AK15" s="1849">
        <v>33</v>
      </c>
      <c r="AL15" s="1091">
        <f t="shared" si="3"/>
        <v>0.78787878787878785</v>
      </c>
      <c r="AM15" s="309">
        <v>1</v>
      </c>
      <c r="AN15" s="1092">
        <f t="shared" si="4"/>
        <v>0.78787878787878785</v>
      </c>
      <c r="AO15" s="1122" t="s">
        <v>3527</v>
      </c>
      <c r="AP15" s="1848">
        <v>0</v>
      </c>
      <c r="AQ15" s="1849">
        <v>0</v>
      </c>
      <c r="AR15" s="1091" t="str">
        <f>IF(AQ15=0," ",AP15/AQ15)</f>
        <v xml:space="preserve"> </v>
      </c>
      <c r="AS15" s="309">
        <v>0</v>
      </c>
      <c r="AT15" s="1092" t="str">
        <f t="shared" ref="AT15:AT22" si="26">IF(AQ15=0," ",AR15/AS15)</f>
        <v xml:space="preserve"> </v>
      </c>
      <c r="AU15" s="1122" t="s">
        <v>3415</v>
      </c>
      <c r="AV15" s="1849">
        <v>0</v>
      </c>
      <c r="AW15" s="1849">
        <v>0</v>
      </c>
      <c r="AX15" s="1091" t="str">
        <f t="shared" si="7"/>
        <v xml:space="preserve"> </v>
      </c>
      <c r="AY15" s="309">
        <v>0</v>
      </c>
      <c r="AZ15" s="1092" t="str">
        <f t="shared" si="8"/>
        <v xml:space="preserve"> </v>
      </c>
      <c r="BA15" s="1122" t="s">
        <v>3415</v>
      </c>
      <c r="BB15" s="1849">
        <v>32</v>
      </c>
      <c r="BC15" s="1849">
        <v>33</v>
      </c>
      <c r="BD15" s="1091">
        <f>IF(BC15=0," ",BB15/BC15)</f>
        <v>0.96969696969696972</v>
      </c>
      <c r="BE15" s="309">
        <v>1</v>
      </c>
      <c r="BF15" s="1092">
        <f t="shared" si="9"/>
        <v>0.96969696969696972</v>
      </c>
      <c r="BG15" s="1122" t="s">
        <v>3528</v>
      </c>
      <c r="BH15" s="1849">
        <v>0</v>
      </c>
      <c r="BI15" s="1849">
        <v>0</v>
      </c>
      <c r="BJ15" s="1091" t="str">
        <f t="shared" si="10"/>
        <v xml:space="preserve"> </v>
      </c>
      <c r="BK15" s="309">
        <v>0</v>
      </c>
      <c r="BL15" s="1092" t="str">
        <f t="shared" si="11"/>
        <v xml:space="preserve"> </v>
      </c>
      <c r="BM15" s="25" t="s">
        <v>3415</v>
      </c>
      <c r="BN15" s="1849">
        <v>0</v>
      </c>
      <c r="BO15" s="1849">
        <v>0</v>
      </c>
      <c r="BP15" s="1091" t="str">
        <f t="shared" si="12"/>
        <v xml:space="preserve"> </v>
      </c>
      <c r="BQ15" s="309">
        <v>0</v>
      </c>
      <c r="BR15" s="1092" t="str">
        <f t="shared" si="25"/>
        <v xml:space="preserve"> </v>
      </c>
      <c r="BS15" s="25" t="s">
        <v>3415</v>
      </c>
      <c r="BT15" s="21">
        <v>32</v>
      </c>
      <c r="BU15" s="21">
        <v>33</v>
      </c>
      <c r="BV15" s="22">
        <f>IF(BU15=0," ",BT15/BU15)</f>
        <v>0.96969696969696972</v>
      </c>
      <c r="BW15" s="58">
        <v>1</v>
      </c>
      <c r="BX15" s="24">
        <f t="shared" ref="BX15:BX22" si="27">IF(BU15=0," ",BV15/BW15)</f>
        <v>0.96969696969696972</v>
      </c>
      <c r="BY15" s="25" t="s">
        <v>3528</v>
      </c>
      <c r="BZ15" s="1848">
        <v>0</v>
      </c>
      <c r="CA15" s="1849">
        <v>0</v>
      </c>
      <c r="CB15" s="1091" t="str">
        <f t="shared" si="15"/>
        <v xml:space="preserve"> </v>
      </c>
      <c r="CC15" s="1220">
        <v>0</v>
      </c>
      <c r="CD15" s="1092" t="str">
        <f t="shared" ref="CD15:CD21" si="28">IF(CA15=0," ",CB15/CC15)</f>
        <v xml:space="preserve"> </v>
      </c>
      <c r="CE15" s="25" t="s">
        <v>3415</v>
      </c>
      <c r="CF15" s="1848">
        <v>0</v>
      </c>
      <c r="CG15" s="1849">
        <v>0</v>
      </c>
      <c r="CH15" s="1091" t="str">
        <f t="shared" si="17"/>
        <v xml:space="preserve"> </v>
      </c>
      <c r="CI15" s="1220">
        <v>0</v>
      </c>
      <c r="CJ15" s="1092" t="str">
        <f t="shared" si="23"/>
        <v xml:space="preserve"> </v>
      </c>
      <c r="CK15" s="25" t="s">
        <v>3415</v>
      </c>
      <c r="CL15" s="21">
        <v>32</v>
      </c>
      <c r="CM15" s="21">
        <v>33</v>
      </c>
      <c r="CN15" s="22">
        <f t="shared" ref="CN15:CN22" si="29">IF(CM15=0," ",CL15/CM15)</f>
        <v>0.96969696969696972</v>
      </c>
      <c r="CO15" s="58">
        <v>1</v>
      </c>
      <c r="CP15" s="24">
        <f t="shared" si="19"/>
        <v>0.96969696969696972</v>
      </c>
      <c r="CQ15" s="25" t="s">
        <v>3529</v>
      </c>
      <c r="CR15" s="21">
        <v>32</v>
      </c>
      <c r="CS15" s="21">
        <v>33</v>
      </c>
      <c r="CT15" s="22">
        <f t="shared" si="20"/>
        <v>0.96969696969696972</v>
      </c>
      <c r="CU15" s="58">
        <v>1</v>
      </c>
      <c r="CV15" s="24">
        <f t="shared" si="21"/>
        <v>0.96969696969696972</v>
      </c>
      <c r="CW15" s="25" t="s">
        <v>3530</v>
      </c>
    </row>
    <row r="16" spans="1:101" s="1140" customFormat="1" ht="69.75" customHeight="1">
      <c r="A16" s="1428"/>
      <c r="B16" s="8" t="s">
        <v>3420</v>
      </c>
      <c r="C16" s="8"/>
      <c r="D16" s="8" t="s">
        <v>3531</v>
      </c>
      <c r="E16" s="8" t="s">
        <v>3532</v>
      </c>
      <c r="F16" s="8" t="s">
        <v>3533</v>
      </c>
      <c r="G16" s="8" t="s">
        <v>53</v>
      </c>
      <c r="H16" s="8" t="s">
        <v>3534</v>
      </c>
      <c r="I16" s="8" t="s">
        <v>3535</v>
      </c>
      <c r="J16" s="8" t="s">
        <v>345</v>
      </c>
      <c r="K16" s="12">
        <v>1</v>
      </c>
      <c r="L16" s="12">
        <v>1</v>
      </c>
      <c r="M16" s="12">
        <v>1</v>
      </c>
      <c r="N16" s="12">
        <v>1</v>
      </c>
      <c r="O16" s="12">
        <v>1</v>
      </c>
      <c r="P16" s="12">
        <v>1</v>
      </c>
      <c r="Q16" s="12">
        <v>1</v>
      </c>
      <c r="R16" s="12">
        <v>1</v>
      </c>
      <c r="S16" s="12">
        <v>1</v>
      </c>
      <c r="T16" s="12">
        <v>1</v>
      </c>
      <c r="U16" s="12">
        <v>1</v>
      </c>
      <c r="V16" s="12">
        <v>1</v>
      </c>
      <c r="W16" s="8" t="s">
        <v>3414</v>
      </c>
      <c r="X16" s="1848">
        <v>42</v>
      </c>
      <c r="Y16" s="1849">
        <v>42</v>
      </c>
      <c r="Z16" s="1091">
        <f t="shared" si="0"/>
        <v>1</v>
      </c>
      <c r="AA16" s="309">
        <v>1</v>
      </c>
      <c r="AB16" s="1092">
        <f t="shared" si="1"/>
        <v>1</v>
      </c>
      <c r="AC16" s="1122" t="s">
        <v>3536</v>
      </c>
      <c r="AD16" s="1848">
        <v>55</v>
      </c>
      <c r="AE16" s="1849">
        <v>55</v>
      </c>
      <c r="AF16" s="1091">
        <f t="shared" si="24"/>
        <v>1</v>
      </c>
      <c r="AG16" s="309">
        <v>1</v>
      </c>
      <c r="AH16" s="1092">
        <f t="shared" si="2"/>
        <v>1</v>
      </c>
      <c r="AI16" s="1122" t="s">
        <v>3536</v>
      </c>
      <c r="AJ16" s="1848">
        <v>35</v>
      </c>
      <c r="AK16" s="1849">
        <v>35</v>
      </c>
      <c r="AL16" s="1091">
        <f t="shared" si="3"/>
        <v>1</v>
      </c>
      <c r="AM16" s="309">
        <v>1</v>
      </c>
      <c r="AN16" s="1092">
        <f t="shared" si="4"/>
        <v>1</v>
      </c>
      <c r="AO16" s="1122" t="s">
        <v>3537</v>
      </c>
      <c r="AP16" s="1848">
        <v>96</v>
      </c>
      <c r="AQ16" s="1849">
        <v>96</v>
      </c>
      <c r="AR16" s="1091">
        <f>IF(AQ16=0," ",AP16/AQ16)</f>
        <v>1</v>
      </c>
      <c r="AS16" s="309">
        <v>1</v>
      </c>
      <c r="AT16" s="1092">
        <f t="shared" si="26"/>
        <v>1</v>
      </c>
      <c r="AU16" s="1122" t="s">
        <v>3537</v>
      </c>
      <c r="AV16" s="1848">
        <v>45</v>
      </c>
      <c r="AW16" s="1849">
        <v>45</v>
      </c>
      <c r="AX16" s="1091">
        <f t="shared" si="7"/>
        <v>1</v>
      </c>
      <c r="AY16" s="309">
        <v>1</v>
      </c>
      <c r="AZ16" s="1092">
        <f t="shared" si="8"/>
        <v>1</v>
      </c>
      <c r="BA16" s="1122" t="s">
        <v>3537</v>
      </c>
      <c r="BB16" s="1848">
        <v>35</v>
      </c>
      <c r="BC16" s="1849">
        <v>35</v>
      </c>
      <c r="BD16" s="1091">
        <f>IF(BC16=0," ",BB16/BC16)</f>
        <v>1</v>
      </c>
      <c r="BE16" s="309">
        <v>1</v>
      </c>
      <c r="BF16" s="1092">
        <f t="shared" si="9"/>
        <v>1</v>
      </c>
      <c r="BG16" s="1122" t="s">
        <v>3537</v>
      </c>
      <c r="BH16" s="1848">
        <v>67</v>
      </c>
      <c r="BI16" s="1849">
        <v>67</v>
      </c>
      <c r="BJ16" s="1091">
        <f t="shared" si="10"/>
        <v>1</v>
      </c>
      <c r="BK16" s="309">
        <v>1</v>
      </c>
      <c r="BL16" s="1092">
        <f t="shared" si="11"/>
        <v>1</v>
      </c>
      <c r="BM16" s="1122" t="s">
        <v>3537</v>
      </c>
      <c r="BN16" s="1848">
        <v>227</v>
      </c>
      <c r="BO16" s="1849">
        <v>227</v>
      </c>
      <c r="BP16" s="1091">
        <f t="shared" si="12"/>
        <v>1</v>
      </c>
      <c r="BQ16" s="309">
        <v>1</v>
      </c>
      <c r="BR16" s="1092">
        <f t="shared" si="25"/>
        <v>1</v>
      </c>
      <c r="BS16" s="1122" t="s">
        <v>3537</v>
      </c>
      <c r="BT16" s="21">
        <v>202</v>
      </c>
      <c r="BU16" s="21">
        <v>202</v>
      </c>
      <c r="BV16" s="1091">
        <f>IF(BU16=0," ",BT16/BU16)</f>
        <v>1</v>
      </c>
      <c r="BW16" s="309">
        <v>1</v>
      </c>
      <c r="BX16" s="1092">
        <f t="shared" si="27"/>
        <v>1</v>
      </c>
      <c r="BY16" s="25" t="s">
        <v>3537</v>
      </c>
      <c r="BZ16" s="21">
        <v>223</v>
      </c>
      <c r="CA16" s="21">
        <v>223</v>
      </c>
      <c r="CB16" s="1091">
        <f t="shared" si="15"/>
        <v>1</v>
      </c>
      <c r="CC16" s="1220">
        <v>1</v>
      </c>
      <c r="CD16" s="1092">
        <f t="shared" si="28"/>
        <v>1</v>
      </c>
      <c r="CE16" s="25" t="s">
        <v>3537</v>
      </c>
      <c r="CF16" s="21">
        <v>101</v>
      </c>
      <c r="CG16" s="21">
        <v>101</v>
      </c>
      <c r="CH16" s="1091">
        <f t="shared" si="17"/>
        <v>1</v>
      </c>
      <c r="CI16" s="1220">
        <v>1</v>
      </c>
      <c r="CJ16" s="1092">
        <f t="shared" si="23"/>
        <v>1</v>
      </c>
      <c r="CK16" s="25" t="s">
        <v>3537</v>
      </c>
      <c r="CL16" s="21">
        <v>192</v>
      </c>
      <c r="CM16" s="21">
        <v>192</v>
      </c>
      <c r="CN16" s="1091">
        <f t="shared" si="29"/>
        <v>1</v>
      </c>
      <c r="CO16" s="1220">
        <v>1</v>
      </c>
      <c r="CP16" s="1092">
        <f t="shared" si="19"/>
        <v>1</v>
      </c>
      <c r="CQ16" s="25" t="s">
        <v>3537</v>
      </c>
      <c r="CR16" s="1849">
        <f>+AD16+AJ16+AP16+AV16+BB16+BH16+BN16+BT16+BZ16+CF16+CL16</f>
        <v>1278</v>
      </c>
      <c r="CS16" s="1849">
        <f>+AE16+AK16+AQ16+AW16+BC16+BI16+BO16+BU16+CA16+CG16+CM16</f>
        <v>1278</v>
      </c>
      <c r="CT16" s="1091">
        <f t="shared" si="20"/>
        <v>1</v>
      </c>
      <c r="CU16" s="309">
        <v>1</v>
      </c>
      <c r="CV16" s="1092">
        <f t="shared" si="21"/>
        <v>1</v>
      </c>
      <c r="CW16" s="25" t="s">
        <v>3538</v>
      </c>
    </row>
    <row r="17" spans="1:101" s="1140" customFormat="1" ht="69.75" customHeight="1">
      <c r="A17" s="1428"/>
      <c r="B17" s="2713" t="s">
        <v>1288</v>
      </c>
      <c r="C17" s="8"/>
      <c r="D17" s="2713" t="s">
        <v>262</v>
      </c>
      <c r="E17" s="2713" t="s">
        <v>263</v>
      </c>
      <c r="F17" s="2713" t="s">
        <v>264</v>
      </c>
      <c r="G17" s="2713" t="s">
        <v>66</v>
      </c>
      <c r="H17" s="2713" t="s">
        <v>390</v>
      </c>
      <c r="I17" s="2713" t="s">
        <v>267</v>
      </c>
      <c r="J17" s="8" t="s">
        <v>2364</v>
      </c>
      <c r="K17" s="1855"/>
      <c r="L17" s="1855"/>
      <c r="M17" s="1855">
        <v>0.02</v>
      </c>
      <c r="N17" s="1855">
        <v>0.05</v>
      </c>
      <c r="O17" s="1855">
        <v>0.14000000000000001</v>
      </c>
      <c r="P17" s="1855">
        <v>0.36</v>
      </c>
      <c r="Q17" s="1855">
        <v>0.35</v>
      </c>
      <c r="R17" s="1855">
        <v>0.08</v>
      </c>
      <c r="S17" s="1855"/>
      <c r="T17" s="1855"/>
      <c r="U17" s="1855"/>
      <c r="V17" s="12"/>
      <c r="W17" s="8" t="s">
        <v>3414</v>
      </c>
      <c r="X17" s="1848">
        <v>0</v>
      </c>
      <c r="Y17" s="1849">
        <v>0</v>
      </c>
      <c r="Z17" s="1091" t="str">
        <f t="shared" si="0"/>
        <v xml:space="preserve"> </v>
      </c>
      <c r="AA17" s="309">
        <v>0</v>
      </c>
      <c r="AB17" s="1092" t="str">
        <f t="shared" si="1"/>
        <v xml:space="preserve"> </v>
      </c>
      <c r="AC17" s="1122" t="s">
        <v>3415</v>
      </c>
      <c r="AD17" s="1849">
        <v>0</v>
      </c>
      <c r="AE17" s="1849">
        <v>0</v>
      </c>
      <c r="AF17" s="1091" t="str">
        <f t="shared" si="24"/>
        <v xml:space="preserve"> </v>
      </c>
      <c r="AG17" s="309">
        <v>0</v>
      </c>
      <c r="AH17" s="1092" t="str">
        <f t="shared" si="2"/>
        <v xml:space="preserve"> </v>
      </c>
      <c r="AI17" s="1122" t="s">
        <v>3415</v>
      </c>
      <c r="AJ17" s="1856">
        <v>3115008</v>
      </c>
      <c r="AK17" s="1856">
        <v>353806804</v>
      </c>
      <c r="AL17" s="1091">
        <f>+AJ17/AK17</f>
        <v>8.8042625658493554E-3</v>
      </c>
      <c r="AM17" s="309">
        <v>0.02</v>
      </c>
      <c r="AN17" s="1092">
        <f t="shared" si="4"/>
        <v>0.44021312829246778</v>
      </c>
      <c r="AO17" s="1122" t="s">
        <v>3539</v>
      </c>
      <c r="AP17" s="1856">
        <v>49516328</v>
      </c>
      <c r="AQ17" s="1856">
        <f>+AK17</f>
        <v>353806804</v>
      </c>
      <c r="AR17" s="1091">
        <f>+AP17/AQ17</f>
        <v>0.13995301232251034</v>
      </c>
      <c r="AS17" s="309">
        <v>0.05</v>
      </c>
      <c r="AT17" s="1092">
        <f t="shared" si="26"/>
        <v>2.7990602464502068</v>
      </c>
      <c r="AU17" s="1122" t="s">
        <v>3540</v>
      </c>
      <c r="AV17" s="1856">
        <v>62495386</v>
      </c>
      <c r="AW17" s="1856">
        <f>+AK17</f>
        <v>353806804</v>
      </c>
      <c r="AX17" s="1091">
        <f>+AV17/AW17</f>
        <v>0.1766370383312357</v>
      </c>
      <c r="AY17" s="309">
        <v>0.14000000000000001</v>
      </c>
      <c r="AZ17" s="1092">
        <f t="shared" ref="AZ17:AZ22" si="30">IF(AW17=0," ",AX17/AY17)</f>
        <v>1.2616931309373978</v>
      </c>
      <c r="BA17" s="1122" t="s">
        <v>3541</v>
      </c>
      <c r="BB17" s="1857">
        <v>4912020</v>
      </c>
      <c r="BC17" s="1856">
        <v>353806804</v>
      </c>
      <c r="BD17" s="1091">
        <v>1.3883339564040718E-2</v>
      </c>
      <c r="BE17" s="309">
        <v>0.36</v>
      </c>
      <c r="BF17" s="1092">
        <f t="shared" si="9"/>
        <v>3.856483212233533E-2</v>
      </c>
      <c r="BG17" s="1122" t="s">
        <v>3542</v>
      </c>
      <c r="BH17" s="1856">
        <v>75512914</v>
      </c>
      <c r="BI17" s="1856">
        <v>353806804</v>
      </c>
      <c r="BJ17" s="1091">
        <v>0.21342979599680056</v>
      </c>
      <c r="BK17" s="309">
        <v>0.35</v>
      </c>
      <c r="BL17" s="1092">
        <f t="shared" si="11"/>
        <v>0.60979941713371588</v>
      </c>
      <c r="BM17" s="1122" t="s">
        <v>3543</v>
      </c>
      <c r="BN17" s="1856">
        <v>107434254</v>
      </c>
      <c r="BO17" s="1856">
        <v>353806804</v>
      </c>
      <c r="BP17" s="1091">
        <f>+BN17/BO17</f>
        <v>0.30365231189844499</v>
      </c>
      <c r="BQ17" s="309">
        <v>0.08</v>
      </c>
      <c r="BR17" s="1092">
        <f t="shared" si="25"/>
        <v>3.7956538987305621</v>
      </c>
      <c r="BS17" s="1122" t="s">
        <v>3544</v>
      </c>
      <c r="BT17" s="1854">
        <v>0</v>
      </c>
      <c r="BU17" s="1854">
        <f>+BI17</f>
        <v>353806804</v>
      </c>
      <c r="BV17" s="1091">
        <f>+BT17/BU17</f>
        <v>0</v>
      </c>
      <c r="BW17" s="309">
        <v>1</v>
      </c>
      <c r="BX17" s="1092">
        <f t="shared" si="27"/>
        <v>0</v>
      </c>
      <c r="BY17" s="25" t="s">
        <v>3545</v>
      </c>
      <c r="BZ17" s="1854">
        <v>0</v>
      </c>
      <c r="CA17" s="1854">
        <f>+BO17</f>
        <v>353806804</v>
      </c>
      <c r="CB17" s="1091">
        <f>+BZ17/CA17</f>
        <v>0</v>
      </c>
      <c r="CC17" s="1855">
        <v>1</v>
      </c>
      <c r="CD17" s="1092">
        <f t="shared" si="28"/>
        <v>0</v>
      </c>
      <c r="CE17" s="25" t="s">
        <v>3546</v>
      </c>
      <c r="CF17" s="1849">
        <v>0</v>
      </c>
      <c r="CG17" s="1856">
        <v>0</v>
      </c>
      <c r="CH17" s="1091" t="str">
        <f t="shared" si="17"/>
        <v xml:space="preserve"> </v>
      </c>
      <c r="CI17" s="309">
        <v>0</v>
      </c>
      <c r="CJ17" s="1092" t="str">
        <f t="shared" si="23"/>
        <v xml:space="preserve"> </v>
      </c>
      <c r="CK17" s="1122" t="s">
        <v>3547</v>
      </c>
      <c r="CL17" s="1848">
        <v>0</v>
      </c>
      <c r="CM17" s="1849">
        <v>0</v>
      </c>
      <c r="CN17" s="1091" t="str">
        <f t="shared" si="29"/>
        <v xml:space="preserve"> </v>
      </c>
      <c r="CO17" s="1220">
        <v>0</v>
      </c>
      <c r="CP17" s="1092" t="str">
        <f t="shared" si="19"/>
        <v xml:space="preserve"> </v>
      </c>
      <c r="CQ17" s="25" t="s">
        <v>3548</v>
      </c>
      <c r="CR17" s="1857">
        <v>320622671</v>
      </c>
      <c r="CS17" s="1856">
        <v>355769492</v>
      </c>
      <c r="CT17" s="1091">
        <v>0.90120900810685589</v>
      </c>
      <c r="CU17" s="1220">
        <v>1</v>
      </c>
      <c r="CV17" s="1092">
        <v>0.90120900810685589</v>
      </c>
      <c r="CW17" s="101" t="s">
        <v>3549</v>
      </c>
    </row>
    <row r="18" spans="1:101" s="1140" customFormat="1" ht="69.75" customHeight="1">
      <c r="A18" s="1428"/>
      <c r="B18" s="2714"/>
      <c r="C18" s="790"/>
      <c r="D18" s="2714"/>
      <c r="E18" s="2714"/>
      <c r="F18" s="2714"/>
      <c r="G18" s="2714"/>
      <c r="H18" s="2714"/>
      <c r="I18" s="2714"/>
      <c r="J18" s="790" t="s">
        <v>2278</v>
      </c>
      <c r="K18" s="1855"/>
      <c r="L18" s="1855"/>
      <c r="M18" s="1855">
        <f>+M17</f>
        <v>0.02</v>
      </c>
      <c r="N18" s="1855">
        <f>+M18+N17</f>
        <v>7.0000000000000007E-2</v>
      </c>
      <c r="O18" s="1855">
        <f>+N18+O17</f>
        <v>0.21000000000000002</v>
      </c>
      <c r="P18" s="1855">
        <f>+O18+P17</f>
        <v>0.57000000000000006</v>
      </c>
      <c r="Q18" s="1855">
        <f>+P18+Q17</f>
        <v>0.92</v>
      </c>
      <c r="R18" s="1855">
        <f>+Q18+R17</f>
        <v>1</v>
      </c>
      <c r="S18" s="1220"/>
      <c r="T18" s="1220"/>
      <c r="U18" s="1220"/>
      <c r="V18" s="1220">
        <v>1</v>
      </c>
      <c r="W18" s="8" t="s">
        <v>3414</v>
      </c>
      <c r="X18" s="1848">
        <v>0</v>
      </c>
      <c r="Y18" s="1849">
        <v>0</v>
      </c>
      <c r="Z18" s="1091" t="str">
        <f t="shared" si="0"/>
        <v xml:space="preserve"> </v>
      </c>
      <c r="AA18" s="309">
        <v>0</v>
      </c>
      <c r="AB18" s="1092" t="str">
        <f t="shared" si="1"/>
        <v xml:space="preserve"> </v>
      </c>
      <c r="AC18" s="1122" t="s">
        <v>3415</v>
      </c>
      <c r="AD18" s="1849">
        <v>0</v>
      </c>
      <c r="AE18" s="1849">
        <v>0</v>
      </c>
      <c r="AF18" s="1091" t="str">
        <f t="shared" si="24"/>
        <v xml:space="preserve"> </v>
      </c>
      <c r="AG18" s="309">
        <v>0</v>
      </c>
      <c r="AH18" s="1092" t="str">
        <f t="shared" si="2"/>
        <v xml:space="preserve"> </v>
      </c>
      <c r="AI18" s="1122" t="s">
        <v>3415</v>
      </c>
      <c r="AJ18" s="1856">
        <v>3115008</v>
      </c>
      <c r="AK18" s="1856">
        <v>353806804</v>
      </c>
      <c r="AL18" s="1091">
        <f>+AJ18/AK18</f>
        <v>8.8042625658493554E-3</v>
      </c>
      <c r="AM18" s="309">
        <v>0.02</v>
      </c>
      <c r="AN18" s="1092">
        <f>IF(AK18=0," ",AL18/AM18)</f>
        <v>0.44021312829246778</v>
      </c>
      <c r="AO18" s="1122" t="s">
        <v>3539</v>
      </c>
      <c r="AP18" s="1856">
        <f>+AP17+AJ17</f>
        <v>52631336</v>
      </c>
      <c r="AQ18" s="1856">
        <f>+AK18</f>
        <v>353806804</v>
      </c>
      <c r="AR18" s="1091">
        <f>+AP18/AQ18</f>
        <v>0.14875727488835969</v>
      </c>
      <c r="AS18" s="309">
        <v>7.0000000000000007E-2</v>
      </c>
      <c r="AT18" s="1092">
        <f t="shared" si="26"/>
        <v>2.1251039269765668</v>
      </c>
      <c r="AU18" s="1122" t="s">
        <v>3550</v>
      </c>
      <c r="AV18" s="1856">
        <f>+AV17-AP17</f>
        <v>12979058</v>
      </c>
      <c r="AW18" s="1856">
        <f>+AK18</f>
        <v>353806804</v>
      </c>
      <c r="AX18" s="1091">
        <f>+AV18/AW18</f>
        <v>3.6684026008725369E-2</v>
      </c>
      <c r="AY18" s="309">
        <v>0.21</v>
      </c>
      <c r="AZ18" s="1092">
        <f t="shared" si="30"/>
        <v>0.17468583813678748</v>
      </c>
      <c r="BA18" s="1122" t="s">
        <v>3551</v>
      </c>
      <c r="BB18" s="1857">
        <v>120038742</v>
      </c>
      <c r="BC18" s="1856">
        <v>353806804</v>
      </c>
      <c r="BD18" s="1091">
        <v>0.33927765278363614</v>
      </c>
      <c r="BE18" s="309">
        <v>0.56999999999999995</v>
      </c>
      <c r="BF18" s="1092">
        <f t="shared" si="9"/>
        <v>0.59522395225199332</v>
      </c>
      <c r="BG18" s="1122" t="s">
        <v>3552</v>
      </c>
      <c r="BH18" s="1856">
        <v>195551656</v>
      </c>
      <c r="BI18" s="1856">
        <v>353806804</v>
      </c>
      <c r="BJ18" s="1091">
        <v>0.55270744878043665</v>
      </c>
      <c r="BK18" s="309">
        <v>0.92</v>
      </c>
      <c r="BL18" s="1092">
        <f t="shared" si="11"/>
        <v>0.60076896606569197</v>
      </c>
      <c r="BM18" s="1122" t="s">
        <v>3553</v>
      </c>
      <c r="BN18" s="1856">
        <v>302985910</v>
      </c>
      <c r="BO18" s="1856">
        <v>353806804</v>
      </c>
      <c r="BP18" s="1091">
        <f>+BN18/BO18</f>
        <v>0.85635976067888164</v>
      </c>
      <c r="BQ18" s="309">
        <v>1</v>
      </c>
      <c r="BR18" s="1092">
        <f t="shared" si="25"/>
        <v>0.85635976067888164</v>
      </c>
      <c r="BS18" s="1122" t="s">
        <v>3554</v>
      </c>
      <c r="BT18" s="1854">
        <f>+BT17+BN18</f>
        <v>302985910</v>
      </c>
      <c r="BU18" s="1854">
        <f>+BI18</f>
        <v>353806804</v>
      </c>
      <c r="BV18" s="1091">
        <f>+BT18/BU18</f>
        <v>0.85635976067888164</v>
      </c>
      <c r="BW18" s="309">
        <v>1</v>
      </c>
      <c r="BX18" s="1092">
        <f t="shared" si="27"/>
        <v>0.85635976067888164</v>
      </c>
      <c r="BY18" s="25" t="s">
        <v>3555</v>
      </c>
      <c r="BZ18" s="1854">
        <f>+BZ17+BT18</f>
        <v>302985910</v>
      </c>
      <c r="CA18" s="1854">
        <f>+BO18</f>
        <v>353806804</v>
      </c>
      <c r="CB18" s="1091">
        <f>+BZ18/CA18</f>
        <v>0.85635976067888164</v>
      </c>
      <c r="CC18" s="1220">
        <v>1</v>
      </c>
      <c r="CD18" s="1092">
        <f t="shared" si="28"/>
        <v>0.85635976067888164</v>
      </c>
      <c r="CE18" s="25" t="s">
        <v>3555</v>
      </c>
      <c r="CF18" s="1856">
        <f>+CF17+BZ18</f>
        <v>302985910</v>
      </c>
      <c r="CG18" s="1856">
        <v>353806804</v>
      </c>
      <c r="CH18" s="1091">
        <f>+CF18/CG18</f>
        <v>0.85635976067888164</v>
      </c>
      <c r="CI18" s="309">
        <v>1</v>
      </c>
      <c r="CJ18" s="1092">
        <f t="shared" si="23"/>
        <v>0.85635976067888164</v>
      </c>
      <c r="CK18" s="1122" t="s">
        <v>3555</v>
      </c>
      <c r="CL18" s="1848">
        <v>0</v>
      </c>
      <c r="CM18" s="1849">
        <v>0</v>
      </c>
      <c r="CN18" s="1091" t="str">
        <f t="shared" si="29"/>
        <v xml:space="preserve"> </v>
      </c>
      <c r="CO18" s="1220">
        <v>0</v>
      </c>
      <c r="CP18" s="1092" t="str">
        <f t="shared" si="19"/>
        <v xml:space="preserve"> </v>
      </c>
      <c r="CQ18" s="25" t="s">
        <v>3548</v>
      </c>
      <c r="CR18" s="1857">
        <v>320622671</v>
      </c>
      <c r="CS18" s="1856">
        <v>355769492</v>
      </c>
      <c r="CT18" s="1091">
        <v>0.90120900810685589</v>
      </c>
      <c r="CU18" s="1220">
        <v>1</v>
      </c>
      <c r="CV18" s="1092">
        <v>0.90120900810685589</v>
      </c>
      <c r="CW18" s="101" t="s">
        <v>3556</v>
      </c>
    </row>
    <row r="19" spans="1:101" s="1140" customFormat="1" ht="69.75" customHeight="1">
      <c r="A19" s="1428"/>
      <c r="B19" s="2713" t="s">
        <v>1288</v>
      </c>
      <c r="C19" s="790"/>
      <c r="D19" s="2713" t="s">
        <v>274</v>
      </c>
      <c r="E19" s="2713" t="s">
        <v>275</v>
      </c>
      <c r="F19" s="2713" t="s">
        <v>276</v>
      </c>
      <c r="G19" s="2713" t="s">
        <v>66</v>
      </c>
      <c r="H19" s="2713" t="s">
        <v>394</v>
      </c>
      <c r="I19" s="2713" t="s">
        <v>267</v>
      </c>
      <c r="J19" s="790" t="s">
        <v>2364</v>
      </c>
      <c r="K19" s="1855"/>
      <c r="L19" s="1855"/>
      <c r="M19" s="1855">
        <v>0.09</v>
      </c>
      <c r="N19" s="1855">
        <v>0.08</v>
      </c>
      <c r="O19" s="1855">
        <v>0.09</v>
      </c>
      <c r="P19" s="1855">
        <v>0.2</v>
      </c>
      <c r="Q19" s="1855">
        <v>0.2</v>
      </c>
      <c r="R19" s="1855">
        <v>0.25</v>
      </c>
      <c r="S19" s="1855">
        <v>0.09</v>
      </c>
      <c r="T19" s="1855"/>
      <c r="U19" s="1855"/>
      <c r="V19" s="1855"/>
      <c r="W19" s="8" t="s">
        <v>3414</v>
      </c>
      <c r="X19" s="1848">
        <v>0</v>
      </c>
      <c r="Y19" s="1849">
        <v>0</v>
      </c>
      <c r="Z19" s="1091" t="str">
        <f t="shared" si="0"/>
        <v xml:space="preserve"> </v>
      </c>
      <c r="AA19" s="309">
        <v>0</v>
      </c>
      <c r="AB19" s="1092" t="str">
        <f t="shared" si="1"/>
        <v xml:space="preserve"> </v>
      </c>
      <c r="AC19" s="1122" t="s">
        <v>3415</v>
      </c>
      <c r="AD19" s="1849">
        <v>0</v>
      </c>
      <c r="AE19" s="1849">
        <v>0</v>
      </c>
      <c r="AF19" s="1091" t="str">
        <f t="shared" si="24"/>
        <v xml:space="preserve"> </v>
      </c>
      <c r="AG19" s="309">
        <v>0</v>
      </c>
      <c r="AH19" s="1092" t="str">
        <f t="shared" si="2"/>
        <v xml:space="preserve"> </v>
      </c>
      <c r="AI19" s="1122" t="s">
        <v>3415</v>
      </c>
      <c r="AJ19" s="1856">
        <v>1188782359</v>
      </c>
      <c r="AK19" s="1856">
        <v>7457783298</v>
      </c>
      <c r="AL19" s="1091">
        <f>+AJ19/AK19</f>
        <v>0.15940156900493518</v>
      </c>
      <c r="AM19" s="309">
        <v>0.09</v>
      </c>
      <c r="AN19" s="1092">
        <f>IF(AK19=0," ",AL19/AM19)</f>
        <v>1.7711285444992799</v>
      </c>
      <c r="AO19" s="1122" t="s">
        <v>3557</v>
      </c>
      <c r="AP19" s="1856">
        <v>664407130</v>
      </c>
      <c r="AQ19" s="1856">
        <f>+AK19</f>
        <v>7457783298</v>
      </c>
      <c r="AR19" s="1091">
        <f>+AP19/AQ19</f>
        <v>8.9089090343799374E-2</v>
      </c>
      <c r="AS19" s="309">
        <v>0.08</v>
      </c>
      <c r="AT19" s="1092">
        <f t="shared" si="26"/>
        <v>1.1136136292974921</v>
      </c>
      <c r="AU19" s="1122" t="s">
        <v>3558</v>
      </c>
      <c r="AV19" s="1856">
        <v>875939646</v>
      </c>
      <c r="AW19" s="1856">
        <f>+AK19</f>
        <v>7457783298</v>
      </c>
      <c r="AX19" s="1091">
        <f>+AV19/AW19</f>
        <v>0.11745308371120225</v>
      </c>
      <c r="AY19" s="309">
        <v>0.09</v>
      </c>
      <c r="AZ19" s="1092">
        <f t="shared" si="30"/>
        <v>1.3050342634578027</v>
      </c>
      <c r="BA19" s="1122" t="s">
        <v>3558</v>
      </c>
      <c r="BB19" s="1857">
        <v>621032869</v>
      </c>
      <c r="BC19" s="1856">
        <v>7457783298</v>
      </c>
      <c r="BD19" s="1091">
        <v>8.3273118054602926E-2</v>
      </c>
      <c r="BE19" s="309">
        <v>0.2</v>
      </c>
      <c r="BF19" s="1092">
        <f t="shared" si="9"/>
        <v>0.41636559027301462</v>
      </c>
      <c r="BG19" s="1122" t="s">
        <v>3559</v>
      </c>
      <c r="BH19" s="1856">
        <v>944397675</v>
      </c>
      <c r="BI19" s="1856">
        <v>7457783298</v>
      </c>
      <c r="BJ19" s="1091">
        <v>0.1266324908171125</v>
      </c>
      <c r="BK19" s="309">
        <v>0.2</v>
      </c>
      <c r="BL19" s="1092">
        <f t="shared" si="11"/>
        <v>0.63316245408556249</v>
      </c>
      <c r="BM19" s="1122" t="s">
        <v>3559</v>
      </c>
      <c r="BN19" s="1856">
        <v>2016929511</v>
      </c>
      <c r="BO19" s="1856">
        <v>7457783298</v>
      </c>
      <c r="BP19" s="1091">
        <f>+BN19/BO19</f>
        <v>0.2704462479542537</v>
      </c>
      <c r="BQ19" s="309">
        <v>0.25</v>
      </c>
      <c r="BR19" s="1092">
        <f t="shared" si="25"/>
        <v>1.0817849918170148</v>
      </c>
      <c r="BS19" s="1122" t="s">
        <v>3558</v>
      </c>
      <c r="BT19" s="1854">
        <v>637975444</v>
      </c>
      <c r="BU19" s="1854">
        <f>+BI19</f>
        <v>7457783298</v>
      </c>
      <c r="BV19" s="1091">
        <f>+BT19/BU19</f>
        <v>8.554491576217961E-2</v>
      </c>
      <c r="BW19" s="309">
        <v>0.09</v>
      </c>
      <c r="BX19" s="1092">
        <f t="shared" si="27"/>
        <v>0.95049906402421791</v>
      </c>
      <c r="BY19" s="25" t="s">
        <v>3560</v>
      </c>
      <c r="BZ19" s="1854">
        <v>847285921</v>
      </c>
      <c r="CA19" s="1854">
        <f>+BO19</f>
        <v>7457783298</v>
      </c>
      <c r="CB19" s="1091">
        <f>+BZ19/CA19</f>
        <v>0.11361096013975384</v>
      </c>
      <c r="CC19" s="1220">
        <v>0.22</v>
      </c>
      <c r="CD19" s="1092">
        <f t="shared" si="28"/>
        <v>0.51641345518069925</v>
      </c>
      <c r="CE19" s="25" t="s">
        <v>3561</v>
      </c>
      <c r="CF19" s="1856">
        <v>156960060</v>
      </c>
      <c r="CG19" s="1856">
        <v>7457783298</v>
      </c>
      <c r="CH19" s="1091">
        <f>+CF19/CG19</f>
        <v>2.1046476376176411E-2</v>
      </c>
      <c r="CI19" s="309">
        <v>0.09</v>
      </c>
      <c r="CJ19" s="1092">
        <f t="shared" si="23"/>
        <v>0.23384973751307125</v>
      </c>
      <c r="CK19" s="1122" t="s">
        <v>3562</v>
      </c>
      <c r="CL19" s="1848">
        <v>0</v>
      </c>
      <c r="CM19" s="1849">
        <v>0</v>
      </c>
      <c r="CN19" s="1091" t="str">
        <f t="shared" si="29"/>
        <v xml:space="preserve"> </v>
      </c>
      <c r="CO19" s="1220">
        <v>0</v>
      </c>
      <c r="CP19" s="1092" t="str">
        <f t="shared" si="19"/>
        <v xml:space="preserve"> </v>
      </c>
      <c r="CQ19" s="25" t="s">
        <v>3548</v>
      </c>
      <c r="CR19" s="1857">
        <v>7038971851</v>
      </c>
      <c r="CS19" s="1856">
        <v>7460113263</v>
      </c>
      <c r="CT19" s="1091">
        <v>0.94354758471446543</v>
      </c>
      <c r="CU19" s="1220">
        <v>1</v>
      </c>
      <c r="CV19" s="1092">
        <v>0.94354758471446543</v>
      </c>
      <c r="CW19" s="101" t="s">
        <v>3563</v>
      </c>
    </row>
    <row r="20" spans="1:101" s="1140" customFormat="1" ht="69.75" customHeight="1">
      <c r="A20" s="1428"/>
      <c r="B20" s="2714"/>
      <c r="C20" s="790"/>
      <c r="D20" s="2714"/>
      <c r="E20" s="2714"/>
      <c r="F20" s="2714"/>
      <c r="G20" s="2714"/>
      <c r="H20" s="2714"/>
      <c r="I20" s="2714"/>
      <c r="J20" s="790" t="s">
        <v>2278</v>
      </c>
      <c r="K20" s="1220"/>
      <c r="L20" s="1220"/>
      <c r="M20" s="1855">
        <f>+M19</f>
        <v>0.09</v>
      </c>
      <c r="N20" s="1855">
        <f t="shared" ref="N20:S20" si="31">+M20+N19</f>
        <v>0.16999999999999998</v>
      </c>
      <c r="O20" s="1855">
        <f t="shared" si="31"/>
        <v>0.26</v>
      </c>
      <c r="P20" s="1855">
        <f t="shared" si="31"/>
        <v>0.46</v>
      </c>
      <c r="Q20" s="1855">
        <f t="shared" si="31"/>
        <v>0.66</v>
      </c>
      <c r="R20" s="1855">
        <f t="shared" si="31"/>
        <v>0.91</v>
      </c>
      <c r="S20" s="1855">
        <f t="shared" si="31"/>
        <v>1</v>
      </c>
      <c r="T20" s="1220"/>
      <c r="U20" s="1220"/>
      <c r="V20" s="1220">
        <v>1</v>
      </c>
      <c r="W20" s="8" t="s">
        <v>3414</v>
      </c>
      <c r="X20" s="1848">
        <v>0</v>
      </c>
      <c r="Y20" s="1849">
        <v>0</v>
      </c>
      <c r="Z20" s="1091" t="str">
        <f t="shared" si="0"/>
        <v xml:space="preserve"> </v>
      </c>
      <c r="AA20" s="309">
        <v>0</v>
      </c>
      <c r="AB20" s="1092" t="str">
        <f t="shared" si="1"/>
        <v xml:space="preserve"> </v>
      </c>
      <c r="AC20" s="1122" t="s">
        <v>3415</v>
      </c>
      <c r="AD20" s="1849">
        <v>0</v>
      </c>
      <c r="AE20" s="1849">
        <v>0</v>
      </c>
      <c r="AF20" s="1091" t="str">
        <f t="shared" si="24"/>
        <v xml:space="preserve"> </v>
      </c>
      <c r="AG20" s="309">
        <v>0</v>
      </c>
      <c r="AH20" s="1092" t="str">
        <f t="shared" si="2"/>
        <v xml:space="preserve"> </v>
      </c>
      <c r="AI20" s="1122" t="s">
        <v>3415</v>
      </c>
      <c r="AJ20" s="1856">
        <v>1188782359</v>
      </c>
      <c r="AK20" s="1856">
        <v>7457783298</v>
      </c>
      <c r="AL20" s="1091">
        <f>+AJ20/AK20</f>
        <v>0.15940156900493518</v>
      </c>
      <c r="AM20" s="309">
        <v>0.09</v>
      </c>
      <c r="AN20" s="1092">
        <f>IF(AK20=0," ",AL20/AM20)</f>
        <v>1.7711285444992799</v>
      </c>
      <c r="AO20" s="1122" t="s">
        <v>3557</v>
      </c>
      <c r="AP20" s="1856">
        <f>+AP19+AJ19</f>
        <v>1853189489</v>
      </c>
      <c r="AQ20" s="1856">
        <f>+AK20</f>
        <v>7457783298</v>
      </c>
      <c r="AR20" s="1091">
        <f>+AP20/AQ20</f>
        <v>0.24849065934873454</v>
      </c>
      <c r="AS20" s="309">
        <v>0.17</v>
      </c>
      <c r="AT20" s="1092">
        <f t="shared" si="26"/>
        <v>1.461709760874909</v>
      </c>
      <c r="AU20" s="1122" t="s">
        <v>3564</v>
      </c>
      <c r="AV20" s="1856">
        <f>+AV19+AP19</f>
        <v>1540346776</v>
      </c>
      <c r="AW20" s="1856">
        <f>+AK20</f>
        <v>7457783298</v>
      </c>
      <c r="AX20" s="1091">
        <f>+AV20/AW20</f>
        <v>0.20654217405500161</v>
      </c>
      <c r="AY20" s="309">
        <v>0.26</v>
      </c>
      <c r="AZ20" s="1092">
        <f t="shared" si="30"/>
        <v>0.79439297713462154</v>
      </c>
      <c r="BA20" s="1122" t="s">
        <v>3565</v>
      </c>
      <c r="BB20" s="1857">
        <v>2161379645</v>
      </c>
      <c r="BC20" s="1856">
        <v>7457783298</v>
      </c>
      <c r="BD20" s="1091">
        <v>0.28981529210960455</v>
      </c>
      <c r="BE20" s="309">
        <v>0.46</v>
      </c>
      <c r="BF20" s="1092">
        <f t="shared" si="9"/>
        <v>0.63003324371653158</v>
      </c>
      <c r="BG20" s="1122" t="s">
        <v>3566</v>
      </c>
      <c r="BH20" s="1849">
        <v>3105777320</v>
      </c>
      <c r="BI20" s="1849">
        <v>7457783298</v>
      </c>
      <c r="BJ20" s="1091">
        <v>0.41644778292671708</v>
      </c>
      <c r="BK20" s="309">
        <v>0.66</v>
      </c>
      <c r="BL20" s="1092">
        <f t="shared" si="11"/>
        <v>0.63098148928290465</v>
      </c>
      <c r="BM20" s="1122" t="s">
        <v>3567</v>
      </c>
      <c r="BN20" s="1856">
        <v>5122706831</v>
      </c>
      <c r="BO20" s="1856">
        <v>7457783298</v>
      </c>
      <c r="BP20" s="1091">
        <f>+BN20/BO20</f>
        <v>0.68689403088097079</v>
      </c>
      <c r="BQ20" s="309">
        <v>0.91</v>
      </c>
      <c r="BR20" s="1092">
        <f t="shared" si="25"/>
        <v>0.75482860536370411</v>
      </c>
      <c r="BS20" s="1122" t="s">
        <v>3568</v>
      </c>
      <c r="BT20" s="1854">
        <f>+BT19+BN20</f>
        <v>5760682275</v>
      </c>
      <c r="BU20" s="1854">
        <f>+BI20</f>
        <v>7457783298</v>
      </c>
      <c r="BV20" s="1091">
        <f>+BT20/BU20</f>
        <v>0.77243894664315038</v>
      </c>
      <c r="BW20" s="309">
        <v>1</v>
      </c>
      <c r="BX20" s="1092">
        <f t="shared" si="27"/>
        <v>0.77243894664315038</v>
      </c>
      <c r="BY20" s="25" t="s">
        <v>3569</v>
      </c>
      <c r="BZ20" s="1854">
        <f>+BZ19+BT20</f>
        <v>6607968196</v>
      </c>
      <c r="CA20" s="1854">
        <f>+BO20</f>
        <v>7457783298</v>
      </c>
      <c r="CB20" s="1091">
        <f>+BZ20/CA20</f>
        <v>0.88604990678290418</v>
      </c>
      <c r="CC20" s="1220">
        <v>1</v>
      </c>
      <c r="CD20" s="1092">
        <f t="shared" si="28"/>
        <v>0.88604990678290418</v>
      </c>
      <c r="CE20" s="25" t="s">
        <v>3570</v>
      </c>
      <c r="CF20" s="1856">
        <v>6764928256</v>
      </c>
      <c r="CG20" s="1856">
        <v>7457783298</v>
      </c>
      <c r="CH20" s="1091">
        <f>+CF20/CG20</f>
        <v>0.90709638315908059</v>
      </c>
      <c r="CI20" s="309">
        <v>1</v>
      </c>
      <c r="CJ20" s="1092">
        <f t="shared" si="23"/>
        <v>0.90709638315908059</v>
      </c>
      <c r="CK20" s="1122" t="s">
        <v>3571</v>
      </c>
      <c r="CL20" s="1848">
        <v>0</v>
      </c>
      <c r="CM20" s="1849">
        <v>0</v>
      </c>
      <c r="CN20" s="1091" t="str">
        <f t="shared" si="29"/>
        <v xml:space="preserve"> </v>
      </c>
      <c r="CO20" s="1220">
        <v>0</v>
      </c>
      <c r="CP20" s="1092" t="str">
        <f t="shared" si="19"/>
        <v xml:space="preserve"> </v>
      </c>
      <c r="CQ20" s="25" t="s">
        <v>3548</v>
      </c>
      <c r="CR20" s="1857">
        <v>7038971851</v>
      </c>
      <c r="CS20" s="1856">
        <v>7460113263</v>
      </c>
      <c r="CT20" s="1091">
        <v>0.94354758471446543</v>
      </c>
      <c r="CU20" s="1220">
        <v>1</v>
      </c>
      <c r="CV20" s="1092">
        <v>0.94354758471446543</v>
      </c>
      <c r="CW20" s="101" t="s">
        <v>3572</v>
      </c>
    </row>
    <row r="21" spans="1:101" s="1140" customFormat="1" ht="75.75" customHeight="1">
      <c r="A21" s="1428"/>
      <c r="B21" s="8" t="s">
        <v>55</v>
      </c>
      <c r="C21" s="8"/>
      <c r="D21" s="8" t="s">
        <v>3573</v>
      </c>
      <c r="E21" s="8" t="s">
        <v>57</v>
      </c>
      <c r="F21" s="8" t="s">
        <v>58</v>
      </c>
      <c r="G21" s="8" t="s">
        <v>53</v>
      </c>
      <c r="H21" s="8" t="s">
        <v>1504</v>
      </c>
      <c r="I21" s="8" t="s">
        <v>1505</v>
      </c>
      <c r="J21" s="8" t="s">
        <v>54</v>
      </c>
      <c r="K21" s="12"/>
      <c r="L21" s="12"/>
      <c r="M21" s="12">
        <v>1</v>
      </c>
      <c r="N21" s="12"/>
      <c r="O21" s="12"/>
      <c r="P21" s="12">
        <v>1</v>
      </c>
      <c r="Q21" s="12"/>
      <c r="R21" s="12"/>
      <c r="S21" s="12">
        <v>1</v>
      </c>
      <c r="T21" s="12"/>
      <c r="U21" s="12"/>
      <c r="V21" s="12">
        <v>1</v>
      </c>
      <c r="W21" s="8" t="s">
        <v>3414</v>
      </c>
      <c r="X21" s="1848">
        <v>0</v>
      </c>
      <c r="Y21" s="1849">
        <v>0</v>
      </c>
      <c r="Z21" s="1091" t="str">
        <f t="shared" si="0"/>
        <v xml:space="preserve"> </v>
      </c>
      <c r="AA21" s="309">
        <v>0</v>
      </c>
      <c r="AB21" s="1092" t="str">
        <f t="shared" si="1"/>
        <v xml:space="preserve"> </v>
      </c>
      <c r="AC21" s="1122" t="s">
        <v>3415</v>
      </c>
      <c r="AD21" s="1848">
        <v>0</v>
      </c>
      <c r="AE21" s="1849">
        <v>0</v>
      </c>
      <c r="AF21" s="1091" t="str">
        <f t="shared" si="24"/>
        <v xml:space="preserve"> </v>
      </c>
      <c r="AG21" s="309">
        <v>0</v>
      </c>
      <c r="AH21" s="1092" t="str">
        <f t="shared" si="2"/>
        <v xml:space="preserve"> </v>
      </c>
      <c r="AI21" s="1122" t="s">
        <v>3415</v>
      </c>
      <c r="AJ21" s="1849">
        <v>0</v>
      </c>
      <c r="AK21" s="1849">
        <v>100</v>
      </c>
      <c r="AL21" s="1091">
        <f>+AJ21/AK21</f>
        <v>0</v>
      </c>
      <c r="AM21" s="309">
        <v>1</v>
      </c>
      <c r="AN21" s="1092">
        <f>IF(AK21=0," ",AL21/AM21)</f>
        <v>0</v>
      </c>
      <c r="AO21" s="215" t="s">
        <v>3574</v>
      </c>
      <c r="AP21" s="1848">
        <v>0</v>
      </c>
      <c r="AQ21" s="1849">
        <v>0</v>
      </c>
      <c r="AR21" s="1091" t="str">
        <f>IF(AQ21=0," ",AP21/AQ21)</f>
        <v xml:space="preserve"> </v>
      </c>
      <c r="AS21" s="309">
        <v>0</v>
      </c>
      <c r="AT21" s="1092" t="str">
        <f t="shared" si="26"/>
        <v xml:space="preserve"> </v>
      </c>
      <c r="AU21" s="1122" t="s">
        <v>3415</v>
      </c>
      <c r="AV21" s="1849">
        <v>0</v>
      </c>
      <c r="AW21" s="1849">
        <v>0</v>
      </c>
      <c r="AX21" s="1091" t="str">
        <f>IF(AW21=0," ",AV21/AW21)</f>
        <v xml:space="preserve"> </v>
      </c>
      <c r="AY21" s="309">
        <v>0</v>
      </c>
      <c r="AZ21" s="1092" t="str">
        <f t="shared" si="30"/>
        <v xml:space="preserve"> </v>
      </c>
      <c r="BA21" s="1122" t="s">
        <v>3415</v>
      </c>
      <c r="BB21" s="1848">
        <v>0</v>
      </c>
      <c r="BC21" s="1849">
        <v>100</v>
      </c>
      <c r="BD21" s="1091">
        <f>IF(BC21=0," ",BB21/BC21)</f>
        <v>0</v>
      </c>
      <c r="BE21" s="309">
        <v>1</v>
      </c>
      <c r="BF21" s="1092">
        <f t="shared" si="9"/>
        <v>0</v>
      </c>
      <c r="BG21" s="215" t="s">
        <v>3575</v>
      </c>
      <c r="BH21" s="1849">
        <v>0</v>
      </c>
      <c r="BI21" s="1849">
        <v>0</v>
      </c>
      <c r="BJ21" s="1091" t="str">
        <f>IF(BI21=0," ",BH21/BI21)</f>
        <v xml:space="preserve"> </v>
      </c>
      <c r="BK21" s="309">
        <v>0</v>
      </c>
      <c r="BL21" s="1092" t="str">
        <f t="shared" si="11"/>
        <v xml:space="preserve"> </v>
      </c>
      <c r="BM21" s="25" t="s">
        <v>3415</v>
      </c>
      <c r="BN21" s="1849">
        <v>0</v>
      </c>
      <c r="BO21" s="1849">
        <v>0</v>
      </c>
      <c r="BP21" s="1091" t="str">
        <f>IF(BO21=0," ",BN21/BO21)</f>
        <v xml:space="preserve"> </v>
      </c>
      <c r="BQ21" s="309">
        <v>0</v>
      </c>
      <c r="BR21" s="1092" t="str">
        <f t="shared" si="25"/>
        <v xml:space="preserve"> </v>
      </c>
      <c r="BS21" s="25" t="s">
        <v>3415</v>
      </c>
      <c r="BT21" s="231">
        <v>0</v>
      </c>
      <c r="BU21" s="568">
        <v>1</v>
      </c>
      <c r="BV21" s="22">
        <f>IF(BU21=0," ",BT21/BU21)</f>
        <v>0</v>
      </c>
      <c r="BW21" s="58">
        <v>1</v>
      </c>
      <c r="BX21" s="24">
        <f t="shared" si="27"/>
        <v>0</v>
      </c>
      <c r="BY21" s="25" t="s">
        <v>1556</v>
      </c>
      <c r="BZ21" s="1848">
        <v>0</v>
      </c>
      <c r="CA21" s="1849">
        <v>0</v>
      </c>
      <c r="CB21" s="1091" t="str">
        <f>IF(CA21=0," ",BZ21/CA21)</f>
        <v xml:space="preserve"> </v>
      </c>
      <c r="CC21" s="1220">
        <v>0</v>
      </c>
      <c r="CD21" s="1092" t="str">
        <f t="shared" si="28"/>
        <v xml:space="preserve"> </v>
      </c>
      <c r="CE21" s="25" t="s">
        <v>3415</v>
      </c>
      <c r="CF21" s="1848">
        <v>0</v>
      </c>
      <c r="CG21" s="1849">
        <v>0</v>
      </c>
      <c r="CH21" s="1091" t="str">
        <f>IF(CG21=0," ",CF21/CG21)</f>
        <v xml:space="preserve"> </v>
      </c>
      <c r="CI21" s="1220">
        <v>0</v>
      </c>
      <c r="CJ21" s="1092" t="str">
        <f t="shared" si="23"/>
        <v xml:space="preserve"> </v>
      </c>
      <c r="CK21" s="25" t="s">
        <v>3415</v>
      </c>
      <c r="CL21" s="1848">
        <v>0</v>
      </c>
      <c r="CM21" s="1849">
        <v>100</v>
      </c>
      <c r="CN21" s="1091">
        <f t="shared" si="29"/>
        <v>0</v>
      </c>
      <c r="CO21" s="1220">
        <v>1</v>
      </c>
      <c r="CP21" s="1092">
        <f t="shared" si="19"/>
        <v>0</v>
      </c>
      <c r="CQ21" s="25" t="s">
        <v>326</v>
      </c>
      <c r="CR21" s="653">
        <f>AVERAGE(AJ21,BB21,BT21,CL21)</f>
        <v>0</v>
      </c>
      <c r="CS21" s="21">
        <v>100</v>
      </c>
      <c r="CT21" s="22">
        <f>IF(CS21=0," ",CR21/CS21)</f>
        <v>0</v>
      </c>
      <c r="CU21" s="23">
        <v>1</v>
      </c>
      <c r="CV21" s="24">
        <f>IF(CS21=0," ",CT21/CU21)</f>
        <v>0</v>
      </c>
      <c r="CW21" s="25" t="s">
        <v>327</v>
      </c>
    </row>
    <row r="22" spans="1:101" s="1140" customFormat="1" ht="132" customHeight="1">
      <c r="A22" s="1428"/>
      <c r="B22" s="8" t="s">
        <v>55</v>
      </c>
      <c r="C22" s="8"/>
      <c r="D22" s="8" t="s">
        <v>1511</v>
      </c>
      <c r="E22" s="8" t="s">
        <v>57</v>
      </c>
      <c r="F22" s="8" t="s">
        <v>62</v>
      </c>
      <c r="G22" s="8" t="s">
        <v>53</v>
      </c>
      <c r="H22" s="8" t="s">
        <v>1512</v>
      </c>
      <c r="I22" s="8" t="s">
        <v>1513</v>
      </c>
      <c r="J22" s="8" t="s">
        <v>54</v>
      </c>
      <c r="K22" s="12"/>
      <c r="L22" s="12"/>
      <c r="M22" s="12"/>
      <c r="N22" s="12"/>
      <c r="O22" s="12"/>
      <c r="P22" s="12" t="s">
        <v>317</v>
      </c>
      <c r="Q22" s="12"/>
      <c r="R22" s="12" t="s">
        <v>318</v>
      </c>
      <c r="S22" s="12"/>
      <c r="T22" s="12" t="s">
        <v>319</v>
      </c>
      <c r="U22" s="12"/>
      <c r="V22" s="12" t="s">
        <v>320</v>
      </c>
      <c r="W22" s="8" t="s">
        <v>3414</v>
      </c>
      <c r="X22" s="1848">
        <v>0</v>
      </c>
      <c r="Y22" s="1849">
        <v>0</v>
      </c>
      <c r="Z22" s="1091" t="str">
        <f t="shared" si="0"/>
        <v xml:space="preserve"> </v>
      </c>
      <c r="AA22" s="309">
        <v>0</v>
      </c>
      <c r="AB22" s="1092" t="str">
        <f t="shared" si="1"/>
        <v xml:space="preserve"> </v>
      </c>
      <c r="AC22" s="1122" t="s">
        <v>3415</v>
      </c>
      <c r="AD22" s="1848">
        <v>0</v>
      </c>
      <c r="AE22" s="1849">
        <v>0</v>
      </c>
      <c r="AF22" s="1091" t="str">
        <f t="shared" si="24"/>
        <v xml:space="preserve"> </v>
      </c>
      <c r="AG22" s="309">
        <v>0</v>
      </c>
      <c r="AH22" s="1092" t="str">
        <f t="shared" si="2"/>
        <v xml:space="preserve"> </v>
      </c>
      <c r="AI22" s="1122" t="s">
        <v>3415</v>
      </c>
      <c r="AJ22" s="1848">
        <v>0</v>
      </c>
      <c r="AK22" s="1849">
        <v>0</v>
      </c>
      <c r="AL22" s="1091" t="str">
        <f>IF(AK22=0," ",AJ22/AK22)</f>
        <v xml:space="preserve"> </v>
      </c>
      <c r="AM22" s="309">
        <v>0</v>
      </c>
      <c r="AN22" s="1092" t="str">
        <f>IF(AK22=0," ",AL22/AM22)</f>
        <v xml:space="preserve"> </v>
      </c>
      <c r="AO22" s="1122" t="s">
        <v>3415</v>
      </c>
      <c r="AP22" s="1848">
        <v>0</v>
      </c>
      <c r="AQ22" s="1849">
        <v>0</v>
      </c>
      <c r="AR22" s="1091" t="str">
        <f>IF(AQ22=0," ",AP22/AQ22)</f>
        <v xml:space="preserve"> </v>
      </c>
      <c r="AS22" s="309">
        <v>0</v>
      </c>
      <c r="AT22" s="1092" t="str">
        <f t="shared" si="26"/>
        <v xml:space="preserve"> </v>
      </c>
      <c r="AU22" s="1122" t="s">
        <v>3415</v>
      </c>
      <c r="AV22" s="1849">
        <v>0</v>
      </c>
      <c r="AW22" s="1849">
        <v>0</v>
      </c>
      <c r="AX22" s="1091" t="str">
        <f>IF(AW22=0," ",AV22/AW22)</f>
        <v xml:space="preserve"> </v>
      </c>
      <c r="AY22" s="309">
        <v>0</v>
      </c>
      <c r="AZ22" s="1092" t="str">
        <f t="shared" si="30"/>
        <v xml:space="preserve"> </v>
      </c>
      <c r="BA22" s="1122" t="s">
        <v>3415</v>
      </c>
      <c r="BB22" s="1849">
        <v>1</v>
      </c>
      <c r="BC22" s="1849">
        <v>1</v>
      </c>
      <c r="BD22" s="1091">
        <v>1</v>
      </c>
      <c r="BE22" s="309">
        <v>1</v>
      </c>
      <c r="BF22" s="1092">
        <f t="shared" si="9"/>
        <v>1</v>
      </c>
      <c r="BG22" s="215" t="s">
        <v>3576</v>
      </c>
      <c r="BH22" s="1849">
        <v>0</v>
      </c>
      <c r="BI22" s="1849">
        <v>0</v>
      </c>
      <c r="BJ22" s="1091" t="str">
        <f>IF(BI22=0," ",BH22/BI22)</f>
        <v xml:space="preserve"> </v>
      </c>
      <c r="BK22" s="309">
        <v>0</v>
      </c>
      <c r="BL22" s="1092" t="str">
        <f t="shared" si="11"/>
        <v xml:space="preserve"> </v>
      </c>
      <c r="BM22" s="25" t="s">
        <v>3415</v>
      </c>
      <c r="BN22" s="1849">
        <v>1</v>
      </c>
      <c r="BO22" s="1849">
        <v>2</v>
      </c>
      <c r="BP22" s="1091">
        <f>IF(BO22=0," ",BN22/BO22)</f>
        <v>0.5</v>
      </c>
      <c r="BQ22" s="309">
        <v>1</v>
      </c>
      <c r="BR22" s="1092">
        <f t="shared" si="25"/>
        <v>0.5</v>
      </c>
      <c r="BS22" s="1859" t="s">
        <v>3577</v>
      </c>
      <c r="BT22" s="1848">
        <v>0</v>
      </c>
      <c r="BU22" s="1849">
        <v>0</v>
      </c>
      <c r="BV22" s="1091" t="str">
        <f>IF(BU22=0," ",BT22/BU22)</f>
        <v xml:space="preserve"> </v>
      </c>
      <c r="BW22" s="309">
        <v>0</v>
      </c>
      <c r="BX22" s="1092" t="str">
        <f t="shared" si="27"/>
        <v xml:space="preserve"> </v>
      </c>
      <c r="BY22" s="25" t="s">
        <v>3415</v>
      </c>
      <c r="BZ22" s="1848">
        <v>0</v>
      </c>
      <c r="CA22" s="1849">
        <v>100</v>
      </c>
      <c r="CB22" s="1091">
        <f>IF(CA22=0," ",BZ22/CA22)</f>
        <v>0</v>
      </c>
      <c r="CC22" s="1220">
        <v>1</v>
      </c>
      <c r="CD22" s="1092">
        <f>IF(CA22=0," ",CB22/CC22)</f>
        <v>0</v>
      </c>
      <c r="CE22" s="25" t="s">
        <v>2426</v>
      </c>
      <c r="CF22" s="1848">
        <v>0</v>
      </c>
      <c r="CG22" s="1849">
        <v>0</v>
      </c>
      <c r="CH22" s="1091" t="str">
        <f>IF(CG22=0," ",CF22/CG22)</f>
        <v xml:space="preserve"> </v>
      </c>
      <c r="CI22" s="1220">
        <v>0</v>
      </c>
      <c r="CJ22" s="1092" t="str">
        <f t="shared" si="23"/>
        <v xml:space="preserve"> </v>
      </c>
      <c r="CK22" s="25" t="s">
        <v>3415</v>
      </c>
      <c r="CL22" s="1848">
        <v>0</v>
      </c>
      <c r="CM22" s="1849">
        <v>1</v>
      </c>
      <c r="CN22" s="1091">
        <f t="shared" si="29"/>
        <v>0</v>
      </c>
      <c r="CO22" s="1220">
        <v>1</v>
      </c>
      <c r="CP22" s="1092">
        <f t="shared" si="19"/>
        <v>0</v>
      </c>
      <c r="CQ22" s="25" t="s">
        <v>2426</v>
      </c>
      <c r="CR22" s="1848"/>
      <c r="CS22" s="1849"/>
      <c r="CT22" s="1091" t="str">
        <f>IF(CS22=0," ",CR22/CS22)</f>
        <v xml:space="preserve"> </v>
      </c>
      <c r="CU22" s="1220"/>
      <c r="CV22" s="1092">
        <v>0.25</v>
      </c>
      <c r="CW22" s="25"/>
    </row>
    <row r="23" spans="1:101" s="1140" customFormat="1" ht="14.25" customHeight="1">
      <c r="A23" s="1428"/>
      <c r="B23" s="33"/>
      <c r="C23" s="36"/>
      <c r="D23" s="35"/>
      <c r="E23" s="35"/>
      <c r="F23" s="36"/>
      <c r="G23" s="36"/>
      <c r="H23" s="35" t="s">
        <v>49</v>
      </c>
      <c r="I23" s="36"/>
      <c r="J23" s="36"/>
      <c r="K23" s="37"/>
      <c r="L23" s="37"/>
      <c r="M23" s="38"/>
      <c r="N23" s="37"/>
      <c r="O23" s="37"/>
      <c r="P23" s="39"/>
      <c r="Q23" s="39"/>
      <c r="R23" s="39"/>
      <c r="S23" s="39"/>
      <c r="T23" s="39"/>
      <c r="U23" s="39"/>
      <c r="V23" s="39"/>
      <c r="W23" s="48"/>
      <c r="X23" s="1860"/>
      <c r="Y23" s="1861"/>
      <c r="Z23" s="1091"/>
      <c r="AA23" s="1092"/>
      <c r="AB23" s="1092"/>
      <c r="AC23" s="1203"/>
      <c r="AD23" s="1203"/>
      <c r="AE23" s="1861"/>
      <c r="AF23" s="1861"/>
      <c r="AG23" s="1091"/>
      <c r="AH23" s="1092"/>
      <c r="AI23" s="1092"/>
      <c r="AJ23" s="1203"/>
      <c r="AK23" s="1861"/>
      <c r="AL23" s="1861"/>
      <c r="AM23" s="1091"/>
      <c r="AN23" s="1092"/>
      <c r="AO23" s="1092"/>
      <c r="AP23" s="1861"/>
      <c r="AQ23" s="1861"/>
      <c r="AR23" s="1091"/>
      <c r="AS23" s="1092"/>
      <c r="AT23" s="1092"/>
      <c r="AU23" s="1862"/>
      <c r="AV23" s="1203"/>
      <c r="AW23" s="1861"/>
      <c r="AX23" s="1861"/>
      <c r="AY23" s="1091"/>
      <c r="AZ23" s="1092"/>
      <c r="BA23" s="1092"/>
      <c r="BB23" s="1861"/>
      <c r="BC23" s="1861"/>
      <c r="BD23" s="1091"/>
      <c r="BE23" s="1092"/>
      <c r="BF23" s="1092"/>
      <c r="BG23" s="1862"/>
      <c r="BH23" s="1203"/>
      <c r="BI23" s="1861"/>
      <c r="BJ23" s="1861"/>
      <c r="BK23" s="1091"/>
      <c r="BL23" s="1092"/>
      <c r="BM23" s="1092"/>
      <c r="BN23" s="1861"/>
      <c r="BO23" s="1861"/>
      <c r="BP23" s="1091"/>
      <c r="BQ23" s="1092"/>
      <c r="BR23" s="1092"/>
      <c r="BS23" s="1862"/>
      <c r="BT23" s="1203"/>
      <c r="BU23" s="1861"/>
      <c r="BV23" s="1861"/>
      <c r="BW23" s="1091"/>
      <c r="BX23" s="1092"/>
      <c r="BY23" s="1092"/>
      <c r="BZ23" s="1861"/>
      <c r="CA23" s="1861"/>
      <c r="CB23" s="1091"/>
      <c r="CC23" s="1092"/>
      <c r="CD23" s="1092"/>
      <c r="CE23" s="1862"/>
      <c r="CF23" s="1203"/>
      <c r="CG23" s="1861"/>
      <c r="CH23" s="1861"/>
      <c r="CI23" s="1091"/>
      <c r="CJ23" s="1092"/>
      <c r="CK23" s="1092"/>
      <c r="CL23" s="1861"/>
      <c r="CM23" s="1861"/>
      <c r="CN23" s="1091"/>
      <c r="CO23" s="1092"/>
      <c r="CP23" s="1092"/>
      <c r="CQ23" s="1862"/>
      <c r="CR23" s="1203"/>
      <c r="CS23" s="1861"/>
      <c r="CT23" s="1861"/>
      <c r="CU23" s="1091"/>
      <c r="CV23" s="1092"/>
      <c r="CW23" s="1092"/>
    </row>
    <row r="24" spans="1:101" s="1140" customFormat="1" ht="87.75" customHeight="1">
      <c r="A24" s="1428"/>
      <c r="B24" s="8" t="s">
        <v>155</v>
      </c>
      <c r="C24" s="8" t="s">
        <v>156</v>
      </c>
      <c r="D24" s="13" t="s">
        <v>157</v>
      </c>
      <c r="E24" s="13" t="s">
        <v>158</v>
      </c>
      <c r="F24" s="8" t="s">
        <v>159</v>
      </c>
      <c r="G24" s="8" t="s">
        <v>53</v>
      </c>
      <c r="H24" s="13" t="s">
        <v>160</v>
      </c>
      <c r="I24" s="8" t="s">
        <v>161</v>
      </c>
      <c r="J24" s="8" t="s">
        <v>54</v>
      </c>
      <c r="K24" s="7"/>
      <c r="L24" s="7"/>
      <c r="M24" s="12"/>
      <c r="N24" s="7">
        <v>100</v>
      </c>
      <c r="O24" s="7"/>
      <c r="P24" s="7">
        <v>100</v>
      </c>
      <c r="Q24" s="74"/>
      <c r="R24" s="74"/>
      <c r="S24" s="7">
        <v>100</v>
      </c>
      <c r="T24" s="74"/>
      <c r="U24" s="74"/>
      <c r="V24" s="7">
        <v>100</v>
      </c>
      <c r="W24" s="8" t="s">
        <v>79</v>
      </c>
      <c r="X24" s="1848">
        <v>0</v>
      </c>
      <c r="Y24" s="1849">
        <v>0</v>
      </c>
      <c r="Z24" s="1091" t="str">
        <f t="shared" ref="Z24:Z29" si="32">IF(Y24=0," ",X24/Y24)</f>
        <v xml:space="preserve"> </v>
      </c>
      <c r="AA24" s="309">
        <v>0</v>
      </c>
      <c r="AB24" s="1092" t="str">
        <f t="shared" ref="AB24:AB29" si="33">IF(Y24=0," ",Z24/AA24)</f>
        <v xml:space="preserve"> </v>
      </c>
      <c r="AC24" s="1122" t="s">
        <v>3415</v>
      </c>
      <c r="AD24" s="1848">
        <v>0</v>
      </c>
      <c r="AE24" s="1849">
        <v>0</v>
      </c>
      <c r="AF24" s="1091" t="str">
        <f t="shared" ref="AF24:AF29" si="34">IF(AE24=0," ",AD24/AE24)</f>
        <v xml:space="preserve"> </v>
      </c>
      <c r="AG24" s="309">
        <v>0</v>
      </c>
      <c r="AH24" s="1092" t="str">
        <f t="shared" ref="AH24:AH29" si="35">IF(AE24=0," ",AF24/AG24)</f>
        <v xml:space="preserve"> </v>
      </c>
      <c r="AI24" s="1122" t="s">
        <v>3415</v>
      </c>
      <c r="AJ24" s="1848">
        <v>0</v>
      </c>
      <c r="AK24" s="1849">
        <v>0</v>
      </c>
      <c r="AL24" s="1091" t="str">
        <f>IF(AK24=0," ",AJ24/AK24)</f>
        <v xml:space="preserve"> </v>
      </c>
      <c r="AM24" s="309">
        <v>0</v>
      </c>
      <c r="AN24" s="1092" t="str">
        <f>IF(AK24=0," ",AL24/AM24)</f>
        <v xml:space="preserve"> </v>
      </c>
      <c r="AO24" s="1122" t="s">
        <v>3415</v>
      </c>
      <c r="AP24" s="1849">
        <f>5+10</f>
        <v>15</v>
      </c>
      <c r="AQ24" s="1849">
        <f>5+11</f>
        <v>16</v>
      </c>
      <c r="AR24" s="1091">
        <f>IF(AQ24=0," ",AP24/AQ24)</f>
        <v>0.9375</v>
      </c>
      <c r="AS24" s="309">
        <v>1</v>
      </c>
      <c r="AT24" s="1092">
        <f t="shared" ref="AT24:AT29" si="36">IF(AQ24=0," ",AR24/AS24)</f>
        <v>0.9375</v>
      </c>
      <c r="AU24" s="1122" t="s">
        <v>3578</v>
      </c>
      <c r="AV24" s="1849"/>
      <c r="AW24" s="1849"/>
      <c r="AX24" s="1091" t="str">
        <f>IF(AW24=0," ",AV24/AW24)</f>
        <v xml:space="preserve"> </v>
      </c>
      <c r="AY24" s="309"/>
      <c r="AZ24" s="1092" t="str">
        <f>IF(AW24=0," ",AX24/AY24)</f>
        <v xml:space="preserve"> </v>
      </c>
      <c r="BA24" s="1318" t="s">
        <v>148</v>
      </c>
      <c r="BB24" s="1849">
        <v>5</v>
      </c>
      <c r="BC24" s="1849">
        <v>15</v>
      </c>
      <c r="BD24" s="1091">
        <v>0.33333333333333331</v>
      </c>
      <c r="BE24" s="309">
        <v>1</v>
      </c>
      <c r="BF24" s="1092">
        <v>0.33333333333333331</v>
      </c>
      <c r="BG24" s="1122" t="s">
        <v>3579</v>
      </c>
      <c r="BH24" s="1849">
        <v>0</v>
      </c>
      <c r="BI24" s="1849">
        <v>0</v>
      </c>
      <c r="BJ24" s="1091" t="str">
        <f>IF(BI24=0," ",BH24/BI24)</f>
        <v xml:space="preserve"> </v>
      </c>
      <c r="BK24" s="309">
        <v>0</v>
      </c>
      <c r="BL24" s="1092" t="str">
        <f>IF(BI24=0," ",BJ24/BK24)</f>
        <v xml:space="preserve"> </v>
      </c>
      <c r="BM24" s="25" t="s">
        <v>3415</v>
      </c>
      <c r="BN24" s="1849">
        <v>0</v>
      </c>
      <c r="BO24" s="1849">
        <v>0</v>
      </c>
      <c r="BP24" s="1091" t="str">
        <f>IF(BO24=0," ",BN24/BO24)</f>
        <v xml:space="preserve"> </v>
      </c>
      <c r="BQ24" s="309">
        <v>0</v>
      </c>
      <c r="BR24" s="1092" t="str">
        <f t="shared" ref="BR24:BR29" si="37">IF(BO24=0," ",BP24/BQ24)</f>
        <v xml:space="preserve"> </v>
      </c>
      <c r="BS24" s="25" t="s">
        <v>3415</v>
      </c>
      <c r="BT24" s="231">
        <v>14</v>
      </c>
      <c r="BU24" s="568">
        <v>48</v>
      </c>
      <c r="BV24" s="22">
        <f t="shared" ref="BV24:BV29" si="38">IF(BU24=0," ",BT24/BU24)</f>
        <v>0.29166666666666669</v>
      </c>
      <c r="BW24" s="58">
        <v>1</v>
      </c>
      <c r="BX24" s="24">
        <f>IF(BU24=0," ",BV24/BW24)</f>
        <v>0.29166666666666669</v>
      </c>
      <c r="BY24" s="25" t="s">
        <v>3580</v>
      </c>
      <c r="BZ24" s="1848">
        <v>0</v>
      </c>
      <c r="CA24" s="1849">
        <v>0</v>
      </c>
      <c r="CB24" s="1091" t="str">
        <f>IF(CA24=0," ",BZ24/CA24)</f>
        <v xml:space="preserve"> </v>
      </c>
      <c r="CC24" s="1220">
        <v>0</v>
      </c>
      <c r="CD24" s="1092" t="str">
        <f t="shared" ref="CD24:CD29" si="39">IF(CA24=0," ",CB24/CC24)</f>
        <v xml:space="preserve"> </v>
      </c>
      <c r="CE24" s="25" t="s">
        <v>3415</v>
      </c>
      <c r="CF24" s="1848">
        <v>0</v>
      </c>
      <c r="CG24" s="1849">
        <v>0</v>
      </c>
      <c r="CH24" s="1091" t="str">
        <f>IF(CG24=0," ",CF24/CG24)</f>
        <v xml:space="preserve"> </v>
      </c>
      <c r="CI24" s="1220">
        <v>0</v>
      </c>
      <c r="CJ24" s="1092" t="str">
        <f t="shared" ref="CJ24:CJ29" si="40">IF(CG24=0," ",CH24/CI24)</f>
        <v xml:space="preserve"> </v>
      </c>
      <c r="CK24" s="25" t="s">
        <v>3415</v>
      </c>
      <c r="CL24" s="1848">
        <v>47</v>
      </c>
      <c r="CM24" s="1849">
        <v>47</v>
      </c>
      <c r="CN24" s="1091">
        <f>IF(CM24=0," ",CL24/CM24)</f>
        <v>1</v>
      </c>
      <c r="CO24" s="1220">
        <v>1</v>
      </c>
      <c r="CP24" s="1092">
        <f t="shared" ref="CP24:CP29" si="41">IF(CM24=0," ",CN24/CO24)</f>
        <v>1</v>
      </c>
      <c r="CQ24" s="25" t="s">
        <v>1421</v>
      </c>
      <c r="CR24" s="1848">
        <v>47</v>
      </c>
      <c r="CS24" s="1849">
        <v>47</v>
      </c>
      <c r="CT24" s="1091">
        <f>IF(CS24=0," ",CR24/CS24)</f>
        <v>1</v>
      </c>
      <c r="CU24" s="1220">
        <v>1</v>
      </c>
      <c r="CV24" s="1092">
        <f>IF(CS24=0," ",CT24/CU24)</f>
        <v>1</v>
      </c>
      <c r="CW24" s="25" t="s">
        <v>1421</v>
      </c>
    </row>
    <row r="25" spans="1:101" s="1140" customFormat="1" ht="84.75" customHeight="1">
      <c r="A25" s="1428"/>
      <c r="B25" s="8" t="s">
        <v>55</v>
      </c>
      <c r="C25" s="8" t="s">
        <v>89</v>
      </c>
      <c r="D25" s="8" t="s">
        <v>56</v>
      </c>
      <c r="E25" s="8" t="s">
        <v>57</v>
      </c>
      <c r="F25" s="403" t="s">
        <v>58</v>
      </c>
      <c r="G25" s="8" t="s">
        <v>53</v>
      </c>
      <c r="H25" s="403" t="s">
        <v>59</v>
      </c>
      <c r="I25" s="8" t="s">
        <v>60</v>
      </c>
      <c r="J25" s="8" t="s">
        <v>54</v>
      </c>
      <c r="K25" s="7"/>
      <c r="L25" s="7"/>
      <c r="M25" s="12">
        <v>1</v>
      </c>
      <c r="N25" s="7"/>
      <c r="O25" s="7"/>
      <c r="P25" s="12">
        <v>1</v>
      </c>
      <c r="Q25" s="12"/>
      <c r="R25" s="7"/>
      <c r="S25" s="12">
        <v>1</v>
      </c>
      <c r="T25" s="12"/>
      <c r="U25" s="7"/>
      <c r="V25" s="12">
        <v>1</v>
      </c>
      <c r="W25" s="8" t="s">
        <v>79</v>
      </c>
      <c r="X25" s="1848">
        <v>0</v>
      </c>
      <c r="Y25" s="1849">
        <v>0</v>
      </c>
      <c r="Z25" s="1091" t="str">
        <f t="shared" si="32"/>
        <v xml:space="preserve"> </v>
      </c>
      <c r="AA25" s="309">
        <v>0</v>
      </c>
      <c r="AB25" s="1092" t="str">
        <f t="shared" si="33"/>
        <v xml:space="preserve"> </v>
      </c>
      <c r="AC25" s="1122" t="s">
        <v>3415</v>
      </c>
      <c r="AD25" s="1848">
        <v>0</v>
      </c>
      <c r="AE25" s="1849">
        <v>0</v>
      </c>
      <c r="AF25" s="1091" t="str">
        <f t="shared" si="34"/>
        <v xml:space="preserve"> </v>
      </c>
      <c r="AG25" s="309">
        <v>0</v>
      </c>
      <c r="AH25" s="1092" t="str">
        <f t="shared" si="35"/>
        <v xml:space="preserve"> </v>
      </c>
      <c r="AI25" s="1122" t="s">
        <v>3415</v>
      </c>
      <c r="AJ25" s="21" t="s">
        <v>957</v>
      </c>
      <c r="AK25" s="21">
        <v>1</v>
      </c>
      <c r="AL25" s="22">
        <v>0</v>
      </c>
      <c r="AM25" s="23">
        <v>1</v>
      </c>
      <c r="AN25" s="24">
        <v>0</v>
      </c>
      <c r="AO25" s="215" t="s">
        <v>1509</v>
      </c>
      <c r="AP25" s="1848">
        <v>0</v>
      </c>
      <c r="AQ25" s="1849">
        <v>0</v>
      </c>
      <c r="AR25" s="1091" t="str">
        <f>IF(AQ25=0," ",AP25/AQ25)</f>
        <v xml:space="preserve"> </v>
      </c>
      <c r="AS25" s="309">
        <v>0</v>
      </c>
      <c r="AT25" s="1092" t="str">
        <f t="shared" si="36"/>
        <v xml:space="preserve"> </v>
      </c>
      <c r="AU25" s="1122" t="s">
        <v>3415</v>
      </c>
      <c r="AV25" s="1849"/>
      <c r="AW25" s="1849"/>
      <c r="AX25" s="1091" t="str">
        <f>IF(AW25=0," ",AV25/AW25)</f>
        <v xml:space="preserve"> </v>
      </c>
      <c r="AY25" s="309"/>
      <c r="AZ25" s="1092" t="str">
        <f>IF(AW25=0," ",AX25/AY25)</f>
        <v xml:space="preserve"> </v>
      </c>
      <c r="BA25" s="1318" t="s">
        <v>148</v>
      </c>
      <c r="BB25" s="21" t="s">
        <v>957</v>
      </c>
      <c r="BC25" s="21">
        <v>1</v>
      </c>
      <c r="BD25" s="22">
        <v>0</v>
      </c>
      <c r="BE25" s="23">
        <v>1</v>
      </c>
      <c r="BF25" s="24">
        <v>0</v>
      </c>
      <c r="BG25" s="215" t="s">
        <v>1509</v>
      </c>
      <c r="BH25" s="1849">
        <v>0</v>
      </c>
      <c r="BI25" s="1849">
        <v>0</v>
      </c>
      <c r="BJ25" s="1091" t="str">
        <f>IF(BI25=0," ",BH25/BI25)</f>
        <v xml:space="preserve"> </v>
      </c>
      <c r="BK25" s="309">
        <v>0</v>
      </c>
      <c r="BL25" s="1092" t="str">
        <f>IF(BI25=0," ",BJ25/BK25)</f>
        <v xml:space="preserve"> </v>
      </c>
      <c r="BM25" s="25" t="s">
        <v>3415</v>
      </c>
      <c r="BN25" s="1849">
        <v>0</v>
      </c>
      <c r="BO25" s="1849">
        <v>0</v>
      </c>
      <c r="BP25" s="1091" t="str">
        <f>IF(BO25=0," ",BN25/BO25)</f>
        <v xml:space="preserve"> </v>
      </c>
      <c r="BQ25" s="309">
        <v>0</v>
      </c>
      <c r="BR25" s="1092" t="str">
        <f t="shared" si="37"/>
        <v xml:space="preserve"> </v>
      </c>
      <c r="BS25" s="25" t="s">
        <v>3415</v>
      </c>
      <c r="BT25" s="231">
        <v>0</v>
      </c>
      <c r="BU25" s="568">
        <v>1</v>
      </c>
      <c r="BV25" s="22">
        <f t="shared" si="38"/>
        <v>0</v>
      </c>
      <c r="BW25" s="58">
        <v>1</v>
      </c>
      <c r="BX25" s="24">
        <f>IF(BU25=0," ",BV25/BW25)</f>
        <v>0</v>
      </c>
      <c r="BY25" s="25" t="s">
        <v>1556</v>
      </c>
      <c r="BZ25" s="1848">
        <v>0</v>
      </c>
      <c r="CA25" s="1849">
        <v>0</v>
      </c>
      <c r="CB25" s="1091" t="str">
        <f>IF(CA25=0," ",BZ25/CA25)</f>
        <v xml:space="preserve"> </v>
      </c>
      <c r="CC25" s="1220">
        <v>0</v>
      </c>
      <c r="CD25" s="1092" t="str">
        <f t="shared" si="39"/>
        <v xml:space="preserve"> </v>
      </c>
      <c r="CE25" s="25" t="s">
        <v>3415</v>
      </c>
      <c r="CF25" s="1848">
        <v>0</v>
      </c>
      <c r="CG25" s="1849">
        <v>0</v>
      </c>
      <c r="CH25" s="1091" t="str">
        <f>IF(CG25=0," ",CF25/CG25)</f>
        <v xml:space="preserve"> </v>
      </c>
      <c r="CI25" s="1220">
        <v>0</v>
      </c>
      <c r="CJ25" s="1092" t="str">
        <f t="shared" si="40"/>
        <v xml:space="preserve"> </v>
      </c>
      <c r="CK25" s="25" t="s">
        <v>3415</v>
      </c>
      <c r="CL25" s="1848">
        <v>0</v>
      </c>
      <c r="CM25" s="1849">
        <v>100</v>
      </c>
      <c r="CN25" s="1091">
        <f>IF(CM25=0," ",CL25/CM25)</f>
        <v>0</v>
      </c>
      <c r="CO25" s="1220">
        <v>1</v>
      </c>
      <c r="CP25" s="1092">
        <f t="shared" si="41"/>
        <v>0</v>
      </c>
      <c r="CQ25" s="25" t="s">
        <v>326</v>
      </c>
      <c r="CR25" s="653">
        <f>AVERAGE(AJ25,BB25,BT25,CL25)</f>
        <v>0</v>
      </c>
      <c r="CS25" s="21">
        <v>100</v>
      </c>
      <c r="CT25" s="22">
        <f>IF(CS25=0," ",CR25/CS25)</f>
        <v>0</v>
      </c>
      <c r="CU25" s="23">
        <v>1</v>
      </c>
      <c r="CV25" s="24">
        <f>IF(CS25=0," ",CT25/CU25)</f>
        <v>0</v>
      </c>
      <c r="CW25" s="25" t="s">
        <v>327</v>
      </c>
    </row>
    <row r="26" spans="1:101" s="1140" customFormat="1" ht="91.5" customHeight="1">
      <c r="A26" s="1428"/>
      <c r="B26" s="8" t="s">
        <v>55</v>
      </c>
      <c r="C26" s="8" t="s">
        <v>88</v>
      </c>
      <c r="D26" s="8" t="s">
        <v>61</v>
      </c>
      <c r="E26" s="8" t="s">
        <v>57</v>
      </c>
      <c r="F26" s="403" t="s">
        <v>62</v>
      </c>
      <c r="G26" s="8" t="s">
        <v>53</v>
      </c>
      <c r="H26" s="8" t="s">
        <v>63</v>
      </c>
      <c r="I26" s="8" t="s">
        <v>64</v>
      </c>
      <c r="J26" s="8" t="s">
        <v>54</v>
      </c>
      <c r="K26" s="387"/>
      <c r="L26" s="388">
        <v>1</v>
      </c>
      <c r="M26" s="388"/>
      <c r="N26" s="388">
        <v>1</v>
      </c>
      <c r="O26" s="387"/>
      <c r="P26" s="12">
        <v>1</v>
      </c>
      <c r="Q26" s="389"/>
      <c r="R26" s="12">
        <v>1</v>
      </c>
      <c r="S26" s="389"/>
      <c r="T26" s="12">
        <v>1</v>
      </c>
      <c r="U26" s="390"/>
      <c r="V26" s="12">
        <v>1</v>
      </c>
      <c r="W26" s="1863" t="s">
        <v>79</v>
      </c>
      <c r="X26" s="1864"/>
      <c r="Y26" s="1849"/>
      <c r="Z26" s="1091" t="str">
        <f t="shared" si="32"/>
        <v xml:space="preserve"> </v>
      </c>
      <c r="AA26" s="309"/>
      <c r="AB26" s="1092" t="str">
        <f t="shared" si="33"/>
        <v xml:space="preserve"> </v>
      </c>
      <c r="AC26" s="1106" t="s">
        <v>1280</v>
      </c>
      <c r="AD26" s="1848" t="s">
        <v>325</v>
      </c>
      <c r="AE26" s="1849"/>
      <c r="AF26" s="1091" t="str">
        <f t="shared" si="34"/>
        <v xml:space="preserve"> </v>
      </c>
      <c r="AG26" s="309" t="s">
        <v>325</v>
      </c>
      <c r="AH26" s="1091" t="str">
        <f t="shared" si="35"/>
        <v xml:space="preserve"> </v>
      </c>
      <c r="AI26" s="1318" t="s">
        <v>148</v>
      </c>
      <c r="AJ26" s="1849"/>
      <c r="AK26" s="1849"/>
      <c r="AL26" s="1091" t="str">
        <f>IF(AK26=0," ",AJ26/AK26)</f>
        <v xml:space="preserve"> </v>
      </c>
      <c r="AM26" s="360"/>
      <c r="AN26" s="1092" t="str">
        <f>IF(AK26=0," ",AL26/AM26)</f>
        <v xml:space="preserve"> </v>
      </c>
      <c r="AO26" s="1106" t="s">
        <v>1280</v>
      </c>
      <c r="AP26" s="1849"/>
      <c r="AQ26" s="1849"/>
      <c r="AR26" s="1091" t="str">
        <f>IF(AQ26=0," ",AP26/AQ26)</f>
        <v xml:space="preserve"> </v>
      </c>
      <c r="AS26" s="360"/>
      <c r="AT26" s="1092" t="str">
        <f t="shared" si="36"/>
        <v xml:space="preserve"> </v>
      </c>
      <c r="AU26" s="1318" t="s">
        <v>148</v>
      </c>
      <c r="AV26" s="1849"/>
      <c r="AW26" s="1849"/>
      <c r="AX26" s="1091" t="str">
        <f>IF(AW26=0," ",AV26/AW26)</f>
        <v xml:space="preserve"> </v>
      </c>
      <c r="AY26" s="309"/>
      <c r="AZ26" s="1092" t="str">
        <f>IF(AW26=0," ",AX26/AY26)</f>
        <v xml:space="preserve"> </v>
      </c>
      <c r="BA26" s="1318" t="s">
        <v>148</v>
      </c>
      <c r="BB26" s="1857">
        <v>1</v>
      </c>
      <c r="BC26" s="1856">
        <v>1</v>
      </c>
      <c r="BD26" s="1091">
        <f>IF(BC26=0," ",BB26/BC26)</f>
        <v>1</v>
      </c>
      <c r="BE26" s="728">
        <f>P26</f>
        <v>1</v>
      </c>
      <c r="BF26" s="1092">
        <f>IF(BC26=0," ",BD26/BE26)</f>
        <v>1</v>
      </c>
      <c r="BG26" s="1122" t="s">
        <v>3581</v>
      </c>
      <c r="BH26" s="1849">
        <v>0</v>
      </c>
      <c r="BI26" s="1849">
        <v>0</v>
      </c>
      <c r="BJ26" s="1091" t="str">
        <f>IF(BI26=0," ",BH26/BI26)</f>
        <v xml:space="preserve"> </v>
      </c>
      <c r="BK26" s="309">
        <v>0</v>
      </c>
      <c r="BL26" s="1092" t="str">
        <f>IF(BI26=0," ",BJ26/BK26)</f>
        <v xml:space="preserve"> </v>
      </c>
      <c r="BM26" s="25" t="s">
        <v>3415</v>
      </c>
      <c r="BN26" s="1849">
        <v>0</v>
      </c>
      <c r="BO26" s="1849">
        <v>100</v>
      </c>
      <c r="BP26" s="1091">
        <f>IF(BO26=0," ",BN26/BO26)</f>
        <v>0</v>
      </c>
      <c r="BQ26" s="309">
        <v>1</v>
      </c>
      <c r="BR26" s="1092">
        <f t="shared" si="37"/>
        <v>0</v>
      </c>
      <c r="BS26" s="25" t="s">
        <v>2426</v>
      </c>
      <c r="BT26" s="1848">
        <v>0</v>
      </c>
      <c r="BU26" s="1849">
        <v>0</v>
      </c>
      <c r="BV26" s="22" t="str">
        <f t="shared" si="38"/>
        <v xml:space="preserve"> </v>
      </c>
      <c r="BW26" s="58">
        <v>0</v>
      </c>
      <c r="BX26" s="24" t="str">
        <f>IF(BU26=0," ",BV26/BW26)</f>
        <v xml:space="preserve"> </v>
      </c>
      <c r="BY26" s="25" t="s">
        <v>3415</v>
      </c>
      <c r="BZ26" s="1848">
        <v>0</v>
      </c>
      <c r="CA26" s="1849">
        <v>100</v>
      </c>
      <c r="CB26" s="1091">
        <f>IF(CA26=0," ",BZ26/CA26)</f>
        <v>0</v>
      </c>
      <c r="CC26" s="1220">
        <v>1</v>
      </c>
      <c r="CD26" s="1092">
        <f t="shared" si="39"/>
        <v>0</v>
      </c>
      <c r="CE26" s="25" t="s">
        <v>2426</v>
      </c>
      <c r="CF26" s="1848">
        <v>0</v>
      </c>
      <c r="CG26" s="1849">
        <v>0</v>
      </c>
      <c r="CH26" s="1091" t="str">
        <f>IF(CG26=0," ",CF26/CG26)</f>
        <v xml:space="preserve"> </v>
      </c>
      <c r="CI26" s="1220">
        <v>0</v>
      </c>
      <c r="CJ26" s="1092" t="str">
        <f t="shared" si="40"/>
        <v xml:space="preserve"> </v>
      </c>
      <c r="CK26" s="25" t="s">
        <v>3415</v>
      </c>
      <c r="CL26" s="1848">
        <v>0</v>
      </c>
      <c r="CM26" s="1849">
        <v>1</v>
      </c>
      <c r="CN26" s="1091">
        <f>IF(CM26=0," ",CL26/CM26)</f>
        <v>0</v>
      </c>
      <c r="CO26" s="1220">
        <v>1</v>
      </c>
      <c r="CP26" s="1092">
        <f t="shared" si="41"/>
        <v>0</v>
      </c>
      <c r="CQ26" s="25" t="s">
        <v>2426</v>
      </c>
      <c r="CR26" s="1848"/>
      <c r="CS26" s="1849"/>
      <c r="CT26" s="1091" t="str">
        <f>IF(CS26=0," ",CR26/CS26)</f>
        <v xml:space="preserve"> </v>
      </c>
      <c r="CU26" s="1220"/>
      <c r="CV26" s="1092">
        <v>0.25</v>
      </c>
      <c r="CW26" s="25"/>
    </row>
    <row r="27" spans="1:101" s="1140" customFormat="1" ht="69.75" customHeight="1">
      <c r="A27" s="1428"/>
      <c r="B27" s="1858"/>
      <c r="C27" s="790"/>
      <c r="D27" s="1136" t="s">
        <v>262</v>
      </c>
      <c r="E27" s="8" t="s">
        <v>263</v>
      </c>
      <c r="F27" s="403" t="s">
        <v>264</v>
      </c>
      <c r="G27" s="8" t="s">
        <v>66</v>
      </c>
      <c r="H27" s="8" t="s">
        <v>390</v>
      </c>
      <c r="I27" s="8" t="s">
        <v>267</v>
      </c>
      <c r="J27" s="8" t="s">
        <v>2364</v>
      </c>
      <c r="K27" s="12"/>
      <c r="L27" s="12"/>
      <c r="M27" s="1855">
        <v>0.02</v>
      </c>
      <c r="N27" s="1855">
        <v>0.05</v>
      </c>
      <c r="O27" s="1855">
        <v>0.14000000000000001</v>
      </c>
      <c r="P27" s="1855">
        <v>0.36</v>
      </c>
      <c r="Q27" s="1855">
        <v>0.35</v>
      </c>
      <c r="R27" s="1855">
        <v>0.08</v>
      </c>
      <c r="S27" s="12"/>
      <c r="T27" s="12"/>
      <c r="U27" s="12"/>
      <c r="V27" s="12">
        <v>1</v>
      </c>
      <c r="W27" s="790" t="s">
        <v>3414</v>
      </c>
      <c r="X27" s="1848">
        <v>0</v>
      </c>
      <c r="Y27" s="1849">
        <v>0</v>
      </c>
      <c r="Z27" s="1091" t="str">
        <f t="shared" si="32"/>
        <v xml:space="preserve"> </v>
      </c>
      <c r="AA27" s="309">
        <f>K27</f>
        <v>0</v>
      </c>
      <c r="AB27" s="1092" t="str">
        <f t="shared" si="33"/>
        <v xml:space="preserve"> </v>
      </c>
      <c r="AC27" s="1122" t="s">
        <v>3582</v>
      </c>
      <c r="AD27" s="1848">
        <v>0</v>
      </c>
      <c r="AE27" s="1849">
        <v>0</v>
      </c>
      <c r="AF27" s="1091" t="str">
        <f>IF(AE27=0," ",AD27/AE27)</f>
        <v xml:space="preserve"> </v>
      </c>
      <c r="AG27" s="309">
        <f>L27</f>
        <v>0</v>
      </c>
      <c r="AH27" s="1092" t="str">
        <f>IF(AE27=0," ",AF27/AG27)</f>
        <v xml:space="preserve"> </v>
      </c>
      <c r="AI27" s="1122" t="s">
        <v>3582</v>
      </c>
      <c r="AJ27" s="1848">
        <v>3115008</v>
      </c>
      <c r="AK27" s="1849">
        <v>353806804</v>
      </c>
      <c r="AL27" s="1091">
        <f>+AJ27/AK27</f>
        <v>8.8042625658493554E-3</v>
      </c>
      <c r="AM27" s="309">
        <v>0.02</v>
      </c>
      <c r="AN27" s="1092">
        <f>IF(AK27=0," ",AL27/AM27)</f>
        <v>0.44021312829246778</v>
      </c>
      <c r="AO27" s="1122" t="s">
        <v>3539</v>
      </c>
      <c r="AP27" s="1856">
        <v>49516328</v>
      </c>
      <c r="AQ27" s="1856">
        <f>+AK27</f>
        <v>353806804</v>
      </c>
      <c r="AR27" s="1091">
        <f>+AP27/AQ27</f>
        <v>0.13995301232251034</v>
      </c>
      <c r="AS27" s="309">
        <v>0.05</v>
      </c>
      <c r="AT27" s="1092">
        <f t="shared" si="36"/>
        <v>2.7990602464502068</v>
      </c>
      <c r="AU27" s="1122" t="s">
        <v>3540</v>
      </c>
      <c r="AV27" s="1849">
        <v>62495386</v>
      </c>
      <c r="AW27" s="1849">
        <v>353806804</v>
      </c>
      <c r="AX27" s="1091">
        <v>0.1766370383312357</v>
      </c>
      <c r="AY27" s="309">
        <v>0.14000000000000001</v>
      </c>
      <c r="AZ27" s="1092">
        <f>IF(AW27=0," ",AX27/AY27)</f>
        <v>1.2616931309373978</v>
      </c>
      <c r="BA27" s="1122" t="s">
        <v>3541</v>
      </c>
      <c r="BB27" s="1857">
        <v>4912020</v>
      </c>
      <c r="BC27" s="1856">
        <v>353806804</v>
      </c>
      <c r="BD27" s="1091">
        <f>IF(BC27=0," ",BB27/BC27)</f>
        <v>1.3883339564040718E-2</v>
      </c>
      <c r="BE27" s="728">
        <f>P27</f>
        <v>0.36</v>
      </c>
      <c r="BF27" s="1092">
        <f>IF(BC27=0," ",BD27/BE27)</f>
        <v>3.856483212233533E-2</v>
      </c>
      <c r="BG27" s="1122" t="s">
        <v>3542</v>
      </c>
      <c r="BH27" s="1856">
        <v>75512914</v>
      </c>
      <c r="BI27" s="1856">
        <v>353806804</v>
      </c>
      <c r="BJ27" s="1091">
        <v>0.21342979599680056</v>
      </c>
      <c r="BK27" s="309">
        <v>0.35</v>
      </c>
      <c r="BL27" s="1092">
        <f>IF(BI27=0," ",BJ27/BK27)</f>
        <v>0.60979941713371588</v>
      </c>
      <c r="BM27" s="1122" t="s">
        <v>3543</v>
      </c>
      <c r="BN27" s="1856">
        <v>107434254</v>
      </c>
      <c r="BO27" s="1856">
        <v>353806804</v>
      </c>
      <c r="BP27" s="1091">
        <f>+BN27/BO27</f>
        <v>0.30365231189844499</v>
      </c>
      <c r="BQ27" s="309">
        <v>0.08</v>
      </c>
      <c r="BR27" s="1092">
        <f t="shared" si="37"/>
        <v>3.7956538987305621</v>
      </c>
      <c r="BS27" s="1122" t="s">
        <v>3544</v>
      </c>
      <c r="BT27" s="1854">
        <v>0</v>
      </c>
      <c r="BU27" s="1854">
        <f>+BI27</f>
        <v>353806804</v>
      </c>
      <c r="BV27" s="22">
        <f t="shared" si="38"/>
        <v>0</v>
      </c>
      <c r="BW27" s="58">
        <v>1</v>
      </c>
      <c r="BX27" s="24">
        <f>IF(BU27=0," ",BV27/BW27)</f>
        <v>0</v>
      </c>
      <c r="BY27" s="25" t="s">
        <v>3545</v>
      </c>
      <c r="BZ27" s="1854">
        <v>0</v>
      </c>
      <c r="CA27" s="1854">
        <f>+BO27</f>
        <v>353806804</v>
      </c>
      <c r="CB27" s="22">
        <f>IF(CA27=0," ",BZ27/CA27)</f>
        <v>0</v>
      </c>
      <c r="CC27" s="58">
        <v>1</v>
      </c>
      <c r="CD27" s="24">
        <f t="shared" si="39"/>
        <v>0</v>
      </c>
      <c r="CE27" s="25" t="s">
        <v>3545</v>
      </c>
      <c r="CF27" s="1849">
        <v>0</v>
      </c>
      <c r="CG27" s="1856">
        <v>0</v>
      </c>
      <c r="CH27" s="1091" t="str">
        <f>IF(CG27=0," ",CF27/CG27)</f>
        <v xml:space="preserve"> </v>
      </c>
      <c r="CI27" s="309">
        <v>0</v>
      </c>
      <c r="CJ27" s="1092" t="str">
        <f t="shared" si="40"/>
        <v xml:space="preserve"> </v>
      </c>
      <c r="CK27" s="1122" t="s">
        <v>3547</v>
      </c>
      <c r="CL27" s="1848">
        <v>9473084</v>
      </c>
      <c r="CM27" s="1849">
        <v>355769492</v>
      </c>
      <c r="CN27" s="1091">
        <f>IF(CM27=0," ",CL27/CM27)</f>
        <v>2.6627027367484336E-2</v>
      </c>
      <c r="CO27" s="1220">
        <f>V27</f>
        <v>1</v>
      </c>
      <c r="CP27" s="1092">
        <f t="shared" si="41"/>
        <v>2.6627027367484336E-2</v>
      </c>
      <c r="CQ27" s="25" t="s">
        <v>3583</v>
      </c>
      <c r="CR27" s="1848">
        <v>320622671</v>
      </c>
      <c r="CS27" s="1849">
        <v>355769492</v>
      </c>
      <c r="CT27" s="1091">
        <v>0.90120900810685589</v>
      </c>
      <c r="CU27" s="1220">
        <v>1</v>
      </c>
      <c r="CV27" s="1092">
        <v>0.90120900810685589</v>
      </c>
      <c r="CW27" s="101" t="s">
        <v>3556</v>
      </c>
    </row>
    <row r="28" spans="1:101" s="1140" customFormat="1" ht="69.75" customHeight="1">
      <c r="A28" s="1428"/>
      <c r="B28" s="1858"/>
      <c r="C28" s="790"/>
      <c r="D28" s="1136" t="s">
        <v>274</v>
      </c>
      <c r="E28" s="8" t="s">
        <v>275</v>
      </c>
      <c r="F28" s="403" t="s">
        <v>276</v>
      </c>
      <c r="G28" s="8" t="s">
        <v>66</v>
      </c>
      <c r="H28" s="8" t="s">
        <v>394</v>
      </c>
      <c r="I28" s="8" t="s">
        <v>267</v>
      </c>
      <c r="J28" s="8" t="s">
        <v>2364</v>
      </c>
      <c r="K28" s="12"/>
      <c r="L28" s="12"/>
      <c r="M28" s="1855">
        <v>0.09</v>
      </c>
      <c r="N28" s="1855">
        <v>0.08</v>
      </c>
      <c r="O28" s="1855">
        <v>0.09</v>
      </c>
      <c r="P28" s="1855">
        <v>0.2</v>
      </c>
      <c r="Q28" s="1855">
        <v>0.2</v>
      </c>
      <c r="R28" s="1855">
        <v>0.25</v>
      </c>
      <c r="S28" s="12"/>
      <c r="T28" s="12"/>
      <c r="U28" s="12"/>
      <c r="V28" s="12">
        <v>1</v>
      </c>
      <c r="W28" s="790" t="s">
        <v>3414</v>
      </c>
      <c r="X28" s="1848">
        <v>0</v>
      </c>
      <c r="Y28" s="1849">
        <v>0</v>
      </c>
      <c r="Z28" s="1091" t="str">
        <f t="shared" si="32"/>
        <v xml:space="preserve"> </v>
      </c>
      <c r="AA28" s="309">
        <f>K28</f>
        <v>0</v>
      </c>
      <c r="AB28" s="1092" t="str">
        <f t="shared" si="33"/>
        <v xml:space="preserve"> </v>
      </c>
      <c r="AC28" s="1122" t="s">
        <v>3582</v>
      </c>
      <c r="AD28" s="1848">
        <v>685770756</v>
      </c>
      <c r="AE28" s="1849">
        <v>0</v>
      </c>
      <c r="AF28" s="1091" t="str">
        <f>IF(AE28=0," ",AD28/AE28)</f>
        <v xml:space="preserve"> </v>
      </c>
      <c r="AG28" s="309">
        <f>L28</f>
        <v>0</v>
      </c>
      <c r="AH28" s="1092" t="str">
        <f>IF(AE28=0," ",AF28/AG28)</f>
        <v xml:space="preserve"> </v>
      </c>
      <c r="AI28" s="1122" t="s">
        <v>3584</v>
      </c>
      <c r="AJ28" s="1865">
        <v>1188782359</v>
      </c>
      <c r="AK28" s="1865">
        <v>7457783298</v>
      </c>
      <c r="AL28" s="1091">
        <f>+AJ28/AK28</f>
        <v>0.15940156900493518</v>
      </c>
      <c r="AM28" s="309">
        <v>0.09</v>
      </c>
      <c r="AN28" s="1092">
        <f>IF(AK28=0," ",AL28/AM28)</f>
        <v>1.7711285444992799</v>
      </c>
      <c r="AO28" s="1122" t="s">
        <v>3557</v>
      </c>
      <c r="AP28" s="1856">
        <v>664407130</v>
      </c>
      <c r="AQ28" s="1856">
        <f>+AK28</f>
        <v>7457783298</v>
      </c>
      <c r="AR28" s="1091">
        <f>+AP28/AQ28</f>
        <v>8.9089090343799374E-2</v>
      </c>
      <c r="AS28" s="309">
        <v>0.08</v>
      </c>
      <c r="AT28" s="1092">
        <f t="shared" si="36"/>
        <v>1.1136136292974921</v>
      </c>
      <c r="AU28" s="1122" t="s">
        <v>3558</v>
      </c>
      <c r="AV28" s="1849">
        <v>875939646</v>
      </c>
      <c r="AW28" s="1849">
        <v>7457783298</v>
      </c>
      <c r="AX28" s="1091">
        <v>0.11745308371120225</v>
      </c>
      <c r="AY28" s="309">
        <v>0.09</v>
      </c>
      <c r="AZ28" s="1092">
        <f>IF(AW28=0," ",AX28/AY28)</f>
        <v>1.3050342634578027</v>
      </c>
      <c r="BA28" s="1122" t="s">
        <v>3558</v>
      </c>
      <c r="BB28" s="1857">
        <v>621032869</v>
      </c>
      <c r="BC28" s="1856">
        <v>7457783298</v>
      </c>
      <c r="BD28" s="1091">
        <f>IF(BC28=0," ",BB28/BC28)</f>
        <v>8.3273118054602926E-2</v>
      </c>
      <c r="BE28" s="728">
        <f>P28</f>
        <v>0.2</v>
      </c>
      <c r="BF28" s="1092">
        <f>IF(BC28=0," ",BD28/BE28)</f>
        <v>0.41636559027301462</v>
      </c>
      <c r="BG28" s="1122" t="s">
        <v>3559</v>
      </c>
      <c r="BH28" s="1856">
        <v>944397675</v>
      </c>
      <c r="BI28" s="1856">
        <v>7457783298</v>
      </c>
      <c r="BJ28" s="1091">
        <v>0.1266324908171125</v>
      </c>
      <c r="BK28" s="309">
        <v>0.2</v>
      </c>
      <c r="BL28" s="1092">
        <v>0.63316245408556249</v>
      </c>
      <c r="BM28" s="1122" t="s">
        <v>3559</v>
      </c>
      <c r="BN28" s="1856">
        <v>2016929511</v>
      </c>
      <c r="BO28" s="1856">
        <v>7457783298</v>
      </c>
      <c r="BP28" s="1091">
        <f>+BN28/BO28</f>
        <v>0.2704462479542537</v>
      </c>
      <c r="BQ28" s="309">
        <v>0.25</v>
      </c>
      <c r="BR28" s="1092">
        <f t="shared" si="37"/>
        <v>1.0817849918170148</v>
      </c>
      <c r="BS28" s="1122" t="s">
        <v>3558</v>
      </c>
      <c r="BT28" s="1854">
        <v>637975444</v>
      </c>
      <c r="BU28" s="1854">
        <f>+BI28</f>
        <v>7457783298</v>
      </c>
      <c r="BV28" s="22">
        <f t="shared" si="38"/>
        <v>8.554491576217961E-2</v>
      </c>
      <c r="BW28" s="58">
        <v>0.09</v>
      </c>
      <c r="BX28" s="24">
        <f>IF(BU28=0," ",BV28/BW28)</f>
        <v>0.95049906402421791</v>
      </c>
      <c r="BY28" s="25" t="s">
        <v>3560</v>
      </c>
      <c r="BZ28" s="1854">
        <v>847285921</v>
      </c>
      <c r="CA28" s="1854">
        <f>+BO28</f>
        <v>7457783298</v>
      </c>
      <c r="CB28" s="1091">
        <f>+BZ28/CA28</f>
        <v>0.11361096013975384</v>
      </c>
      <c r="CC28" s="1220">
        <v>0.22</v>
      </c>
      <c r="CD28" s="1092">
        <f t="shared" si="39"/>
        <v>0.51641345518069925</v>
      </c>
      <c r="CE28" s="25" t="s">
        <v>3561</v>
      </c>
      <c r="CF28" s="1856">
        <v>156960060</v>
      </c>
      <c r="CG28" s="1856">
        <v>7457783298</v>
      </c>
      <c r="CH28" s="1091">
        <f>+CF28/CG28</f>
        <v>2.1046476376176411E-2</v>
      </c>
      <c r="CI28" s="309">
        <v>0.09</v>
      </c>
      <c r="CJ28" s="1092">
        <f t="shared" si="40"/>
        <v>0.23384973751307125</v>
      </c>
      <c r="CK28" s="1122" t="s">
        <v>3562</v>
      </c>
      <c r="CL28" s="1848">
        <v>415061214</v>
      </c>
      <c r="CM28" s="1849">
        <v>7460113263</v>
      </c>
      <c r="CN28" s="1091">
        <f>IF(CM28=0," ",CL28/CM28)</f>
        <v>5.5637387713479279E-2</v>
      </c>
      <c r="CO28" s="1220">
        <f>V28</f>
        <v>1</v>
      </c>
      <c r="CP28" s="1092">
        <f t="shared" si="41"/>
        <v>5.5637387713479279E-2</v>
      </c>
      <c r="CQ28" s="25" t="s">
        <v>3585</v>
      </c>
      <c r="CR28" s="1848">
        <v>7038971851</v>
      </c>
      <c r="CS28" s="1849">
        <v>7460113263</v>
      </c>
      <c r="CT28" s="1091">
        <v>0.94354758471446543</v>
      </c>
      <c r="CU28" s="1220">
        <v>1</v>
      </c>
      <c r="CV28" s="1092">
        <v>0.94354758471446543</v>
      </c>
      <c r="CW28" s="101" t="s">
        <v>3572</v>
      </c>
    </row>
    <row r="29" spans="1:101" s="1140" customFormat="1" ht="103.5" customHeight="1">
      <c r="A29" s="1866"/>
      <c r="B29" s="391" t="s">
        <v>81</v>
      </c>
      <c r="C29" s="8" t="s">
        <v>92</v>
      </c>
      <c r="D29" s="1136" t="s">
        <v>83</v>
      </c>
      <c r="E29" s="8" t="s">
        <v>84</v>
      </c>
      <c r="F29" s="403" t="s">
        <v>82</v>
      </c>
      <c r="G29" s="8" t="s">
        <v>66</v>
      </c>
      <c r="H29" s="8" t="s">
        <v>86</v>
      </c>
      <c r="I29" s="8" t="s">
        <v>85</v>
      </c>
      <c r="J29" s="8" t="s">
        <v>54</v>
      </c>
      <c r="K29" s="12"/>
      <c r="L29" s="12"/>
      <c r="M29" s="12">
        <v>1</v>
      </c>
      <c r="N29" s="12"/>
      <c r="O29" s="12"/>
      <c r="P29" s="12">
        <v>1</v>
      </c>
      <c r="Q29" s="12"/>
      <c r="R29" s="12"/>
      <c r="S29" s="12">
        <v>1</v>
      </c>
      <c r="T29" s="12"/>
      <c r="U29" s="12"/>
      <c r="V29" s="12">
        <v>1</v>
      </c>
      <c r="W29" s="790" t="s">
        <v>79</v>
      </c>
      <c r="X29" s="1848">
        <v>0</v>
      </c>
      <c r="Y29" s="1849">
        <v>0</v>
      </c>
      <c r="Z29" s="1091" t="str">
        <f t="shared" si="32"/>
        <v xml:space="preserve"> </v>
      </c>
      <c r="AA29" s="309">
        <v>0</v>
      </c>
      <c r="AB29" s="1092" t="str">
        <f t="shared" si="33"/>
        <v xml:space="preserve"> </v>
      </c>
      <c r="AC29" s="1122" t="s">
        <v>3415</v>
      </c>
      <c r="AD29" s="1848">
        <v>0</v>
      </c>
      <c r="AE29" s="1849">
        <v>0</v>
      </c>
      <c r="AF29" s="1091" t="str">
        <f t="shared" si="34"/>
        <v xml:space="preserve"> </v>
      </c>
      <c r="AG29" s="309">
        <v>0</v>
      </c>
      <c r="AH29" s="1092" t="str">
        <f t="shared" si="35"/>
        <v xml:space="preserve"> </v>
      </c>
      <c r="AI29" s="1122" t="s">
        <v>3415</v>
      </c>
      <c r="AJ29" s="1865">
        <v>147</v>
      </c>
      <c r="AK29" s="1865">
        <v>150</v>
      </c>
      <c r="AL29" s="1091">
        <f>AJ29/AK29</f>
        <v>0.98</v>
      </c>
      <c r="AM29" s="309">
        <v>1</v>
      </c>
      <c r="AN29" s="1092">
        <f>AL29/AM29</f>
        <v>0.98</v>
      </c>
      <c r="AO29" s="1122" t="s">
        <v>3586</v>
      </c>
      <c r="AP29" s="1848">
        <v>0</v>
      </c>
      <c r="AQ29" s="1849">
        <v>0</v>
      </c>
      <c r="AR29" s="1091" t="str">
        <f>IF(AQ29=0," ",AP29/AQ29)</f>
        <v xml:space="preserve"> </v>
      </c>
      <c r="AS29" s="309">
        <v>0</v>
      </c>
      <c r="AT29" s="1092" t="str">
        <f t="shared" si="36"/>
        <v xml:space="preserve"> </v>
      </c>
      <c r="AU29" s="1122" t="s">
        <v>3415</v>
      </c>
      <c r="AV29" s="1849"/>
      <c r="AW29" s="1849"/>
      <c r="AX29" s="1091"/>
      <c r="AY29" s="309"/>
      <c r="AZ29" s="1092"/>
      <c r="BA29" s="1318" t="s">
        <v>148</v>
      </c>
      <c r="BB29" s="1849">
        <v>146</v>
      </c>
      <c r="BC29" s="1849">
        <v>157</v>
      </c>
      <c r="BD29" s="1091">
        <f>+BB29/BC29</f>
        <v>0.92993630573248409</v>
      </c>
      <c r="BE29" s="309">
        <v>1</v>
      </c>
      <c r="BF29" s="1092">
        <f>IF(BC29=0," ",BD29/BE29)</f>
        <v>0.92993630573248409</v>
      </c>
      <c r="BG29" s="1318" t="s">
        <v>3587</v>
      </c>
      <c r="BH29" s="1849">
        <v>0</v>
      </c>
      <c r="BI29" s="1849">
        <v>0</v>
      </c>
      <c r="BJ29" s="1091" t="str">
        <f>IF(BI29=0," ",BH29/BI29)</f>
        <v xml:space="preserve"> </v>
      </c>
      <c r="BK29" s="309">
        <v>0</v>
      </c>
      <c r="BL29" s="1092" t="str">
        <f>IF(BI29=0," ",BJ29/BK29)</f>
        <v xml:space="preserve"> </v>
      </c>
      <c r="BM29" s="25" t="s">
        <v>3415</v>
      </c>
      <c r="BN29" s="1849">
        <v>0</v>
      </c>
      <c r="BO29" s="1849">
        <v>0</v>
      </c>
      <c r="BP29" s="1091" t="str">
        <f>IF(BO29=0," ",BN29/BO29)</f>
        <v xml:space="preserve"> </v>
      </c>
      <c r="BQ29" s="309">
        <v>0</v>
      </c>
      <c r="BR29" s="1092" t="str">
        <f t="shared" si="37"/>
        <v xml:space="preserve"> </v>
      </c>
      <c r="BS29" s="25" t="s">
        <v>3415</v>
      </c>
      <c r="BT29" s="231">
        <v>222</v>
      </c>
      <c r="BU29" s="231">
        <v>231</v>
      </c>
      <c r="BV29" s="22">
        <f t="shared" si="38"/>
        <v>0.96103896103896103</v>
      </c>
      <c r="BW29" s="58">
        <v>1</v>
      </c>
      <c r="BX29" s="24">
        <f>BV29/BW29</f>
        <v>0.96103896103896103</v>
      </c>
      <c r="BY29" s="25" t="s">
        <v>3588</v>
      </c>
      <c r="BZ29" s="1848">
        <v>0</v>
      </c>
      <c r="CA29" s="1849">
        <v>0</v>
      </c>
      <c r="CB29" s="1091" t="str">
        <f>IF(CA29=0," ",BZ29/CA29)</f>
        <v xml:space="preserve"> </v>
      </c>
      <c r="CC29" s="1220">
        <v>0</v>
      </c>
      <c r="CD29" s="1092" t="str">
        <f t="shared" si="39"/>
        <v xml:space="preserve"> </v>
      </c>
      <c r="CE29" s="25" t="s">
        <v>3415</v>
      </c>
      <c r="CF29" s="1848">
        <v>0</v>
      </c>
      <c r="CG29" s="1849">
        <v>0</v>
      </c>
      <c r="CH29" s="1091" t="str">
        <f>IF(CG29=0," ",CF29/CG29)</f>
        <v xml:space="preserve"> </v>
      </c>
      <c r="CI29" s="1220">
        <v>0</v>
      </c>
      <c r="CJ29" s="1092" t="str">
        <f t="shared" si="40"/>
        <v xml:space="preserve"> </v>
      </c>
      <c r="CK29" s="25" t="s">
        <v>3415</v>
      </c>
      <c r="CL29" s="56">
        <v>257</v>
      </c>
      <c r="CM29" s="56">
        <v>259</v>
      </c>
      <c r="CN29" s="1104">
        <f>CL29/CM29</f>
        <v>0.99227799227799229</v>
      </c>
      <c r="CO29" s="1104">
        <v>1</v>
      </c>
      <c r="CP29" s="1092">
        <f t="shared" si="41"/>
        <v>0.99227799227799229</v>
      </c>
      <c r="CQ29" s="1867" t="s">
        <v>3589</v>
      </c>
      <c r="CR29" s="1848">
        <f>AVERAGE(BX29,CD29,CJ29,CP29)</f>
        <v>0.97665847665847672</v>
      </c>
      <c r="CS29" s="1849">
        <v>1</v>
      </c>
      <c r="CT29" s="1091">
        <f>CR29/CS29</f>
        <v>0.97665847665847672</v>
      </c>
      <c r="CU29" s="1220">
        <v>1</v>
      </c>
      <c r="CV29" s="1092">
        <f>CT29/CU29</f>
        <v>0.97665847665847672</v>
      </c>
      <c r="CW29" s="101" t="s">
        <v>315</v>
      </c>
    </row>
    <row r="30" spans="1:101" ht="15.75" customHeight="1">
      <c r="B30" s="1972" t="s">
        <v>17</v>
      </c>
      <c r="C30" s="1972"/>
      <c r="D30" s="1972"/>
      <c r="E30" s="1972"/>
      <c r="F30" s="5"/>
      <c r="G30" s="5"/>
      <c r="H30" s="5"/>
      <c r="I30" s="5"/>
      <c r="J30" s="5"/>
      <c r="K30" s="6"/>
      <c r="L30" s="6"/>
      <c r="M30" s="6"/>
      <c r="N30" s="6"/>
      <c r="O30" s="6"/>
      <c r="P30" s="6"/>
      <c r="Q30" s="6"/>
      <c r="R30" s="6"/>
      <c r="S30" s="6"/>
      <c r="T30" s="6"/>
      <c r="U30" s="6"/>
      <c r="V30" s="6"/>
    </row>
    <row r="32" spans="1:101">
      <c r="E32" s="1971"/>
      <c r="F32" s="1971"/>
      <c r="G32" s="1971"/>
      <c r="H32" s="1971"/>
      <c r="K32" s="15" t="s">
        <v>28</v>
      </c>
    </row>
    <row r="33" spans="3:8">
      <c r="E33" s="2696" t="s">
        <v>3590</v>
      </c>
      <c r="F33" s="2696"/>
      <c r="G33" s="2696"/>
      <c r="H33" s="2696"/>
    </row>
    <row r="34" spans="3:8" ht="26.25" customHeight="1">
      <c r="E34" s="2696" t="s">
        <v>3591</v>
      </c>
      <c r="F34" s="2696"/>
      <c r="G34" s="2696"/>
      <c r="H34" s="2696"/>
    </row>
    <row r="35" spans="3:8">
      <c r="C35" s="15"/>
      <c r="E35" s="128"/>
      <c r="F35" s="128"/>
      <c r="G35" s="128"/>
      <c r="H35" s="128"/>
    </row>
    <row r="36" spans="3:8" ht="19.5" customHeight="1">
      <c r="C36" s="15"/>
    </row>
  </sheetData>
  <mergeCells count="63">
    <mergeCell ref="B1:N1"/>
    <mergeCell ref="O1:R1"/>
    <mergeCell ref="S1:V2"/>
    <mergeCell ref="A2:B2"/>
    <mergeCell ref="D2:N2"/>
    <mergeCell ref="O2:R2"/>
    <mergeCell ref="BT4:BY4"/>
    <mergeCell ref="C4:J4"/>
    <mergeCell ref="K4:M4"/>
    <mergeCell ref="N4:V4"/>
    <mergeCell ref="X4:AC4"/>
    <mergeCell ref="AD4:AI4"/>
    <mergeCell ref="AJ4:AO4"/>
    <mergeCell ref="CF4:CK4"/>
    <mergeCell ref="CL4:CQ4"/>
    <mergeCell ref="CR4:CW4"/>
    <mergeCell ref="B6:B7"/>
    <mergeCell ref="C6:C7"/>
    <mergeCell ref="D6:D7"/>
    <mergeCell ref="E6:E7"/>
    <mergeCell ref="F6:F7"/>
    <mergeCell ref="G6:G7"/>
    <mergeCell ref="AP4:AU4"/>
    <mergeCell ref="I6:I7"/>
    <mergeCell ref="J6:J7"/>
    <mergeCell ref="K6:V6"/>
    <mergeCell ref="X6:AC6"/>
    <mergeCell ref="AD6:AI6"/>
    <mergeCell ref="BZ4:CE4"/>
    <mergeCell ref="AV4:BA4"/>
    <mergeCell ref="BB4:BG4"/>
    <mergeCell ref="BH4:BM4"/>
    <mergeCell ref="BN4:BS4"/>
    <mergeCell ref="CL6:CQ6"/>
    <mergeCell ref="CR6:CW6"/>
    <mergeCell ref="B17:B18"/>
    <mergeCell ref="D17:D18"/>
    <mergeCell ref="E17:E18"/>
    <mergeCell ref="F17:F18"/>
    <mergeCell ref="G17:G18"/>
    <mergeCell ref="AJ6:AO6"/>
    <mergeCell ref="AP6:AU6"/>
    <mergeCell ref="AV6:BA6"/>
    <mergeCell ref="G19:G20"/>
    <mergeCell ref="H19:H20"/>
    <mergeCell ref="I19:I20"/>
    <mergeCell ref="BT6:BY6"/>
    <mergeCell ref="BZ6:CE6"/>
    <mergeCell ref="CF6:CK6"/>
    <mergeCell ref="BB6:BG6"/>
    <mergeCell ref="BH6:BM6"/>
    <mergeCell ref="BN6:BS6"/>
    <mergeCell ref="H6:H7"/>
    <mergeCell ref="B30:E30"/>
    <mergeCell ref="E32:H32"/>
    <mergeCell ref="E33:H33"/>
    <mergeCell ref="E34:H34"/>
    <mergeCell ref="H17:H18"/>
    <mergeCell ref="I17:I18"/>
    <mergeCell ref="B19:B20"/>
    <mergeCell ref="D19:D20"/>
    <mergeCell ref="E19:E20"/>
    <mergeCell ref="F19:F20"/>
  </mergeCells>
  <conditionalFormatting sqref="AO23 AI23 BA23 BM23 BY23 CK23 CW23 BL9 CV8:CV9 BL28 CD23 CP23 AH8:AH22 AN8:AN22 AT8:AT13 AB8:AB29 AH24:AH29 AT15:AT29 AN24:AN29 AZ8:AZ22 AZ24:AZ29 BF8:BF29 BR23">
    <cfRule type="colorScale" priority="130">
      <colorScale>
        <cfvo type="num" val="0.69"/>
        <cfvo type="num" val="0.8"/>
        <cfvo type="num" val="0.9"/>
        <color rgb="FFF8696B"/>
        <color rgb="FFFFEB84"/>
        <color rgb="FF63BE7B"/>
      </colorScale>
    </cfRule>
  </conditionalFormatting>
  <conditionalFormatting sqref="BL8">
    <cfRule type="colorScale" priority="129">
      <colorScale>
        <cfvo type="num" val="0.69"/>
        <cfvo type="num" val="0.8"/>
        <cfvo type="num" val="0.9"/>
        <color rgb="FFF8696B"/>
        <color rgb="FFFFEB84"/>
        <color rgb="FF63BE7B"/>
      </colorScale>
    </cfRule>
  </conditionalFormatting>
  <conditionalFormatting sqref="BL10">
    <cfRule type="colorScale" priority="128">
      <colorScale>
        <cfvo type="num" val="0.69"/>
        <cfvo type="num" val="0.8"/>
        <cfvo type="num" val="0.9"/>
        <color rgb="FFF8696B"/>
        <color rgb="FFFFEB84"/>
        <color rgb="FF63BE7B"/>
      </colorScale>
    </cfRule>
  </conditionalFormatting>
  <conditionalFormatting sqref="BL12">
    <cfRule type="colorScale" priority="127">
      <colorScale>
        <cfvo type="num" val="0.69"/>
        <cfvo type="num" val="0.8"/>
        <cfvo type="num" val="0.9"/>
        <color rgb="FFF8696B"/>
        <color rgb="FFFFEB84"/>
        <color rgb="FF63BE7B"/>
      </colorScale>
    </cfRule>
  </conditionalFormatting>
  <conditionalFormatting sqref="BL12">
    <cfRule type="colorScale" priority="126">
      <colorScale>
        <cfvo type="num" val="0.69"/>
        <cfvo type="num" val="0.8"/>
        <cfvo type="num" val="0.9"/>
        <color rgb="FFF8696B"/>
        <color rgb="FFFFEB84"/>
        <color rgb="FF63BE7B"/>
      </colorScale>
    </cfRule>
  </conditionalFormatting>
  <conditionalFormatting sqref="BL11">
    <cfRule type="colorScale" priority="125">
      <colorScale>
        <cfvo type="num" val="0.69"/>
        <cfvo type="num" val="0.8"/>
        <cfvo type="num" val="0.9"/>
        <color rgb="FFF8696B"/>
        <color rgb="FFFFEB84"/>
        <color rgb="FF63BE7B"/>
      </colorScale>
    </cfRule>
  </conditionalFormatting>
  <conditionalFormatting sqref="BL13">
    <cfRule type="colorScale" priority="124">
      <colorScale>
        <cfvo type="num" val="0.69"/>
        <cfvo type="num" val="0.8"/>
        <cfvo type="num" val="0.9"/>
        <color rgb="FFF8696B"/>
        <color rgb="FFFFEB84"/>
        <color rgb="FF63BE7B"/>
      </colorScale>
    </cfRule>
  </conditionalFormatting>
  <conditionalFormatting sqref="BL13">
    <cfRule type="colorScale" priority="123">
      <colorScale>
        <cfvo type="num" val="0.69"/>
        <cfvo type="num" val="0.8"/>
        <cfvo type="num" val="0.9"/>
        <color rgb="FFF8696B"/>
        <color rgb="FFFFEB84"/>
        <color rgb="FF63BE7B"/>
      </colorScale>
    </cfRule>
  </conditionalFormatting>
  <conditionalFormatting sqref="BL14">
    <cfRule type="colorScale" priority="122">
      <colorScale>
        <cfvo type="num" val="0.69"/>
        <cfvo type="num" val="0.8"/>
        <cfvo type="num" val="0.9"/>
        <color rgb="FFF8696B"/>
        <color rgb="FFFFEB84"/>
        <color rgb="FF63BE7B"/>
      </colorScale>
    </cfRule>
  </conditionalFormatting>
  <conditionalFormatting sqref="BL14">
    <cfRule type="colorScale" priority="121">
      <colorScale>
        <cfvo type="num" val="0.69"/>
        <cfvo type="num" val="0.8"/>
        <cfvo type="num" val="0.9"/>
        <color rgb="FFF8696B"/>
        <color rgb="FFFFEB84"/>
        <color rgb="FF63BE7B"/>
      </colorScale>
    </cfRule>
  </conditionalFormatting>
  <conditionalFormatting sqref="BL16:BL20">
    <cfRule type="colorScale" priority="120">
      <colorScale>
        <cfvo type="num" val="0.69"/>
        <cfvo type="num" val="0.8"/>
        <cfvo type="num" val="0.9"/>
        <color rgb="FFF8696B"/>
        <color rgb="FFFFEB84"/>
        <color rgb="FF63BE7B"/>
      </colorScale>
    </cfRule>
  </conditionalFormatting>
  <conditionalFormatting sqref="BL15">
    <cfRule type="colorScale" priority="119">
      <colorScale>
        <cfvo type="num" val="0.69"/>
        <cfvo type="num" val="0.8"/>
        <cfvo type="num" val="0.9"/>
        <color rgb="FFF8696B"/>
        <color rgb="FFFFEB84"/>
        <color rgb="FF63BE7B"/>
      </colorScale>
    </cfRule>
  </conditionalFormatting>
  <conditionalFormatting sqref="BL21:BL22">
    <cfRule type="colorScale" priority="118">
      <colorScale>
        <cfvo type="num" val="0.69"/>
        <cfvo type="num" val="0.8"/>
        <cfvo type="num" val="0.9"/>
        <color rgb="FFF8696B"/>
        <color rgb="FFFFEB84"/>
        <color rgb="FF63BE7B"/>
      </colorScale>
    </cfRule>
  </conditionalFormatting>
  <conditionalFormatting sqref="BL24:BL26">
    <cfRule type="colorScale" priority="117">
      <colorScale>
        <cfvo type="num" val="0.69"/>
        <cfvo type="num" val="0.8"/>
        <cfvo type="num" val="0.9"/>
        <color rgb="FFF8696B"/>
        <color rgb="FFFFEB84"/>
        <color rgb="FF63BE7B"/>
      </colorScale>
    </cfRule>
  </conditionalFormatting>
  <conditionalFormatting sqref="BL29">
    <cfRule type="colorScale" priority="116">
      <colorScale>
        <cfvo type="num" val="0.69"/>
        <cfvo type="num" val="0.8"/>
        <cfvo type="num" val="0.9"/>
        <color rgb="FFF8696B"/>
        <color rgb="FFFFEB84"/>
        <color rgb="FF63BE7B"/>
      </colorScale>
    </cfRule>
  </conditionalFormatting>
  <conditionalFormatting sqref="BL27">
    <cfRule type="colorScale" priority="115">
      <colorScale>
        <cfvo type="num" val="0.69"/>
        <cfvo type="num" val="0.8"/>
        <cfvo type="num" val="0.9"/>
        <color rgb="FFF8696B"/>
        <color rgb="FFFFEB84"/>
        <color rgb="FF63BE7B"/>
      </colorScale>
    </cfRule>
  </conditionalFormatting>
  <conditionalFormatting sqref="BR10">
    <cfRule type="colorScale" priority="114">
      <colorScale>
        <cfvo type="num" val="0.69"/>
        <cfvo type="num" val="0.8"/>
        <cfvo type="num" val="0.9"/>
        <color rgb="FFF8696B"/>
        <color rgb="FFFFEB84"/>
        <color rgb="FF63BE7B"/>
      </colorScale>
    </cfRule>
  </conditionalFormatting>
  <conditionalFormatting sqref="BR16:BR20">
    <cfRule type="colorScale" priority="113">
      <colorScale>
        <cfvo type="num" val="0.69"/>
        <cfvo type="num" val="0.8"/>
        <cfvo type="num" val="0.9"/>
        <color rgb="FFF8696B"/>
        <color rgb="FFFFEB84"/>
        <color rgb="FF63BE7B"/>
      </colorScale>
    </cfRule>
  </conditionalFormatting>
  <conditionalFormatting sqref="BR11">
    <cfRule type="colorScale" priority="112">
      <colorScale>
        <cfvo type="num" val="0.69"/>
        <cfvo type="num" val="0.8"/>
        <cfvo type="num" val="0.9"/>
        <color rgb="FFF8696B"/>
        <color rgb="FFFFEB84"/>
        <color rgb="FF63BE7B"/>
      </colorScale>
    </cfRule>
  </conditionalFormatting>
  <conditionalFormatting sqref="BR12">
    <cfRule type="colorScale" priority="111">
      <colorScale>
        <cfvo type="num" val="0.69"/>
        <cfvo type="num" val="0.8"/>
        <cfvo type="num" val="0.9"/>
        <color rgb="FFF8696B"/>
        <color rgb="FFFFEB84"/>
        <color rgb="FF63BE7B"/>
      </colorScale>
    </cfRule>
  </conditionalFormatting>
  <conditionalFormatting sqref="BR12">
    <cfRule type="colorScale" priority="110">
      <colorScale>
        <cfvo type="num" val="0.69"/>
        <cfvo type="num" val="0.8"/>
        <cfvo type="num" val="0.9"/>
        <color rgb="FFF8696B"/>
        <color rgb="FFFFEB84"/>
        <color rgb="FF63BE7B"/>
      </colorScale>
    </cfRule>
  </conditionalFormatting>
  <conditionalFormatting sqref="BR13:BR14">
    <cfRule type="colorScale" priority="109">
      <colorScale>
        <cfvo type="num" val="0.69"/>
        <cfvo type="num" val="0.8"/>
        <cfvo type="num" val="0.9"/>
        <color rgb="FFF8696B"/>
        <color rgb="FFFFEB84"/>
        <color rgb="FF63BE7B"/>
      </colorScale>
    </cfRule>
  </conditionalFormatting>
  <conditionalFormatting sqref="BR13:BR14">
    <cfRule type="colorScale" priority="108">
      <colorScale>
        <cfvo type="num" val="0.69"/>
        <cfvo type="num" val="0.8"/>
        <cfvo type="num" val="0.9"/>
        <color rgb="FFF8696B"/>
        <color rgb="FFFFEB84"/>
        <color rgb="FF63BE7B"/>
      </colorScale>
    </cfRule>
  </conditionalFormatting>
  <conditionalFormatting sqref="BR8">
    <cfRule type="colorScale" priority="107">
      <colorScale>
        <cfvo type="num" val="0.69"/>
        <cfvo type="num" val="0.8"/>
        <cfvo type="num" val="0.9"/>
        <color rgb="FFF8696B"/>
        <color rgb="FFFFEB84"/>
        <color rgb="FF63BE7B"/>
      </colorScale>
    </cfRule>
  </conditionalFormatting>
  <conditionalFormatting sqref="BR15">
    <cfRule type="colorScale" priority="106">
      <colorScale>
        <cfvo type="num" val="0.69"/>
        <cfvo type="num" val="0.8"/>
        <cfvo type="num" val="0.9"/>
        <color rgb="FFF8696B"/>
        <color rgb="FFFFEB84"/>
        <color rgb="FF63BE7B"/>
      </colorScale>
    </cfRule>
  </conditionalFormatting>
  <conditionalFormatting sqref="BR21">
    <cfRule type="colorScale" priority="105">
      <colorScale>
        <cfvo type="num" val="0.69"/>
        <cfvo type="num" val="0.8"/>
        <cfvo type="num" val="0.9"/>
        <color rgb="FFF8696B"/>
        <color rgb="FFFFEB84"/>
        <color rgb="FF63BE7B"/>
      </colorScale>
    </cfRule>
  </conditionalFormatting>
  <conditionalFormatting sqref="BR22">
    <cfRule type="colorScale" priority="104">
      <colorScale>
        <cfvo type="num" val="0.69"/>
        <cfvo type="num" val="0.8"/>
        <cfvo type="num" val="0.9"/>
        <color rgb="FFF8696B"/>
        <color rgb="FFFFEB84"/>
        <color rgb="FF63BE7B"/>
      </colorScale>
    </cfRule>
  </conditionalFormatting>
  <conditionalFormatting sqref="BR24:BR25">
    <cfRule type="colorScale" priority="103">
      <colorScale>
        <cfvo type="num" val="0.69"/>
        <cfvo type="num" val="0.8"/>
        <cfvo type="num" val="0.9"/>
        <color rgb="FFF8696B"/>
        <color rgb="FFFFEB84"/>
        <color rgb="FF63BE7B"/>
      </colorScale>
    </cfRule>
  </conditionalFormatting>
  <conditionalFormatting sqref="BR29">
    <cfRule type="colorScale" priority="102">
      <colorScale>
        <cfvo type="num" val="0.69"/>
        <cfvo type="num" val="0.8"/>
        <cfvo type="num" val="0.9"/>
        <color rgb="FFF8696B"/>
        <color rgb="FFFFEB84"/>
        <color rgb="FF63BE7B"/>
      </colorScale>
    </cfRule>
  </conditionalFormatting>
  <conditionalFormatting sqref="BR26">
    <cfRule type="colorScale" priority="101">
      <colorScale>
        <cfvo type="num" val="0.69"/>
        <cfvo type="num" val="0.8"/>
        <cfvo type="num" val="0.9"/>
        <color rgb="FFF8696B"/>
        <color rgb="FFFFEB84"/>
        <color rgb="FF63BE7B"/>
      </colorScale>
    </cfRule>
  </conditionalFormatting>
  <conditionalFormatting sqref="BR9">
    <cfRule type="colorScale" priority="100">
      <colorScale>
        <cfvo type="num" val="0.69"/>
        <cfvo type="num" val="0.8"/>
        <cfvo type="num" val="0.9"/>
        <color rgb="FFF8696B"/>
        <color rgb="FFFFEB84"/>
        <color rgb="FF63BE7B"/>
      </colorScale>
    </cfRule>
  </conditionalFormatting>
  <conditionalFormatting sqref="BR27">
    <cfRule type="colorScale" priority="99">
      <colorScale>
        <cfvo type="num" val="0.69"/>
        <cfvo type="num" val="0.8"/>
        <cfvo type="num" val="0.9"/>
        <color rgb="FFF8696B"/>
        <color rgb="FFFFEB84"/>
        <color rgb="FF63BE7B"/>
      </colorScale>
    </cfRule>
  </conditionalFormatting>
  <conditionalFormatting sqref="BR28">
    <cfRule type="colorScale" priority="98">
      <colorScale>
        <cfvo type="num" val="0.69"/>
        <cfvo type="num" val="0.8"/>
        <cfvo type="num" val="0.9"/>
        <color rgb="FFF8696B"/>
        <color rgb="FFFFEB84"/>
        <color rgb="FF63BE7B"/>
      </colorScale>
    </cfRule>
  </conditionalFormatting>
  <conditionalFormatting sqref="BX8">
    <cfRule type="colorScale" priority="97">
      <colorScale>
        <cfvo type="num" val="0.69"/>
        <cfvo type="num" val="0.8"/>
        <cfvo type="num" val="0.9"/>
        <color rgb="FFF8696B"/>
        <color rgb="FFFFEB84"/>
        <color rgb="FF63BE7B"/>
      </colorScale>
    </cfRule>
  </conditionalFormatting>
  <conditionalFormatting sqref="BX10">
    <cfRule type="colorScale" priority="96">
      <colorScale>
        <cfvo type="num" val="0.69"/>
        <cfvo type="num" val="0.8"/>
        <cfvo type="num" val="0.9"/>
        <color rgb="FFF8696B"/>
        <color rgb="FFFFEB84"/>
        <color rgb="FF63BE7B"/>
      </colorScale>
    </cfRule>
  </conditionalFormatting>
  <conditionalFormatting sqref="BX11">
    <cfRule type="colorScale" priority="95">
      <colorScale>
        <cfvo type="num" val="0.69"/>
        <cfvo type="num" val="0.8"/>
        <cfvo type="num" val="0.9"/>
        <color rgb="FFF8696B"/>
        <color rgb="FFFFEB84"/>
        <color rgb="FF63BE7B"/>
      </colorScale>
    </cfRule>
  </conditionalFormatting>
  <conditionalFormatting sqref="BX9">
    <cfRule type="colorScale" priority="94">
      <colorScale>
        <cfvo type="num" val="0.69"/>
        <cfvo type="num" val="0.8"/>
        <cfvo type="num" val="0.9"/>
        <color rgb="FFF8696B"/>
        <color rgb="FFFFEB84"/>
        <color rgb="FF63BE7B"/>
      </colorScale>
    </cfRule>
  </conditionalFormatting>
  <conditionalFormatting sqref="BX12">
    <cfRule type="colorScale" priority="93">
      <colorScale>
        <cfvo type="num" val="0.69"/>
        <cfvo type="num" val="0.8"/>
        <cfvo type="num" val="0.9"/>
        <color rgb="FFF8696B"/>
        <color rgb="FFFFEB84"/>
        <color rgb="FF63BE7B"/>
      </colorScale>
    </cfRule>
  </conditionalFormatting>
  <conditionalFormatting sqref="BX12">
    <cfRule type="colorScale" priority="92">
      <colorScale>
        <cfvo type="num" val="0.69"/>
        <cfvo type="num" val="0.8"/>
        <cfvo type="num" val="0.9"/>
        <color rgb="FFF8696B"/>
        <color rgb="FFFFEB84"/>
        <color rgb="FF63BE7B"/>
      </colorScale>
    </cfRule>
  </conditionalFormatting>
  <conditionalFormatting sqref="BX13">
    <cfRule type="colorScale" priority="91">
      <colorScale>
        <cfvo type="num" val="0.69"/>
        <cfvo type="num" val="0.8"/>
        <cfvo type="num" val="0.9"/>
        <color rgb="FFF8696B"/>
        <color rgb="FFFFEB84"/>
        <color rgb="FF63BE7B"/>
      </colorScale>
    </cfRule>
  </conditionalFormatting>
  <conditionalFormatting sqref="BX14">
    <cfRule type="colorScale" priority="90">
      <colorScale>
        <cfvo type="num" val="0.69"/>
        <cfvo type="num" val="0.8"/>
        <cfvo type="num" val="0.9"/>
        <color rgb="FFF8696B"/>
        <color rgb="FFFFEB84"/>
        <color rgb="FF63BE7B"/>
      </colorScale>
    </cfRule>
  </conditionalFormatting>
  <conditionalFormatting sqref="BX15">
    <cfRule type="colorScale" priority="89">
      <colorScale>
        <cfvo type="num" val="0.69"/>
        <cfvo type="num" val="0.8"/>
        <cfvo type="num" val="0.9"/>
        <color rgb="FFF8696B"/>
        <color rgb="FFFFEB84"/>
        <color rgb="FF63BE7B"/>
      </colorScale>
    </cfRule>
  </conditionalFormatting>
  <conditionalFormatting sqref="BX16:BX20">
    <cfRule type="colorScale" priority="88">
      <colorScale>
        <cfvo type="num" val="0.69"/>
        <cfvo type="num" val="0.8"/>
        <cfvo type="num" val="0.9"/>
        <color rgb="FFF8696B"/>
        <color rgb="FFFFEB84"/>
        <color rgb="FF63BE7B"/>
      </colorScale>
    </cfRule>
  </conditionalFormatting>
  <conditionalFormatting sqref="BX22">
    <cfRule type="colorScale" priority="87">
      <colorScale>
        <cfvo type="num" val="0.69"/>
        <cfvo type="num" val="0.8"/>
        <cfvo type="num" val="0.9"/>
        <color rgb="FFF8696B"/>
        <color rgb="FFFFEB84"/>
        <color rgb="FF63BE7B"/>
      </colorScale>
    </cfRule>
  </conditionalFormatting>
  <conditionalFormatting sqref="BX21">
    <cfRule type="colorScale" priority="86">
      <colorScale>
        <cfvo type="num" val="0.69"/>
        <cfvo type="num" val="0.8"/>
        <cfvo type="num" val="0.9"/>
        <color rgb="FFF8696B"/>
        <color rgb="FFFFEB84"/>
        <color rgb="FF63BE7B"/>
      </colorScale>
    </cfRule>
  </conditionalFormatting>
  <conditionalFormatting sqref="BX21">
    <cfRule type="colorScale" priority="85">
      <colorScale>
        <cfvo type="num" val="0.69"/>
        <cfvo type="num" val="0.8"/>
        <cfvo type="num" val="0.9"/>
        <color rgb="FFF8696B"/>
        <color rgb="FFFFEB84"/>
        <color rgb="FF63BE7B"/>
      </colorScale>
    </cfRule>
  </conditionalFormatting>
  <conditionalFormatting sqref="BX21">
    <cfRule type="colorScale" priority="84">
      <colorScale>
        <cfvo type="num" val="0.69"/>
        <cfvo type="num" val="0.8"/>
        <cfvo type="num" val="0.9"/>
        <color rgb="FFF8696B"/>
        <color rgb="FFFFEB84"/>
        <color rgb="FF63BE7B"/>
      </colorScale>
    </cfRule>
  </conditionalFormatting>
  <conditionalFormatting sqref="BX24">
    <cfRule type="colorScale" priority="83">
      <colorScale>
        <cfvo type="num" val="0.69"/>
        <cfvo type="num" val="0.8"/>
        <cfvo type="num" val="0.9"/>
        <color rgb="FFF8696B"/>
        <color rgb="FFFFEB84"/>
        <color rgb="FF63BE7B"/>
      </colorScale>
    </cfRule>
  </conditionalFormatting>
  <conditionalFormatting sqref="BX24">
    <cfRule type="colorScale" priority="82">
      <colorScale>
        <cfvo type="num" val="0.69"/>
        <cfvo type="num" val="0.8"/>
        <cfvo type="num" val="0.9"/>
        <color rgb="FFF8696B"/>
        <color rgb="FFFFEB84"/>
        <color rgb="FF63BE7B"/>
      </colorScale>
    </cfRule>
  </conditionalFormatting>
  <conditionalFormatting sqref="BX24">
    <cfRule type="colorScale" priority="81">
      <colorScale>
        <cfvo type="num" val="0.69"/>
        <cfvo type="num" val="0.8"/>
        <cfvo type="num" val="0.9"/>
        <color rgb="FFF8696B"/>
        <color rgb="FFFFEB84"/>
        <color rgb="FF63BE7B"/>
      </colorScale>
    </cfRule>
  </conditionalFormatting>
  <conditionalFormatting sqref="BX25">
    <cfRule type="colorScale" priority="80">
      <colorScale>
        <cfvo type="num" val="0.69"/>
        <cfvo type="num" val="0.8"/>
        <cfvo type="num" val="0.9"/>
        <color rgb="FFF8696B"/>
        <color rgb="FFFFEB84"/>
        <color rgb="FF63BE7B"/>
      </colorScale>
    </cfRule>
  </conditionalFormatting>
  <conditionalFormatting sqref="BX25">
    <cfRule type="colorScale" priority="79">
      <colorScale>
        <cfvo type="num" val="0.69"/>
        <cfvo type="num" val="0.8"/>
        <cfvo type="num" val="0.9"/>
        <color rgb="FFF8696B"/>
        <color rgb="FFFFEB84"/>
        <color rgb="FF63BE7B"/>
      </colorScale>
    </cfRule>
  </conditionalFormatting>
  <conditionalFormatting sqref="BX25">
    <cfRule type="colorScale" priority="78">
      <colorScale>
        <cfvo type="num" val="0.69"/>
        <cfvo type="num" val="0.8"/>
        <cfvo type="num" val="0.9"/>
        <color rgb="FFF8696B"/>
        <color rgb="FFFFEB84"/>
        <color rgb="FF63BE7B"/>
      </colorScale>
    </cfRule>
  </conditionalFormatting>
  <conditionalFormatting sqref="BX26">
    <cfRule type="colorScale" priority="77">
      <colorScale>
        <cfvo type="num" val="0.69"/>
        <cfvo type="num" val="0.8"/>
        <cfvo type="num" val="0.9"/>
        <color rgb="FFF8696B"/>
        <color rgb="FFFFEB84"/>
        <color rgb="FF63BE7B"/>
      </colorScale>
    </cfRule>
  </conditionalFormatting>
  <conditionalFormatting sqref="BX26">
    <cfRule type="colorScale" priority="76">
      <colorScale>
        <cfvo type="num" val="0.69"/>
        <cfvo type="num" val="0.8"/>
        <cfvo type="num" val="0.9"/>
        <color rgb="FFF8696B"/>
        <color rgb="FFFFEB84"/>
        <color rgb="FF63BE7B"/>
      </colorScale>
    </cfRule>
  </conditionalFormatting>
  <conditionalFormatting sqref="BX26">
    <cfRule type="colorScale" priority="75">
      <colorScale>
        <cfvo type="num" val="0.69"/>
        <cfvo type="num" val="0.8"/>
        <cfvo type="num" val="0.9"/>
        <color rgb="FFF8696B"/>
        <color rgb="FFFFEB84"/>
        <color rgb="FF63BE7B"/>
      </colorScale>
    </cfRule>
  </conditionalFormatting>
  <conditionalFormatting sqref="BX27">
    <cfRule type="colorScale" priority="74">
      <colorScale>
        <cfvo type="num" val="0.69"/>
        <cfvo type="num" val="0.8"/>
        <cfvo type="num" val="0.9"/>
        <color rgb="FFF8696B"/>
        <color rgb="FFFFEB84"/>
        <color rgb="FF63BE7B"/>
      </colorScale>
    </cfRule>
  </conditionalFormatting>
  <conditionalFormatting sqref="BX27">
    <cfRule type="colorScale" priority="73">
      <colorScale>
        <cfvo type="num" val="0.69"/>
        <cfvo type="num" val="0.8"/>
        <cfvo type="num" val="0.9"/>
        <color rgb="FFF8696B"/>
        <color rgb="FFFFEB84"/>
        <color rgb="FF63BE7B"/>
      </colorScale>
    </cfRule>
  </conditionalFormatting>
  <conditionalFormatting sqref="BX27">
    <cfRule type="colorScale" priority="72">
      <colorScale>
        <cfvo type="num" val="0.69"/>
        <cfvo type="num" val="0.8"/>
        <cfvo type="num" val="0.9"/>
        <color rgb="FFF8696B"/>
        <color rgb="FFFFEB84"/>
        <color rgb="FF63BE7B"/>
      </colorScale>
    </cfRule>
  </conditionalFormatting>
  <conditionalFormatting sqref="BX28">
    <cfRule type="colorScale" priority="71">
      <colorScale>
        <cfvo type="num" val="0.69"/>
        <cfvo type="num" val="0.8"/>
        <cfvo type="num" val="0.9"/>
        <color rgb="FFF8696B"/>
        <color rgb="FFFFEB84"/>
        <color rgb="FF63BE7B"/>
      </colorScale>
    </cfRule>
  </conditionalFormatting>
  <conditionalFormatting sqref="BX28">
    <cfRule type="colorScale" priority="70">
      <colorScale>
        <cfvo type="num" val="0.69"/>
        <cfvo type="num" val="0.8"/>
        <cfvo type="num" val="0.9"/>
        <color rgb="FFF8696B"/>
        <color rgb="FFFFEB84"/>
        <color rgb="FF63BE7B"/>
      </colorScale>
    </cfRule>
  </conditionalFormatting>
  <conditionalFormatting sqref="BX28">
    <cfRule type="colorScale" priority="69">
      <colorScale>
        <cfvo type="num" val="0.69"/>
        <cfvo type="num" val="0.8"/>
        <cfvo type="num" val="0.9"/>
        <color rgb="FFF8696B"/>
        <color rgb="FFFFEB84"/>
        <color rgb="FF63BE7B"/>
      </colorScale>
    </cfRule>
  </conditionalFormatting>
  <conditionalFormatting sqref="BX29">
    <cfRule type="colorScale" priority="68">
      <colorScale>
        <cfvo type="num" val="0.69"/>
        <cfvo type="num" val="0.8"/>
        <cfvo type="num" val="0.9"/>
        <color rgb="FFF8696B"/>
        <color rgb="FFFFEB84"/>
        <color rgb="FF63BE7B"/>
      </colorScale>
    </cfRule>
  </conditionalFormatting>
  <conditionalFormatting sqref="BX29">
    <cfRule type="colorScale" priority="67">
      <colorScale>
        <cfvo type="num" val="0.69"/>
        <cfvo type="num" val="0.8"/>
        <cfvo type="num" val="0.9"/>
        <color rgb="FFF8696B"/>
        <color rgb="FFFFEB84"/>
        <color rgb="FF63BE7B"/>
      </colorScale>
    </cfRule>
  </conditionalFormatting>
  <conditionalFormatting sqref="BX29">
    <cfRule type="colorScale" priority="66">
      <colorScale>
        <cfvo type="num" val="0.69"/>
        <cfvo type="num" val="0.8"/>
        <cfvo type="num" val="0.9"/>
        <color rgb="FFF8696B"/>
        <color rgb="FFFFEB84"/>
        <color rgb="FF63BE7B"/>
      </colorScale>
    </cfRule>
  </conditionalFormatting>
  <conditionalFormatting sqref="CD8">
    <cfRule type="colorScale" priority="65">
      <colorScale>
        <cfvo type="num" val="0.69"/>
        <cfvo type="num" val="0.8"/>
        <cfvo type="num" val="0.9"/>
        <color rgb="FFF8696B"/>
        <color rgb="FFFFEB84"/>
        <color rgb="FF63BE7B"/>
      </colorScale>
    </cfRule>
  </conditionalFormatting>
  <conditionalFormatting sqref="CD9">
    <cfRule type="colorScale" priority="64">
      <colorScale>
        <cfvo type="num" val="0.69"/>
        <cfvo type="num" val="0.8"/>
        <cfvo type="num" val="0.9"/>
        <color rgb="FFF8696B"/>
        <color rgb="FFFFEB84"/>
        <color rgb="FF63BE7B"/>
      </colorScale>
    </cfRule>
  </conditionalFormatting>
  <conditionalFormatting sqref="CD10">
    <cfRule type="colorScale" priority="63">
      <colorScale>
        <cfvo type="num" val="0.69"/>
        <cfvo type="num" val="0.8"/>
        <cfvo type="num" val="0.9"/>
        <color rgb="FFF8696B"/>
        <color rgb="FFFFEB84"/>
        <color rgb="FF63BE7B"/>
      </colorScale>
    </cfRule>
  </conditionalFormatting>
  <conditionalFormatting sqref="CD11">
    <cfRule type="colorScale" priority="62">
      <colorScale>
        <cfvo type="num" val="0.69"/>
        <cfvo type="num" val="0.8"/>
        <cfvo type="num" val="0.9"/>
        <color rgb="FFF8696B"/>
        <color rgb="FFFFEB84"/>
        <color rgb="FF63BE7B"/>
      </colorScale>
    </cfRule>
  </conditionalFormatting>
  <conditionalFormatting sqref="CD12">
    <cfRule type="colorScale" priority="61">
      <colorScale>
        <cfvo type="num" val="0.69"/>
        <cfvo type="num" val="0.8"/>
        <cfvo type="num" val="0.9"/>
        <color rgb="FFF8696B"/>
        <color rgb="FFFFEB84"/>
        <color rgb="FF63BE7B"/>
      </colorScale>
    </cfRule>
  </conditionalFormatting>
  <conditionalFormatting sqref="CD12">
    <cfRule type="colorScale" priority="60">
      <colorScale>
        <cfvo type="num" val="0.69"/>
        <cfvo type="num" val="0.8"/>
        <cfvo type="num" val="0.9"/>
        <color rgb="FFF8696B"/>
        <color rgb="FFFFEB84"/>
        <color rgb="FF63BE7B"/>
      </colorScale>
    </cfRule>
  </conditionalFormatting>
  <conditionalFormatting sqref="CD13">
    <cfRule type="colorScale" priority="59">
      <colorScale>
        <cfvo type="num" val="0.69"/>
        <cfvo type="num" val="0.8"/>
        <cfvo type="num" val="0.9"/>
        <color rgb="FFF8696B"/>
        <color rgb="FFFFEB84"/>
        <color rgb="FF63BE7B"/>
      </colorScale>
    </cfRule>
  </conditionalFormatting>
  <conditionalFormatting sqref="CD14">
    <cfRule type="colorScale" priority="58">
      <colorScale>
        <cfvo type="num" val="0.69"/>
        <cfvo type="num" val="0.8"/>
        <cfvo type="num" val="0.9"/>
        <color rgb="FFF8696B"/>
        <color rgb="FFFFEB84"/>
        <color rgb="FF63BE7B"/>
      </colorScale>
    </cfRule>
  </conditionalFormatting>
  <conditionalFormatting sqref="CD15">
    <cfRule type="colorScale" priority="57">
      <colorScale>
        <cfvo type="num" val="0.69"/>
        <cfvo type="num" val="0.8"/>
        <cfvo type="num" val="0.9"/>
        <color rgb="FFF8696B"/>
        <color rgb="FFFFEB84"/>
        <color rgb="FF63BE7B"/>
      </colorScale>
    </cfRule>
  </conditionalFormatting>
  <conditionalFormatting sqref="CD16:CD20">
    <cfRule type="colorScale" priority="56">
      <colorScale>
        <cfvo type="num" val="0.69"/>
        <cfvo type="num" val="0.8"/>
        <cfvo type="num" val="0.9"/>
        <color rgb="FFF8696B"/>
        <color rgb="FFFFEB84"/>
        <color rgb="FF63BE7B"/>
      </colorScale>
    </cfRule>
  </conditionalFormatting>
  <conditionalFormatting sqref="CD21">
    <cfRule type="colorScale" priority="55">
      <colorScale>
        <cfvo type="num" val="0.69"/>
        <cfvo type="num" val="0.8"/>
        <cfvo type="num" val="0.9"/>
        <color rgb="FFF8696B"/>
        <color rgb="FFFFEB84"/>
        <color rgb="FF63BE7B"/>
      </colorScale>
    </cfRule>
  </conditionalFormatting>
  <conditionalFormatting sqref="CD22">
    <cfRule type="colorScale" priority="54">
      <colorScale>
        <cfvo type="num" val="0.69"/>
        <cfvo type="num" val="0.8"/>
        <cfvo type="num" val="0.9"/>
        <color rgb="FFF8696B"/>
        <color rgb="FFFFEB84"/>
        <color rgb="FF63BE7B"/>
      </colorScale>
    </cfRule>
  </conditionalFormatting>
  <conditionalFormatting sqref="CD24:CD25">
    <cfRule type="colorScale" priority="53">
      <colorScale>
        <cfvo type="num" val="0.69"/>
        <cfvo type="num" val="0.8"/>
        <cfvo type="num" val="0.9"/>
        <color rgb="FFF8696B"/>
        <color rgb="FFFFEB84"/>
        <color rgb="FF63BE7B"/>
      </colorScale>
    </cfRule>
  </conditionalFormatting>
  <conditionalFormatting sqref="CD26">
    <cfRule type="colorScale" priority="52">
      <colorScale>
        <cfvo type="num" val="0.69"/>
        <cfvo type="num" val="0.8"/>
        <cfvo type="num" val="0.9"/>
        <color rgb="FFF8696B"/>
        <color rgb="FFFFEB84"/>
        <color rgb="FF63BE7B"/>
      </colorScale>
    </cfRule>
  </conditionalFormatting>
  <conditionalFormatting sqref="CD29">
    <cfRule type="colorScale" priority="51">
      <colorScale>
        <cfvo type="num" val="0.69"/>
        <cfvo type="num" val="0.8"/>
        <cfvo type="num" val="0.9"/>
        <color rgb="FFF8696B"/>
        <color rgb="FFFFEB84"/>
        <color rgb="FF63BE7B"/>
      </colorScale>
    </cfRule>
  </conditionalFormatting>
  <conditionalFormatting sqref="CD27">
    <cfRule type="colorScale" priority="50">
      <colorScale>
        <cfvo type="num" val="0.69"/>
        <cfvo type="num" val="0.8"/>
        <cfvo type="num" val="0.9"/>
        <color rgb="FFF8696B"/>
        <color rgb="FFFFEB84"/>
        <color rgb="FF63BE7B"/>
      </colorScale>
    </cfRule>
  </conditionalFormatting>
  <conditionalFormatting sqref="CD27">
    <cfRule type="colorScale" priority="49">
      <colorScale>
        <cfvo type="num" val="0.69"/>
        <cfvo type="num" val="0.8"/>
        <cfvo type="num" val="0.9"/>
        <color rgb="FFF8696B"/>
        <color rgb="FFFFEB84"/>
        <color rgb="FF63BE7B"/>
      </colorScale>
    </cfRule>
  </conditionalFormatting>
  <conditionalFormatting sqref="CD27">
    <cfRule type="colorScale" priority="48">
      <colorScale>
        <cfvo type="num" val="0.69"/>
        <cfvo type="num" val="0.8"/>
        <cfvo type="num" val="0.9"/>
        <color rgb="FFF8696B"/>
        <color rgb="FFFFEB84"/>
        <color rgb="FF63BE7B"/>
      </colorScale>
    </cfRule>
  </conditionalFormatting>
  <conditionalFormatting sqref="CD28">
    <cfRule type="colorScale" priority="47">
      <colorScale>
        <cfvo type="num" val="0.69"/>
        <cfvo type="num" val="0.8"/>
        <cfvo type="num" val="0.9"/>
        <color rgb="FFF8696B"/>
        <color rgb="FFFFEB84"/>
        <color rgb="FF63BE7B"/>
      </colorScale>
    </cfRule>
  </conditionalFormatting>
  <conditionalFormatting sqref="CJ8">
    <cfRule type="colorScale" priority="46">
      <colorScale>
        <cfvo type="num" val="0.69"/>
        <cfvo type="num" val="0.8"/>
        <cfvo type="num" val="0.9"/>
        <color rgb="FFF8696B"/>
        <color rgb="FFFFEB84"/>
        <color rgb="FF63BE7B"/>
      </colorScale>
    </cfRule>
  </conditionalFormatting>
  <conditionalFormatting sqref="CJ10">
    <cfRule type="colorScale" priority="45">
      <colorScale>
        <cfvo type="num" val="0.69"/>
        <cfvo type="num" val="0.8"/>
        <cfvo type="num" val="0.9"/>
        <color rgb="FFF8696B"/>
        <color rgb="FFFFEB84"/>
        <color rgb="FF63BE7B"/>
      </colorScale>
    </cfRule>
  </conditionalFormatting>
  <conditionalFormatting sqref="CJ9">
    <cfRule type="colorScale" priority="44">
      <colorScale>
        <cfvo type="num" val="0.69"/>
        <cfvo type="num" val="0.8"/>
        <cfvo type="num" val="0.9"/>
        <color rgb="FFF8696B"/>
        <color rgb="FFFFEB84"/>
        <color rgb="FF63BE7B"/>
      </colorScale>
    </cfRule>
  </conditionalFormatting>
  <conditionalFormatting sqref="CJ12">
    <cfRule type="colorScale" priority="43">
      <colorScale>
        <cfvo type="num" val="0.69"/>
        <cfvo type="num" val="0.8"/>
        <cfvo type="num" val="0.9"/>
        <color rgb="FFF8696B"/>
        <color rgb="FFFFEB84"/>
        <color rgb="FF63BE7B"/>
      </colorScale>
    </cfRule>
  </conditionalFormatting>
  <conditionalFormatting sqref="CJ12">
    <cfRule type="colorScale" priority="42">
      <colorScale>
        <cfvo type="num" val="0.69"/>
        <cfvo type="num" val="0.8"/>
        <cfvo type="num" val="0.9"/>
        <color rgb="FFF8696B"/>
        <color rgb="FFFFEB84"/>
        <color rgb="FF63BE7B"/>
      </colorScale>
    </cfRule>
  </conditionalFormatting>
  <conditionalFormatting sqref="CJ11">
    <cfRule type="colorScale" priority="41">
      <colorScale>
        <cfvo type="num" val="0.69"/>
        <cfvo type="num" val="0.8"/>
        <cfvo type="num" val="0.9"/>
        <color rgb="FFF8696B"/>
        <color rgb="FFFFEB84"/>
        <color rgb="FF63BE7B"/>
      </colorScale>
    </cfRule>
  </conditionalFormatting>
  <conditionalFormatting sqref="CJ13:CJ14">
    <cfRule type="colorScale" priority="40">
      <colorScale>
        <cfvo type="num" val="0.69"/>
        <cfvo type="num" val="0.8"/>
        <cfvo type="num" val="0.9"/>
        <color rgb="FFF8696B"/>
        <color rgb="FFFFEB84"/>
        <color rgb="FF63BE7B"/>
      </colorScale>
    </cfRule>
  </conditionalFormatting>
  <conditionalFormatting sqref="CJ15">
    <cfRule type="colorScale" priority="39">
      <colorScale>
        <cfvo type="num" val="0.69"/>
        <cfvo type="num" val="0.8"/>
        <cfvo type="num" val="0.9"/>
        <color rgb="FFF8696B"/>
        <color rgb="FFFFEB84"/>
        <color rgb="FF63BE7B"/>
      </colorScale>
    </cfRule>
  </conditionalFormatting>
  <conditionalFormatting sqref="CJ16:CJ20">
    <cfRule type="colorScale" priority="38">
      <colorScale>
        <cfvo type="num" val="0.69"/>
        <cfvo type="num" val="0.8"/>
        <cfvo type="num" val="0.9"/>
        <color rgb="FFF8696B"/>
        <color rgb="FFFFEB84"/>
        <color rgb="FF63BE7B"/>
      </colorScale>
    </cfRule>
  </conditionalFormatting>
  <conditionalFormatting sqref="CJ21:CJ22">
    <cfRule type="colorScale" priority="37">
      <colorScale>
        <cfvo type="num" val="0.69"/>
        <cfvo type="num" val="0.8"/>
        <cfvo type="num" val="0.9"/>
        <color rgb="FFF8696B"/>
        <color rgb="FFFFEB84"/>
        <color rgb="FF63BE7B"/>
      </colorScale>
    </cfRule>
  </conditionalFormatting>
  <conditionalFormatting sqref="CJ24:CJ26">
    <cfRule type="colorScale" priority="36">
      <colorScale>
        <cfvo type="num" val="0.69"/>
        <cfvo type="num" val="0.8"/>
        <cfvo type="num" val="0.9"/>
        <color rgb="FFF8696B"/>
        <color rgb="FFFFEB84"/>
        <color rgb="FF63BE7B"/>
      </colorScale>
    </cfRule>
  </conditionalFormatting>
  <conditionalFormatting sqref="CJ29">
    <cfRule type="colorScale" priority="35">
      <colorScale>
        <cfvo type="num" val="0.69"/>
        <cfvo type="num" val="0.8"/>
        <cfvo type="num" val="0.9"/>
        <color rgb="FFF8696B"/>
        <color rgb="FFFFEB84"/>
        <color rgb="FF63BE7B"/>
      </colorScale>
    </cfRule>
  </conditionalFormatting>
  <conditionalFormatting sqref="CJ28">
    <cfRule type="colorScale" priority="34">
      <colorScale>
        <cfvo type="num" val="0.69"/>
        <cfvo type="num" val="0.8"/>
        <cfvo type="num" val="0.9"/>
        <color rgb="FFF8696B"/>
        <color rgb="FFFFEB84"/>
        <color rgb="FF63BE7B"/>
      </colorScale>
    </cfRule>
  </conditionalFormatting>
  <conditionalFormatting sqref="CJ27">
    <cfRule type="colorScale" priority="33">
      <colorScale>
        <cfvo type="num" val="0.69"/>
        <cfvo type="num" val="0.8"/>
        <cfvo type="num" val="0.9"/>
        <color rgb="FFF8696B"/>
        <color rgb="FFFFEB84"/>
        <color rgb="FF63BE7B"/>
      </colorScale>
    </cfRule>
  </conditionalFormatting>
  <conditionalFormatting sqref="CP8">
    <cfRule type="colorScale" priority="32">
      <colorScale>
        <cfvo type="num" val="0.69"/>
        <cfvo type="num" val="0.8"/>
        <cfvo type="num" val="0.9"/>
        <color rgb="FFF8696B"/>
        <color rgb="FFFFEB84"/>
        <color rgb="FF63BE7B"/>
      </colorScale>
    </cfRule>
  </conditionalFormatting>
  <conditionalFormatting sqref="CP9">
    <cfRule type="colorScale" priority="31">
      <colorScale>
        <cfvo type="num" val="0.69"/>
        <cfvo type="num" val="0.8"/>
        <cfvo type="num" val="0.9"/>
        <color rgb="FFF8696B"/>
        <color rgb="FFFFEB84"/>
        <color rgb="FF63BE7B"/>
      </colorScale>
    </cfRule>
  </conditionalFormatting>
  <conditionalFormatting sqref="CP10:CP11">
    <cfRule type="colorScale" priority="30">
      <colorScale>
        <cfvo type="num" val="0.69"/>
        <cfvo type="num" val="0.8"/>
        <cfvo type="num" val="0.9"/>
        <color rgb="FFF8696B"/>
        <color rgb="FFFFEB84"/>
        <color rgb="FF63BE7B"/>
      </colorScale>
    </cfRule>
  </conditionalFormatting>
  <conditionalFormatting sqref="CP12:CP14">
    <cfRule type="colorScale" priority="29">
      <colorScale>
        <cfvo type="num" val="0.69"/>
        <cfvo type="num" val="0.8"/>
        <cfvo type="num" val="0.9"/>
        <color rgb="FFF8696B"/>
        <color rgb="FFFFEB84"/>
        <color rgb="FF63BE7B"/>
      </colorScale>
    </cfRule>
  </conditionalFormatting>
  <conditionalFormatting sqref="CP12:CP14">
    <cfRule type="colorScale" priority="28">
      <colorScale>
        <cfvo type="num" val="0.69"/>
        <cfvo type="num" val="0.8"/>
        <cfvo type="num" val="0.9"/>
        <color rgb="FFF8696B"/>
        <color rgb="FFFFEB84"/>
        <color rgb="FF63BE7B"/>
      </colorScale>
    </cfRule>
  </conditionalFormatting>
  <conditionalFormatting sqref="CP15">
    <cfRule type="colorScale" priority="27">
      <colorScale>
        <cfvo type="num" val="0.69"/>
        <cfvo type="num" val="0.8"/>
        <cfvo type="num" val="0.9"/>
        <color rgb="FFF8696B"/>
        <color rgb="FFFFEB84"/>
        <color rgb="FF63BE7B"/>
      </colorScale>
    </cfRule>
  </conditionalFormatting>
  <conditionalFormatting sqref="CP16">
    <cfRule type="colorScale" priority="26">
      <colorScale>
        <cfvo type="num" val="0.69"/>
        <cfvo type="num" val="0.8"/>
        <cfvo type="num" val="0.9"/>
        <color rgb="FFF8696B"/>
        <color rgb="FFFFEB84"/>
        <color rgb="FF63BE7B"/>
      </colorScale>
    </cfRule>
  </conditionalFormatting>
  <conditionalFormatting sqref="CP17:CP20">
    <cfRule type="colorScale" priority="25">
      <colorScale>
        <cfvo type="num" val="0.69"/>
        <cfvo type="num" val="0.8"/>
        <cfvo type="num" val="0.9"/>
        <color rgb="FFF8696B"/>
        <color rgb="FFFFEB84"/>
        <color rgb="FF63BE7B"/>
      </colorScale>
    </cfRule>
  </conditionalFormatting>
  <conditionalFormatting sqref="CP21">
    <cfRule type="colorScale" priority="24">
      <colorScale>
        <cfvo type="num" val="0.69"/>
        <cfvo type="num" val="0.8"/>
        <cfvo type="num" val="0.9"/>
        <color rgb="FFF8696B"/>
        <color rgb="FFFFEB84"/>
        <color rgb="FF63BE7B"/>
      </colorScale>
    </cfRule>
  </conditionalFormatting>
  <conditionalFormatting sqref="CP22">
    <cfRule type="colorScale" priority="23">
      <colorScale>
        <cfvo type="num" val="0.69"/>
        <cfvo type="num" val="0.8"/>
        <cfvo type="num" val="0.9"/>
        <color rgb="FFF8696B"/>
        <color rgb="FFFFEB84"/>
        <color rgb="FF63BE7B"/>
      </colorScale>
    </cfRule>
  </conditionalFormatting>
  <conditionalFormatting sqref="CP25">
    <cfRule type="colorScale" priority="22">
      <colorScale>
        <cfvo type="num" val="0.69"/>
        <cfvo type="num" val="0.8"/>
        <cfvo type="num" val="0.9"/>
        <color rgb="FFF8696B"/>
        <color rgb="FFFFEB84"/>
        <color rgb="FF63BE7B"/>
      </colorScale>
    </cfRule>
  </conditionalFormatting>
  <conditionalFormatting sqref="CP26">
    <cfRule type="colorScale" priority="21">
      <colorScale>
        <cfvo type="num" val="0.69"/>
        <cfvo type="num" val="0.8"/>
        <cfvo type="num" val="0.9"/>
        <color rgb="FFF8696B"/>
        <color rgb="FFFFEB84"/>
        <color rgb="FF63BE7B"/>
      </colorScale>
    </cfRule>
  </conditionalFormatting>
  <conditionalFormatting sqref="CP24">
    <cfRule type="colorScale" priority="20">
      <colorScale>
        <cfvo type="num" val="0.69"/>
        <cfvo type="num" val="0.8"/>
        <cfvo type="num" val="0.9"/>
        <color rgb="FFF8696B"/>
        <color rgb="FFFFEB84"/>
        <color rgb="FF63BE7B"/>
      </colorScale>
    </cfRule>
  </conditionalFormatting>
  <conditionalFormatting sqref="CV24">
    <cfRule type="colorScale" priority="19">
      <colorScale>
        <cfvo type="num" val="0.69"/>
        <cfvo type="num" val="0.8"/>
        <cfvo type="num" val="0.9"/>
        <color rgb="FFF8696B"/>
        <color rgb="FFFFEB84"/>
        <color rgb="FF63BE7B"/>
      </colorScale>
    </cfRule>
  </conditionalFormatting>
  <conditionalFormatting sqref="CV26">
    <cfRule type="colorScale" priority="18">
      <colorScale>
        <cfvo type="num" val="0.69"/>
        <cfvo type="num" val="0.8"/>
        <cfvo type="num" val="0.9"/>
        <color rgb="FFF8696B"/>
        <color rgb="FFFFEB84"/>
        <color rgb="FF63BE7B"/>
      </colorScale>
    </cfRule>
  </conditionalFormatting>
  <conditionalFormatting sqref="CV25">
    <cfRule type="colorScale" priority="17">
      <colorScale>
        <cfvo type="num" val="0.69"/>
        <cfvo type="num" val="0.8"/>
        <cfvo type="num" val="0.9"/>
        <color rgb="FFF8696B"/>
        <color rgb="FFFFEB84"/>
        <color rgb="FF63BE7B"/>
      </colorScale>
    </cfRule>
  </conditionalFormatting>
  <conditionalFormatting sqref="CV21">
    <cfRule type="colorScale" priority="16">
      <colorScale>
        <cfvo type="num" val="0.69"/>
        <cfvo type="num" val="0.8"/>
        <cfvo type="num" val="0.9"/>
        <color rgb="FFF8696B"/>
        <color rgb="FFFFEB84"/>
        <color rgb="FF63BE7B"/>
      </colorScale>
    </cfRule>
  </conditionalFormatting>
  <conditionalFormatting sqref="CV22">
    <cfRule type="colorScale" priority="15">
      <colorScale>
        <cfvo type="num" val="0.69"/>
        <cfvo type="num" val="0.8"/>
        <cfvo type="num" val="0.9"/>
        <color rgb="FFF8696B"/>
        <color rgb="FFFFEB84"/>
        <color rgb="FF63BE7B"/>
      </colorScale>
    </cfRule>
  </conditionalFormatting>
  <conditionalFormatting sqref="CP29">
    <cfRule type="colorScale" priority="14">
      <colorScale>
        <cfvo type="num" val="0.69"/>
        <cfvo type="num" val="0.8"/>
        <cfvo type="num" val="0.9"/>
        <color rgb="FFF8696B"/>
        <color rgb="FFFFEB84"/>
        <color rgb="FF63BE7B"/>
      </colorScale>
    </cfRule>
  </conditionalFormatting>
  <conditionalFormatting sqref="CP27">
    <cfRule type="colorScale" priority="13">
      <colorScale>
        <cfvo type="num" val="0.69"/>
        <cfvo type="num" val="0.8"/>
        <cfvo type="num" val="0.9"/>
        <color rgb="FFF8696B"/>
        <color rgb="FFFFEB84"/>
        <color rgb="FF63BE7B"/>
      </colorScale>
    </cfRule>
  </conditionalFormatting>
  <conditionalFormatting sqref="CP28">
    <cfRule type="colorScale" priority="12">
      <colorScale>
        <cfvo type="num" val="0.69"/>
        <cfvo type="num" val="0.8"/>
        <cfvo type="num" val="0.9"/>
        <color rgb="FFF8696B"/>
        <color rgb="FFFFEB84"/>
        <color rgb="FF63BE7B"/>
      </colorScale>
    </cfRule>
  </conditionalFormatting>
  <conditionalFormatting sqref="CV10">
    <cfRule type="colorScale" priority="11">
      <colorScale>
        <cfvo type="num" val="0.69"/>
        <cfvo type="num" val="0.8"/>
        <cfvo type="num" val="0.9"/>
        <color rgb="FFF8696B"/>
        <color rgb="FFFFEB84"/>
        <color rgb="FF63BE7B"/>
      </colorScale>
    </cfRule>
  </conditionalFormatting>
  <conditionalFormatting sqref="CV11:CV14">
    <cfRule type="colorScale" priority="10">
      <colorScale>
        <cfvo type="num" val="0.69"/>
        <cfvo type="num" val="0.8"/>
        <cfvo type="num" val="0.9"/>
        <color rgb="FFF8696B"/>
        <color rgb="FFFFEB84"/>
        <color rgb="FF63BE7B"/>
      </colorScale>
    </cfRule>
  </conditionalFormatting>
  <conditionalFormatting sqref="CV15">
    <cfRule type="colorScale" priority="9">
      <colorScale>
        <cfvo type="num" val="0.69"/>
        <cfvo type="num" val="0.8"/>
        <cfvo type="num" val="0.9"/>
        <color rgb="FFF8696B"/>
        <color rgb="FFFFEB84"/>
        <color rgb="FF63BE7B"/>
      </colorScale>
    </cfRule>
  </conditionalFormatting>
  <conditionalFormatting sqref="CV16">
    <cfRule type="colorScale" priority="8">
      <colorScale>
        <cfvo type="num" val="0.69"/>
        <cfvo type="num" val="0.8"/>
        <cfvo type="num" val="0.9"/>
        <color rgb="FFF8696B"/>
        <color rgb="FFFFEB84"/>
        <color rgb="FF63BE7B"/>
      </colorScale>
    </cfRule>
  </conditionalFormatting>
  <conditionalFormatting sqref="CV27">
    <cfRule type="colorScale" priority="7">
      <colorScale>
        <cfvo type="num" val="0.69"/>
        <cfvo type="num" val="0.8"/>
        <cfvo type="num" val="0.9"/>
        <color rgb="FFF8696B"/>
        <color rgb="FFFFEB84"/>
        <color rgb="FF63BE7B"/>
      </colorScale>
    </cfRule>
  </conditionalFormatting>
  <conditionalFormatting sqref="CV28">
    <cfRule type="colorScale" priority="6">
      <colorScale>
        <cfvo type="num" val="0.69"/>
        <cfvo type="num" val="0.8"/>
        <cfvo type="num" val="0.9"/>
        <color rgb="FFF8696B"/>
        <color rgb="FFFFEB84"/>
        <color rgb="FF63BE7B"/>
      </colorScale>
    </cfRule>
  </conditionalFormatting>
  <conditionalFormatting sqref="CV29">
    <cfRule type="colorScale" priority="5">
      <colorScale>
        <cfvo type="num" val="0.69"/>
        <cfvo type="num" val="0.8"/>
        <cfvo type="num" val="0.9"/>
        <color rgb="FFF8696B"/>
        <color rgb="FFFFEB84"/>
        <color rgb="FF63BE7B"/>
      </colorScale>
    </cfRule>
  </conditionalFormatting>
  <conditionalFormatting sqref="CV18">
    <cfRule type="colorScale" priority="4">
      <colorScale>
        <cfvo type="num" val="0.69"/>
        <cfvo type="num" val="0.8"/>
        <cfvo type="num" val="0.9"/>
        <color rgb="FFF8696B"/>
        <color rgb="FFFFEB84"/>
        <color rgb="FF63BE7B"/>
      </colorScale>
    </cfRule>
  </conditionalFormatting>
  <conditionalFormatting sqref="CV20">
    <cfRule type="colorScale" priority="3">
      <colorScale>
        <cfvo type="num" val="0.69"/>
        <cfvo type="num" val="0.8"/>
        <cfvo type="num" val="0.9"/>
        <color rgb="FFF8696B"/>
        <color rgb="FFFFEB84"/>
        <color rgb="FF63BE7B"/>
      </colorScale>
    </cfRule>
  </conditionalFormatting>
  <conditionalFormatting sqref="CV17">
    <cfRule type="colorScale" priority="2">
      <colorScale>
        <cfvo type="num" val="0.69"/>
        <cfvo type="num" val="0.8"/>
        <cfvo type="num" val="0.9"/>
        <color rgb="FFF8696B"/>
        <color rgb="FFFFEB84"/>
        <color rgb="FF63BE7B"/>
      </colorScale>
    </cfRule>
  </conditionalFormatting>
  <conditionalFormatting sqref="CV19">
    <cfRule type="colorScale" priority="1">
      <colorScale>
        <cfvo type="num" val="0.69"/>
        <cfvo type="num" val="0.8"/>
        <cfvo type="num" val="0.9"/>
        <color rgb="FFF8696B"/>
        <color rgb="FFFFEB84"/>
        <color rgb="FF63BE7B"/>
      </colorScale>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V33"/>
  <sheetViews>
    <sheetView showGridLines="0" view="pageBreakPreview" zoomScale="57" zoomScaleNormal="100" zoomScaleSheetLayoutView="57" workbookViewId="0">
      <selection activeCell="A6" sqref="A6:A7"/>
    </sheetView>
  </sheetViews>
  <sheetFormatPr baseColWidth="10" defaultRowHeight="12.75"/>
  <cols>
    <col min="1" max="1" width="27.5703125" style="15" customWidth="1"/>
    <col min="2" max="2" width="8.7109375" style="15" customWidth="1"/>
    <col min="3" max="3" width="37.140625" style="15" customWidth="1"/>
    <col min="4" max="4" width="14.7109375" style="15" customWidth="1"/>
    <col min="5" max="5" width="32.7109375" style="15" customWidth="1"/>
    <col min="6" max="6" width="13.5703125" style="15" customWidth="1"/>
    <col min="7" max="7" width="26.7109375" style="15" customWidth="1"/>
    <col min="8" max="8" width="16.7109375" style="15" customWidth="1"/>
    <col min="9" max="9" width="13.42578125" style="15" customWidth="1"/>
    <col min="10" max="10" width="5.42578125" style="15" customWidth="1"/>
    <col min="11" max="11" width="7.140625" style="15" customWidth="1"/>
    <col min="12" max="12" width="8.42578125" style="15" customWidth="1"/>
    <col min="13" max="13" width="7.42578125" style="15" customWidth="1"/>
    <col min="14" max="14" width="5.7109375" style="15" customWidth="1"/>
    <col min="15" max="15" width="9.85546875" style="15" customWidth="1"/>
    <col min="16" max="16" width="7" style="15" customWidth="1"/>
    <col min="17" max="17" width="6.140625" style="15" customWidth="1"/>
    <col min="18" max="18" width="6.28515625" style="15" customWidth="1"/>
    <col min="19" max="19" width="6" style="15" customWidth="1"/>
    <col min="20" max="20" width="5.28515625" style="15" customWidth="1"/>
    <col min="21" max="21" width="8.42578125" style="15" customWidth="1"/>
    <col min="22" max="22" width="9.5703125" style="15" customWidth="1"/>
    <col min="23" max="23" width="9.28515625" style="15" hidden="1" customWidth="1"/>
    <col min="24" max="24" width="11" style="15" hidden="1" customWidth="1"/>
    <col min="25" max="26" width="8.140625" style="15" hidden="1" customWidth="1"/>
    <col min="27" max="27" width="11.5703125" style="15" hidden="1" customWidth="1"/>
    <col min="28" max="28" width="49.5703125" style="15" hidden="1" customWidth="1"/>
    <col min="29" max="29" width="9.28515625" style="15" hidden="1" customWidth="1"/>
    <col min="30" max="30" width="11" style="15" hidden="1" customWidth="1"/>
    <col min="31" max="32" width="8.140625" style="15" hidden="1" customWidth="1"/>
    <col min="33" max="33" width="11.5703125" style="15" hidden="1" customWidth="1"/>
    <col min="34" max="34" width="47.7109375" style="15" hidden="1" customWidth="1"/>
    <col min="35" max="35" width="13.5703125" style="15" hidden="1" customWidth="1"/>
    <col min="36" max="36" width="14.42578125" style="15" hidden="1" customWidth="1"/>
    <col min="37" max="37" width="10.5703125" style="15" hidden="1" customWidth="1"/>
    <col min="38" max="38" width="8.140625" style="15" hidden="1" customWidth="1"/>
    <col min="39" max="39" width="11.5703125" style="15" hidden="1" customWidth="1"/>
    <col min="40" max="40" width="53.85546875" style="15" hidden="1" customWidth="1"/>
    <col min="41" max="41" width="9.28515625" style="15" hidden="1" customWidth="1"/>
    <col min="42" max="42" width="11" style="15" hidden="1" customWidth="1"/>
    <col min="43" max="44" width="8.140625" style="15" hidden="1" customWidth="1"/>
    <col min="45" max="45" width="11.5703125" style="15" hidden="1" customWidth="1"/>
    <col min="46" max="46" width="40.140625" style="15" hidden="1" customWidth="1"/>
    <col min="47" max="47" width="15.7109375" style="15" customWidth="1"/>
    <col min="48" max="48" width="16.5703125" style="15" customWidth="1"/>
    <col min="49" max="49" width="9.7109375" style="15" customWidth="1"/>
    <col min="50" max="50" width="8.140625" style="15" customWidth="1"/>
    <col min="51" max="51" width="11.5703125" style="15" customWidth="1"/>
    <col min="52" max="52" width="133.28515625" style="15" customWidth="1"/>
    <col min="53" max="53" width="9.28515625" style="15" hidden="1" customWidth="1"/>
    <col min="54" max="54" width="11" style="15" hidden="1" customWidth="1"/>
    <col min="55" max="56" width="8.140625" style="15" hidden="1" customWidth="1"/>
    <col min="57" max="57" width="11.5703125" style="15" hidden="1" customWidth="1"/>
    <col min="58" max="58" width="55.42578125" style="15" hidden="1" customWidth="1"/>
    <col min="59" max="59" width="9.28515625" style="15" hidden="1" customWidth="1"/>
    <col min="60" max="60" width="11" style="15" hidden="1" customWidth="1"/>
    <col min="61" max="62" width="8.140625" style="15" hidden="1" customWidth="1"/>
    <col min="63" max="63" width="11.5703125" style="15" hidden="1" customWidth="1"/>
    <col min="64" max="64" width="55.42578125" style="15" hidden="1" customWidth="1"/>
    <col min="65" max="65" width="9.28515625" style="15" hidden="1" customWidth="1"/>
    <col min="66" max="66" width="11" style="15" hidden="1" customWidth="1"/>
    <col min="67" max="68" width="8.140625" style="15" hidden="1" customWidth="1"/>
    <col min="69" max="69" width="11.5703125" style="15" hidden="1" customWidth="1"/>
    <col min="70" max="70" width="55.42578125" style="15" hidden="1" customWidth="1"/>
    <col min="71" max="71" width="9.28515625" style="15" hidden="1" customWidth="1"/>
    <col min="72" max="72" width="11" style="15" hidden="1" customWidth="1"/>
    <col min="73" max="74" width="8.140625" style="15" hidden="1" customWidth="1"/>
    <col min="75" max="75" width="11.5703125" style="15" hidden="1" customWidth="1"/>
    <col min="76" max="76" width="55.42578125" style="15" hidden="1" customWidth="1"/>
    <col min="77" max="77" width="9.28515625" style="15" hidden="1" customWidth="1"/>
    <col min="78" max="78" width="11" style="15" hidden="1" customWidth="1"/>
    <col min="79" max="80" width="8.140625" style="15" hidden="1" customWidth="1"/>
    <col min="81" max="81" width="11.5703125" style="15" hidden="1" customWidth="1"/>
    <col min="82" max="82" width="55.42578125" style="15" hidden="1" customWidth="1"/>
    <col min="83" max="83" width="9.28515625" style="15" hidden="1" customWidth="1"/>
    <col min="84" max="84" width="11" style="15" hidden="1" customWidth="1"/>
    <col min="85" max="86" width="8.140625" style="15" hidden="1" customWidth="1"/>
    <col min="87" max="87" width="11.5703125" style="15" hidden="1" customWidth="1"/>
    <col min="88" max="88" width="55.42578125" style="15" hidden="1" customWidth="1"/>
    <col min="89" max="89" width="9.28515625" style="15" hidden="1" customWidth="1"/>
    <col min="90" max="90" width="11" style="15" hidden="1" customWidth="1"/>
    <col min="91" max="92" width="8.140625" style="15" hidden="1" customWidth="1"/>
    <col min="93" max="93" width="11.5703125" style="15" hidden="1" customWidth="1"/>
    <col min="94" max="94" width="55.42578125" style="15" hidden="1" customWidth="1"/>
    <col min="95" max="95" width="14.7109375" style="15" bestFit="1" customWidth="1"/>
    <col min="96" max="96" width="15.5703125" style="15" customWidth="1"/>
    <col min="97" max="97" width="8.140625" style="15" customWidth="1"/>
    <col min="98" max="98" width="9.140625" style="15" customWidth="1"/>
    <col min="99" max="99" width="12.85546875" style="15" customWidth="1"/>
    <col min="100" max="100" width="64.28515625" style="15" customWidth="1"/>
    <col min="101" max="16384" width="11.42578125" style="15"/>
  </cols>
  <sheetData>
    <row r="1" spans="1:100" s="242" customFormat="1">
      <c r="A1" s="2010" t="s">
        <v>334</v>
      </c>
      <c r="B1" s="2010"/>
      <c r="C1" s="2010"/>
      <c r="D1" s="2010"/>
      <c r="E1" s="2010"/>
      <c r="F1" s="2010"/>
      <c r="G1" s="2010"/>
      <c r="H1" s="2010"/>
      <c r="I1" s="2010"/>
      <c r="J1" s="2010"/>
      <c r="K1" s="2010"/>
      <c r="L1" s="2010"/>
      <c r="M1" s="2010"/>
      <c r="N1" s="2011"/>
      <c r="O1" s="2012"/>
      <c r="P1" s="2012"/>
      <c r="Q1" s="2012"/>
      <c r="R1" s="2013"/>
      <c r="S1" s="2013"/>
      <c r="T1" s="2013"/>
      <c r="U1" s="2013"/>
    </row>
    <row r="2" spans="1:100">
      <c r="A2" s="243"/>
      <c r="B2" s="244"/>
      <c r="C2" s="2014" t="s">
        <v>335</v>
      </c>
      <c r="D2" s="2014"/>
      <c r="E2" s="2014"/>
      <c r="F2" s="2014"/>
      <c r="G2" s="2014"/>
      <c r="H2" s="2014"/>
      <c r="I2" s="2014"/>
      <c r="J2" s="2014"/>
      <c r="K2" s="2014"/>
      <c r="L2" s="2014"/>
      <c r="M2" s="2015"/>
      <c r="N2" s="2016" t="s">
        <v>336</v>
      </c>
      <c r="O2" s="2016"/>
      <c r="P2" s="2016"/>
      <c r="Q2" s="2016"/>
      <c r="R2" s="2013"/>
      <c r="S2" s="2013"/>
      <c r="T2" s="2013"/>
      <c r="U2" s="2013"/>
    </row>
    <row r="4" spans="1:100">
      <c r="A4" s="49" t="s">
        <v>18</v>
      </c>
      <c r="B4" s="1996" t="s">
        <v>337</v>
      </c>
      <c r="C4" s="1996"/>
      <c r="D4" s="1996"/>
      <c r="E4" s="1996"/>
      <c r="F4" s="1996"/>
      <c r="G4" s="1996"/>
      <c r="H4" s="1996"/>
      <c r="I4" s="1996"/>
      <c r="J4" s="1996" t="s">
        <v>21</v>
      </c>
      <c r="K4" s="1996"/>
      <c r="L4" s="1996"/>
      <c r="M4" s="2017" t="s">
        <v>338</v>
      </c>
      <c r="N4" s="2000"/>
      <c r="O4" s="2000"/>
      <c r="P4" s="2000"/>
      <c r="Q4" s="2000"/>
      <c r="R4" s="2000"/>
      <c r="S4" s="2000"/>
      <c r="T4" s="2000"/>
      <c r="U4" s="2001"/>
      <c r="V4" s="128"/>
      <c r="W4" s="1994" t="s">
        <v>29</v>
      </c>
      <c r="X4" s="1994"/>
      <c r="Y4" s="1994"/>
      <c r="Z4" s="1994"/>
      <c r="AA4" s="1994"/>
      <c r="AB4" s="1995"/>
      <c r="AC4" s="1993" t="s">
        <v>29</v>
      </c>
      <c r="AD4" s="1994"/>
      <c r="AE4" s="1994"/>
      <c r="AF4" s="1994"/>
      <c r="AG4" s="1994"/>
      <c r="AH4" s="1995"/>
      <c r="AI4" s="1993" t="s">
        <v>29</v>
      </c>
      <c r="AJ4" s="1994"/>
      <c r="AK4" s="1994"/>
      <c r="AL4" s="1994"/>
      <c r="AM4" s="1994"/>
      <c r="AN4" s="1995"/>
      <c r="AO4" s="1993" t="s">
        <v>29</v>
      </c>
      <c r="AP4" s="1994"/>
      <c r="AQ4" s="1994"/>
      <c r="AR4" s="1994"/>
      <c r="AS4" s="1994"/>
      <c r="AT4" s="1995"/>
      <c r="AU4" s="1993" t="s">
        <v>29</v>
      </c>
      <c r="AV4" s="1994"/>
      <c r="AW4" s="1994"/>
      <c r="AX4" s="1994"/>
      <c r="AY4" s="1994"/>
      <c r="AZ4" s="1995"/>
      <c r="BA4" s="1993" t="s">
        <v>29</v>
      </c>
      <c r="BB4" s="1994"/>
      <c r="BC4" s="1994"/>
      <c r="BD4" s="1994"/>
      <c r="BE4" s="1994"/>
      <c r="BF4" s="1995"/>
      <c r="BG4" s="1993" t="s">
        <v>29</v>
      </c>
      <c r="BH4" s="1994"/>
      <c r="BI4" s="1994"/>
      <c r="BJ4" s="1994"/>
      <c r="BK4" s="1994"/>
      <c r="BL4" s="1995"/>
      <c r="BM4" s="1993" t="s">
        <v>29</v>
      </c>
      <c r="BN4" s="1994"/>
      <c r="BO4" s="1994"/>
      <c r="BP4" s="1994"/>
      <c r="BQ4" s="1994"/>
      <c r="BR4" s="1995"/>
      <c r="BS4" s="1993" t="s">
        <v>29</v>
      </c>
      <c r="BT4" s="1994"/>
      <c r="BU4" s="1994"/>
      <c r="BV4" s="1994"/>
      <c r="BW4" s="1994"/>
      <c r="BX4" s="1995"/>
      <c r="BY4" s="1993" t="s">
        <v>29</v>
      </c>
      <c r="BZ4" s="1994"/>
      <c r="CA4" s="1994"/>
      <c r="CB4" s="1994"/>
      <c r="CC4" s="1994"/>
      <c r="CD4" s="1995"/>
      <c r="CE4" s="1993" t="s">
        <v>29</v>
      </c>
      <c r="CF4" s="1994"/>
      <c r="CG4" s="1994"/>
      <c r="CH4" s="1994"/>
      <c r="CI4" s="1994"/>
      <c r="CJ4" s="1995"/>
      <c r="CK4" s="1993" t="s">
        <v>29</v>
      </c>
      <c r="CL4" s="1994"/>
      <c r="CM4" s="1994"/>
      <c r="CN4" s="1994"/>
      <c r="CO4" s="1994"/>
      <c r="CP4" s="1995"/>
      <c r="CQ4" s="1993" t="s">
        <v>30</v>
      </c>
      <c r="CR4" s="1994"/>
      <c r="CS4" s="1994"/>
      <c r="CT4" s="1994"/>
      <c r="CU4" s="1994"/>
      <c r="CV4" s="1994"/>
    </row>
    <row r="5" spans="1:100">
      <c r="A5" s="128"/>
      <c r="B5" s="245"/>
      <c r="C5" s="128"/>
      <c r="D5" s="128"/>
      <c r="E5" s="128"/>
      <c r="F5" s="128"/>
      <c r="G5" s="128"/>
      <c r="H5" s="128"/>
      <c r="I5" s="128"/>
      <c r="J5" s="128"/>
      <c r="K5" s="128"/>
      <c r="L5" s="128"/>
      <c r="M5" s="128"/>
      <c r="N5" s="128"/>
      <c r="O5" s="128"/>
      <c r="P5" s="128"/>
      <c r="Q5" s="128"/>
      <c r="R5" s="128"/>
      <c r="S5" s="128"/>
      <c r="T5" s="128"/>
      <c r="U5" s="128"/>
      <c r="V5" s="128"/>
    </row>
    <row r="6" spans="1:100">
      <c r="A6" s="2018" t="s">
        <v>26</v>
      </c>
      <c r="B6" s="2019" t="s">
        <v>10</v>
      </c>
      <c r="C6" s="2019" t="s">
        <v>23</v>
      </c>
      <c r="D6" s="2019" t="s">
        <v>19</v>
      </c>
      <c r="E6" s="2019" t="s">
        <v>11</v>
      </c>
      <c r="F6" s="2019" t="s">
        <v>15</v>
      </c>
      <c r="G6" s="2019" t="s">
        <v>12</v>
      </c>
      <c r="H6" s="2019" t="s">
        <v>20</v>
      </c>
      <c r="I6" s="2019" t="s">
        <v>16</v>
      </c>
      <c r="J6" s="2019" t="s">
        <v>24</v>
      </c>
      <c r="K6" s="2019"/>
      <c r="L6" s="2019"/>
      <c r="M6" s="2019"/>
      <c r="N6" s="2019"/>
      <c r="O6" s="2019"/>
      <c r="P6" s="2019"/>
      <c r="Q6" s="2019"/>
      <c r="R6" s="2019"/>
      <c r="S6" s="2019"/>
      <c r="T6" s="2019"/>
      <c r="U6" s="2019"/>
      <c r="V6" s="246"/>
      <c r="W6" s="2021" t="s">
        <v>37</v>
      </c>
      <c r="X6" s="2022"/>
      <c r="Y6" s="2022"/>
      <c r="Z6" s="2022"/>
      <c r="AA6" s="2022"/>
      <c r="AB6" s="2022"/>
      <c r="AC6" s="2023" t="s">
        <v>38</v>
      </c>
      <c r="AD6" s="2024"/>
      <c r="AE6" s="2024"/>
      <c r="AF6" s="2024"/>
      <c r="AG6" s="2024"/>
      <c r="AH6" s="2024"/>
      <c r="AI6" s="2025" t="s">
        <v>39</v>
      </c>
      <c r="AJ6" s="2026"/>
      <c r="AK6" s="2026"/>
      <c r="AL6" s="2026"/>
      <c r="AM6" s="2026"/>
      <c r="AN6" s="2026"/>
      <c r="AO6" s="2027" t="s">
        <v>40</v>
      </c>
      <c r="AP6" s="2028"/>
      <c r="AQ6" s="2028"/>
      <c r="AR6" s="2028"/>
      <c r="AS6" s="2028"/>
      <c r="AT6" s="2028"/>
      <c r="AU6" s="2029" t="s">
        <v>87</v>
      </c>
      <c r="AV6" s="2030"/>
      <c r="AW6" s="2030"/>
      <c r="AX6" s="2030"/>
      <c r="AY6" s="2030"/>
      <c r="AZ6" s="2021"/>
      <c r="BA6" s="2031"/>
      <c r="BB6" s="2032"/>
      <c r="BC6" s="2032"/>
      <c r="BD6" s="2032"/>
      <c r="BE6" s="2032"/>
      <c r="BF6" s="2032"/>
      <c r="BG6" s="2033" t="s">
        <v>43</v>
      </c>
      <c r="BH6" s="2034"/>
      <c r="BI6" s="2034"/>
      <c r="BJ6" s="2034"/>
      <c r="BK6" s="2034"/>
      <c r="BL6" s="2034"/>
      <c r="BM6" s="2035" t="s">
        <v>44</v>
      </c>
      <c r="BN6" s="2036"/>
      <c r="BO6" s="2036"/>
      <c r="BP6" s="2036"/>
      <c r="BQ6" s="2036"/>
      <c r="BR6" s="2036"/>
      <c r="BS6" s="2023" t="s">
        <v>45</v>
      </c>
      <c r="BT6" s="2024"/>
      <c r="BU6" s="2024"/>
      <c r="BV6" s="2024"/>
      <c r="BW6" s="2024"/>
      <c r="BX6" s="2024"/>
      <c r="BY6" s="2025" t="s">
        <v>46</v>
      </c>
      <c r="BZ6" s="2026"/>
      <c r="CA6" s="2026"/>
      <c r="CB6" s="2026"/>
      <c r="CC6" s="2026"/>
      <c r="CD6" s="2026"/>
      <c r="CE6" s="2027" t="s">
        <v>47</v>
      </c>
      <c r="CF6" s="2028"/>
      <c r="CG6" s="2028"/>
      <c r="CH6" s="2028"/>
      <c r="CI6" s="2028"/>
      <c r="CJ6" s="2028"/>
      <c r="CK6" s="2037" t="s">
        <v>87</v>
      </c>
      <c r="CL6" s="2022"/>
      <c r="CM6" s="2022"/>
      <c r="CN6" s="2022"/>
      <c r="CO6" s="2022"/>
      <c r="CP6" s="2022"/>
      <c r="CQ6" s="2038" t="s">
        <v>51</v>
      </c>
      <c r="CR6" s="2039"/>
      <c r="CS6" s="2039"/>
      <c r="CT6" s="2039"/>
      <c r="CU6" s="2039"/>
      <c r="CV6" s="2039"/>
    </row>
    <row r="7" spans="1:100" ht="81.599999999999994" customHeight="1">
      <c r="A7" s="2018"/>
      <c r="B7" s="2019"/>
      <c r="C7" s="2019"/>
      <c r="D7" s="2019"/>
      <c r="E7" s="2019"/>
      <c r="F7" s="2019"/>
      <c r="G7" s="2020"/>
      <c r="H7" s="2019"/>
      <c r="I7" s="2019"/>
      <c r="J7" s="247" t="s">
        <v>13</v>
      </c>
      <c r="K7" s="247" t="s">
        <v>0</v>
      </c>
      <c r="L7" s="247" t="s">
        <v>1</v>
      </c>
      <c r="M7" s="247" t="s">
        <v>14</v>
      </c>
      <c r="N7" s="247" t="s">
        <v>2</v>
      </c>
      <c r="O7" s="247" t="s">
        <v>3</v>
      </c>
      <c r="P7" s="247" t="s">
        <v>4</v>
      </c>
      <c r="Q7" s="247" t="s">
        <v>5</v>
      </c>
      <c r="R7" s="247" t="s">
        <v>6</v>
      </c>
      <c r="S7" s="247" t="s">
        <v>7</v>
      </c>
      <c r="T7" s="247" t="s">
        <v>8</v>
      </c>
      <c r="U7" s="248" t="s">
        <v>9</v>
      </c>
      <c r="V7" s="249" t="s">
        <v>65</v>
      </c>
      <c r="W7" s="113" t="s">
        <v>31</v>
      </c>
      <c r="X7" s="113" t="s">
        <v>32</v>
      </c>
      <c r="Y7" s="113" t="s">
        <v>33</v>
      </c>
      <c r="Z7" s="113" t="s">
        <v>34</v>
      </c>
      <c r="AA7" s="113" t="s">
        <v>35</v>
      </c>
      <c r="AB7" s="113" t="s">
        <v>36</v>
      </c>
      <c r="AC7" s="113" t="s">
        <v>31</v>
      </c>
      <c r="AD7" s="113" t="s">
        <v>32</v>
      </c>
      <c r="AE7" s="113" t="s">
        <v>33</v>
      </c>
      <c r="AF7" s="113" t="s">
        <v>34</v>
      </c>
      <c r="AG7" s="113" t="s">
        <v>35</v>
      </c>
      <c r="AH7" s="113" t="s">
        <v>36</v>
      </c>
      <c r="AI7" s="113" t="s">
        <v>31</v>
      </c>
      <c r="AJ7" s="113" t="s">
        <v>32</v>
      </c>
      <c r="AK7" s="113" t="s">
        <v>33</v>
      </c>
      <c r="AL7" s="113" t="s">
        <v>34</v>
      </c>
      <c r="AM7" s="113" t="s">
        <v>35</v>
      </c>
      <c r="AN7" s="113" t="s">
        <v>36</v>
      </c>
      <c r="AO7" s="113" t="s">
        <v>31</v>
      </c>
      <c r="AP7" s="113" t="s">
        <v>32</v>
      </c>
      <c r="AQ7" s="113" t="s">
        <v>33</v>
      </c>
      <c r="AR7" s="113" t="s">
        <v>34</v>
      </c>
      <c r="AS7" s="113" t="s">
        <v>35</v>
      </c>
      <c r="AT7" s="113" t="s">
        <v>36</v>
      </c>
      <c r="AU7" s="113" t="s">
        <v>31</v>
      </c>
      <c r="AV7" s="113" t="s">
        <v>32</v>
      </c>
      <c r="AW7" s="113" t="s">
        <v>33</v>
      </c>
      <c r="AX7" s="113" t="s">
        <v>34</v>
      </c>
      <c r="AY7" s="113" t="s">
        <v>35</v>
      </c>
      <c r="AZ7" s="113" t="s">
        <v>36</v>
      </c>
      <c r="BA7" s="113" t="s">
        <v>31</v>
      </c>
      <c r="BB7" s="113" t="s">
        <v>32</v>
      </c>
      <c r="BC7" s="113" t="s">
        <v>33</v>
      </c>
      <c r="BD7" s="113" t="s">
        <v>34</v>
      </c>
      <c r="BE7" s="113" t="s">
        <v>35</v>
      </c>
      <c r="BF7" s="113" t="s">
        <v>36</v>
      </c>
      <c r="BG7" s="113" t="s">
        <v>31</v>
      </c>
      <c r="BH7" s="113" t="s">
        <v>32</v>
      </c>
      <c r="BI7" s="113" t="s">
        <v>33</v>
      </c>
      <c r="BJ7" s="113" t="s">
        <v>34</v>
      </c>
      <c r="BK7" s="113" t="s">
        <v>35</v>
      </c>
      <c r="BL7" s="113" t="s">
        <v>36</v>
      </c>
      <c r="BM7" s="113" t="s">
        <v>31</v>
      </c>
      <c r="BN7" s="113" t="s">
        <v>32</v>
      </c>
      <c r="BO7" s="113" t="s">
        <v>33</v>
      </c>
      <c r="BP7" s="113" t="s">
        <v>34</v>
      </c>
      <c r="BQ7" s="113" t="s">
        <v>35</v>
      </c>
      <c r="BR7" s="113" t="s">
        <v>36</v>
      </c>
      <c r="BS7" s="113" t="s">
        <v>31</v>
      </c>
      <c r="BT7" s="113" t="s">
        <v>32</v>
      </c>
      <c r="BU7" s="113" t="s">
        <v>33</v>
      </c>
      <c r="BV7" s="113" t="s">
        <v>34</v>
      </c>
      <c r="BW7" s="113" t="s">
        <v>35</v>
      </c>
      <c r="BX7" s="113" t="s">
        <v>36</v>
      </c>
      <c r="BY7" s="113" t="s">
        <v>31</v>
      </c>
      <c r="BZ7" s="113" t="s">
        <v>32</v>
      </c>
      <c r="CA7" s="113" t="s">
        <v>33</v>
      </c>
      <c r="CB7" s="113" t="s">
        <v>34</v>
      </c>
      <c r="CC7" s="113" t="s">
        <v>35</v>
      </c>
      <c r="CD7" s="113" t="s">
        <v>36</v>
      </c>
      <c r="CE7" s="113" t="s">
        <v>31</v>
      </c>
      <c r="CF7" s="113" t="s">
        <v>32</v>
      </c>
      <c r="CG7" s="113" t="s">
        <v>33</v>
      </c>
      <c r="CH7" s="113" t="s">
        <v>34</v>
      </c>
      <c r="CI7" s="113" t="s">
        <v>35</v>
      </c>
      <c r="CJ7" s="113" t="s">
        <v>36</v>
      </c>
      <c r="CK7" s="113" t="s">
        <v>31</v>
      </c>
      <c r="CL7" s="113" t="s">
        <v>32</v>
      </c>
      <c r="CM7" s="113" t="s">
        <v>33</v>
      </c>
      <c r="CN7" s="113" t="s">
        <v>34</v>
      </c>
      <c r="CO7" s="113" t="s">
        <v>35</v>
      </c>
      <c r="CP7" s="113" t="s">
        <v>36</v>
      </c>
      <c r="CQ7" s="113" t="s">
        <v>31</v>
      </c>
      <c r="CR7" s="113" t="s">
        <v>32</v>
      </c>
      <c r="CS7" s="113" t="s">
        <v>33</v>
      </c>
      <c r="CT7" s="113" t="s">
        <v>34</v>
      </c>
      <c r="CU7" s="113" t="s">
        <v>35</v>
      </c>
      <c r="CV7" s="113" t="s">
        <v>36</v>
      </c>
    </row>
    <row r="8" spans="1:100" ht="87" customHeight="1">
      <c r="A8" s="135" t="s">
        <v>339</v>
      </c>
      <c r="B8" s="135"/>
      <c r="C8" s="136" t="s">
        <v>340</v>
      </c>
      <c r="D8" s="136" t="s">
        <v>341</v>
      </c>
      <c r="E8" s="135" t="s">
        <v>342</v>
      </c>
      <c r="F8" s="135" t="s">
        <v>53</v>
      </c>
      <c r="G8" s="136" t="s">
        <v>343</v>
      </c>
      <c r="H8" s="135" t="s">
        <v>344</v>
      </c>
      <c r="I8" s="135" t="s">
        <v>345</v>
      </c>
      <c r="J8" s="250"/>
      <c r="K8" s="250"/>
      <c r="L8" s="251"/>
      <c r="M8" s="251">
        <v>1</v>
      </c>
      <c r="N8" s="250"/>
      <c r="O8" s="252"/>
      <c r="P8" s="252"/>
      <c r="Q8" s="252"/>
      <c r="R8" s="252"/>
      <c r="S8" s="252"/>
      <c r="T8" s="252"/>
      <c r="U8" s="253"/>
      <c r="V8" s="135"/>
      <c r="W8" s="144"/>
      <c r="X8" s="144"/>
      <c r="Y8" s="22" t="str">
        <f>IF(X8=0," ",W8/X8)</f>
        <v xml:space="preserve"> </v>
      </c>
      <c r="Z8" s="112"/>
      <c r="AA8" s="145" t="str">
        <f>IF(X8=0," ",Y8/Z8)</f>
        <v xml:space="preserve"> </v>
      </c>
      <c r="AB8" s="148"/>
      <c r="AC8" s="144"/>
      <c r="AD8" s="144"/>
      <c r="AE8" s="22" t="str">
        <f>IF(AD8=0," ",AC8/AD8)</f>
        <v xml:space="preserve"> </v>
      </c>
      <c r="AF8" s="112"/>
      <c r="AG8" s="145" t="str">
        <f>IF(AD8=0," ",AE8/AF8)</f>
        <v xml:space="preserve"> </v>
      </c>
      <c r="AH8" s="148"/>
      <c r="AI8" s="144"/>
      <c r="AJ8" s="144"/>
      <c r="AK8" s="22" t="str">
        <f>IF(AJ8=0," ",AI8/AJ8)</f>
        <v xml:space="preserve"> </v>
      </c>
      <c r="AL8" s="112"/>
      <c r="AM8" s="145" t="str">
        <f>IF(AJ8=0," ",AK8/AL8)</f>
        <v xml:space="preserve"> </v>
      </c>
      <c r="AN8" s="148"/>
      <c r="AO8" s="144">
        <v>9</v>
      </c>
      <c r="AP8" s="144">
        <v>9</v>
      </c>
      <c r="AQ8" s="22">
        <f>IF(AP8=0," ",AO8/AP8)</f>
        <v>1</v>
      </c>
      <c r="AR8" s="112">
        <v>1</v>
      </c>
      <c r="AS8" s="145">
        <f>IF(AP8=0," ",AQ8/AR8)</f>
        <v>1</v>
      </c>
      <c r="AT8" s="254" t="s">
        <v>346</v>
      </c>
      <c r="AU8" s="144"/>
      <c r="AV8" s="144"/>
      <c r="AW8" s="22" t="str">
        <f>IF(AV8=0," ",AU8/AV8)</f>
        <v xml:space="preserve"> </v>
      </c>
      <c r="AX8" s="112"/>
      <c r="AY8" s="145" t="str">
        <f t="shared" ref="AY8:AY13" si="0">IF(AV8=0," ",AW8/AX8)</f>
        <v xml:space="preserve"> </v>
      </c>
      <c r="AZ8" s="148"/>
      <c r="BA8" s="144"/>
      <c r="BB8" s="144"/>
      <c r="BC8" s="22" t="str">
        <f>IF(BB8=0," ",BA8/BB8)</f>
        <v xml:space="preserve"> </v>
      </c>
      <c r="BD8" s="112"/>
      <c r="BE8" s="145" t="str">
        <f>IF(BB8=0," ",BC8/BD8)</f>
        <v xml:space="preserve"> </v>
      </c>
      <c r="BF8" s="148"/>
      <c r="BG8" s="144"/>
      <c r="BH8" s="144"/>
      <c r="BI8" s="22" t="str">
        <f>IF(BH8=0," ",BG8/BH8)</f>
        <v xml:space="preserve"> </v>
      </c>
      <c r="BJ8" s="112"/>
      <c r="BK8" s="145" t="str">
        <f>IF(BH8=0," ",BI8/BJ8)</f>
        <v xml:space="preserve"> </v>
      </c>
      <c r="BL8" s="148"/>
      <c r="BM8" s="144"/>
      <c r="BN8" s="144"/>
      <c r="BO8" s="22" t="str">
        <f>IF(BN8=0," ",BM8/BN8)</f>
        <v xml:space="preserve"> </v>
      </c>
      <c r="BP8" s="112"/>
      <c r="BQ8" s="145" t="str">
        <f>IF(BN8=0," ",BO8/BP8)</f>
        <v xml:space="preserve"> </v>
      </c>
      <c r="BR8" s="148"/>
      <c r="BS8" s="144"/>
      <c r="BT8" s="144"/>
      <c r="BU8" s="22" t="str">
        <f>IF(BT8=0," ",BS8/BT8)</f>
        <v xml:space="preserve"> </v>
      </c>
      <c r="BV8" s="112"/>
      <c r="BW8" s="145" t="str">
        <f>IF(BT8=0," ",BU8/BV8)</f>
        <v xml:space="preserve"> </v>
      </c>
      <c r="BX8" s="148"/>
      <c r="BY8" s="144"/>
      <c r="BZ8" s="144"/>
      <c r="CA8" s="22" t="str">
        <f>IF(BZ8=0," ",BY8/BZ8)</f>
        <v xml:space="preserve"> </v>
      </c>
      <c r="CB8" s="112"/>
      <c r="CC8" s="145" t="str">
        <f>IF(BZ8=0," ",CA8/CB8)</f>
        <v xml:space="preserve"> </v>
      </c>
      <c r="CD8" s="148"/>
      <c r="CE8" s="144"/>
      <c r="CF8" s="144"/>
      <c r="CG8" s="22" t="str">
        <f>IF(CF8=0," ",CE8/CF8)</f>
        <v xml:space="preserve"> </v>
      </c>
      <c r="CH8" s="112"/>
      <c r="CI8" s="145" t="str">
        <f>IF(CF8=0," ",CG8/CH8)</f>
        <v xml:space="preserve"> </v>
      </c>
      <c r="CJ8" s="148"/>
      <c r="CK8" s="144"/>
      <c r="CL8" s="144"/>
      <c r="CM8" s="22" t="str">
        <f>IF(CL8=0," ",CK8/CL8)</f>
        <v xml:space="preserve"> </v>
      </c>
      <c r="CN8" s="112"/>
      <c r="CO8" s="145" t="str">
        <f>IF(CL8=0," ",CM8/CN8)</f>
        <v xml:space="preserve"> </v>
      </c>
      <c r="CP8" s="148"/>
      <c r="CQ8" s="144">
        <v>9</v>
      </c>
      <c r="CR8" s="144">
        <v>9</v>
      </c>
      <c r="CS8" s="22">
        <f>IF(CR8=0," ",CQ8/CR8)</f>
        <v>1</v>
      </c>
      <c r="CT8" s="112">
        <v>1</v>
      </c>
      <c r="CU8" s="145">
        <f t="shared" ref="CU8:CU13" si="1">IF(CR8=0," ",CS8/CT8)</f>
        <v>1</v>
      </c>
      <c r="CV8" s="148" t="s">
        <v>347</v>
      </c>
    </row>
    <row r="9" spans="1:100" ht="104.25" customHeight="1">
      <c r="A9" s="136" t="s">
        <v>348</v>
      </c>
      <c r="B9" s="135"/>
      <c r="C9" s="136" t="s">
        <v>349</v>
      </c>
      <c r="D9" s="136" t="s">
        <v>350</v>
      </c>
      <c r="E9" s="135" t="s">
        <v>351</v>
      </c>
      <c r="F9" s="135" t="s">
        <v>352</v>
      </c>
      <c r="G9" s="136" t="s">
        <v>353</v>
      </c>
      <c r="H9" s="135" t="s">
        <v>354</v>
      </c>
      <c r="I9" s="135" t="s">
        <v>345</v>
      </c>
      <c r="J9" s="250"/>
      <c r="K9" s="250"/>
      <c r="L9" s="251">
        <v>0.02</v>
      </c>
      <c r="M9" s="250"/>
      <c r="N9" s="250"/>
      <c r="O9" s="252">
        <v>7.0000000000000007E-2</v>
      </c>
      <c r="P9" s="252"/>
      <c r="Q9" s="252"/>
      <c r="R9" s="252">
        <v>0.04</v>
      </c>
      <c r="S9" s="252"/>
      <c r="T9" s="252"/>
      <c r="U9" s="253">
        <v>0.02</v>
      </c>
      <c r="V9" s="135"/>
      <c r="W9" s="144"/>
      <c r="X9" s="144"/>
      <c r="Y9" s="22" t="str">
        <f>IF(X9=0," ",W9/X9)</f>
        <v xml:space="preserve"> </v>
      </c>
      <c r="Z9" s="112"/>
      <c r="AA9" s="145" t="str">
        <f>IF(X9=0," ",Y9/Z9)</f>
        <v xml:space="preserve"> </v>
      </c>
      <c r="AB9" s="148"/>
      <c r="AC9" s="144"/>
      <c r="AD9" s="144"/>
      <c r="AE9" s="22" t="str">
        <f>IF(AD9=0," ",AC9/AD9)</f>
        <v xml:space="preserve"> </v>
      </c>
      <c r="AF9" s="112"/>
      <c r="AG9" s="145" t="str">
        <f>IF(AD9=0," ",AE9/AF9)</f>
        <v xml:space="preserve"> </v>
      </c>
      <c r="AH9" s="148"/>
      <c r="AI9" s="144">
        <v>1251937200</v>
      </c>
      <c r="AJ9" s="144">
        <v>70941711955</v>
      </c>
      <c r="AK9" s="22">
        <f>IF(AJ9=0," ",AI9/AJ9)</f>
        <v>1.7647406095783722E-2</v>
      </c>
      <c r="AL9" s="112">
        <v>1</v>
      </c>
      <c r="AM9" s="157">
        <v>0.02</v>
      </c>
      <c r="AN9" s="255" t="s">
        <v>355</v>
      </c>
      <c r="AO9" s="144"/>
      <c r="AP9" s="144"/>
      <c r="AQ9" s="22" t="str">
        <f>IF(AP9=0," ",AO9/AP9)</f>
        <v xml:space="preserve"> </v>
      </c>
      <c r="AR9" s="112"/>
      <c r="AS9" s="145" t="str">
        <f>IF(AP9=0," ",AQ9/AR9)</f>
        <v xml:space="preserve"> </v>
      </c>
      <c r="AT9" s="148"/>
      <c r="AU9" s="144">
        <v>2304627961</v>
      </c>
      <c r="AV9" s="144">
        <v>70941711955</v>
      </c>
      <c r="AW9" s="22">
        <f>IF(AV9=0," ",AU9/AV9)</f>
        <v>3.2486218579865674E-2</v>
      </c>
      <c r="AX9" s="112">
        <v>0.02</v>
      </c>
      <c r="AY9" s="145">
        <f t="shared" si="0"/>
        <v>1.6243109289932836</v>
      </c>
      <c r="AZ9" s="255" t="s">
        <v>356</v>
      </c>
      <c r="BA9" s="144"/>
      <c r="BB9" s="144"/>
      <c r="BC9" s="22" t="str">
        <f>IF(BB9=0," ",BA9/BB9)</f>
        <v xml:space="preserve"> </v>
      </c>
      <c r="BD9" s="112"/>
      <c r="BE9" s="145" t="str">
        <f>IF(BB9=0," ",BC9/BD9)</f>
        <v xml:space="preserve"> </v>
      </c>
      <c r="BF9" s="148"/>
      <c r="BG9" s="144"/>
      <c r="BH9" s="144"/>
      <c r="BI9" s="22" t="str">
        <f>IF(BH9=0," ",BG9/BH9)</f>
        <v xml:space="preserve"> </v>
      </c>
      <c r="BJ9" s="112"/>
      <c r="BK9" s="145" t="str">
        <f>IF(BH9=0," ",BI9/BJ9)</f>
        <v xml:space="preserve"> </v>
      </c>
      <c r="BL9" s="148"/>
      <c r="BM9" s="144"/>
      <c r="BN9" s="144"/>
      <c r="BO9" s="22" t="str">
        <f>IF(BN9=0," ",BM9/BN9)</f>
        <v xml:space="preserve"> </v>
      </c>
      <c r="BP9" s="112"/>
      <c r="BQ9" s="145" t="str">
        <f>IF(BN9=0," ",BO9/BP9)</f>
        <v xml:space="preserve"> </v>
      </c>
      <c r="BR9" s="148"/>
      <c r="BS9" s="144"/>
      <c r="BT9" s="144"/>
      <c r="BU9" s="22" t="str">
        <f>IF(BT9=0," ",BS9/BT9)</f>
        <v xml:space="preserve"> </v>
      </c>
      <c r="BV9" s="112"/>
      <c r="BW9" s="145" t="str">
        <f>IF(BT9=0," ",BU9/BV9)</f>
        <v xml:space="preserve"> </v>
      </c>
      <c r="BX9" s="148"/>
      <c r="BY9" s="144"/>
      <c r="BZ9" s="144"/>
      <c r="CA9" s="22" t="str">
        <f>IF(BZ9=0," ",BY9/BZ9)</f>
        <v xml:space="preserve"> </v>
      </c>
      <c r="CB9" s="112"/>
      <c r="CC9" s="145" t="str">
        <f>IF(BZ9=0," ",CA9/CB9)</f>
        <v xml:space="preserve"> </v>
      </c>
      <c r="CD9" s="148"/>
      <c r="CE9" s="144"/>
      <c r="CF9" s="144"/>
      <c r="CG9" s="22" t="str">
        <f>IF(CF9=0," ",CE9/CF9)</f>
        <v xml:space="preserve"> </v>
      </c>
      <c r="CH9" s="112"/>
      <c r="CI9" s="145" t="str">
        <f>IF(CF9=0," ",CG9/CH9)</f>
        <v xml:space="preserve"> </v>
      </c>
      <c r="CJ9" s="148"/>
      <c r="CK9" s="144"/>
      <c r="CL9" s="144"/>
      <c r="CM9" s="22" t="str">
        <f>IF(CL9=0," ",CK9/CL9)</f>
        <v xml:space="preserve"> </v>
      </c>
      <c r="CN9" s="112"/>
      <c r="CO9" s="145" t="str">
        <f>IF(CL9=0," ",CM9/CN9)</f>
        <v xml:space="preserve"> </v>
      </c>
      <c r="CP9" s="148"/>
      <c r="CQ9" s="144">
        <v>6784515980</v>
      </c>
      <c r="CR9" s="144">
        <v>70941711955</v>
      </c>
      <c r="CS9" s="22">
        <f>IF(CR9=0," ",CQ9/CR9)</f>
        <v>9.563507551528469E-2</v>
      </c>
      <c r="CT9" s="112">
        <v>0.15</v>
      </c>
      <c r="CU9" s="145">
        <f t="shared" si="1"/>
        <v>0.63756717010189801</v>
      </c>
      <c r="CV9" s="255" t="s">
        <v>357</v>
      </c>
    </row>
    <row r="10" spans="1:100" ht="96.75" customHeight="1">
      <c r="A10" s="135" t="s">
        <v>358</v>
      </c>
      <c r="B10" s="135"/>
      <c r="C10" s="135" t="s">
        <v>359</v>
      </c>
      <c r="D10" s="136" t="s">
        <v>360</v>
      </c>
      <c r="E10" s="135" t="s">
        <v>361</v>
      </c>
      <c r="F10" s="135" t="s">
        <v>178</v>
      </c>
      <c r="G10" s="136" t="s">
        <v>362</v>
      </c>
      <c r="H10" s="135" t="s">
        <v>363</v>
      </c>
      <c r="I10" s="135" t="s">
        <v>345</v>
      </c>
      <c r="J10" s="250"/>
      <c r="K10" s="250"/>
      <c r="L10" s="251"/>
      <c r="M10" s="250"/>
      <c r="N10" s="250"/>
      <c r="O10" s="252">
        <v>1</v>
      </c>
      <c r="P10" s="252"/>
      <c r="Q10" s="252"/>
      <c r="R10" s="252"/>
      <c r="S10" s="252"/>
      <c r="T10" s="252"/>
      <c r="U10" s="253">
        <v>1</v>
      </c>
      <c r="V10" s="135"/>
      <c r="W10" s="144"/>
      <c r="X10" s="144"/>
      <c r="Y10" s="22" t="str">
        <f>IF(X10=0," ",W10/X10)</f>
        <v xml:space="preserve"> </v>
      </c>
      <c r="Z10" s="112"/>
      <c r="AA10" s="145" t="str">
        <f>IF(X10=0," ",Y10/Z10)</f>
        <v xml:space="preserve"> </v>
      </c>
      <c r="AB10" s="148"/>
      <c r="AC10" s="144"/>
      <c r="AD10" s="144"/>
      <c r="AE10" s="22" t="str">
        <f>IF(AD10=0," ",AC10/AD10)</f>
        <v xml:space="preserve"> </v>
      </c>
      <c r="AF10" s="112"/>
      <c r="AG10" s="145" t="str">
        <f>IF(AD10=0," ",AE10/AF10)</f>
        <v xml:space="preserve"> </v>
      </c>
      <c r="AH10" s="148"/>
      <c r="AI10" s="144"/>
      <c r="AJ10" s="144"/>
      <c r="AK10" s="22" t="str">
        <f>IF(AJ10=0," ",AI10/AJ10)</f>
        <v xml:space="preserve"> </v>
      </c>
      <c r="AL10" s="112"/>
      <c r="AM10" s="145" t="str">
        <f>IF(AJ10=0," ",AK10/AL10)</f>
        <v xml:space="preserve"> </v>
      </c>
      <c r="AN10" s="148"/>
      <c r="AO10" s="144"/>
      <c r="AP10" s="144"/>
      <c r="AQ10" s="22" t="str">
        <f>IF(AP10=0," ",AO10/AP10)</f>
        <v xml:space="preserve"> </v>
      </c>
      <c r="AR10" s="112"/>
      <c r="AS10" s="145" t="str">
        <f>IF(AP10=0," ",AQ10/AR10)</f>
        <v xml:space="preserve"> </v>
      </c>
      <c r="AT10" s="148"/>
      <c r="AU10" s="256">
        <v>81404</v>
      </c>
      <c r="AV10" s="144">
        <v>64611</v>
      </c>
      <c r="AW10" s="22">
        <f>IF(AV10=0," ",AU10/AV10)</f>
        <v>1.2599093033693953</v>
      </c>
      <c r="AX10" s="112">
        <v>1</v>
      </c>
      <c r="AY10" s="145">
        <f t="shared" si="0"/>
        <v>1.2599093033693953</v>
      </c>
      <c r="AZ10" s="255" t="s">
        <v>364</v>
      </c>
      <c r="BA10" s="144"/>
      <c r="BB10" s="144"/>
      <c r="BC10" s="22" t="str">
        <f>IF(BB10=0," ",BA10/BB10)</f>
        <v xml:space="preserve"> </v>
      </c>
      <c r="BD10" s="112"/>
      <c r="BE10" s="145" t="str">
        <f>IF(BB10=0," ",BC10/BD10)</f>
        <v xml:space="preserve"> </v>
      </c>
      <c r="BF10" s="148"/>
      <c r="BG10" s="144"/>
      <c r="BH10" s="144"/>
      <c r="BI10" s="22" t="str">
        <f>IF(BH10=0," ",BG10/BH10)</f>
        <v xml:space="preserve"> </v>
      </c>
      <c r="BJ10" s="112"/>
      <c r="BK10" s="145" t="str">
        <f>IF(BH10=0," ",BI10/BJ10)</f>
        <v xml:space="preserve"> </v>
      </c>
      <c r="BL10" s="148"/>
      <c r="BM10" s="144"/>
      <c r="BN10" s="144"/>
      <c r="BO10" s="22" t="str">
        <f>IF(BN10=0," ",BM10/BN10)</f>
        <v xml:space="preserve"> </v>
      </c>
      <c r="BP10" s="112"/>
      <c r="BQ10" s="145" t="str">
        <f>IF(BN10=0," ",BO10/BP10)</f>
        <v xml:space="preserve"> </v>
      </c>
      <c r="BR10" s="148"/>
      <c r="BS10" s="144"/>
      <c r="BT10" s="144"/>
      <c r="BU10" s="22" t="str">
        <f>IF(BT10=0," ",BS10/BT10)</f>
        <v xml:space="preserve"> </v>
      </c>
      <c r="BV10" s="112"/>
      <c r="BW10" s="145" t="str">
        <f>IF(BT10=0," ",BU10/BV10)</f>
        <v xml:space="preserve"> </v>
      </c>
      <c r="BX10" s="148"/>
      <c r="BY10" s="144"/>
      <c r="BZ10" s="144"/>
      <c r="CA10" s="22" t="str">
        <f>IF(BZ10=0," ",BY10/BZ10)</f>
        <v xml:space="preserve"> </v>
      </c>
      <c r="CB10" s="112"/>
      <c r="CC10" s="145" t="str">
        <f>IF(BZ10=0," ",CA10/CB10)</f>
        <v xml:space="preserve"> </v>
      </c>
      <c r="CD10" s="148"/>
      <c r="CE10" s="144"/>
      <c r="CF10" s="144"/>
      <c r="CG10" s="22" t="str">
        <f>IF(CF10=0," ",CE10/CF10)</f>
        <v xml:space="preserve"> </v>
      </c>
      <c r="CH10" s="112"/>
      <c r="CI10" s="145" t="str">
        <f>IF(CF10=0," ",CG10/CH10)</f>
        <v xml:space="preserve"> </v>
      </c>
      <c r="CJ10" s="148"/>
      <c r="CK10" s="144"/>
      <c r="CL10" s="144"/>
      <c r="CM10" s="22" t="str">
        <f>IF(CL10=0," ",CK10/CL10)</f>
        <v xml:space="preserve"> </v>
      </c>
      <c r="CN10" s="112"/>
      <c r="CO10" s="145" t="str">
        <f>IF(CL10=0," ",CM10/CN10)</f>
        <v xml:space="preserve"> </v>
      </c>
      <c r="CP10" s="148"/>
      <c r="CQ10" s="147">
        <v>118397</v>
      </c>
      <c r="CR10" s="144">
        <v>118436</v>
      </c>
      <c r="CS10" s="22">
        <f>IF(CR10=0," ",CQ10/CR10)</f>
        <v>0.99967070823060555</v>
      </c>
      <c r="CT10" s="112">
        <v>1</v>
      </c>
      <c r="CU10" s="145">
        <f t="shared" si="1"/>
        <v>0.99967070823060555</v>
      </c>
      <c r="CV10" s="255" t="s">
        <v>365</v>
      </c>
    </row>
    <row r="11" spans="1:100" ht="401.25" customHeight="1">
      <c r="A11" s="2040" t="s">
        <v>358</v>
      </c>
      <c r="B11" s="2040"/>
      <c r="C11" s="2042" t="s">
        <v>366</v>
      </c>
      <c r="D11" s="2042" t="s">
        <v>367</v>
      </c>
      <c r="E11" s="2040" t="s">
        <v>368</v>
      </c>
      <c r="F11" s="2040" t="s">
        <v>352</v>
      </c>
      <c r="G11" s="2042" t="s">
        <v>369</v>
      </c>
      <c r="H11" s="2044" t="s">
        <v>370</v>
      </c>
      <c r="I11" s="2040"/>
      <c r="J11" s="2044"/>
      <c r="K11" s="2044"/>
      <c r="L11" s="2046"/>
      <c r="M11" s="2044"/>
      <c r="N11" s="2044"/>
      <c r="O11" s="2048">
        <v>0.2</v>
      </c>
      <c r="P11" s="2048"/>
      <c r="Q11" s="2048"/>
      <c r="R11" s="2048">
        <v>0.4</v>
      </c>
      <c r="S11" s="2048"/>
      <c r="T11" s="2048"/>
      <c r="U11" s="2048">
        <v>0.4</v>
      </c>
      <c r="V11" s="2040"/>
      <c r="W11" s="144"/>
      <c r="X11" s="144"/>
      <c r="Y11" s="22"/>
      <c r="Z11" s="112"/>
      <c r="AA11" s="145"/>
      <c r="AB11" s="148"/>
      <c r="AC11" s="144"/>
      <c r="AD11" s="144"/>
      <c r="AE11" s="22"/>
      <c r="AF11" s="112"/>
      <c r="AG11" s="145"/>
      <c r="AH11" s="148"/>
      <c r="AI11" s="144"/>
      <c r="AJ11" s="144"/>
      <c r="AK11" s="22"/>
      <c r="AL11" s="112"/>
      <c r="AM11" s="145"/>
      <c r="AN11" s="148"/>
      <c r="AO11" s="144"/>
      <c r="AP11" s="144"/>
      <c r="AQ11" s="22"/>
      <c r="AR11" s="112"/>
      <c r="AS11" s="145"/>
      <c r="AT11" s="148"/>
      <c r="AU11" s="2050">
        <v>0.2</v>
      </c>
      <c r="AV11" s="2050">
        <v>0.4</v>
      </c>
      <c r="AW11" s="2052">
        <v>0.2</v>
      </c>
      <c r="AX11" s="2054">
        <v>0.4</v>
      </c>
      <c r="AY11" s="2056">
        <f t="shared" si="0"/>
        <v>0.5</v>
      </c>
      <c r="AZ11" s="2058" t="s">
        <v>371</v>
      </c>
      <c r="BA11" s="144"/>
      <c r="BB11" s="144"/>
      <c r="BC11" s="22"/>
      <c r="BD11" s="112"/>
      <c r="BE11" s="145"/>
      <c r="BF11" s="148"/>
      <c r="BG11" s="144"/>
      <c r="BH11" s="144"/>
      <c r="BI11" s="22"/>
      <c r="BJ11" s="112"/>
      <c r="BK11" s="145"/>
      <c r="BL11" s="148"/>
      <c r="BM11" s="144"/>
      <c r="BN11" s="144"/>
      <c r="BO11" s="22"/>
      <c r="BP11" s="112"/>
      <c r="BQ11" s="145"/>
      <c r="BR11" s="148"/>
      <c r="BS11" s="144"/>
      <c r="BT11" s="144"/>
      <c r="BU11" s="22"/>
      <c r="BV11" s="112"/>
      <c r="BW11" s="145"/>
      <c r="BX11" s="148"/>
      <c r="BY11" s="144"/>
      <c r="BZ11" s="144"/>
      <c r="CA11" s="22"/>
      <c r="CB11" s="112"/>
      <c r="CC11" s="145"/>
      <c r="CD11" s="148"/>
      <c r="CE11" s="144"/>
      <c r="CF11" s="144"/>
      <c r="CG11" s="22"/>
      <c r="CH11" s="112"/>
      <c r="CI11" s="145"/>
      <c r="CJ11" s="148"/>
      <c r="CK11" s="144"/>
      <c r="CL11" s="144"/>
      <c r="CM11" s="22"/>
      <c r="CN11" s="112"/>
      <c r="CO11" s="145"/>
      <c r="CP11" s="148"/>
      <c r="CQ11" s="258">
        <v>0.8</v>
      </c>
      <c r="CR11" s="258">
        <v>1</v>
      </c>
      <c r="CS11" s="22">
        <v>0.8</v>
      </c>
      <c r="CT11" s="112">
        <v>1</v>
      </c>
      <c r="CU11" s="2056">
        <f t="shared" si="1"/>
        <v>0.8</v>
      </c>
      <c r="CV11" s="148" t="s">
        <v>372</v>
      </c>
    </row>
    <row r="12" spans="1:100" ht="85.5" hidden="1" customHeight="1">
      <c r="A12" s="2041"/>
      <c r="B12" s="2041"/>
      <c r="C12" s="2043"/>
      <c r="D12" s="2043"/>
      <c r="E12" s="2041"/>
      <c r="F12" s="2041"/>
      <c r="G12" s="2043"/>
      <c r="H12" s="2045"/>
      <c r="I12" s="2041"/>
      <c r="J12" s="2045"/>
      <c r="K12" s="2045"/>
      <c r="L12" s="2047"/>
      <c r="M12" s="2045"/>
      <c r="N12" s="2045"/>
      <c r="O12" s="2049"/>
      <c r="P12" s="2049"/>
      <c r="Q12" s="2049"/>
      <c r="R12" s="2049"/>
      <c r="S12" s="2049"/>
      <c r="T12" s="2049"/>
      <c r="U12" s="2049"/>
      <c r="V12" s="2041"/>
      <c r="W12" s="144"/>
      <c r="X12" s="144"/>
      <c r="Y12" s="22"/>
      <c r="Z12" s="112"/>
      <c r="AA12" s="145"/>
      <c r="AB12" s="148"/>
      <c r="AC12" s="144"/>
      <c r="AD12" s="144"/>
      <c r="AE12" s="22"/>
      <c r="AF12" s="112"/>
      <c r="AG12" s="145"/>
      <c r="AH12" s="148"/>
      <c r="AI12" s="144"/>
      <c r="AJ12" s="144"/>
      <c r="AK12" s="22"/>
      <c r="AL12" s="112"/>
      <c r="AM12" s="145"/>
      <c r="AN12" s="148"/>
      <c r="AO12" s="144"/>
      <c r="AP12" s="144"/>
      <c r="AQ12" s="22"/>
      <c r="AR12" s="112"/>
      <c r="AS12" s="145"/>
      <c r="AT12" s="148"/>
      <c r="AU12" s="2051"/>
      <c r="AV12" s="2051"/>
      <c r="AW12" s="2053"/>
      <c r="AX12" s="2055"/>
      <c r="AY12" s="2057" t="str">
        <f t="shared" si="0"/>
        <v xml:space="preserve"> </v>
      </c>
      <c r="AZ12" s="2059"/>
      <c r="BA12" s="144"/>
      <c r="BB12" s="144"/>
      <c r="BC12" s="22"/>
      <c r="BD12" s="112"/>
      <c r="BE12" s="145"/>
      <c r="BF12" s="148"/>
      <c r="BG12" s="144"/>
      <c r="BH12" s="144"/>
      <c r="BI12" s="22"/>
      <c r="BJ12" s="112"/>
      <c r="BK12" s="145"/>
      <c r="BL12" s="148"/>
      <c r="BM12" s="144"/>
      <c r="BN12" s="144"/>
      <c r="BO12" s="22"/>
      <c r="BP12" s="112"/>
      <c r="BQ12" s="145"/>
      <c r="BR12" s="148"/>
      <c r="BS12" s="144"/>
      <c r="BT12" s="144"/>
      <c r="BU12" s="22"/>
      <c r="BV12" s="112"/>
      <c r="BW12" s="145"/>
      <c r="BX12" s="148"/>
      <c r="BY12" s="144"/>
      <c r="BZ12" s="144"/>
      <c r="CA12" s="22"/>
      <c r="CB12" s="112"/>
      <c r="CC12" s="145"/>
      <c r="CD12" s="148"/>
      <c r="CE12" s="144"/>
      <c r="CF12" s="144"/>
      <c r="CG12" s="22"/>
      <c r="CH12" s="112"/>
      <c r="CI12" s="145"/>
      <c r="CJ12" s="148"/>
      <c r="CK12" s="144"/>
      <c r="CL12" s="144"/>
      <c r="CM12" s="22"/>
      <c r="CN12" s="112"/>
      <c r="CO12" s="145"/>
      <c r="CP12" s="148"/>
      <c r="CQ12" s="144"/>
      <c r="CR12" s="144"/>
      <c r="CS12" s="22"/>
      <c r="CT12" s="112"/>
      <c r="CU12" s="2057" t="str">
        <f t="shared" si="1"/>
        <v xml:space="preserve"> </v>
      </c>
      <c r="CV12" s="148"/>
    </row>
    <row r="13" spans="1:100" ht="85.5" customHeight="1">
      <c r="A13" s="2040" t="s">
        <v>373</v>
      </c>
      <c r="B13" s="2040"/>
      <c r="C13" s="2042" t="s">
        <v>374</v>
      </c>
      <c r="D13" s="2042" t="s">
        <v>375</v>
      </c>
      <c r="E13" s="2040" t="s">
        <v>376</v>
      </c>
      <c r="F13" s="2040" t="s">
        <v>352</v>
      </c>
      <c r="G13" s="2042" t="s">
        <v>377</v>
      </c>
      <c r="H13" s="2040" t="s">
        <v>370</v>
      </c>
      <c r="I13" s="2040" t="s">
        <v>345</v>
      </c>
      <c r="J13" s="2044"/>
      <c r="K13" s="2044"/>
      <c r="L13" s="2046"/>
      <c r="M13" s="2044"/>
      <c r="N13" s="2044"/>
      <c r="O13" s="2048">
        <v>0.33</v>
      </c>
      <c r="P13" s="2048"/>
      <c r="Q13" s="2048"/>
      <c r="R13" s="2048">
        <v>0.33</v>
      </c>
      <c r="S13" s="2060"/>
      <c r="T13" s="2061"/>
      <c r="U13" s="2048">
        <v>0.34</v>
      </c>
      <c r="V13" s="2040"/>
      <c r="W13" s="144"/>
      <c r="X13" s="144"/>
      <c r="Y13" s="22" t="str">
        <f>IF(X13=0," ",W13/X13)</f>
        <v xml:space="preserve"> </v>
      </c>
      <c r="Z13" s="112"/>
      <c r="AA13" s="145" t="str">
        <f>IF(X13=0," ",Y13/Z13)</f>
        <v xml:space="preserve"> </v>
      </c>
      <c r="AB13" s="148"/>
      <c r="AC13" s="144"/>
      <c r="AD13" s="144"/>
      <c r="AE13" s="22" t="str">
        <f>IF(AD13=0," ",AC13/AD13)</f>
        <v xml:space="preserve"> </v>
      </c>
      <c r="AF13" s="112"/>
      <c r="AG13" s="145" t="str">
        <f>IF(AD13=0," ",AE13/AF13)</f>
        <v xml:space="preserve"> </v>
      </c>
      <c r="AH13" s="148"/>
      <c r="AI13" s="144"/>
      <c r="AJ13" s="144"/>
      <c r="AK13" s="22" t="str">
        <f>IF(AJ13=0," ",AI13/AJ13)</f>
        <v xml:space="preserve"> </v>
      </c>
      <c r="AL13" s="112"/>
      <c r="AM13" s="145" t="str">
        <f>IF(AJ13=0," ",AK13/AL13)</f>
        <v xml:space="preserve"> </v>
      </c>
      <c r="AN13" s="148"/>
      <c r="AO13" s="144"/>
      <c r="AP13" s="144"/>
      <c r="AQ13" s="22" t="str">
        <f>IF(AP13=0," ",AO13/AP13)</f>
        <v xml:space="preserve"> </v>
      </c>
      <c r="AR13" s="112"/>
      <c r="AS13" s="145" t="str">
        <f>IF(AP13=0," ",AQ13/AR13)</f>
        <v xml:space="preserve"> </v>
      </c>
      <c r="AT13" s="148"/>
      <c r="AU13" s="2048">
        <v>0.09</v>
      </c>
      <c r="AV13" s="2048">
        <v>0.27</v>
      </c>
      <c r="AW13" s="2066">
        <v>0.34</v>
      </c>
      <c r="AX13" s="2048">
        <v>0.34</v>
      </c>
      <c r="AY13" s="2056">
        <f t="shared" si="0"/>
        <v>1</v>
      </c>
      <c r="AZ13" s="2068" t="s">
        <v>378</v>
      </c>
      <c r="BA13" s="144"/>
      <c r="BB13" s="144"/>
      <c r="BC13" s="22" t="str">
        <f>IF(BB13=0," ",BA13/BB13)</f>
        <v xml:space="preserve"> </v>
      </c>
      <c r="BD13" s="112"/>
      <c r="BE13" s="145" t="str">
        <f>IF(BB13=0," ",BC13/BD13)</f>
        <v xml:space="preserve"> </v>
      </c>
      <c r="BF13" s="148"/>
      <c r="BG13" s="144"/>
      <c r="BH13" s="144"/>
      <c r="BI13" s="22" t="str">
        <f>IF(BH13=0," ",BG13/BH13)</f>
        <v xml:space="preserve"> </v>
      </c>
      <c r="BJ13" s="112"/>
      <c r="BK13" s="145" t="str">
        <f>IF(BH13=0," ",BI13/BJ13)</f>
        <v xml:space="preserve"> </v>
      </c>
      <c r="BL13" s="148"/>
      <c r="BM13" s="144"/>
      <c r="BN13" s="144"/>
      <c r="BO13" s="22" t="str">
        <f>IF(BN13=0," ",BM13/BN13)</f>
        <v xml:space="preserve"> </v>
      </c>
      <c r="BP13" s="112"/>
      <c r="BQ13" s="145" t="str">
        <f>IF(BN13=0," ",BO13/BP13)</f>
        <v xml:space="preserve"> </v>
      </c>
      <c r="BR13" s="148"/>
      <c r="BS13" s="144"/>
      <c r="BT13" s="144"/>
      <c r="BU13" s="22" t="str">
        <f>IF(BT13=0," ",BS13/BT13)</f>
        <v xml:space="preserve"> </v>
      </c>
      <c r="BV13" s="112"/>
      <c r="BW13" s="145" t="str">
        <f>IF(BT13=0," ",BU13/BV13)</f>
        <v xml:space="preserve"> </v>
      </c>
      <c r="BX13" s="148"/>
      <c r="BY13" s="144"/>
      <c r="BZ13" s="144"/>
      <c r="CA13" s="22" t="str">
        <f>IF(BZ13=0," ",BY13/BZ13)</f>
        <v xml:space="preserve"> </v>
      </c>
      <c r="CB13" s="112"/>
      <c r="CC13" s="145" t="str">
        <f>IF(BZ13=0," ",CA13/CB13)</f>
        <v xml:space="preserve"> </v>
      </c>
      <c r="CD13" s="148"/>
      <c r="CE13" s="144"/>
      <c r="CF13" s="144"/>
      <c r="CG13" s="22" t="str">
        <f>IF(CF13=0," ",CE13/CF13)</f>
        <v xml:space="preserve"> </v>
      </c>
      <c r="CH13" s="112"/>
      <c r="CI13" s="145" t="str">
        <f>IF(CF13=0," ",CG13/CH13)</f>
        <v xml:space="preserve"> </v>
      </c>
      <c r="CJ13" s="148"/>
      <c r="CK13" s="144"/>
      <c r="CL13" s="144"/>
      <c r="CM13" s="22" t="str">
        <f>IF(CL13=0," ",CK13/CL13)</f>
        <v xml:space="preserve"> </v>
      </c>
      <c r="CN13" s="112"/>
      <c r="CO13" s="145" t="str">
        <f>IF(CL13=0," ",CM13/CN13)</f>
        <v xml:space="preserve"> </v>
      </c>
      <c r="CP13" s="148"/>
      <c r="CQ13" s="2064">
        <v>27</v>
      </c>
      <c r="CR13" s="2064">
        <v>27</v>
      </c>
      <c r="CS13" s="2052">
        <f>IF(CR13=0," ",CQ13/CR13)</f>
        <v>1</v>
      </c>
      <c r="CT13" s="2054">
        <v>1</v>
      </c>
      <c r="CU13" s="2056">
        <f t="shared" si="1"/>
        <v>1</v>
      </c>
      <c r="CV13" s="2068" t="s">
        <v>379</v>
      </c>
    </row>
    <row r="14" spans="1:100" ht="201.75" customHeight="1">
      <c r="A14" s="2041"/>
      <c r="B14" s="2041"/>
      <c r="C14" s="2043"/>
      <c r="D14" s="2043"/>
      <c r="E14" s="2041"/>
      <c r="F14" s="2041"/>
      <c r="G14" s="2043"/>
      <c r="H14" s="2041"/>
      <c r="I14" s="2041"/>
      <c r="J14" s="2045"/>
      <c r="K14" s="2045"/>
      <c r="L14" s="2047"/>
      <c r="M14" s="2045"/>
      <c r="N14" s="2045"/>
      <c r="O14" s="2049"/>
      <c r="P14" s="2049"/>
      <c r="Q14" s="2049"/>
      <c r="R14" s="2049"/>
      <c r="S14" s="2062"/>
      <c r="T14" s="2063"/>
      <c r="U14" s="2049"/>
      <c r="V14" s="2041"/>
      <c r="W14" s="144"/>
      <c r="X14" s="144"/>
      <c r="Y14" s="22"/>
      <c r="Z14" s="112"/>
      <c r="AA14" s="145"/>
      <c r="AB14" s="148"/>
      <c r="AC14" s="144"/>
      <c r="AD14" s="144"/>
      <c r="AE14" s="22"/>
      <c r="AF14" s="112"/>
      <c r="AG14" s="145"/>
      <c r="AH14" s="148"/>
      <c r="AI14" s="144"/>
      <c r="AJ14" s="144"/>
      <c r="AK14" s="22"/>
      <c r="AL14" s="112"/>
      <c r="AM14" s="145"/>
      <c r="AN14" s="148"/>
      <c r="AO14" s="144"/>
      <c r="AP14" s="144"/>
      <c r="AQ14" s="22"/>
      <c r="AR14" s="112"/>
      <c r="AS14" s="145"/>
      <c r="AT14" s="148"/>
      <c r="AU14" s="2049"/>
      <c r="AV14" s="2049"/>
      <c r="AW14" s="2067"/>
      <c r="AX14" s="2049"/>
      <c r="AY14" s="2057"/>
      <c r="AZ14" s="2069"/>
      <c r="BA14" s="144"/>
      <c r="BB14" s="144"/>
      <c r="BC14" s="22"/>
      <c r="BD14" s="112"/>
      <c r="BE14" s="145"/>
      <c r="BF14" s="148"/>
      <c r="BG14" s="144"/>
      <c r="BH14" s="144"/>
      <c r="BI14" s="22"/>
      <c r="BJ14" s="112"/>
      <c r="BK14" s="145"/>
      <c r="BL14" s="148"/>
      <c r="BM14" s="144"/>
      <c r="BN14" s="144"/>
      <c r="BO14" s="22"/>
      <c r="BP14" s="112"/>
      <c r="BQ14" s="145"/>
      <c r="BR14" s="148"/>
      <c r="BS14" s="144"/>
      <c r="BT14" s="144"/>
      <c r="BU14" s="22"/>
      <c r="BV14" s="112"/>
      <c r="BW14" s="145"/>
      <c r="BX14" s="148"/>
      <c r="BY14" s="144"/>
      <c r="BZ14" s="144"/>
      <c r="CA14" s="22"/>
      <c r="CB14" s="112"/>
      <c r="CC14" s="145"/>
      <c r="CD14" s="148"/>
      <c r="CE14" s="144"/>
      <c r="CF14" s="144"/>
      <c r="CG14" s="22"/>
      <c r="CH14" s="112"/>
      <c r="CI14" s="145"/>
      <c r="CJ14" s="148"/>
      <c r="CK14" s="144"/>
      <c r="CL14" s="144"/>
      <c r="CM14" s="22"/>
      <c r="CN14" s="112"/>
      <c r="CO14" s="145"/>
      <c r="CP14" s="148"/>
      <c r="CQ14" s="2065"/>
      <c r="CR14" s="2065"/>
      <c r="CS14" s="2053"/>
      <c r="CT14" s="2055"/>
      <c r="CU14" s="2057"/>
      <c r="CV14" s="2069"/>
    </row>
    <row r="15" spans="1:100" ht="32.25" customHeight="1">
      <c r="A15" s="2070" t="s">
        <v>49</v>
      </c>
      <c r="B15" s="2071"/>
      <c r="C15" s="2071"/>
      <c r="D15" s="2071"/>
      <c r="E15" s="2071"/>
      <c r="F15" s="2071"/>
      <c r="G15" s="2071"/>
      <c r="H15" s="2071"/>
      <c r="I15" s="2071"/>
      <c r="J15" s="2071"/>
      <c r="K15" s="2071"/>
      <c r="L15" s="2071"/>
      <c r="M15" s="2071"/>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2"/>
      <c r="BA15" s="174"/>
      <c r="BB15" s="174"/>
      <c r="BC15" s="22"/>
      <c r="BD15" s="145"/>
      <c r="BE15" s="145"/>
      <c r="BF15" s="259"/>
      <c r="BG15" s="175"/>
      <c r="BH15" s="174"/>
      <c r="BI15" s="174"/>
      <c r="BJ15" s="22"/>
      <c r="BK15" s="145"/>
      <c r="BL15" s="145"/>
      <c r="BM15" s="174"/>
      <c r="BN15" s="174"/>
      <c r="BO15" s="22"/>
      <c r="BP15" s="145"/>
      <c r="BQ15" s="145"/>
      <c r="BR15" s="259"/>
      <c r="BS15" s="175"/>
      <c r="BT15" s="174"/>
      <c r="BU15" s="174"/>
      <c r="BV15" s="22"/>
      <c r="BW15" s="145"/>
      <c r="BX15" s="145"/>
      <c r="BY15" s="174"/>
      <c r="BZ15" s="174"/>
      <c r="CA15" s="22"/>
      <c r="CB15" s="145"/>
      <c r="CC15" s="145"/>
      <c r="CD15" s="259"/>
      <c r="CE15" s="175"/>
      <c r="CF15" s="174"/>
      <c r="CG15" s="174"/>
      <c r="CH15" s="22"/>
      <c r="CI15" s="145"/>
      <c r="CJ15" s="145"/>
      <c r="CK15" s="174"/>
      <c r="CL15" s="174"/>
      <c r="CM15" s="22"/>
      <c r="CN15" s="145"/>
      <c r="CO15" s="145"/>
      <c r="CP15" s="259"/>
      <c r="CQ15" s="175"/>
      <c r="CR15" s="174"/>
      <c r="CS15" s="174"/>
      <c r="CT15" s="22"/>
      <c r="CU15" s="145"/>
      <c r="CV15" s="145"/>
    </row>
    <row r="16" spans="1:100" ht="119.25" customHeight="1">
      <c r="A16" s="135" t="s">
        <v>250</v>
      </c>
      <c r="B16" s="135" t="s">
        <v>156</v>
      </c>
      <c r="C16" s="136" t="s">
        <v>157</v>
      </c>
      <c r="D16" s="136" t="s">
        <v>158</v>
      </c>
      <c r="E16" s="135" t="s">
        <v>159</v>
      </c>
      <c r="F16" s="135" t="s">
        <v>53</v>
      </c>
      <c r="G16" s="136" t="s">
        <v>160</v>
      </c>
      <c r="H16" s="135" t="s">
        <v>161</v>
      </c>
      <c r="I16" s="135" t="s">
        <v>54</v>
      </c>
      <c r="J16" s="250"/>
      <c r="K16" s="250"/>
      <c r="L16" s="251"/>
      <c r="M16" s="251">
        <v>1</v>
      </c>
      <c r="N16" s="250"/>
      <c r="O16" s="251">
        <v>1</v>
      </c>
      <c r="P16" s="260"/>
      <c r="Q16" s="260"/>
      <c r="R16" s="251">
        <v>1</v>
      </c>
      <c r="S16" s="260"/>
      <c r="T16" s="260"/>
      <c r="U16" s="261">
        <v>1</v>
      </c>
      <c r="V16" s="135" t="s">
        <v>79</v>
      </c>
      <c r="W16" s="144"/>
      <c r="X16" s="144"/>
      <c r="Y16" s="22" t="str">
        <f t="shared" ref="Y16:Y23" si="2">IF(X16=0," ",W16/X16)</f>
        <v xml:space="preserve"> </v>
      </c>
      <c r="Z16" s="112"/>
      <c r="AA16" s="145" t="str">
        <f t="shared" ref="AA16:AA23" si="3">IF(X16=0," ",Y16/Z16)</f>
        <v xml:space="preserve"> </v>
      </c>
      <c r="AB16" s="148"/>
      <c r="AC16" s="144"/>
      <c r="AD16" s="144"/>
      <c r="AE16" s="22" t="str">
        <f t="shared" ref="AE16:AE23" si="4">IF(AD16=0," ",AC16/AD16)</f>
        <v xml:space="preserve"> </v>
      </c>
      <c r="AF16" s="112"/>
      <c r="AG16" s="145" t="str">
        <f t="shared" ref="AG16:AG23" si="5">IF(AD16=0," ",AE16/AF16)</f>
        <v xml:space="preserve"> </v>
      </c>
      <c r="AH16" s="148"/>
      <c r="AI16" s="144"/>
      <c r="AJ16" s="144"/>
      <c r="AK16" s="22" t="str">
        <f t="shared" ref="AK16:AK23" si="6">IF(AJ16=0," ",AI16/AJ16)</f>
        <v xml:space="preserve"> </v>
      </c>
      <c r="AL16" s="112"/>
      <c r="AM16" s="145" t="str">
        <f t="shared" ref="AM16:AM21" si="7">IF(AJ16=0," ",AK16/AL16)</f>
        <v xml:space="preserve"> </v>
      </c>
      <c r="AN16" s="148"/>
      <c r="AO16" s="144">
        <v>1</v>
      </c>
      <c r="AP16" s="144">
        <v>2</v>
      </c>
      <c r="AQ16" s="22">
        <f t="shared" ref="AQ16:AQ23" si="8">IF(AP16=0," ",AO16/AP16)</f>
        <v>0.5</v>
      </c>
      <c r="AR16" s="112">
        <v>1</v>
      </c>
      <c r="AS16" s="158">
        <f t="shared" ref="AS16:AS23" si="9">IF(AP16=0," ",AQ16/AR16)</f>
        <v>0.5</v>
      </c>
      <c r="AT16" s="254" t="s">
        <v>380</v>
      </c>
      <c r="AU16" s="262">
        <v>0.15</v>
      </c>
      <c r="AV16" s="262">
        <v>0.2</v>
      </c>
      <c r="AW16" s="22">
        <f>IF(AV16=0," ",AU16/AV16)</f>
        <v>0.74999999999999989</v>
      </c>
      <c r="AX16" s="112">
        <v>1</v>
      </c>
      <c r="AY16" s="145">
        <f>IF(AV16=0," ",AW16/AX16)</f>
        <v>0.74999999999999989</v>
      </c>
      <c r="AZ16" s="255" t="s">
        <v>381</v>
      </c>
      <c r="BA16" s="144"/>
      <c r="BB16" s="144"/>
      <c r="BC16" s="22" t="str">
        <f t="shared" ref="BC16:BC23" si="10">IF(BB16=0," ",BA16/BB16)</f>
        <v xml:space="preserve"> </v>
      </c>
      <c r="BD16" s="112"/>
      <c r="BE16" s="145" t="str">
        <f t="shared" ref="BE16:BE23" si="11">IF(BB16=0," ",BC16/BD16)</f>
        <v xml:space="preserve"> </v>
      </c>
      <c r="BF16" s="148"/>
      <c r="BG16" s="144"/>
      <c r="BH16" s="144"/>
      <c r="BI16" s="22" t="str">
        <f t="shared" ref="BI16:BI23" si="12">IF(BH16=0," ",BG16/BH16)</f>
        <v xml:space="preserve"> </v>
      </c>
      <c r="BJ16" s="112"/>
      <c r="BK16" s="145" t="str">
        <f t="shared" ref="BK16:BK23" si="13">IF(BH16=0," ",BI16/BJ16)</f>
        <v xml:space="preserve"> </v>
      </c>
      <c r="BL16" s="148"/>
      <c r="BM16" s="144"/>
      <c r="BN16" s="144"/>
      <c r="BO16" s="22" t="str">
        <f t="shared" ref="BO16:BO23" si="14">IF(BN16=0," ",BM16/BN16)</f>
        <v xml:space="preserve"> </v>
      </c>
      <c r="BP16" s="112"/>
      <c r="BQ16" s="145" t="str">
        <f t="shared" ref="BQ16:BQ23" si="15">IF(BN16=0," ",BO16/BP16)</f>
        <v xml:space="preserve"> </v>
      </c>
      <c r="BR16" s="148"/>
      <c r="BS16" s="144"/>
      <c r="BT16" s="144"/>
      <c r="BU16" s="22" t="str">
        <f t="shared" ref="BU16:BU23" si="16">IF(BT16=0," ",BS16/BT16)</f>
        <v xml:space="preserve"> </v>
      </c>
      <c r="BV16" s="112"/>
      <c r="BW16" s="145" t="str">
        <f t="shared" ref="BW16:BW23" si="17">IF(BT16=0," ",BU16/BV16)</f>
        <v xml:space="preserve"> </v>
      </c>
      <c r="BX16" s="148"/>
      <c r="BY16" s="144"/>
      <c r="BZ16" s="144"/>
      <c r="CA16" s="22" t="str">
        <f t="shared" ref="CA16:CA23" si="18">IF(BZ16=0," ",BY16/BZ16)</f>
        <v xml:space="preserve"> </v>
      </c>
      <c r="CB16" s="112"/>
      <c r="CC16" s="145" t="str">
        <f t="shared" ref="CC16:CC23" si="19">IF(BZ16=0," ",CA16/CB16)</f>
        <v xml:space="preserve"> </v>
      </c>
      <c r="CD16" s="148"/>
      <c r="CE16" s="144"/>
      <c r="CF16" s="144"/>
      <c r="CG16" s="22" t="str">
        <f t="shared" ref="CG16:CG23" si="20">IF(CF16=0," ",CE16/CF16)</f>
        <v xml:space="preserve"> </v>
      </c>
      <c r="CH16" s="112"/>
      <c r="CI16" s="145" t="str">
        <f t="shared" ref="CI16:CI23" si="21">IF(CF16=0," ",CG16/CH16)</f>
        <v xml:space="preserve"> </v>
      </c>
      <c r="CJ16" s="148"/>
      <c r="CK16" s="144"/>
      <c r="CL16" s="144"/>
      <c r="CM16" s="22" t="str">
        <f t="shared" ref="CM16:CM23" si="22">IF(CL16=0," ",CK16/CL16)</f>
        <v xml:space="preserve"> </v>
      </c>
      <c r="CN16" s="112"/>
      <c r="CO16" s="145" t="str">
        <f t="shared" ref="CO16:CO23" si="23">IF(CL16=0," ",CM16/CN16)</f>
        <v xml:space="preserve"> </v>
      </c>
      <c r="CP16" s="148"/>
      <c r="CQ16" s="256">
        <v>15</v>
      </c>
      <c r="CR16" s="256">
        <v>20</v>
      </c>
      <c r="CS16" s="22">
        <f>IF(CR16=0," ",CQ16/CR16)</f>
        <v>0.75</v>
      </c>
      <c r="CT16" s="112">
        <v>1</v>
      </c>
      <c r="CU16" s="145">
        <f>IF(CR16=0," ",CS16/CT16)</f>
        <v>0.75</v>
      </c>
      <c r="CV16" s="255" t="s">
        <v>382</v>
      </c>
    </row>
    <row r="17" spans="1:100" ht="125.25" customHeight="1">
      <c r="A17" s="135" t="s">
        <v>383</v>
      </c>
      <c r="B17" s="135" t="s">
        <v>89</v>
      </c>
      <c r="C17" s="135" t="s">
        <v>56</v>
      </c>
      <c r="D17" s="135" t="s">
        <v>57</v>
      </c>
      <c r="E17" s="135" t="s">
        <v>58</v>
      </c>
      <c r="F17" s="135" t="s">
        <v>53</v>
      </c>
      <c r="G17" s="263" t="s">
        <v>59</v>
      </c>
      <c r="H17" s="135" t="s">
        <v>60</v>
      </c>
      <c r="I17" s="135" t="s">
        <v>54</v>
      </c>
      <c r="J17" s="250"/>
      <c r="K17" s="250"/>
      <c r="L17" s="264">
        <v>1</v>
      </c>
      <c r="M17" s="250"/>
      <c r="N17" s="250"/>
      <c r="O17" s="264">
        <v>1</v>
      </c>
      <c r="P17" s="251"/>
      <c r="Q17" s="250"/>
      <c r="R17" s="264">
        <v>1</v>
      </c>
      <c r="S17" s="251"/>
      <c r="T17" s="250"/>
      <c r="U17" s="261">
        <v>1</v>
      </c>
      <c r="V17" s="135" t="s">
        <v>79</v>
      </c>
      <c r="W17" s="144"/>
      <c r="X17" s="144"/>
      <c r="Y17" s="22" t="str">
        <f t="shared" si="2"/>
        <v xml:space="preserve"> </v>
      </c>
      <c r="Z17" s="112"/>
      <c r="AA17" s="145" t="str">
        <f t="shared" si="3"/>
        <v xml:space="preserve"> </v>
      </c>
      <c r="AB17" s="148"/>
      <c r="AC17" s="144"/>
      <c r="AD17" s="144"/>
      <c r="AE17" s="22" t="str">
        <f t="shared" si="4"/>
        <v xml:space="preserve"> </v>
      </c>
      <c r="AF17" s="112"/>
      <c r="AG17" s="145" t="str">
        <f t="shared" si="5"/>
        <v xml:space="preserve"> </v>
      </c>
      <c r="AH17" s="148"/>
      <c r="AI17" s="144" t="s">
        <v>325</v>
      </c>
      <c r="AJ17" s="144"/>
      <c r="AK17" s="22" t="str">
        <f t="shared" si="6"/>
        <v xml:space="preserve"> </v>
      </c>
      <c r="AL17" s="112"/>
      <c r="AM17" s="145" t="str">
        <f t="shared" si="7"/>
        <v xml:space="preserve"> </v>
      </c>
      <c r="AN17" s="265" t="s">
        <v>384</v>
      </c>
      <c r="AO17" s="144"/>
      <c r="AP17" s="144"/>
      <c r="AQ17" s="22" t="str">
        <f t="shared" si="8"/>
        <v xml:space="preserve"> </v>
      </c>
      <c r="AR17" s="112"/>
      <c r="AS17" s="145" t="str">
        <f t="shared" si="9"/>
        <v xml:space="preserve"> </v>
      </c>
      <c r="AT17" s="148"/>
      <c r="AU17" s="144" t="s">
        <v>385</v>
      </c>
      <c r="AV17" s="156" t="s">
        <v>385</v>
      </c>
      <c r="AW17" s="22"/>
      <c r="AX17" s="112"/>
      <c r="AY17" s="145"/>
      <c r="AZ17" s="255" t="s">
        <v>326</v>
      </c>
      <c r="BA17" s="144"/>
      <c r="BB17" s="144"/>
      <c r="BC17" s="22" t="str">
        <f t="shared" si="10"/>
        <v xml:space="preserve"> </v>
      </c>
      <c r="BD17" s="112"/>
      <c r="BE17" s="145" t="str">
        <f t="shared" si="11"/>
        <v xml:space="preserve"> </v>
      </c>
      <c r="BF17" s="148"/>
      <c r="BG17" s="144"/>
      <c r="BH17" s="144"/>
      <c r="BI17" s="22" t="str">
        <f t="shared" si="12"/>
        <v xml:space="preserve"> </v>
      </c>
      <c r="BJ17" s="112"/>
      <c r="BK17" s="145" t="str">
        <f t="shared" si="13"/>
        <v xml:space="preserve"> </v>
      </c>
      <c r="BL17" s="148"/>
      <c r="BM17" s="144"/>
      <c r="BN17" s="144"/>
      <c r="BO17" s="22" t="str">
        <f t="shared" si="14"/>
        <v xml:space="preserve"> </v>
      </c>
      <c r="BP17" s="112"/>
      <c r="BQ17" s="145" t="str">
        <f t="shared" si="15"/>
        <v xml:space="preserve"> </v>
      </c>
      <c r="BR17" s="148"/>
      <c r="BS17" s="144"/>
      <c r="BT17" s="144"/>
      <c r="BU17" s="22" t="str">
        <f t="shared" si="16"/>
        <v xml:space="preserve"> </v>
      </c>
      <c r="BV17" s="112"/>
      <c r="BW17" s="145" t="str">
        <f t="shared" si="17"/>
        <v xml:space="preserve"> </v>
      </c>
      <c r="BX17" s="148"/>
      <c r="BY17" s="144"/>
      <c r="BZ17" s="144"/>
      <c r="CA17" s="22" t="str">
        <f t="shared" si="18"/>
        <v xml:space="preserve"> </v>
      </c>
      <c r="CB17" s="112"/>
      <c r="CC17" s="145" t="str">
        <f t="shared" si="19"/>
        <v xml:space="preserve"> </v>
      </c>
      <c r="CD17" s="148"/>
      <c r="CE17" s="144"/>
      <c r="CF17" s="144"/>
      <c r="CG17" s="22" t="str">
        <f t="shared" si="20"/>
        <v xml:space="preserve"> </v>
      </c>
      <c r="CH17" s="112"/>
      <c r="CI17" s="145" t="str">
        <f t="shared" si="21"/>
        <v xml:space="preserve"> </v>
      </c>
      <c r="CJ17" s="148"/>
      <c r="CK17" s="144"/>
      <c r="CL17" s="144"/>
      <c r="CM17" s="22" t="str">
        <f t="shared" si="22"/>
        <v xml:space="preserve"> </v>
      </c>
      <c r="CN17" s="112"/>
      <c r="CO17" s="145" t="str">
        <f t="shared" si="23"/>
        <v xml:space="preserve"> </v>
      </c>
      <c r="CP17" s="148"/>
      <c r="CQ17" s="144" t="s">
        <v>385</v>
      </c>
      <c r="CR17" s="144" t="s">
        <v>385</v>
      </c>
      <c r="CS17" s="22"/>
      <c r="CT17" s="112"/>
      <c r="CU17" s="145"/>
      <c r="CV17" s="255" t="s">
        <v>386</v>
      </c>
    </row>
    <row r="18" spans="1:100" ht="171" customHeight="1">
      <c r="A18" s="135" t="s">
        <v>383</v>
      </c>
      <c r="B18" s="135" t="s">
        <v>88</v>
      </c>
      <c r="C18" s="135" t="s">
        <v>61</v>
      </c>
      <c r="D18" s="135" t="s">
        <v>57</v>
      </c>
      <c r="E18" s="135" t="s">
        <v>62</v>
      </c>
      <c r="F18" s="135" t="s">
        <v>53</v>
      </c>
      <c r="G18" s="135" t="s">
        <v>63</v>
      </c>
      <c r="H18" s="135" t="s">
        <v>64</v>
      </c>
      <c r="I18" s="135" t="s">
        <v>54</v>
      </c>
      <c r="J18" s="266"/>
      <c r="K18" s="264">
        <v>1</v>
      </c>
      <c r="L18" s="264"/>
      <c r="M18" s="264">
        <v>1</v>
      </c>
      <c r="N18" s="266"/>
      <c r="O18" s="251">
        <v>1</v>
      </c>
      <c r="P18" s="229"/>
      <c r="Q18" s="251">
        <v>1</v>
      </c>
      <c r="R18" s="229"/>
      <c r="S18" s="251">
        <v>1</v>
      </c>
      <c r="T18" s="267"/>
      <c r="U18" s="261">
        <v>1</v>
      </c>
      <c r="V18" s="268" t="s">
        <v>79</v>
      </c>
      <c r="W18" s="144"/>
      <c r="X18" s="144"/>
      <c r="Y18" s="22" t="str">
        <f t="shared" si="2"/>
        <v xml:space="preserve"> </v>
      </c>
      <c r="Z18" s="112"/>
      <c r="AA18" s="145" t="str">
        <f t="shared" si="3"/>
        <v xml:space="preserve"> </v>
      </c>
      <c r="AB18" s="148"/>
      <c r="AC18" s="269" t="s">
        <v>325</v>
      </c>
      <c r="AD18" s="144"/>
      <c r="AE18" s="22" t="str">
        <f t="shared" si="4"/>
        <v xml:space="preserve"> </v>
      </c>
      <c r="AF18" s="270" t="s">
        <v>325</v>
      </c>
      <c r="AG18" s="145" t="str">
        <f t="shared" si="5"/>
        <v xml:space="preserve"> </v>
      </c>
      <c r="AH18" s="265" t="s">
        <v>387</v>
      </c>
      <c r="AI18" s="144"/>
      <c r="AJ18" s="144"/>
      <c r="AK18" s="22" t="str">
        <f t="shared" si="6"/>
        <v xml:space="preserve"> </v>
      </c>
      <c r="AL18" s="112"/>
      <c r="AM18" s="145" t="str">
        <f t="shared" si="7"/>
        <v xml:space="preserve"> </v>
      </c>
      <c r="AN18" s="148"/>
      <c r="AO18" s="144"/>
      <c r="AP18" s="144"/>
      <c r="AQ18" s="22"/>
      <c r="AR18" s="112"/>
      <c r="AS18" s="145" t="str">
        <f t="shared" si="9"/>
        <v xml:space="preserve"> </v>
      </c>
      <c r="AT18" s="254" t="s">
        <v>388</v>
      </c>
      <c r="AU18" s="262">
        <v>1</v>
      </c>
      <c r="AV18" s="262">
        <v>1</v>
      </c>
      <c r="AW18" s="22">
        <f t="shared" ref="AW18:AW23" si="24">IF(AV18=0," ",AU18/AV18)</f>
        <v>1</v>
      </c>
      <c r="AX18" s="112">
        <v>1</v>
      </c>
      <c r="AY18" s="145">
        <f t="shared" ref="AY18:AY23" si="25">IF(AV18=0," ",AW18/AX18)</f>
        <v>1</v>
      </c>
      <c r="AZ18" s="255" t="s">
        <v>389</v>
      </c>
      <c r="BA18" s="144"/>
      <c r="BB18" s="144"/>
      <c r="BC18" s="22" t="str">
        <f t="shared" si="10"/>
        <v xml:space="preserve"> </v>
      </c>
      <c r="BD18" s="112"/>
      <c r="BE18" s="145" t="str">
        <f t="shared" si="11"/>
        <v xml:space="preserve"> </v>
      </c>
      <c r="BF18" s="148"/>
      <c r="BG18" s="144"/>
      <c r="BH18" s="144"/>
      <c r="BI18" s="22" t="str">
        <f t="shared" si="12"/>
        <v xml:space="preserve"> </v>
      </c>
      <c r="BJ18" s="112"/>
      <c r="BK18" s="145" t="str">
        <f t="shared" si="13"/>
        <v xml:space="preserve"> </v>
      </c>
      <c r="BL18" s="148"/>
      <c r="BM18" s="144"/>
      <c r="BN18" s="144"/>
      <c r="BO18" s="22" t="str">
        <f t="shared" si="14"/>
        <v xml:space="preserve"> </v>
      </c>
      <c r="BP18" s="112"/>
      <c r="BQ18" s="145" t="str">
        <f t="shared" si="15"/>
        <v xml:space="preserve"> </v>
      </c>
      <c r="BR18" s="148"/>
      <c r="BS18" s="144"/>
      <c r="BT18" s="144"/>
      <c r="BU18" s="22" t="str">
        <f t="shared" si="16"/>
        <v xml:space="preserve"> </v>
      </c>
      <c r="BV18" s="112"/>
      <c r="BW18" s="145" t="str">
        <f t="shared" si="17"/>
        <v xml:space="preserve"> </v>
      </c>
      <c r="BX18" s="148"/>
      <c r="BY18" s="144"/>
      <c r="BZ18" s="144"/>
      <c r="CA18" s="22" t="str">
        <f t="shared" si="18"/>
        <v xml:space="preserve"> </v>
      </c>
      <c r="CB18" s="112"/>
      <c r="CC18" s="145" t="str">
        <f t="shared" si="19"/>
        <v xml:space="preserve"> </v>
      </c>
      <c r="CD18" s="148"/>
      <c r="CE18" s="144"/>
      <c r="CF18" s="144"/>
      <c r="CG18" s="22" t="str">
        <f t="shared" si="20"/>
        <v xml:space="preserve"> </v>
      </c>
      <c r="CH18" s="112"/>
      <c r="CI18" s="145" t="str">
        <f t="shared" si="21"/>
        <v xml:space="preserve"> </v>
      </c>
      <c r="CJ18" s="148"/>
      <c r="CK18" s="144"/>
      <c r="CL18" s="144"/>
      <c r="CM18" s="22" t="str">
        <f t="shared" si="22"/>
        <v xml:space="preserve"> </v>
      </c>
      <c r="CN18" s="112"/>
      <c r="CO18" s="145" t="str">
        <f t="shared" si="23"/>
        <v xml:space="preserve"> </v>
      </c>
      <c r="CP18" s="148"/>
      <c r="CQ18" s="262">
        <v>1</v>
      </c>
      <c r="CR18" s="262">
        <v>1</v>
      </c>
      <c r="CS18" s="22">
        <f t="shared" ref="CS18:CS23" si="26">IF(CR18=0," ",CQ18/CR18)</f>
        <v>1</v>
      </c>
      <c r="CT18" s="112">
        <v>1</v>
      </c>
      <c r="CU18" s="145">
        <f t="shared" ref="CU18:CU23" si="27">IF(CR18=0," ",CS18/CT18)</f>
        <v>1</v>
      </c>
      <c r="CV18" s="255" t="s">
        <v>389</v>
      </c>
    </row>
    <row r="19" spans="1:100" ht="137.25" customHeight="1">
      <c r="A19" s="134" t="s">
        <v>260</v>
      </c>
      <c r="B19" s="135" t="s">
        <v>261</v>
      </c>
      <c r="C19" s="134" t="s">
        <v>262</v>
      </c>
      <c r="D19" s="135" t="s">
        <v>263</v>
      </c>
      <c r="E19" s="134" t="s">
        <v>264</v>
      </c>
      <c r="F19" s="135" t="s">
        <v>66</v>
      </c>
      <c r="G19" s="134" t="s">
        <v>390</v>
      </c>
      <c r="H19" s="135" t="s">
        <v>267</v>
      </c>
      <c r="I19" s="135" t="s">
        <v>391</v>
      </c>
      <c r="J19" s="250"/>
      <c r="K19" s="250"/>
      <c r="L19" s="250"/>
      <c r="M19" s="250"/>
      <c r="N19" s="250"/>
      <c r="O19" s="251">
        <v>0.8</v>
      </c>
      <c r="P19" s="250"/>
      <c r="Q19" s="250"/>
      <c r="R19" s="250"/>
      <c r="S19" s="250"/>
      <c r="T19" s="250"/>
      <c r="U19" s="261">
        <v>0.2</v>
      </c>
      <c r="V19" s="135" t="s">
        <v>392</v>
      </c>
      <c r="W19" s="144"/>
      <c r="X19" s="144"/>
      <c r="Y19" s="22" t="str">
        <f t="shared" si="2"/>
        <v xml:space="preserve"> </v>
      </c>
      <c r="Z19" s="112"/>
      <c r="AA19" s="145" t="str">
        <f t="shared" si="3"/>
        <v xml:space="preserve"> </v>
      </c>
      <c r="AB19" s="148"/>
      <c r="AC19" s="144"/>
      <c r="AD19" s="144"/>
      <c r="AE19" s="22" t="str">
        <f t="shared" si="4"/>
        <v xml:space="preserve"> </v>
      </c>
      <c r="AF19" s="112"/>
      <c r="AG19" s="145" t="str">
        <f t="shared" si="5"/>
        <v xml:space="preserve"> </v>
      </c>
      <c r="AH19" s="148"/>
      <c r="AI19" s="144"/>
      <c r="AJ19" s="144"/>
      <c r="AK19" s="22" t="str">
        <f t="shared" si="6"/>
        <v xml:space="preserve"> </v>
      </c>
      <c r="AL19" s="112"/>
      <c r="AM19" s="145" t="str">
        <f t="shared" si="7"/>
        <v xml:space="preserve"> </v>
      </c>
      <c r="AN19" s="148"/>
      <c r="AO19" s="144"/>
      <c r="AP19" s="144"/>
      <c r="AQ19" s="22" t="str">
        <f t="shared" si="8"/>
        <v xml:space="preserve"> </v>
      </c>
      <c r="AR19" s="112"/>
      <c r="AS19" s="145" t="str">
        <f t="shared" si="9"/>
        <v xml:space="preserve"> </v>
      </c>
      <c r="AT19" s="148"/>
      <c r="AU19" s="147">
        <v>971957</v>
      </c>
      <c r="AV19" s="147">
        <v>4587912</v>
      </c>
      <c r="AW19" s="22">
        <f t="shared" si="24"/>
        <v>0.2118517094486555</v>
      </c>
      <c r="AX19" s="112">
        <v>0.2</v>
      </c>
      <c r="AY19" s="145">
        <f t="shared" si="25"/>
        <v>1.0592585472432774</v>
      </c>
      <c r="AZ19" s="255" t="s">
        <v>393</v>
      </c>
      <c r="BA19" s="144"/>
      <c r="BB19" s="144"/>
      <c r="BC19" s="22" t="str">
        <f t="shared" si="10"/>
        <v xml:space="preserve"> </v>
      </c>
      <c r="BD19" s="112"/>
      <c r="BE19" s="145" t="str">
        <f t="shared" si="11"/>
        <v xml:space="preserve"> </v>
      </c>
      <c r="BF19" s="148"/>
      <c r="BG19" s="144"/>
      <c r="BH19" s="144"/>
      <c r="BI19" s="22" t="str">
        <f t="shared" si="12"/>
        <v xml:space="preserve"> </v>
      </c>
      <c r="BJ19" s="112"/>
      <c r="BK19" s="145" t="str">
        <f t="shared" si="13"/>
        <v xml:space="preserve"> </v>
      </c>
      <c r="BL19" s="148"/>
      <c r="BM19" s="144"/>
      <c r="BN19" s="144"/>
      <c r="BO19" s="22" t="str">
        <f t="shared" si="14"/>
        <v xml:space="preserve"> </v>
      </c>
      <c r="BP19" s="112"/>
      <c r="BQ19" s="145" t="str">
        <f t="shared" si="15"/>
        <v xml:space="preserve"> </v>
      </c>
      <c r="BR19" s="148"/>
      <c r="BS19" s="144"/>
      <c r="BT19" s="144"/>
      <c r="BU19" s="22" t="str">
        <f t="shared" si="16"/>
        <v xml:space="preserve"> </v>
      </c>
      <c r="BV19" s="112"/>
      <c r="BW19" s="145" t="str">
        <f t="shared" si="17"/>
        <v xml:space="preserve"> </v>
      </c>
      <c r="BX19" s="148"/>
      <c r="BY19" s="144"/>
      <c r="BZ19" s="144"/>
      <c r="CA19" s="22" t="str">
        <f t="shared" si="18"/>
        <v xml:space="preserve"> </v>
      </c>
      <c r="CB19" s="112"/>
      <c r="CC19" s="145" t="str">
        <f t="shared" si="19"/>
        <v xml:space="preserve"> </v>
      </c>
      <c r="CD19" s="148"/>
      <c r="CE19" s="144"/>
      <c r="CF19" s="144"/>
      <c r="CG19" s="22" t="str">
        <f t="shared" si="20"/>
        <v xml:space="preserve"> </v>
      </c>
      <c r="CH19" s="112"/>
      <c r="CI19" s="145" t="str">
        <f t="shared" si="21"/>
        <v xml:space="preserve"> </v>
      </c>
      <c r="CJ19" s="148"/>
      <c r="CK19" s="144"/>
      <c r="CL19" s="144"/>
      <c r="CM19" s="22" t="str">
        <f t="shared" si="22"/>
        <v xml:space="preserve"> </v>
      </c>
      <c r="CN19" s="112"/>
      <c r="CO19" s="145" t="str">
        <f t="shared" si="23"/>
        <v xml:space="preserve"> </v>
      </c>
      <c r="CP19" s="148"/>
      <c r="CQ19" s="147">
        <v>4587912</v>
      </c>
      <c r="CR19" s="147">
        <v>4587912</v>
      </c>
      <c r="CS19" s="22">
        <f t="shared" si="26"/>
        <v>1</v>
      </c>
      <c r="CT19" s="112">
        <v>1</v>
      </c>
      <c r="CU19" s="145">
        <f t="shared" si="27"/>
        <v>1</v>
      </c>
      <c r="CV19" s="148" t="s">
        <v>393</v>
      </c>
    </row>
    <row r="20" spans="1:100" ht="129" customHeight="1">
      <c r="A20" s="134" t="s">
        <v>260</v>
      </c>
      <c r="B20" s="135" t="s">
        <v>273</v>
      </c>
      <c r="C20" s="271" t="s">
        <v>274</v>
      </c>
      <c r="D20" s="135" t="s">
        <v>275</v>
      </c>
      <c r="E20" s="134" t="s">
        <v>276</v>
      </c>
      <c r="F20" s="135" t="s">
        <v>66</v>
      </c>
      <c r="G20" s="134" t="s">
        <v>394</v>
      </c>
      <c r="H20" s="135" t="s">
        <v>267</v>
      </c>
      <c r="I20" s="135" t="s">
        <v>391</v>
      </c>
      <c r="J20" s="250"/>
      <c r="K20" s="250"/>
      <c r="L20" s="250"/>
      <c r="M20" s="250"/>
      <c r="N20" s="250"/>
      <c r="O20" s="251">
        <v>0.4</v>
      </c>
      <c r="P20" s="250"/>
      <c r="Q20" s="250"/>
      <c r="R20" s="250"/>
      <c r="S20" s="250"/>
      <c r="T20" s="250"/>
      <c r="U20" s="261">
        <v>0.6</v>
      </c>
      <c r="V20" s="135" t="s">
        <v>392</v>
      </c>
      <c r="W20" s="144"/>
      <c r="X20" s="144"/>
      <c r="Y20" s="22" t="str">
        <f t="shared" si="2"/>
        <v xml:space="preserve"> </v>
      </c>
      <c r="Z20" s="112"/>
      <c r="AA20" s="145" t="str">
        <f t="shared" si="3"/>
        <v xml:space="preserve"> </v>
      </c>
      <c r="AB20" s="148"/>
      <c r="AC20" s="144"/>
      <c r="AD20" s="144"/>
      <c r="AE20" s="22" t="str">
        <f t="shared" si="4"/>
        <v xml:space="preserve"> </v>
      </c>
      <c r="AF20" s="112"/>
      <c r="AG20" s="145" t="str">
        <f t="shared" si="5"/>
        <v xml:space="preserve"> </v>
      </c>
      <c r="AH20" s="148"/>
      <c r="AI20" s="144"/>
      <c r="AJ20" s="144"/>
      <c r="AK20" s="22" t="str">
        <f t="shared" si="6"/>
        <v xml:space="preserve"> </v>
      </c>
      <c r="AL20" s="112"/>
      <c r="AM20" s="145" t="str">
        <f t="shared" si="7"/>
        <v xml:space="preserve"> </v>
      </c>
      <c r="AN20" s="148"/>
      <c r="AO20" s="144"/>
      <c r="AP20" s="144"/>
      <c r="AQ20" s="22" t="str">
        <f t="shared" si="8"/>
        <v xml:space="preserve"> </v>
      </c>
      <c r="AR20" s="112"/>
      <c r="AS20" s="145" t="str">
        <f t="shared" si="9"/>
        <v xml:space="preserve"> </v>
      </c>
      <c r="AT20" s="148"/>
      <c r="AU20" s="147">
        <v>754658331</v>
      </c>
      <c r="AV20" s="147">
        <v>1490536710</v>
      </c>
      <c r="AW20" s="22">
        <f t="shared" si="24"/>
        <v>0.50629972810263757</v>
      </c>
      <c r="AX20" s="112">
        <v>0.6</v>
      </c>
      <c r="AY20" s="145">
        <f t="shared" si="25"/>
        <v>0.84383288017106262</v>
      </c>
      <c r="AZ20" s="255" t="s">
        <v>395</v>
      </c>
      <c r="BA20" s="144"/>
      <c r="BB20" s="144"/>
      <c r="BC20" s="22" t="str">
        <f t="shared" si="10"/>
        <v xml:space="preserve"> </v>
      </c>
      <c r="BD20" s="112"/>
      <c r="BE20" s="145" t="str">
        <f t="shared" si="11"/>
        <v xml:space="preserve"> </v>
      </c>
      <c r="BF20" s="148"/>
      <c r="BG20" s="144"/>
      <c r="BH20" s="144"/>
      <c r="BI20" s="22" t="str">
        <f t="shared" si="12"/>
        <v xml:space="preserve"> </v>
      </c>
      <c r="BJ20" s="112"/>
      <c r="BK20" s="145" t="str">
        <f t="shared" si="13"/>
        <v xml:space="preserve"> </v>
      </c>
      <c r="BL20" s="148"/>
      <c r="BM20" s="144"/>
      <c r="BN20" s="144"/>
      <c r="BO20" s="22" t="str">
        <f t="shared" si="14"/>
        <v xml:space="preserve"> </v>
      </c>
      <c r="BP20" s="112"/>
      <c r="BQ20" s="145" t="str">
        <f t="shared" si="15"/>
        <v xml:space="preserve"> </v>
      </c>
      <c r="BR20" s="148"/>
      <c r="BS20" s="144"/>
      <c r="BT20" s="144"/>
      <c r="BU20" s="22" t="str">
        <f t="shared" si="16"/>
        <v xml:space="preserve"> </v>
      </c>
      <c r="BV20" s="112"/>
      <c r="BW20" s="145" t="str">
        <f t="shared" si="17"/>
        <v xml:space="preserve"> </v>
      </c>
      <c r="BX20" s="148"/>
      <c r="BY20" s="144"/>
      <c r="BZ20" s="144"/>
      <c r="CA20" s="22" t="str">
        <f t="shared" si="18"/>
        <v xml:space="preserve"> </v>
      </c>
      <c r="CB20" s="112"/>
      <c r="CC20" s="145" t="str">
        <f t="shared" si="19"/>
        <v xml:space="preserve"> </v>
      </c>
      <c r="CD20" s="148"/>
      <c r="CE20" s="144"/>
      <c r="CF20" s="144"/>
      <c r="CG20" s="22" t="str">
        <f t="shared" si="20"/>
        <v xml:space="preserve"> </v>
      </c>
      <c r="CH20" s="112"/>
      <c r="CI20" s="145" t="str">
        <f t="shared" si="21"/>
        <v xml:space="preserve"> </v>
      </c>
      <c r="CJ20" s="148"/>
      <c r="CK20" s="144"/>
      <c r="CL20" s="144"/>
      <c r="CM20" s="22" t="str">
        <f t="shared" si="22"/>
        <v xml:space="preserve"> </v>
      </c>
      <c r="CN20" s="112"/>
      <c r="CO20" s="145" t="str">
        <f t="shared" si="23"/>
        <v xml:space="preserve"> </v>
      </c>
      <c r="CP20" s="148"/>
      <c r="CQ20" s="147">
        <v>1044213025</v>
      </c>
      <c r="CR20" s="147">
        <v>1490536710</v>
      </c>
      <c r="CS20" s="22">
        <f t="shared" si="26"/>
        <v>0.70056176274920456</v>
      </c>
      <c r="CT20" s="112">
        <v>1</v>
      </c>
      <c r="CU20" s="145">
        <f t="shared" si="27"/>
        <v>0.70056176274920456</v>
      </c>
      <c r="CV20" s="148" t="s">
        <v>396</v>
      </c>
    </row>
    <row r="21" spans="1:100" ht="107.25" customHeight="1">
      <c r="A21" s="134" t="s">
        <v>67</v>
      </c>
      <c r="B21" s="206" t="s">
        <v>90</v>
      </c>
      <c r="C21" s="206" t="s">
        <v>93</v>
      </c>
      <c r="D21" s="206" t="s">
        <v>68</v>
      </c>
      <c r="E21" s="206" t="s">
        <v>69</v>
      </c>
      <c r="F21" s="206" t="s">
        <v>53</v>
      </c>
      <c r="G21" s="206" t="s">
        <v>70</v>
      </c>
      <c r="H21" s="206" t="s">
        <v>71</v>
      </c>
      <c r="I21" s="206" t="s">
        <v>54</v>
      </c>
      <c r="J21" s="272"/>
      <c r="K21" s="273"/>
      <c r="L21" s="273"/>
      <c r="M21" s="273"/>
      <c r="N21" s="273"/>
      <c r="O21" s="274">
        <v>0.4</v>
      </c>
      <c r="P21" s="273"/>
      <c r="Q21" s="273"/>
      <c r="R21" s="273"/>
      <c r="S21" s="273"/>
      <c r="T21" s="273"/>
      <c r="U21" s="275">
        <v>0.6</v>
      </c>
      <c r="V21" s="206" t="s">
        <v>392</v>
      </c>
      <c r="W21" s="144"/>
      <c r="X21" s="144"/>
      <c r="Y21" s="22" t="str">
        <f t="shared" si="2"/>
        <v xml:space="preserve"> </v>
      </c>
      <c r="Z21" s="112"/>
      <c r="AA21" s="145" t="str">
        <f t="shared" si="3"/>
        <v xml:space="preserve"> </v>
      </c>
      <c r="AB21" s="148"/>
      <c r="AC21" s="144"/>
      <c r="AD21" s="144"/>
      <c r="AE21" s="22" t="str">
        <f t="shared" si="4"/>
        <v xml:space="preserve"> </v>
      </c>
      <c r="AF21" s="112"/>
      <c r="AG21" s="145" t="str">
        <f t="shared" si="5"/>
        <v xml:space="preserve"> </v>
      </c>
      <c r="AH21" s="148"/>
      <c r="AI21" s="144"/>
      <c r="AJ21" s="144"/>
      <c r="AK21" s="22" t="str">
        <f t="shared" si="6"/>
        <v xml:space="preserve"> </v>
      </c>
      <c r="AL21" s="112"/>
      <c r="AM21" s="145" t="str">
        <f t="shared" si="7"/>
        <v xml:space="preserve"> </v>
      </c>
      <c r="AN21" s="148"/>
      <c r="AO21" s="144"/>
      <c r="AP21" s="144"/>
      <c r="AQ21" s="22" t="str">
        <f t="shared" si="8"/>
        <v xml:space="preserve"> </v>
      </c>
      <c r="AR21" s="112"/>
      <c r="AS21" s="145" t="str">
        <f t="shared" si="9"/>
        <v xml:space="preserve"> </v>
      </c>
      <c r="AT21" s="148"/>
      <c r="AU21" s="154">
        <v>596575403</v>
      </c>
      <c r="AV21" s="144">
        <v>698426388</v>
      </c>
      <c r="AW21" s="22">
        <f t="shared" si="24"/>
        <v>0.85417076623971999</v>
      </c>
      <c r="AX21" s="112">
        <v>0.6</v>
      </c>
      <c r="AY21" s="145">
        <f t="shared" si="25"/>
        <v>1.4236179437328667</v>
      </c>
      <c r="AZ21" s="276" t="s">
        <v>397</v>
      </c>
      <c r="BA21" s="144"/>
      <c r="BB21" s="144"/>
      <c r="BC21" s="22" t="str">
        <f t="shared" si="10"/>
        <v xml:space="preserve"> </v>
      </c>
      <c r="BD21" s="112"/>
      <c r="BE21" s="145" t="str">
        <f t="shared" si="11"/>
        <v xml:space="preserve"> </v>
      </c>
      <c r="BF21" s="148"/>
      <c r="BG21" s="144"/>
      <c r="BH21" s="144"/>
      <c r="BI21" s="22" t="str">
        <f t="shared" si="12"/>
        <v xml:space="preserve"> </v>
      </c>
      <c r="BJ21" s="112"/>
      <c r="BK21" s="145" t="str">
        <f t="shared" si="13"/>
        <v xml:space="preserve"> </v>
      </c>
      <c r="BL21" s="148"/>
      <c r="BM21" s="144"/>
      <c r="BN21" s="144"/>
      <c r="BO21" s="22" t="str">
        <f t="shared" si="14"/>
        <v xml:space="preserve"> </v>
      </c>
      <c r="BP21" s="112"/>
      <c r="BQ21" s="145" t="str">
        <f t="shared" si="15"/>
        <v xml:space="preserve"> </v>
      </c>
      <c r="BR21" s="148"/>
      <c r="BS21" s="144"/>
      <c r="BT21" s="144"/>
      <c r="BU21" s="22" t="str">
        <f t="shared" si="16"/>
        <v xml:space="preserve"> </v>
      </c>
      <c r="BV21" s="112"/>
      <c r="BW21" s="145" t="str">
        <f t="shared" si="17"/>
        <v xml:space="preserve"> </v>
      </c>
      <c r="BX21" s="148"/>
      <c r="BY21" s="144"/>
      <c r="BZ21" s="144"/>
      <c r="CA21" s="22" t="str">
        <f t="shared" si="18"/>
        <v xml:space="preserve"> </v>
      </c>
      <c r="CB21" s="112"/>
      <c r="CC21" s="145" t="str">
        <f t="shared" si="19"/>
        <v xml:space="preserve"> </v>
      </c>
      <c r="CD21" s="148"/>
      <c r="CE21" s="144"/>
      <c r="CF21" s="144"/>
      <c r="CG21" s="22" t="str">
        <f t="shared" si="20"/>
        <v xml:space="preserve"> </v>
      </c>
      <c r="CH21" s="112"/>
      <c r="CI21" s="145" t="str">
        <f t="shared" si="21"/>
        <v xml:space="preserve"> </v>
      </c>
      <c r="CJ21" s="148"/>
      <c r="CK21" s="144"/>
      <c r="CL21" s="144"/>
      <c r="CM21" s="22" t="str">
        <f t="shared" si="22"/>
        <v xml:space="preserve"> </v>
      </c>
      <c r="CN21" s="112"/>
      <c r="CO21" s="145" t="str">
        <f t="shared" si="23"/>
        <v xml:space="preserve"> </v>
      </c>
      <c r="CP21" s="148"/>
      <c r="CQ21" s="147">
        <v>686592588</v>
      </c>
      <c r="CR21" s="147">
        <v>698426388</v>
      </c>
      <c r="CS21" s="22">
        <f t="shared" si="26"/>
        <v>0.98305648210989416</v>
      </c>
      <c r="CT21" s="112">
        <v>1</v>
      </c>
      <c r="CU21" s="145">
        <f t="shared" si="27"/>
        <v>0.98305648210989416</v>
      </c>
      <c r="CV21" s="148" t="s">
        <v>398</v>
      </c>
    </row>
    <row r="22" spans="1:100" ht="155.25" customHeight="1">
      <c r="A22" s="134" t="s">
        <v>73</v>
      </c>
      <c r="B22" s="135" t="s">
        <v>91</v>
      </c>
      <c r="C22" s="135" t="s">
        <v>74</v>
      </c>
      <c r="D22" s="135" t="s">
        <v>75</v>
      </c>
      <c r="E22" s="135" t="s">
        <v>76</v>
      </c>
      <c r="F22" s="135" t="s">
        <v>53</v>
      </c>
      <c r="G22" s="135" t="s">
        <v>77</v>
      </c>
      <c r="H22" s="135" t="s">
        <v>78</v>
      </c>
      <c r="I22" s="135" t="s">
        <v>54</v>
      </c>
      <c r="J22" s="251">
        <v>0.8</v>
      </c>
      <c r="K22" s="251">
        <v>0.8</v>
      </c>
      <c r="L22" s="251">
        <v>0.8</v>
      </c>
      <c r="M22" s="251">
        <v>0.8</v>
      </c>
      <c r="N22" s="251">
        <v>0.8</v>
      </c>
      <c r="O22" s="251">
        <v>0.8</v>
      </c>
      <c r="P22" s="251">
        <v>0.8</v>
      </c>
      <c r="Q22" s="251">
        <v>0.8</v>
      </c>
      <c r="R22" s="251">
        <v>0.8</v>
      </c>
      <c r="S22" s="251">
        <v>0.8</v>
      </c>
      <c r="T22" s="251">
        <v>0.8</v>
      </c>
      <c r="U22" s="261">
        <v>0.8</v>
      </c>
      <c r="V22" s="277" t="s">
        <v>392</v>
      </c>
      <c r="W22" s="147">
        <v>20</v>
      </c>
      <c r="X22" s="231">
        <v>100</v>
      </c>
      <c r="Y22" s="22">
        <f t="shared" si="2"/>
        <v>0.2</v>
      </c>
      <c r="Z22" s="112">
        <v>1</v>
      </c>
      <c r="AA22" s="145">
        <f t="shared" si="3"/>
        <v>0.2</v>
      </c>
      <c r="AB22" s="255" t="s">
        <v>399</v>
      </c>
      <c r="AC22" s="144">
        <v>15</v>
      </c>
      <c r="AD22" s="144">
        <v>100</v>
      </c>
      <c r="AE22" s="22">
        <f t="shared" si="4"/>
        <v>0.15</v>
      </c>
      <c r="AF22" s="112">
        <v>1</v>
      </c>
      <c r="AG22" s="145">
        <f t="shared" si="5"/>
        <v>0.15</v>
      </c>
      <c r="AH22" s="255" t="s">
        <v>400</v>
      </c>
      <c r="AI22" s="144">
        <v>65</v>
      </c>
      <c r="AJ22" s="144">
        <v>100</v>
      </c>
      <c r="AK22" s="22">
        <f t="shared" si="6"/>
        <v>0.65</v>
      </c>
      <c r="AL22" s="112">
        <v>1</v>
      </c>
      <c r="AM22" s="278">
        <v>0.65</v>
      </c>
      <c r="AN22" s="255" t="s">
        <v>401</v>
      </c>
      <c r="AO22" s="144">
        <v>15</v>
      </c>
      <c r="AP22" s="144">
        <v>100</v>
      </c>
      <c r="AQ22" s="22">
        <f t="shared" si="8"/>
        <v>0.15</v>
      </c>
      <c r="AR22" s="112">
        <v>1</v>
      </c>
      <c r="AS22" s="145">
        <f t="shared" si="9"/>
        <v>0.15</v>
      </c>
      <c r="AT22" s="255" t="s">
        <v>402</v>
      </c>
      <c r="AU22" s="154">
        <v>199160090</v>
      </c>
      <c r="AV22" s="154">
        <v>200362842</v>
      </c>
      <c r="AW22" s="22">
        <f t="shared" si="24"/>
        <v>0.99399713046593741</v>
      </c>
      <c r="AX22" s="112">
        <v>1</v>
      </c>
      <c r="AY22" s="145">
        <f t="shared" si="25"/>
        <v>0.99399713046593741</v>
      </c>
      <c r="AZ22" s="279" t="s">
        <v>403</v>
      </c>
      <c r="BA22" s="144"/>
      <c r="BB22" s="144"/>
      <c r="BC22" s="22" t="str">
        <f t="shared" si="10"/>
        <v xml:space="preserve"> </v>
      </c>
      <c r="BD22" s="112"/>
      <c r="BE22" s="145" t="str">
        <f t="shared" si="11"/>
        <v xml:space="preserve"> </v>
      </c>
      <c r="BF22" s="148"/>
      <c r="BG22" s="144"/>
      <c r="BH22" s="144"/>
      <c r="BI22" s="22" t="str">
        <f t="shared" si="12"/>
        <v xml:space="preserve"> </v>
      </c>
      <c r="BJ22" s="112"/>
      <c r="BK22" s="145" t="str">
        <f t="shared" si="13"/>
        <v xml:space="preserve"> </v>
      </c>
      <c r="BL22" s="148"/>
      <c r="BM22" s="144"/>
      <c r="BN22" s="144"/>
      <c r="BO22" s="22" t="str">
        <f t="shared" si="14"/>
        <v xml:space="preserve"> </v>
      </c>
      <c r="BP22" s="112"/>
      <c r="BQ22" s="145" t="str">
        <f t="shared" si="15"/>
        <v xml:space="preserve"> </v>
      </c>
      <c r="BR22" s="148"/>
      <c r="BS22" s="144"/>
      <c r="BT22" s="144"/>
      <c r="BU22" s="22" t="str">
        <f t="shared" si="16"/>
        <v xml:space="preserve"> </v>
      </c>
      <c r="BV22" s="112"/>
      <c r="BW22" s="145" t="str">
        <f t="shared" si="17"/>
        <v xml:space="preserve"> </v>
      </c>
      <c r="BX22" s="148"/>
      <c r="BY22" s="144"/>
      <c r="BZ22" s="144"/>
      <c r="CA22" s="22" t="str">
        <f t="shared" si="18"/>
        <v xml:space="preserve"> </v>
      </c>
      <c r="CB22" s="112"/>
      <c r="CC22" s="145" t="str">
        <f t="shared" si="19"/>
        <v xml:space="preserve"> </v>
      </c>
      <c r="CD22" s="148"/>
      <c r="CE22" s="144"/>
      <c r="CF22" s="144"/>
      <c r="CG22" s="22" t="str">
        <f t="shared" si="20"/>
        <v xml:space="preserve"> </v>
      </c>
      <c r="CH22" s="112"/>
      <c r="CI22" s="145" t="str">
        <f t="shared" si="21"/>
        <v xml:space="preserve"> </v>
      </c>
      <c r="CJ22" s="148"/>
      <c r="CK22" s="144"/>
      <c r="CL22" s="144"/>
      <c r="CM22" s="22" t="str">
        <f t="shared" si="22"/>
        <v xml:space="preserve"> </v>
      </c>
      <c r="CN22" s="112"/>
      <c r="CO22" s="145" t="str">
        <f t="shared" si="23"/>
        <v xml:space="preserve"> </v>
      </c>
      <c r="CP22" s="148"/>
      <c r="CQ22" s="156">
        <v>1050978783</v>
      </c>
      <c r="CR22" s="144">
        <v>1112767919</v>
      </c>
      <c r="CS22" s="22">
        <f t="shared" si="26"/>
        <v>0.94447257604665003</v>
      </c>
      <c r="CT22" s="112">
        <v>1</v>
      </c>
      <c r="CU22" s="145">
        <f t="shared" si="27"/>
        <v>0.94447257604665003</v>
      </c>
      <c r="CV22" s="279" t="s">
        <v>404</v>
      </c>
    </row>
    <row r="23" spans="1:100" ht="143.25" customHeight="1">
      <c r="A23" s="134" t="s">
        <v>81</v>
      </c>
      <c r="B23" s="135" t="s">
        <v>92</v>
      </c>
      <c r="C23" s="223" t="s">
        <v>83</v>
      </c>
      <c r="D23" s="135" t="s">
        <v>84</v>
      </c>
      <c r="E23" s="135" t="s">
        <v>82</v>
      </c>
      <c r="F23" s="135" t="s">
        <v>66</v>
      </c>
      <c r="G23" s="135" t="s">
        <v>86</v>
      </c>
      <c r="H23" s="135" t="s">
        <v>85</v>
      </c>
      <c r="I23" s="135" t="s">
        <v>54</v>
      </c>
      <c r="J23" s="251"/>
      <c r="K23" s="251"/>
      <c r="L23" s="251">
        <v>1</v>
      </c>
      <c r="M23" s="251"/>
      <c r="N23" s="251"/>
      <c r="O23" s="251">
        <v>1</v>
      </c>
      <c r="P23" s="251"/>
      <c r="Q23" s="251"/>
      <c r="R23" s="251">
        <v>1</v>
      </c>
      <c r="S23" s="251"/>
      <c r="T23" s="251"/>
      <c r="U23" s="261">
        <v>1</v>
      </c>
      <c r="V23" s="206" t="s">
        <v>79</v>
      </c>
      <c r="W23" s="280"/>
      <c r="X23" s="144"/>
      <c r="Y23" s="22" t="str">
        <f t="shared" si="2"/>
        <v xml:space="preserve"> </v>
      </c>
      <c r="Z23" s="112"/>
      <c r="AA23" s="145" t="str">
        <f t="shared" si="3"/>
        <v xml:space="preserve"> </v>
      </c>
      <c r="AB23" s="148"/>
      <c r="AC23" s="144"/>
      <c r="AD23" s="144"/>
      <c r="AE23" s="22" t="str">
        <f t="shared" si="4"/>
        <v xml:space="preserve"> </v>
      </c>
      <c r="AF23" s="112"/>
      <c r="AG23" s="145" t="str">
        <f t="shared" si="5"/>
        <v xml:space="preserve"> </v>
      </c>
      <c r="AH23" s="148"/>
      <c r="AI23" s="144">
        <v>24</v>
      </c>
      <c r="AJ23" s="144">
        <v>100</v>
      </c>
      <c r="AK23" s="22">
        <f t="shared" si="6"/>
        <v>0.24</v>
      </c>
      <c r="AL23" s="112">
        <v>1</v>
      </c>
      <c r="AM23" s="258">
        <v>0.24</v>
      </c>
      <c r="AN23" s="255" t="s">
        <v>405</v>
      </c>
      <c r="AO23" s="144"/>
      <c r="AP23" s="144"/>
      <c r="AQ23" s="22" t="str">
        <f t="shared" si="8"/>
        <v xml:space="preserve"> </v>
      </c>
      <c r="AR23" s="112"/>
      <c r="AS23" s="145" t="str">
        <f t="shared" si="9"/>
        <v xml:space="preserve"> </v>
      </c>
      <c r="AT23" s="148"/>
      <c r="AU23" s="154">
        <v>49</v>
      </c>
      <c r="AV23" s="154">
        <v>49</v>
      </c>
      <c r="AW23" s="281">
        <f t="shared" si="24"/>
        <v>1</v>
      </c>
      <c r="AX23" s="282">
        <v>1</v>
      </c>
      <c r="AY23" s="145">
        <f t="shared" si="25"/>
        <v>1</v>
      </c>
      <c r="AZ23" s="279" t="s">
        <v>406</v>
      </c>
      <c r="BA23" s="144"/>
      <c r="BB23" s="144"/>
      <c r="BC23" s="22" t="str">
        <f t="shared" si="10"/>
        <v xml:space="preserve"> </v>
      </c>
      <c r="BD23" s="112"/>
      <c r="BE23" s="145" t="str">
        <f t="shared" si="11"/>
        <v xml:space="preserve"> </v>
      </c>
      <c r="BF23" s="148"/>
      <c r="BG23" s="144"/>
      <c r="BH23" s="144"/>
      <c r="BI23" s="22" t="str">
        <f t="shared" si="12"/>
        <v xml:space="preserve"> </v>
      </c>
      <c r="BJ23" s="112"/>
      <c r="BK23" s="145" t="str">
        <f t="shared" si="13"/>
        <v xml:space="preserve"> </v>
      </c>
      <c r="BL23" s="148"/>
      <c r="BM23" s="144"/>
      <c r="BN23" s="144"/>
      <c r="BO23" s="22" t="str">
        <f t="shared" si="14"/>
        <v xml:space="preserve"> </v>
      </c>
      <c r="BP23" s="112"/>
      <c r="BQ23" s="145" t="str">
        <f t="shared" si="15"/>
        <v xml:space="preserve"> </v>
      </c>
      <c r="BR23" s="148"/>
      <c r="BS23" s="144"/>
      <c r="BT23" s="144"/>
      <c r="BU23" s="22" t="str">
        <f t="shared" si="16"/>
        <v xml:space="preserve"> </v>
      </c>
      <c r="BV23" s="112"/>
      <c r="BW23" s="145" t="str">
        <f t="shared" si="17"/>
        <v xml:space="preserve"> </v>
      </c>
      <c r="BX23" s="148"/>
      <c r="BY23" s="144"/>
      <c r="BZ23" s="144"/>
      <c r="CA23" s="22" t="str">
        <f t="shared" si="18"/>
        <v xml:space="preserve"> </v>
      </c>
      <c r="CB23" s="112"/>
      <c r="CC23" s="145" t="str">
        <f t="shared" si="19"/>
        <v xml:space="preserve"> </v>
      </c>
      <c r="CD23" s="148"/>
      <c r="CE23" s="144"/>
      <c r="CF23" s="144"/>
      <c r="CG23" s="22" t="str">
        <f t="shared" si="20"/>
        <v xml:space="preserve"> </v>
      </c>
      <c r="CH23" s="112"/>
      <c r="CI23" s="145" t="str">
        <f t="shared" si="21"/>
        <v xml:space="preserve"> </v>
      </c>
      <c r="CJ23" s="148"/>
      <c r="CK23" s="144"/>
      <c r="CL23" s="144"/>
      <c r="CM23" s="22" t="str">
        <f t="shared" si="22"/>
        <v xml:space="preserve"> </v>
      </c>
      <c r="CN23" s="112"/>
      <c r="CO23" s="145" t="str">
        <f t="shared" si="23"/>
        <v xml:space="preserve"> </v>
      </c>
      <c r="CP23" s="148"/>
      <c r="CQ23" s="144">
        <v>98</v>
      </c>
      <c r="CR23" s="144">
        <v>100</v>
      </c>
      <c r="CS23" s="22">
        <f t="shared" si="26"/>
        <v>0.98</v>
      </c>
      <c r="CT23" s="112">
        <v>1</v>
      </c>
      <c r="CU23" s="145">
        <f t="shared" si="27"/>
        <v>0.98</v>
      </c>
      <c r="CV23" s="148" t="s">
        <v>315</v>
      </c>
    </row>
    <row r="24" spans="1:100">
      <c r="A24" s="1972" t="s">
        <v>17</v>
      </c>
      <c r="B24" s="1972"/>
      <c r="C24" s="1972"/>
      <c r="D24" s="1972"/>
      <c r="E24" s="129"/>
      <c r="F24" s="129"/>
      <c r="G24" s="129"/>
      <c r="H24" s="129"/>
      <c r="I24" s="129"/>
      <c r="J24" s="283"/>
      <c r="K24" s="283"/>
      <c r="L24" s="283"/>
      <c r="M24" s="283"/>
      <c r="N24" s="283"/>
      <c r="O24" s="283"/>
      <c r="P24" s="283"/>
      <c r="Q24" s="283"/>
      <c r="R24" s="283"/>
      <c r="S24" s="283"/>
      <c r="T24" s="283"/>
      <c r="U24" s="283"/>
      <c r="V24" s="128"/>
    </row>
    <row r="25" spans="1:100">
      <c r="A25" s="125"/>
      <c r="B25" s="125"/>
      <c r="C25" s="125"/>
      <c r="D25" s="125"/>
      <c r="E25" s="129"/>
      <c r="F25" s="129"/>
      <c r="G25" s="129"/>
      <c r="H25" s="129"/>
      <c r="I25" s="129"/>
      <c r="J25" s="283"/>
      <c r="K25" s="283"/>
      <c r="L25" s="283"/>
      <c r="M25" s="283"/>
      <c r="N25" s="283"/>
      <c r="O25" s="283"/>
      <c r="P25" s="283"/>
      <c r="Q25" s="283"/>
      <c r="R25" s="283"/>
      <c r="S25" s="283"/>
      <c r="T25" s="283"/>
      <c r="U25" s="283"/>
      <c r="V25" s="128"/>
    </row>
    <row r="26" spans="1:100">
      <c r="A26" s="125"/>
      <c r="B26" s="125"/>
      <c r="C26" s="125"/>
      <c r="D26" s="125"/>
      <c r="E26" s="129"/>
      <c r="F26" s="129"/>
      <c r="G26" s="129"/>
      <c r="H26" s="129"/>
      <c r="I26" s="129"/>
      <c r="J26" s="283"/>
      <c r="K26" s="283"/>
      <c r="L26" s="283"/>
      <c r="M26" s="283"/>
      <c r="N26" s="283"/>
      <c r="O26" s="283"/>
      <c r="P26" s="283"/>
      <c r="Q26" s="283"/>
      <c r="R26" s="283"/>
      <c r="S26" s="283"/>
      <c r="T26" s="283"/>
      <c r="U26" s="283"/>
      <c r="V26" s="128"/>
    </row>
    <row r="27" spans="1:100" ht="42" customHeight="1">
      <c r="A27" s="125"/>
      <c r="B27" s="125"/>
      <c r="C27" s="125"/>
      <c r="D27" s="1971"/>
      <c r="E27" s="1971"/>
      <c r="F27" s="1971"/>
      <c r="G27" s="1971"/>
      <c r="H27" s="129"/>
      <c r="I27" s="129"/>
      <c r="J27" s="283"/>
      <c r="K27" s="283"/>
      <c r="L27" s="283"/>
      <c r="M27" s="283"/>
      <c r="N27" s="283"/>
      <c r="O27" s="283"/>
      <c r="P27" s="283"/>
      <c r="Q27" s="283"/>
      <c r="R27" s="283"/>
      <c r="S27" s="283"/>
      <c r="T27" s="283"/>
      <c r="U27" s="283"/>
      <c r="V27" s="128"/>
    </row>
    <row r="28" spans="1:100" ht="15.75" customHeight="1">
      <c r="A28" s="125"/>
      <c r="B28" s="125"/>
      <c r="C28" s="125"/>
      <c r="H28" s="129"/>
      <c r="I28" s="129"/>
      <c r="J28" s="283"/>
      <c r="K28" s="283"/>
      <c r="L28" s="283"/>
      <c r="M28" s="283"/>
      <c r="N28" s="283"/>
      <c r="O28" s="283"/>
      <c r="P28" s="283"/>
      <c r="Q28" s="283"/>
      <c r="R28" s="283"/>
      <c r="S28" s="283"/>
      <c r="T28" s="283"/>
      <c r="U28" s="283"/>
      <c r="V28" s="128"/>
    </row>
    <row r="29" spans="1:100" ht="22.5" customHeight="1">
      <c r="D29" s="1972" t="s">
        <v>407</v>
      </c>
      <c r="E29" s="1972"/>
      <c r="F29" s="1972"/>
      <c r="G29" s="1972"/>
      <c r="V29" s="128"/>
    </row>
    <row r="30" spans="1:100">
      <c r="D30" s="1974" t="s">
        <v>408</v>
      </c>
      <c r="E30" s="1974"/>
      <c r="F30" s="1974"/>
      <c r="G30" s="1974"/>
    </row>
    <row r="33" spans="4:7">
      <c r="D33" s="128"/>
      <c r="E33" s="128"/>
      <c r="F33" s="128"/>
      <c r="G33" s="128"/>
    </row>
  </sheetData>
  <mergeCells count="111">
    <mergeCell ref="D30:G30"/>
    <mergeCell ref="CU13:CU14"/>
    <mergeCell ref="CV13:CV14"/>
    <mergeCell ref="A15:AZ15"/>
    <mergeCell ref="A24:D24"/>
    <mergeCell ref="D27:G27"/>
    <mergeCell ref="D29:G29"/>
    <mergeCell ref="AY13:AY14"/>
    <mergeCell ref="AZ13:AZ14"/>
    <mergeCell ref="CQ13:CQ14"/>
    <mergeCell ref="CR13:CR14"/>
    <mergeCell ref="CS13:CS14"/>
    <mergeCell ref="CT13:CT14"/>
    <mergeCell ref="U13:U14"/>
    <mergeCell ref="V13:V14"/>
    <mergeCell ref="AU13:AU14"/>
    <mergeCell ref="AV13:AV14"/>
    <mergeCell ref="AW13:AW14"/>
    <mergeCell ref="AX13:AX14"/>
    <mergeCell ref="N13:N14"/>
    <mergeCell ref="O13:O14"/>
    <mergeCell ref="P13:P14"/>
    <mergeCell ref="Q13:Q14"/>
    <mergeCell ref="R13:R14"/>
    <mergeCell ref="S13:T14"/>
    <mergeCell ref="H13:H14"/>
    <mergeCell ref="I13:I14"/>
    <mergeCell ref="J13:J14"/>
    <mergeCell ref="K13:K14"/>
    <mergeCell ref="L13:L14"/>
    <mergeCell ref="M13:M14"/>
    <mergeCell ref="AY11:AY12"/>
    <mergeCell ref="AZ11:AZ12"/>
    <mergeCell ref="CU11:CU12"/>
    <mergeCell ref="A13:A14"/>
    <mergeCell ref="B13:B14"/>
    <mergeCell ref="C13:C14"/>
    <mergeCell ref="D13:D14"/>
    <mergeCell ref="E13:E14"/>
    <mergeCell ref="F13:F14"/>
    <mergeCell ref="G13:G14"/>
    <mergeCell ref="U11:U12"/>
    <mergeCell ref="V11:V12"/>
    <mergeCell ref="AU11:AU12"/>
    <mergeCell ref="AV11:AV12"/>
    <mergeCell ref="AW11:AW12"/>
    <mergeCell ref="AX11:AX12"/>
    <mergeCell ref="O11:O12"/>
    <mergeCell ref="P11:P12"/>
    <mergeCell ref="Q11:Q12"/>
    <mergeCell ref="R11:R12"/>
    <mergeCell ref="S11:S12"/>
    <mergeCell ref="T11:T12"/>
    <mergeCell ref="I11:I12"/>
    <mergeCell ref="J11:J12"/>
    <mergeCell ref="K11:K12"/>
    <mergeCell ref="L11:L12"/>
    <mergeCell ref="M11:M12"/>
    <mergeCell ref="N11:N12"/>
    <mergeCell ref="CK6:CP6"/>
    <mergeCell ref="CQ6:CV6"/>
    <mergeCell ref="A11:A12"/>
    <mergeCell ref="B11:B12"/>
    <mergeCell ref="C11:C12"/>
    <mergeCell ref="D11:D12"/>
    <mergeCell ref="E11:E12"/>
    <mergeCell ref="F11:F12"/>
    <mergeCell ref="G11:G12"/>
    <mergeCell ref="H11:H12"/>
    <mergeCell ref="BA6:BF6"/>
    <mergeCell ref="BG6:BL6"/>
    <mergeCell ref="BM6:BR6"/>
    <mergeCell ref="BS6:BX6"/>
    <mergeCell ref="BY6:CD6"/>
    <mergeCell ref="CE6:CJ6"/>
    <mergeCell ref="J6:U6"/>
    <mergeCell ref="W6:AB6"/>
    <mergeCell ref="AC6:AH6"/>
    <mergeCell ref="AI6:AN6"/>
    <mergeCell ref="AO6:AT6"/>
    <mergeCell ref="AU6:AZ6"/>
    <mergeCell ref="CQ4:CV4"/>
    <mergeCell ref="A6:A7"/>
    <mergeCell ref="B6:B7"/>
    <mergeCell ref="C6:C7"/>
    <mergeCell ref="D6:D7"/>
    <mergeCell ref="E6:E7"/>
    <mergeCell ref="F6:F7"/>
    <mergeCell ref="G6:G7"/>
    <mergeCell ref="H6:H7"/>
    <mergeCell ref="I6:I7"/>
    <mergeCell ref="BG4:BL4"/>
    <mergeCell ref="BM4:BR4"/>
    <mergeCell ref="BS4:BX4"/>
    <mergeCell ref="BY4:CD4"/>
    <mergeCell ref="CE4:CJ4"/>
    <mergeCell ref="CK4:CP4"/>
    <mergeCell ref="W4:AB4"/>
    <mergeCell ref="AC4:AH4"/>
    <mergeCell ref="AI4:AN4"/>
    <mergeCell ref="AO4:AT4"/>
    <mergeCell ref="AU4:AZ4"/>
    <mergeCell ref="BA4:BF4"/>
    <mergeCell ref="A1:M1"/>
    <mergeCell ref="N1:Q1"/>
    <mergeCell ref="R1:U2"/>
    <mergeCell ref="C2:M2"/>
    <mergeCell ref="N2:Q2"/>
    <mergeCell ref="B4:I4"/>
    <mergeCell ref="J4:L4"/>
    <mergeCell ref="M4:U4"/>
  </mergeCells>
  <conditionalFormatting sqref="AA14 BE15 BQ15 CC15 CO15 BL15 BX15 CJ15 CV15">
    <cfRule type="colorScale" priority="86">
      <colorScale>
        <cfvo type="num" val="0.69"/>
        <cfvo type="num" val="0.8"/>
        <cfvo type="num" val="0.9"/>
        <color rgb="FFF8696B"/>
        <color rgb="FFFFEB84"/>
        <color rgb="FF63BE7B"/>
      </colorScale>
    </cfRule>
  </conditionalFormatting>
  <conditionalFormatting sqref="AG14">
    <cfRule type="colorScale" priority="85">
      <colorScale>
        <cfvo type="num" val="0.69"/>
        <cfvo type="num" val="0.8"/>
        <cfvo type="num" val="0.9"/>
        <color rgb="FFF8696B"/>
        <color rgb="FFFFEB84"/>
        <color rgb="FF63BE7B"/>
      </colorScale>
    </cfRule>
  </conditionalFormatting>
  <conditionalFormatting sqref="AM14">
    <cfRule type="colorScale" priority="84">
      <colorScale>
        <cfvo type="num" val="0.69"/>
        <cfvo type="num" val="0.8"/>
        <cfvo type="num" val="0.9"/>
        <color rgb="FFF8696B"/>
        <color rgb="FFFFEB84"/>
        <color rgb="FF63BE7B"/>
      </colorScale>
    </cfRule>
  </conditionalFormatting>
  <conditionalFormatting sqref="AS14">
    <cfRule type="colorScale" priority="83">
      <colorScale>
        <cfvo type="num" val="0.69"/>
        <cfvo type="num" val="0.8"/>
        <cfvo type="num" val="0.9"/>
        <color rgb="FFF8696B"/>
        <color rgb="FFFFEB84"/>
        <color rgb="FF63BE7B"/>
      </colorScale>
    </cfRule>
  </conditionalFormatting>
  <conditionalFormatting sqref="BE14">
    <cfRule type="colorScale" priority="82">
      <colorScale>
        <cfvo type="num" val="0.69"/>
        <cfvo type="num" val="0.8"/>
        <cfvo type="num" val="0.9"/>
        <color rgb="FFF8696B"/>
        <color rgb="FFFFEB84"/>
        <color rgb="FF63BE7B"/>
      </colorScale>
    </cfRule>
  </conditionalFormatting>
  <conditionalFormatting sqref="BK14">
    <cfRule type="colorScale" priority="81">
      <colorScale>
        <cfvo type="num" val="0.69"/>
        <cfvo type="num" val="0.8"/>
        <cfvo type="num" val="0.9"/>
        <color rgb="FFF8696B"/>
        <color rgb="FFFFEB84"/>
        <color rgb="FF63BE7B"/>
      </colorScale>
    </cfRule>
  </conditionalFormatting>
  <conditionalFormatting sqref="BQ14">
    <cfRule type="colorScale" priority="80">
      <colorScale>
        <cfvo type="num" val="0.69"/>
        <cfvo type="num" val="0.8"/>
        <cfvo type="num" val="0.9"/>
        <color rgb="FFF8696B"/>
        <color rgb="FFFFEB84"/>
        <color rgb="FF63BE7B"/>
      </colorScale>
    </cfRule>
  </conditionalFormatting>
  <conditionalFormatting sqref="BW14">
    <cfRule type="colorScale" priority="79">
      <colorScale>
        <cfvo type="num" val="0.69"/>
        <cfvo type="num" val="0.8"/>
        <cfvo type="num" val="0.9"/>
        <color rgb="FFF8696B"/>
        <color rgb="FFFFEB84"/>
        <color rgb="FF63BE7B"/>
      </colorScale>
    </cfRule>
  </conditionalFormatting>
  <conditionalFormatting sqref="CC14">
    <cfRule type="colorScale" priority="78">
      <colorScale>
        <cfvo type="num" val="0.69"/>
        <cfvo type="num" val="0.8"/>
        <cfvo type="num" val="0.9"/>
        <color rgb="FFF8696B"/>
        <color rgb="FFFFEB84"/>
        <color rgb="FF63BE7B"/>
      </colorScale>
    </cfRule>
  </conditionalFormatting>
  <conditionalFormatting sqref="CI14">
    <cfRule type="colorScale" priority="77">
      <colorScale>
        <cfvo type="num" val="0.69"/>
        <cfvo type="num" val="0.8"/>
        <cfvo type="num" val="0.9"/>
        <color rgb="FFF8696B"/>
        <color rgb="FFFFEB84"/>
        <color rgb="FF63BE7B"/>
      </colorScale>
    </cfRule>
  </conditionalFormatting>
  <conditionalFormatting sqref="CO14">
    <cfRule type="colorScale" priority="76">
      <colorScale>
        <cfvo type="num" val="0.69"/>
        <cfvo type="num" val="0.8"/>
        <cfvo type="num" val="0.9"/>
        <color rgb="FFF8696B"/>
        <color rgb="FFFFEB84"/>
        <color rgb="FF63BE7B"/>
      </colorScale>
    </cfRule>
  </conditionalFormatting>
  <conditionalFormatting sqref="AA16:AA23">
    <cfRule type="colorScale" priority="75">
      <colorScale>
        <cfvo type="num" val="0.69"/>
        <cfvo type="num" val="0.8"/>
        <cfvo type="num" val="0.9"/>
        <color rgb="FFF8696B"/>
        <color rgb="FFFFEB84"/>
        <color rgb="FF63BE7B"/>
      </colorScale>
    </cfRule>
  </conditionalFormatting>
  <conditionalFormatting sqref="AG16:AG21 AG23">
    <cfRule type="colorScale" priority="74">
      <colorScale>
        <cfvo type="num" val="0.69"/>
        <cfvo type="num" val="0.8"/>
        <cfvo type="num" val="0.9"/>
        <color rgb="FFF8696B"/>
        <color rgb="FFFFEB84"/>
        <color rgb="FF63BE7B"/>
      </colorScale>
    </cfRule>
  </conditionalFormatting>
  <conditionalFormatting sqref="AM16:AM21">
    <cfRule type="colorScale" priority="73">
      <colorScale>
        <cfvo type="num" val="0.69"/>
        <cfvo type="num" val="0.8"/>
        <cfvo type="num" val="0.9"/>
        <color rgb="FFF8696B"/>
        <color rgb="FFFFEB84"/>
        <color rgb="FF63BE7B"/>
      </colorScale>
    </cfRule>
  </conditionalFormatting>
  <conditionalFormatting sqref="AS16:AS23">
    <cfRule type="colorScale" priority="72">
      <colorScale>
        <cfvo type="num" val="0.69"/>
        <cfvo type="num" val="0.8"/>
        <cfvo type="num" val="0.9"/>
        <color rgb="FFF8696B"/>
        <color rgb="FFFFEB84"/>
        <color rgb="FF63BE7B"/>
      </colorScale>
    </cfRule>
  </conditionalFormatting>
  <conditionalFormatting sqref="AY17 AY22">
    <cfRule type="colorScale" priority="71">
      <colorScale>
        <cfvo type="num" val="0.69"/>
        <cfvo type="num" val="0.8"/>
        <cfvo type="num" val="0.9"/>
        <color rgb="FFF8696B"/>
        <color rgb="FFFFEB84"/>
        <color rgb="FF63BE7B"/>
      </colorScale>
    </cfRule>
  </conditionalFormatting>
  <conditionalFormatting sqref="BE16:BE23">
    <cfRule type="colorScale" priority="70">
      <colorScale>
        <cfvo type="num" val="0.69"/>
        <cfvo type="num" val="0.8"/>
        <cfvo type="num" val="0.9"/>
        <color rgb="FFF8696B"/>
        <color rgb="FFFFEB84"/>
        <color rgb="FF63BE7B"/>
      </colorScale>
    </cfRule>
  </conditionalFormatting>
  <conditionalFormatting sqref="BK16:BK23">
    <cfRule type="colorScale" priority="69">
      <colorScale>
        <cfvo type="num" val="0.69"/>
        <cfvo type="num" val="0.8"/>
        <cfvo type="num" val="0.9"/>
        <color rgb="FFF8696B"/>
        <color rgb="FFFFEB84"/>
        <color rgb="FF63BE7B"/>
      </colorScale>
    </cfRule>
  </conditionalFormatting>
  <conditionalFormatting sqref="BQ16:BQ23">
    <cfRule type="colorScale" priority="68">
      <colorScale>
        <cfvo type="num" val="0.69"/>
        <cfvo type="num" val="0.8"/>
        <cfvo type="num" val="0.9"/>
        <color rgb="FFF8696B"/>
        <color rgb="FFFFEB84"/>
        <color rgb="FF63BE7B"/>
      </colorScale>
    </cfRule>
  </conditionalFormatting>
  <conditionalFormatting sqref="BW16:BW23">
    <cfRule type="colorScale" priority="67">
      <colorScale>
        <cfvo type="num" val="0.69"/>
        <cfvo type="num" val="0.8"/>
        <cfvo type="num" val="0.9"/>
        <color rgb="FFF8696B"/>
        <color rgb="FFFFEB84"/>
        <color rgb="FF63BE7B"/>
      </colorScale>
    </cfRule>
  </conditionalFormatting>
  <conditionalFormatting sqref="CC16:CC23">
    <cfRule type="colorScale" priority="66">
      <colorScale>
        <cfvo type="num" val="0.69"/>
        <cfvo type="num" val="0.8"/>
        <cfvo type="num" val="0.9"/>
        <color rgb="FFF8696B"/>
        <color rgb="FFFFEB84"/>
        <color rgb="FF63BE7B"/>
      </colorScale>
    </cfRule>
  </conditionalFormatting>
  <conditionalFormatting sqref="CI16:CI23">
    <cfRule type="colorScale" priority="65">
      <colorScale>
        <cfvo type="num" val="0.69"/>
        <cfvo type="num" val="0.8"/>
        <cfvo type="num" val="0.9"/>
        <color rgb="FFF8696B"/>
        <color rgb="FFFFEB84"/>
        <color rgb="FF63BE7B"/>
      </colorScale>
    </cfRule>
  </conditionalFormatting>
  <conditionalFormatting sqref="CO16:CO23">
    <cfRule type="colorScale" priority="64">
      <colorScale>
        <cfvo type="num" val="0.69"/>
        <cfvo type="num" val="0.8"/>
        <cfvo type="num" val="0.9"/>
        <color rgb="FFF8696B"/>
        <color rgb="FFFFEB84"/>
        <color rgb="FF63BE7B"/>
      </colorScale>
    </cfRule>
  </conditionalFormatting>
  <conditionalFormatting sqref="CU19:CU23 CU17">
    <cfRule type="colorScale" priority="63">
      <colorScale>
        <cfvo type="num" val="0.69"/>
        <cfvo type="num" val="0.8"/>
        <cfvo type="num" val="0.9"/>
        <color rgb="FFF8696B"/>
        <color rgb="FFFFEB84"/>
        <color rgb="FF63BE7B"/>
      </colorScale>
    </cfRule>
  </conditionalFormatting>
  <conditionalFormatting sqref="AA8">
    <cfRule type="colorScale" priority="62">
      <colorScale>
        <cfvo type="num" val="0.69"/>
        <cfvo type="num" val="0.8"/>
        <cfvo type="num" val="0.9"/>
        <color rgb="FFF8696B"/>
        <color rgb="FFFFEB84"/>
        <color rgb="FF63BE7B"/>
      </colorScale>
    </cfRule>
  </conditionalFormatting>
  <conditionalFormatting sqref="AG8">
    <cfRule type="colorScale" priority="61">
      <colorScale>
        <cfvo type="num" val="0.69"/>
        <cfvo type="num" val="0.8"/>
        <cfvo type="num" val="0.9"/>
        <color rgb="FFF8696B"/>
        <color rgb="FFFFEB84"/>
        <color rgb="FF63BE7B"/>
      </colorScale>
    </cfRule>
  </conditionalFormatting>
  <conditionalFormatting sqref="AM8">
    <cfRule type="colorScale" priority="60">
      <colorScale>
        <cfvo type="num" val="0.69"/>
        <cfvo type="num" val="0.8"/>
        <cfvo type="num" val="0.9"/>
        <color rgb="FFF8696B"/>
        <color rgb="FFFFEB84"/>
        <color rgb="FF63BE7B"/>
      </colorScale>
    </cfRule>
  </conditionalFormatting>
  <conditionalFormatting sqref="AS8">
    <cfRule type="colorScale" priority="59">
      <colorScale>
        <cfvo type="num" val="0.69"/>
        <cfvo type="num" val="0.8"/>
        <cfvo type="num" val="0.9"/>
        <color rgb="FFF8696B"/>
        <color rgb="FFFFEB84"/>
        <color rgb="FF63BE7B"/>
      </colorScale>
    </cfRule>
  </conditionalFormatting>
  <conditionalFormatting sqref="AY8">
    <cfRule type="colorScale" priority="58">
      <colorScale>
        <cfvo type="num" val="0.69"/>
        <cfvo type="num" val="0.8"/>
        <cfvo type="num" val="0.9"/>
        <color rgb="FFF8696B"/>
        <color rgb="FFFFEB84"/>
        <color rgb="FF63BE7B"/>
      </colorScale>
    </cfRule>
  </conditionalFormatting>
  <conditionalFormatting sqref="BE8">
    <cfRule type="colorScale" priority="57">
      <colorScale>
        <cfvo type="num" val="0.69"/>
        <cfvo type="num" val="0.8"/>
        <cfvo type="num" val="0.9"/>
        <color rgb="FFF8696B"/>
        <color rgb="FFFFEB84"/>
        <color rgb="FF63BE7B"/>
      </colorScale>
    </cfRule>
  </conditionalFormatting>
  <conditionalFormatting sqref="BK8">
    <cfRule type="colorScale" priority="56">
      <colorScale>
        <cfvo type="num" val="0.69"/>
        <cfvo type="num" val="0.8"/>
        <cfvo type="num" val="0.9"/>
        <color rgb="FFF8696B"/>
        <color rgb="FFFFEB84"/>
        <color rgb="FF63BE7B"/>
      </colorScale>
    </cfRule>
  </conditionalFormatting>
  <conditionalFormatting sqref="BQ8">
    <cfRule type="colorScale" priority="55">
      <colorScale>
        <cfvo type="num" val="0.69"/>
        <cfvo type="num" val="0.8"/>
        <cfvo type="num" val="0.9"/>
        <color rgb="FFF8696B"/>
        <color rgb="FFFFEB84"/>
        <color rgb="FF63BE7B"/>
      </colorScale>
    </cfRule>
  </conditionalFormatting>
  <conditionalFormatting sqref="BW8">
    <cfRule type="colorScale" priority="54">
      <colorScale>
        <cfvo type="num" val="0.69"/>
        <cfvo type="num" val="0.8"/>
        <cfvo type="num" val="0.9"/>
        <color rgb="FFF8696B"/>
        <color rgb="FFFFEB84"/>
        <color rgb="FF63BE7B"/>
      </colorScale>
    </cfRule>
  </conditionalFormatting>
  <conditionalFormatting sqref="CC8">
    <cfRule type="colorScale" priority="53">
      <colorScale>
        <cfvo type="num" val="0.69"/>
        <cfvo type="num" val="0.8"/>
        <cfvo type="num" val="0.9"/>
        <color rgb="FFF8696B"/>
        <color rgb="FFFFEB84"/>
        <color rgb="FF63BE7B"/>
      </colorScale>
    </cfRule>
  </conditionalFormatting>
  <conditionalFormatting sqref="CI8">
    <cfRule type="colorScale" priority="52">
      <colorScale>
        <cfvo type="num" val="0.69"/>
        <cfvo type="num" val="0.8"/>
        <cfvo type="num" val="0.9"/>
        <color rgb="FFF8696B"/>
        <color rgb="FFFFEB84"/>
        <color rgb="FF63BE7B"/>
      </colorScale>
    </cfRule>
  </conditionalFormatting>
  <conditionalFormatting sqref="CO8">
    <cfRule type="colorScale" priority="51">
      <colorScale>
        <cfvo type="num" val="0.69"/>
        <cfvo type="num" val="0.8"/>
        <cfvo type="num" val="0.9"/>
        <color rgb="FFF8696B"/>
        <color rgb="FFFFEB84"/>
        <color rgb="FF63BE7B"/>
      </colorScale>
    </cfRule>
  </conditionalFormatting>
  <conditionalFormatting sqref="CU8">
    <cfRule type="colorScale" priority="50">
      <colorScale>
        <cfvo type="num" val="0.69"/>
        <cfvo type="num" val="0.8"/>
        <cfvo type="num" val="0.9"/>
        <color rgb="FFF8696B"/>
        <color rgb="FFFFEB84"/>
        <color rgb="FF63BE7B"/>
      </colorScale>
    </cfRule>
  </conditionalFormatting>
  <conditionalFormatting sqref="AA9">
    <cfRule type="colorScale" priority="49">
      <colorScale>
        <cfvo type="num" val="0.69"/>
        <cfvo type="num" val="0.8"/>
        <cfvo type="num" val="0.9"/>
        <color rgb="FFF8696B"/>
        <color rgb="FFFFEB84"/>
        <color rgb="FF63BE7B"/>
      </colorScale>
    </cfRule>
  </conditionalFormatting>
  <conditionalFormatting sqref="AG9">
    <cfRule type="colorScale" priority="48">
      <colorScale>
        <cfvo type="num" val="0.69"/>
        <cfvo type="num" val="0.8"/>
        <cfvo type="num" val="0.9"/>
        <color rgb="FFF8696B"/>
        <color rgb="FFFFEB84"/>
        <color rgb="FF63BE7B"/>
      </colorScale>
    </cfRule>
  </conditionalFormatting>
  <conditionalFormatting sqref="AS9">
    <cfRule type="colorScale" priority="47">
      <colorScale>
        <cfvo type="num" val="0.69"/>
        <cfvo type="num" val="0.8"/>
        <cfvo type="num" val="0.9"/>
        <color rgb="FFF8696B"/>
        <color rgb="FFFFEB84"/>
        <color rgb="FF63BE7B"/>
      </colorScale>
    </cfRule>
  </conditionalFormatting>
  <conditionalFormatting sqref="BE9">
    <cfRule type="colorScale" priority="46">
      <colorScale>
        <cfvo type="num" val="0.69"/>
        <cfvo type="num" val="0.8"/>
        <cfvo type="num" val="0.9"/>
        <color rgb="FFF8696B"/>
        <color rgb="FFFFEB84"/>
        <color rgb="FF63BE7B"/>
      </colorScale>
    </cfRule>
  </conditionalFormatting>
  <conditionalFormatting sqref="BK9">
    <cfRule type="colorScale" priority="45">
      <colorScale>
        <cfvo type="num" val="0.69"/>
        <cfvo type="num" val="0.8"/>
        <cfvo type="num" val="0.9"/>
        <color rgb="FFF8696B"/>
        <color rgb="FFFFEB84"/>
        <color rgb="FF63BE7B"/>
      </colorScale>
    </cfRule>
  </conditionalFormatting>
  <conditionalFormatting sqref="BQ9">
    <cfRule type="colorScale" priority="44">
      <colorScale>
        <cfvo type="num" val="0.69"/>
        <cfvo type="num" val="0.8"/>
        <cfvo type="num" val="0.9"/>
        <color rgb="FFF8696B"/>
        <color rgb="FFFFEB84"/>
        <color rgb="FF63BE7B"/>
      </colorScale>
    </cfRule>
  </conditionalFormatting>
  <conditionalFormatting sqref="BW9">
    <cfRule type="colorScale" priority="43">
      <colorScale>
        <cfvo type="num" val="0.69"/>
        <cfvo type="num" val="0.8"/>
        <cfvo type="num" val="0.9"/>
        <color rgb="FFF8696B"/>
        <color rgb="FFFFEB84"/>
        <color rgb="FF63BE7B"/>
      </colorScale>
    </cfRule>
  </conditionalFormatting>
  <conditionalFormatting sqref="CC9">
    <cfRule type="colorScale" priority="42">
      <colorScale>
        <cfvo type="num" val="0.69"/>
        <cfvo type="num" val="0.8"/>
        <cfvo type="num" val="0.9"/>
        <color rgb="FFF8696B"/>
        <color rgb="FFFFEB84"/>
        <color rgb="FF63BE7B"/>
      </colorScale>
    </cfRule>
  </conditionalFormatting>
  <conditionalFormatting sqref="CI9">
    <cfRule type="colorScale" priority="41">
      <colorScale>
        <cfvo type="num" val="0.69"/>
        <cfvo type="num" val="0.8"/>
        <cfvo type="num" val="0.9"/>
        <color rgb="FFF8696B"/>
        <color rgb="FFFFEB84"/>
        <color rgb="FF63BE7B"/>
      </colorScale>
    </cfRule>
  </conditionalFormatting>
  <conditionalFormatting sqref="CO9">
    <cfRule type="colorScale" priority="40">
      <colorScale>
        <cfvo type="num" val="0.69"/>
        <cfvo type="num" val="0.8"/>
        <cfvo type="num" val="0.9"/>
        <color rgb="FFF8696B"/>
        <color rgb="FFFFEB84"/>
        <color rgb="FF63BE7B"/>
      </colorScale>
    </cfRule>
  </conditionalFormatting>
  <conditionalFormatting sqref="CU9">
    <cfRule type="colorScale" priority="39">
      <colorScale>
        <cfvo type="num" val="0.69"/>
        <cfvo type="num" val="0.8"/>
        <cfvo type="num" val="0.9"/>
        <color rgb="FFF8696B"/>
        <color rgb="FFFFEB84"/>
        <color rgb="FF63BE7B"/>
      </colorScale>
    </cfRule>
  </conditionalFormatting>
  <conditionalFormatting sqref="AA10:AA12">
    <cfRule type="colorScale" priority="38">
      <colorScale>
        <cfvo type="num" val="0.69"/>
        <cfvo type="num" val="0.8"/>
        <cfvo type="num" val="0.9"/>
        <color rgb="FFF8696B"/>
        <color rgb="FFFFEB84"/>
        <color rgb="FF63BE7B"/>
      </colorScale>
    </cfRule>
  </conditionalFormatting>
  <conditionalFormatting sqref="AG10:AG12">
    <cfRule type="colorScale" priority="37">
      <colorScale>
        <cfvo type="num" val="0.69"/>
        <cfvo type="num" val="0.8"/>
        <cfvo type="num" val="0.9"/>
        <color rgb="FFF8696B"/>
        <color rgb="FFFFEB84"/>
        <color rgb="FF63BE7B"/>
      </colorScale>
    </cfRule>
  </conditionalFormatting>
  <conditionalFormatting sqref="AM10:AM12">
    <cfRule type="colorScale" priority="36">
      <colorScale>
        <cfvo type="num" val="0.69"/>
        <cfvo type="num" val="0.8"/>
        <cfvo type="num" val="0.9"/>
        <color rgb="FFF8696B"/>
        <color rgb="FFFFEB84"/>
        <color rgb="FF63BE7B"/>
      </colorScale>
    </cfRule>
  </conditionalFormatting>
  <conditionalFormatting sqref="AS10:AS12">
    <cfRule type="colorScale" priority="35">
      <colorScale>
        <cfvo type="num" val="0.69"/>
        <cfvo type="num" val="0.8"/>
        <cfvo type="num" val="0.9"/>
        <color rgb="FFF8696B"/>
        <color rgb="FFFFEB84"/>
        <color rgb="FF63BE7B"/>
      </colorScale>
    </cfRule>
  </conditionalFormatting>
  <conditionalFormatting sqref="BE10:BE12">
    <cfRule type="colorScale" priority="34">
      <colorScale>
        <cfvo type="num" val="0.69"/>
        <cfvo type="num" val="0.8"/>
        <cfvo type="num" val="0.9"/>
        <color rgb="FFF8696B"/>
        <color rgb="FFFFEB84"/>
        <color rgb="FF63BE7B"/>
      </colorScale>
    </cfRule>
  </conditionalFormatting>
  <conditionalFormatting sqref="BK10:BK12">
    <cfRule type="colorScale" priority="33">
      <colorScale>
        <cfvo type="num" val="0.69"/>
        <cfvo type="num" val="0.8"/>
        <cfvo type="num" val="0.9"/>
        <color rgb="FFF8696B"/>
        <color rgb="FFFFEB84"/>
        <color rgb="FF63BE7B"/>
      </colorScale>
    </cfRule>
  </conditionalFormatting>
  <conditionalFormatting sqref="BQ10:BQ12">
    <cfRule type="colorScale" priority="32">
      <colorScale>
        <cfvo type="num" val="0.69"/>
        <cfvo type="num" val="0.8"/>
        <cfvo type="num" val="0.9"/>
        <color rgb="FFF8696B"/>
        <color rgb="FFFFEB84"/>
        <color rgb="FF63BE7B"/>
      </colorScale>
    </cfRule>
  </conditionalFormatting>
  <conditionalFormatting sqref="BW10:BW12">
    <cfRule type="colorScale" priority="31">
      <colorScale>
        <cfvo type="num" val="0.69"/>
        <cfvo type="num" val="0.8"/>
        <cfvo type="num" val="0.9"/>
        <color rgb="FFF8696B"/>
        <color rgb="FFFFEB84"/>
        <color rgb="FF63BE7B"/>
      </colorScale>
    </cfRule>
  </conditionalFormatting>
  <conditionalFormatting sqref="CC10:CC12">
    <cfRule type="colorScale" priority="30">
      <colorScale>
        <cfvo type="num" val="0.69"/>
        <cfvo type="num" val="0.8"/>
        <cfvo type="num" val="0.9"/>
        <color rgb="FFF8696B"/>
        <color rgb="FFFFEB84"/>
        <color rgb="FF63BE7B"/>
      </colorScale>
    </cfRule>
  </conditionalFormatting>
  <conditionalFormatting sqref="CI10:CI12">
    <cfRule type="colorScale" priority="29">
      <colorScale>
        <cfvo type="num" val="0.69"/>
        <cfvo type="num" val="0.8"/>
        <cfvo type="num" val="0.9"/>
        <color rgb="FFF8696B"/>
        <color rgb="FFFFEB84"/>
        <color rgb="FF63BE7B"/>
      </colorScale>
    </cfRule>
  </conditionalFormatting>
  <conditionalFormatting sqref="CO10:CO12">
    <cfRule type="colorScale" priority="28">
      <colorScale>
        <cfvo type="num" val="0.69"/>
        <cfvo type="num" val="0.8"/>
        <cfvo type="num" val="0.9"/>
        <color rgb="FFF8696B"/>
        <color rgb="FFFFEB84"/>
        <color rgb="FF63BE7B"/>
      </colorScale>
    </cfRule>
  </conditionalFormatting>
  <conditionalFormatting sqref="AG22">
    <cfRule type="colorScale" priority="27">
      <colorScale>
        <cfvo type="num" val="0.69"/>
        <cfvo type="num" val="0.8"/>
        <cfvo type="num" val="0.9"/>
        <color rgb="FFF8696B"/>
        <color rgb="FFFFEB84"/>
        <color rgb="FF63BE7B"/>
      </colorScale>
    </cfRule>
  </conditionalFormatting>
  <conditionalFormatting sqref="AY11">
    <cfRule type="colorScale" priority="26">
      <colorScale>
        <cfvo type="num" val="0.69"/>
        <cfvo type="num" val="0.8"/>
        <cfvo type="num" val="0.9"/>
        <color rgb="FFF8696B"/>
        <color rgb="FFFFEB84"/>
        <color rgb="FF63BE7B"/>
      </colorScale>
    </cfRule>
  </conditionalFormatting>
  <conditionalFormatting sqref="AY23">
    <cfRule type="colorScale" priority="25">
      <colorScale>
        <cfvo type="num" val="0.69"/>
        <cfvo type="num" val="0.8"/>
        <cfvo type="num" val="0.9"/>
        <color rgb="FFF8696B"/>
        <color rgb="FFFFEB84"/>
        <color rgb="FF63BE7B"/>
      </colorScale>
    </cfRule>
  </conditionalFormatting>
  <conditionalFormatting sqref="AY16">
    <cfRule type="colorScale" priority="24">
      <colorScale>
        <cfvo type="num" val="0.69"/>
        <cfvo type="num" val="0.8"/>
        <cfvo type="num" val="0.9"/>
        <color rgb="FFF8696B"/>
        <color rgb="FFFFEB84"/>
        <color rgb="FF63BE7B"/>
      </colorScale>
    </cfRule>
  </conditionalFormatting>
  <conditionalFormatting sqref="CU16">
    <cfRule type="colorScale" priority="23">
      <colorScale>
        <cfvo type="num" val="0.69"/>
        <cfvo type="num" val="0.8"/>
        <cfvo type="num" val="0.9"/>
        <color rgb="FFF8696B"/>
        <color rgb="FFFFEB84"/>
        <color rgb="FF63BE7B"/>
      </colorScale>
    </cfRule>
  </conditionalFormatting>
  <conditionalFormatting sqref="AY10">
    <cfRule type="colorScale" priority="22">
      <colorScale>
        <cfvo type="num" val="0.69"/>
        <cfvo type="num" val="0.8"/>
        <cfvo type="num" val="0.9"/>
        <color rgb="FFF8696B"/>
        <color rgb="FFFFEB84"/>
        <color rgb="FF63BE7B"/>
      </colorScale>
    </cfRule>
  </conditionalFormatting>
  <conditionalFormatting sqref="CU10">
    <cfRule type="colorScale" priority="21">
      <colorScale>
        <cfvo type="num" val="0.69"/>
        <cfvo type="num" val="0.8"/>
        <cfvo type="num" val="0.9"/>
        <color rgb="FFF8696B"/>
        <color rgb="FFFFEB84"/>
        <color rgb="FF63BE7B"/>
      </colorScale>
    </cfRule>
  </conditionalFormatting>
  <conditionalFormatting sqref="AY18">
    <cfRule type="colorScale" priority="20">
      <colorScale>
        <cfvo type="num" val="0.69"/>
        <cfvo type="num" val="0.8"/>
        <cfvo type="num" val="0.9"/>
        <color rgb="FFF8696B"/>
        <color rgb="FFFFEB84"/>
        <color rgb="FF63BE7B"/>
      </colorScale>
    </cfRule>
  </conditionalFormatting>
  <conditionalFormatting sqref="CU18">
    <cfRule type="colorScale" priority="19">
      <colorScale>
        <cfvo type="num" val="0.69"/>
        <cfvo type="num" val="0.8"/>
        <cfvo type="num" val="0.9"/>
        <color rgb="FFF8696B"/>
        <color rgb="FFFFEB84"/>
        <color rgb="FF63BE7B"/>
      </colorScale>
    </cfRule>
  </conditionalFormatting>
  <conditionalFormatting sqref="AY19">
    <cfRule type="colorScale" priority="18">
      <colorScale>
        <cfvo type="num" val="0.69"/>
        <cfvo type="num" val="0.8"/>
        <cfvo type="num" val="0.9"/>
        <color rgb="FFF8696B"/>
        <color rgb="FFFFEB84"/>
        <color rgb="FF63BE7B"/>
      </colorScale>
    </cfRule>
  </conditionalFormatting>
  <conditionalFormatting sqref="AY20">
    <cfRule type="colorScale" priority="17">
      <colorScale>
        <cfvo type="num" val="0.69"/>
        <cfvo type="num" val="0.8"/>
        <cfvo type="num" val="0.9"/>
        <color rgb="FFF8696B"/>
        <color rgb="FFFFEB84"/>
        <color rgb="FF63BE7B"/>
      </colorScale>
    </cfRule>
  </conditionalFormatting>
  <conditionalFormatting sqref="AA13">
    <cfRule type="colorScale" priority="16">
      <colorScale>
        <cfvo type="num" val="0.69"/>
        <cfvo type="num" val="0.8"/>
        <cfvo type="num" val="0.9"/>
        <color rgb="FFF8696B"/>
        <color rgb="FFFFEB84"/>
        <color rgb="FF63BE7B"/>
      </colorScale>
    </cfRule>
  </conditionalFormatting>
  <conditionalFormatting sqref="AG13">
    <cfRule type="colorScale" priority="15">
      <colorScale>
        <cfvo type="num" val="0.69"/>
        <cfvo type="num" val="0.8"/>
        <cfvo type="num" val="0.9"/>
        <color rgb="FFF8696B"/>
        <color rgb="FFFFEB84"/>
        <color rgb="FF63BE7B"/>
      </colorScale>
    </cfRule>
  </conditionalFormatting>
  <conditionalFormatting sqref="AM13">
    <cfRule type="colorScale" priority="14">
      <colorScale>
        <cfvo type="num" val="0.69"/>
        <cfvo type="num" val="0.8"/>
        <cfvo type="num" val="0.9"/>
        <color rgb="FFF8696B"/>
        <color rgb="FFFFEB84"/>
        <color rgb="FF63BE7B"/>
      </colorScale>
    </cfRule>
  </conditionalFormatting>
  <conditionalFormatting sqref="AS13">
    <cfRule type="colorScale" priority="13">
      <colorScale>
        <cfvo type="num" val="0.69"/>
        <cfvo type="num" val="0.8"/>
        <cfvo type="num" val="0.9"/>
        <color rgb="FFF8696B"/>
        <color rgb="FFFFEB84"/>
        <color rgb="FF63BE7B"/>
      </colorScale>
    </cfRule>
  </conditionalFormatting>
  <conditionalFormatting sqref="BE13">
    <cfRule type="colorScale" priority="12">
      <colorScale>
        <cfvo type="num" val="0.69"/>
        <cfvo type="num" val="0.8"/>
        <cfvo type="num" val="0.9"/>
        <color rgb="FFF8696B"/>
        <color rgb="FFFFEB84"/>
        <color rgb="FF63BE7B"/>
      </colorScale>
    </cfRule>
  </conditionalFormatting>
  <conditionalFormatting sqref="BK13">
    <cfRule type="colorScale" priority="11">
      <colorScale>
        <cfvo type="num" val="0.69"/>
        <cfvo type="num" val="0.8"/>
        <cfvo type="num" val="0.9"/>
        <color rgb="FFF8696B"/>
        <color rgb="FFFFEB84"/>
        <color rgb="FF63BE7B"/>
      </colorScale>
    </cfRule>
  </conditionalFormatting>
  <conditionalFormatting sqref="BQ13">
    <cfRule type="colorScale" priority="10">
      <colorScale>
        <cfvo type="num" val="0.69"/>
        <cfvo type="num" val="0.8"/>
        <cfvo type="num" val="0.9"/>
        <color rgb="FFF8696B"/>
        <color rgb="FFFFEB84"/>
        <color rgb="FF63BE7B"/>
      </colorScale>
    </cfRule>
  </conditionalFormatting>
  <conditionalFormatting sqref="BW13">
    <cfRule type="colorScale" priority="9">
      <colorScale>
        <cfvo type="num" val="0.69"/>
        <cfvo type="num" val="0.8"/>
        <cfvo type="num" val="0.9"/>
        <color rgb="FFF8696B"/>
        <color rgb="FFFFEB84"/>
        <color rgb="FF63BE7B"/>
      </colorScale>
    </cfRule>
  </conditionalFormatting>
  <conditionalFormatting sqref="CC13">
    <cfRule type="colorScale" priority="8">
      <colorScale>
        <cfvo type="num" val="0.69"/>
        <cfvo type="num" val="0.8"/>
        <cfvo type="num" val="0.9"/>
        <color rgb="FFF8696B"/>
        <color rgb="FFFFEB84"/>
        <color rgb="FF63BE7B"/>
      </colorScale>
    </cfRule>
  </conditionalFormatting>
  <conditionalFormatting sqref="CI13">
    <cfRule type="colorScale" priority="7">
      <colorScale>
        <cfvo type="num" val="0.69"/>
        <cfvo type="num" val="0.8"/>
        <cfvo type="num" val="0.9"/>
        <color rgb="FFF8696B"/>
        <color rgb="FFFFEB84"/>
        <color rgb="FF63BE7B"/>
      </colorScale>
    </cfRule>
  </conditionalFormatting>
  <conditionalFormatting sqref="CO13">
    <cfRule type="colorScale" priority="6">
      <colorScale>
        <cfvo type="num" val="0.69"/>
        <cfvo type="num" val="0.8"/>
        <cfvo type="num" val="0.9"/>
        <color rgb="FFF8696B"/>
        <color rgb="FFFFEB84"/>
        <color rgb="FF63BE7B"/>
      </colorScale>
    </cfRule>
  </conditionalFormatting>
  <conditionalFormatting sqref="AY13">
    <cfRule type="colorScale" priority="5">
      <colorScale>
        <cfvo type="num" val="0.69"/>
        <cfvo type="num" val="0.8"/>
        <cfvo type="num" val="0.9"/>
        <color rgb="FFF8696B"/>
        <color rgb="FFFFEB84"/>
        <color rgb="FF63BE7B"/>
      </colorScale>
    </cfRule>
  </conditionalFormatting>
  <conditionalFormatting sqref="CU13">
    <cfRule type="colorScale" priority="4">
      <colorScale>
        <cfvo type="num" val="0.69"/>
        <cfvo type="num" val="0.8"/>
        <cfvo type="num" val="0.9"/>
        <color rgb="FFF8696B"/>
        <color rgb="FFFFEB84"/>
        <color rgb="FF63BE7B"/>
      </colorScale>
    </cfRule>
  </conditionalFormatting>
  <conditionalFormatting sqref="AY9">
    <cfRule type="colorScale" priority="3">
      <colorScale>
        <cfvo type="num" val="0.69"/>
        <cfvo type="num" val="0.8"/>
        <cfvo type="num" val="0.9"/>
        <color rgb="FFF8696B"/>
        <color rgb="FFFFEB84"/>
        <color rgb="FF63BE7B"/>
      </colorScale>
    </cfRule>
  </conditionalFormatting>
  <conditionalFormatting sqref="CU11">
    <cfRule type="colorScale" priority="2">
      <colorScale>
        <cfvo type="num" val="0.69"/>
        <cfvo type="num" val="0.8"/>
        <cfvo type="num" val="0.9"/>
        <color rgb="FFF8696B"/>
        <color rgb="FFFFEB84"/>
        <color rgb="FF63BE7B"/>
      </colorScale>
    </cfRule>
  </conditionalFormatting>
  <conditionalFormatting sqref="AY21">
    <cfRule type="colorScale" priority="1">
      <colorScale>
        <cfvo type="num" val="0.69"/>
        <cfvo type="num" val="0.8"/>
        <cfvo type="num" val="0.9"/>
        <color rgb="FFF8696B"/>
        <color rgb="FFFFEB84"/>
        <color rgb="FF63BE7B"/>
      </colorScale>
    </cfRule>
  </conditionalFormatting>
  <printOptions horizontalCentered="1"/>
  <pageMargins left="0" right="0" top="0" bottom="0" header="0" footer="0"/>
  <pageSetup paperSize="14" scale="42" fitToWidth="0" orientation="landscape" r:id="rId1"/>
  <headerFooter alignWithMargins="0"/>
  <colBreaks count="1" manualBreakCount="1">
    <brk id="51" max="29"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X33"/>
  <sheetViews>
    <sheetView showGridLines="0" zoomScaleNormal="100" zoomScaleSheetLayoutView="85" workbookViewId="0">
      <selection activeCell="E8" sqref="E8"/>
    </sheetView>
  </sheetViews>
  <sheetFormatPr baseColWidth="10" defaultRowHeight="18"/>
  <cols>
    <col min="1" max="1" width="1.140625" style="15" customWidth="1"/>
    <col min="2" max="2" width="19.28515625" style="15" customWidth="1"/>
    <col min="3" max="3" width="5.42578125" style="2" customWidth="1"/>
    <col min="4" max="4" width="17.5703125" style="15" customWidth="1"/>
    <col min="5" max="5" width="13.28515625" style="15" customWidth="1"/>
    <col min="6" max="6" width="15" style="15" hidden="1" customWidth="1"/>
    <col min="7" max="7" width="9.28515625" style="15" hidden="1" customWidth="1"/>
    <col min="8" max="8" width="17.140625" style="15" hidden="1" customWidth="1"/>
    <col min="9" max="9" width="12.5703125" style="15" customWidth="1"/>
    <col min="10" max="10" width="6.5703125" style="15" customWidth="1"/>
    <col min="11" max="22" width="5" style="15" customWidth="1"/>
    <col min="23" max="23" width="9.5703125" style="15" hidden="1" customWidth="1"/>
    <col min="24" max="24" width="13.7109375" style="15" hidden="1" customWidth="1"/>
    <col min="25" max="25" width="11.7109375" style="15" hidden="1" customWidth="1"/>
    <col min="26" max="28" width="7.28515625" style="15" hidden="1" customWidth="1"/>
    <col min="29" max="29" width="29.7109375" style="15" hidden="1" customWidth="1"/>
    <col min="30" max="30" width="9.5703125" style="15" hidden="1" customWidth="1"/>
    <col min="31" max="31" width="11.42578125" style="15" hidden="1" customWidth="1"/>
    <col min="32" max="34" width="7.28515625" style="15" hidden="1" customWidth="1"/>
    <col min="35" max="35" width="36.42578125" style="15" hidden="1" customWidth="1"/>
    <col min="36" max="36" width="9.28515625" style="15" hidden="1" customWidth="1"/>
    <col min="37" max="37" width="11.140625" style="15" hidden="1" customWidth="1"/>
    <col min="38" max="40" width="7.42578125" style="15" hidden="1" customWidth="1"/>
    <col min="41" max="41" width="53.5703125" style="15" hidden="1" customWidth="1"/>
    <col min="42" max="42" width="9.5703125" style="15" hidden="1" customWidth="1"/>
    <col min="43" max="43" width="10" style="15" hidden="1" customWidth="1"/>
    <col min="44" max="46" width="7.140625" style="15" hidden="1" customWidth="1"/>
    <col min="47" max="47" width="45.42578125" style="15" hidden="1" customWidth="1"/>
    <col min="48" max="48" width="9.28515625" style="15" hidden="1" customWidth="1"/>
    <col min="49" max="49" width="11" style="15" hidden="1" customWidth="1"/>
    <col min="50" max="51" width="8.140625" style="15" hidden="1" customWidth="1"/>
    <col min="52" max="52" width="11.5703125" style="15" hidden="1" customWidth="1"/>
    <col min="53" max="53" width="55.42578125" style="15" hidden="1" customWidth="1"/>
    <col min="54" max="54" width="10.85546875" style="15" hidden="1" customWidth="1"/>
    <col min="55" max="55" width="11" style="15" hidden="1" customWidth="1"/>
    <col min="56" max="57" width="8.140625" style="15" hidden="1" customWidth="1"/>
    <col min="58" max="58" width="11.5703125" style="15" hidden="1" customWidth="1"/>
    <col min="59" max="59" width="55.42578125" style="15" hidden="1" customWidth="1"/>
    <col min="60" max="60" width="12.7109375" style="15" hidden="1" customWidth="1"/>
    <col min="61" max="61" width="11" style="15" hidden="1" customWidth="1"/>
    <col min="62" max="63" width="8.140625" style="15" hidden="1" customWidth="1"/>
    <col min="64" max="64" width="11.5703125" style="15" hidden="1" customWidth="1"/>
    <col min="65" max="65" width="59.85546875" style="15" hidden="1" customWidth="1"/>
    <col min="66" max="66" width="9.28515625" style="15" hidden="1" customWidth="1"/>
    <col min="67" max="67" width="11" style="15" hidden="1" customWidth="1"/>
    <col min="68" max="69" width="8.140625" style="15" hidden="1" customWidth="1"/>
    <col min="70" max="70" width="11.5703125" style="15" hidden="1" customWidth="1"/>
    <col min="71" max="71" width="55.42578125" style="15" hidden="1" customWidth="1"/>
    <col min="72" max="72" width="11.42578125" style="15" hidden="1" customWidth="1"/>
    <col min="73" max="73" width="11" style="15" hidden="1" customWidth="1"/>
    <col min="74" max="75" width="8.140625" style="15" hidden="1" customWidth="1"/>
    <col min="76" max="76" width="11.5703125" style="15" hidden="1" customWidth="1"/>
    <col min="77" max="77" width="55.42578125" style="15" hidden="1" customWidth="1"/>
    <col min="78" max="78" width="9.28515625" style="15" hidden="1" customWidth="1"/>
    <col min="79" max="79" width="11" style="15" hidden="1" customWidth="1"/>
    <col min="80" max="81" width="8.140625" style="15" hidden="1" customWidth="1"/>
    <col min="82" max="82" width="11.5703125" style="15" hidden="1" customWidth="1"/>
    <col min="83" max="83" width="51.5703125" style="15" hidden="1" customWidth="1"/>
    <col min="84" max="84" width="9.28515625" style="15" hidden="1" customWidth="1"/>
    <col min="85" max="85" width="11" style="15" hidden="1" customWidth="1"/>
    <col min="86" max="87" width="8.140625" style="15" hidden="1" customWidth="1"/>
    <col min="88" max="88" width="11.5703125" style="15" hidden="1" customWidth="1"/>
    <col min="89" max="89" width="55.42578125" style="15" hidden="1" customWidth="1"/>
    <col min="90" max="90" width="8.5703125" style="15" customWidth="1"/>
    <col min="91" max="91" width="10" style="15" customWidth="1"/>
    <col min="92" max="93" width="8.140625" style="15" customWidth="1"/>
    <col min="94" max="94" width="10.7109375" style="15" customWidth="1"/>
    <col min="95" max="95" width="49.5703125" style="15" customWidth="1"/>
    <col min="96" max="97" width="9.42578125" style="15" customWidth="1"/>
    <col min="98" max="98" width="8.140625" style="15" customWidth="1"/>
    <col min="99" max="99" width="9.140625" style="15" customWidth="1"/>
    <col min="100" max="100" width="10.42578125" style="15" customWidth="1"/>
    <col min="101" max="101" width="64.42578125" style="15" customWidth="1"/>
    <col min="102" max="102" width="14" style="1869" hidden="1" customWidth="1"/>
    <col min="103" max="16384" width="11.42578125" style="15"/>
  </cols>
  <sheetData>
    <row r="1" spans="1:102" s="4" customFormat="1" ht="24.75" customHeight="1">
      <c r="A1" s="10"/>
      <c r="B1" s="2422" t="s">
        <v>22</v>
      </c>
      <c r="C1" s="2422"/>
      <c r="D1" s="2422"/>
      <c r="E1" s="2422"/>
      <c r="F1" s="2422"/>
      <c r="G1" s="2422"/>
      <c r="H1" s="2422"/>
      <c r="I1" s="2422"/>
      <c r="J1" s="2422"/>
      <c r="K1" s="2422"/>
      <c r="L1" s="2422"/>
      <c r="M1" s="2422"/>
      <c r="N1" s="2422"/>
      <c r="O1" s="1984"/>
      <c r="P1" s="1984"/>
      <c r="Q1" s="1984"/>
      <c r="R1" s="1984"/>
      <c r="S1" s="1982"/>
      <c r="T1" s="1982"/>
      <c r="U1" s="1982"/>
      <c r="V1" s="1982"/>
      <c r="CX1" s="1868"/>
    </row>
    <row r="2" spans="1:102" s="3" customFormat="1" ht="22.5" customHeight="1">
      <c r="A2" s="1978" t="s">
        <v>52</v>
      </c>
      <c r="B2" s="1978"/>
      <c r="C2" s="11"/>
      <c r="D2" s="1985" t="s">
        <v>50</v>
      </c>
      <c r="E2" s="1985"/>
      <c r="F2" s="1985"/>
      <c r="G2" s="1985"/>
      <c r="H2" s="1985"/>
      <c r="I2" s="1985"/>
      <c r="J2" s="1985"/>
      <c r="K2" s="1985"/>
      <c r="L2" s="1985"/>
      <c r="M2" s="1985"/>
      <c r="N2" s="1981"/>
      <c r="O2" s="1978" t="s">
        <v>48</v>
      </c>
      <c r="P2" s="1978"/>
      <c r="Q2" s="1978"/>
      <c r="R2" s="1978"/>
      <c r="S2" s="1982"/>
      <c r="T2" s="1982"/>
      <c r="U2" s="1982"/>
      <c r="V2" s="1982"/>
      <c r="CX2" s="1869"/>
    </row>
    <row r="3" spans="1:102" ht="5.25" customHeight="1"/>
    <row r="4" spans="1:102" ht="15" customHeight="1">
      <c r="B4" s="49" t="s">
        <v>18</v>
      </c>
      <c r="C4" s="1979" t="s">
        <v>3592</v>
      </c>
      <c r="D4" s="1979"/>
      <c r="E4" s="1979"/>
      <c r="F4" s="1979"/>
      <c r="G4" s="1979"/>
      <c r="H4" s="1979"/>
      <c r="I4" s="1979"/>
      <c r="J4" s="1979"/>
      <c r="K4" s="1996" t="s">
        <v>21</v>
      </c>
      <c r="L4" s="1996"/>
      <c r="M4" s="1996"/>
      <c r="N4" s="1999" t="s">
        <v>3593</v>
      </c>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2739" t="s">
        <v>30</v>
      </c>
      <c r="CS4" s="2739"/>
      <c r="CT4" s="2739"/>
      <c r="CU4" s="2739"/>
      <c r="CV4" s="2739"/>
      <c r="CW4" s="2739"/>
    </row>
    <row r="5" spans="1:102" ht="6" customHeight="1">
      <c r="A5" s="128"/>
      <c r="B5" s="128"/>
      <c r="C5" s="44"/>
      <c r="D5" s="128"/>
      <c r="E5" s="128"/>
      <c r="F5" s="128"/>
      <c r="G5" s="128"/>
      <c r="H5" s="128"/>
      <c r="I5" s="128"/>
      <c r="J5" s="128"/>
      <c r="K5" s="128"/>
      <c r="L5" s="128"/>
      <c r="M5" s="128"/>
      <c r="N5" s="128"/>
      <c r="O5" s="128"/>
      <c r="P5" s="128"/>
      <c r="Q5" s="128"/>
      <c r="R5" s="128"/>
      <c r="S5" s="128"/>
      <c r="T5" s="128"/>
      <c r="U5" s="128"/>
      <c r="V5" s="128"/>
      <c r="W5" s="128"/>
    </row>
    <row r="6" spans="1:102"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c r="CX6" s="1869"/>
    </row>
    <row r="7" spans="1:102" s="2" customFormat="1" ht="28.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5" t="s">
        <v>412</v>
      </c>
      <c r="X7" s="56" t="s">
        <v>31</v>
      </c>
      <c r="Y7" s="56" t="s">
        <v>32</v>
      </c>
      <c r="Z7" s="57" t="s">
        <v>33</v>
      </c>
      <c r="AA7" s="56" t="s">
        <v>34</v>
      </c>
      <c r="AB7" s="19" t="s">
        <v>414</v>
      </c>
      <c r="AC7" s="57" t="s">
        <v>36</v>
      </c>
      <c r="AD7" s="56" t="s">
        <v>31</v>
      </c>
      <c r="AE7" s="56" t="s">
        <v>32</v>
      </c>
      <c r="AF7" s="57" t="s">
        <v>33</v>
      </c>
      <c r="AG7" s="56" t="s">
        <v>34</v>
      </c>
      <c r="AH7" s="19" t="s">
        <v>414</v>
      </c>
      <c r="AI7" s="57" t="s">
        <v>36</v>
      </c>
      <c r="AJ7" s="56" t="s">
        <v>31</v>
      </c>
      <c r="AK7" s="56" t="s">
        <v>32</v>
      </c>
      <c r="AL7" s="57" t="s">
        <v>33</v>
      </c>
      <c r="AM7" s="56" t="s">
        <v>34</v>
      </c>
      <c r="AN7" s="19" t="s">
        <v>414</v>
      </c>
      <c r="AO7" s="57" t="s">
        <v>36</v>
      </c>
      <c r="AP7" s="56" t="s">
        <v>31</v>
      </c>
      <c r="AQ7" s="56" t="s">
        <v>32</v>
      </c>
      <c r="AR7" s="57" t="s">
        <v>33</v>
      </c>
      <c r="AS7" s="56" t="s">
        <v>34</v>
      </c>
      <c r="AT7" s="19" t="s">
        <v>414</v>
      </c>
      <c r="AU7" s="57" t="s">
        <v>36</v>
      </c>
      <c r="AV7" s="56" t="s">
        <v>31</v>
      </c>
      <c r="AW7" s="56" t="s">
        <v>32</v>
      </c>
      <c r="AX7" s="57" t="s">
        <v>33</v>
      </c>
      <c r="AY7" s="56" t="s">
        <v>34</v>
      </c>
      <c r="AZ7" s="19" t="s">
        <v>414</v>
      </c>
      <c r="BA7" s="57" t="s">
        <v>36</v>
      </c>
      <c r="BB7" s="56" t="s">
        <v>31</v>
      </c>
      <c r="BC7" s="56" t="s">
        <v>32</v>
      </c>
      <c r="BD7" s="57" t="s">
        <v>33</v>
      </c>
      <c r="BE7" s="56" t="s">
        <v>34</v>
      </c>
      <c r="BF7" s="19" t="s">
        <v>414</v>
      </c>
      <c r="BG7" s="57" t="s">
        <v>36</v>
      </c>
      <c r="BH7" s="56" t="s">
        <v>31</v>
      </c>
      <c r="BI7" s="56" t="s">
        <v>32</v>
      </c>
      <c r="BJ7" s="57" t="s">
        <v>33</v>
      </c>
      <c r="BK7" s="56" t="s">
        <v>34</v>
      </c>
      <c r="BL7" s="19" t="s">
        <v>414</v>
      </c>
      <c r="BM7" s="57" t="s">
        <v>36</v>
      </c>
      <c r="BN7" s="56" t="s">
        <v>31</v>
      </c>
      <c r="BO7" s="56" t="s">
        <v>32</v>
      </c>
      <c r="BP7" s="57" t="s">
        <v>33</v>
      </c>
      <c r="BQ7" s="56" t="s">
        <v>34</v>
      </c>
      <c r="BR7" s="19" t="s">
        <v>414</v>
      </c>
      <c r="BS7" s="57" t="s">
        <v>36</v>
      </c>
      <c r="BT7" s="56" t="s">
        <v>31</v>
      </c>
      <c r="BU7" s="56" t="s">
        <v>32</v>
      </c>
      <c r="BV7" s="57" t="s">
        <v>33</v>
      </c>
      <c r="BW7" s="56" t="s">
        <v>34</v>
      </c>
      <c r="BX7" s="19" t="s">
        <v>414</v>
      </c>
      <c r="BY7" s="57" t="s">
        <v>36</v>
      </c>
      <c r="BZ7" s="56" t="s">
        <v>31</v>
      </c>
      <c r="CA7" s="56" t="s">
        <v>32</v>
      </c>
      <c r="CB7" s="57" t="s">
        <v>33</v>
      </c>
      <c r="CC7" s="56" t="s">
        <v>34</v>
      </c>
      <c r="CD7" s="19" t="s">
        <v>414</v>
      </c>
      <c r="CE7" s="57" t="s">
        <v>36</v>
      </c>
      <c r="CF7" s="56" t="s">
        <v>31</v>
      </c>
      <c r="CG7" s="56" t="s">
        <v>32</v>
      </c>
      <c r="CH7" s="57" t="s">
        <v>33</v>
      </c>
      <c r="CI7" s="56" t="s">
        <v>34</v>
      </c>
      <c r="CJ7" s="19" t="s">
        <v>414</v>
      </c>
      <c r="CK7" s="57" t="s">
        <v>36</v>
      </c>
      <c r="CL7" s="56" t="s">
        <v>31</v>
      </c>
      <c r="CM7" s="56" t="s">
        <v>32</v>
      </c>
      <c r="CN7" s="57" t="s">
        <v>33</v>
      </c>
      <c r="CO7" s="56" t="s">
        <v>34</v>
      </c>
      <c r="CP7" s="19" t="s">
        <v>414</v>
      </c>
      <c r="CQ7" s="57" t="s">
        <v>36</v>
      </c>
      <c r="CR7" s="56" t="s">
        <v>31</v>
      </c>
      <c r="CS7" s="56" t="s">
        <v>32</v>
      </c>
      <c r="CT7" s="57" t="s">
        <v>33</v>
      </c>
      <c r="CU7" s="56" t="s">
        <v>34</v>
      </c>
      <c r="CV7" s="19" t="s">
        <v>414</v>
      </c>
      <c r="CW7" s="57" t="s">
        <v>36</v>
      </c>
      <c r="CX7" s="1869"/>
    </row>
    <row r="8" spans="1:102" ht="84.75" customHeight="1">
      <c r="B8" s="59" t="s">
        <v>3594</v>
      </c>
      <c r="C8" s="9" t="s">
        <v>3595</v>
      </c>
      <c r="D8" s="1870" t="s">
        <v>3596</v>
      </c>
      <c r="E8" s="96" t="s">
        <v>3597</v>
      </c>
      <c r="F8" s="59" t="s">
        <v>3598</v>
      </c>
      <c r="G8" s="9" t="s">
        <v>53</v>
      </c>
      <c r="H8" s="1871" t="s">
        <v>3599</v>
      </c>
      <c r="I8" s="9" t="s">
        <v>3600</v>
      </c>
      <c r="J8" s="9" t="s">
        <v>54</v>
      </c>
      <c r="K8" s="60"/>
      <c r="L8" s="60"/>
      <c r="M8" s="60">
        <v>0.18</v>
      </c>
      <c r="N8" s="60"/>
      <c r="O8" s="60"/>
      <c r="P8" s="60">
        <v>0.09</v>
      </c>
      <c r="Q8" s="60">
        <v>0.18</v>
      </c>
      <c r="R8" s="60">
        <v>0.09</v>
      </c>
      <c r="S8" s="60">
        <v>0.27</v>
      </c>
      <c r="T8" s="60">
        <v>0.09</v>
      </c>
      <c r="U8" s="60"/>
      <c r="V8" s="60">
        <v>0.1</v>
      </c>
      <c r="W8" s="97" t="s">
        <v>3601</v>
      </c>
      <c r="X8" s="21"/>
      <c r="Y8" s="21"/>
      <c r="Z8" s="22" t="str">
        <f t="shared" ref="Z8:Z15" si="0">IF(Y8=0," ",X8/Y8)</f>
        <v xml:space="preserve"> </v>
      </c>
      <c r="AA8" s="58"/>
      <c r="AB8" s="24" t="str">
        <f t="shared" ref="AB8:AB15" si="1">IF(Y8=0," ",Z8/AA8)</f>
        <v xml:space="preserve"> </v>
      </c>
      <c r="AC8" s="25"/>
      <c r="AD8" s="21"/>
      <c r="AE8" s="21"/>
      <c r="AF8" s="22" t="str">
        <f t="shared" ref="AF8:AF15" si="2">IF(AE8=0," ",AD8/AE8)</f>
        <v xml:space="preserve"> </v>
      </c>
      <c r="AG8" s="58"/>
      <c r="AH8" s="24" t="str">
        <f t="shared" ref="AH8:AH15" si="3">IF(AE8=0," ",AF8/AG8)</f>
        <v xml:space="preserve"> </v>
      </c>
      <c r="AI8" s="25"/>
      <c r="AJ8" s="21">
        <v>2</v>
      </c>
      <c r="AK8" s="21">
        <v>11</v>
      </c>
      <c r="AL8" s="22">
        <f>IF(AK8=0," ",AJ8/AK8)</f>
        <v>0.18181818181818182</v>
      </c>
      <c r="AM8" s="58">
        <v>0.18</v>
      </c>
      <c r="AN8" s="24">
        <f>IF(AK8=0," ",AL8/AM8)</f>
        <v>1.0101010101010102</v>
      </c>
      <c r="AO8" s="25" t="s">
        <v>3602</v>
      </c>
      <c r="AP8" s="21"/>
      <c r="AQ8" s="21"/>
      <c r="AR8" s="22" t="str">
        <f>IF(AQ8=0," ",AP8/AQ8)</f>
        <v xml:space="preserve"> </v>
      </c>
      <c r="AS8" s="58"/>
      <c r="AT8" s="24" t="str">
        <f>IF(AQ8=0," ",AR8/AS8)</f>
        <v xml:space="preserve"> </v>
      </c>
      <c r="AU8" s="25"/>
      <c r="AV8" s="21"/>
      <c r="AW8" s="21"/>
      <c r="AX8" s="22" t="str">
        <f t="shared" ref="AX8:AX15" si="4">IF(AW8=0," ",AV8/AW8)</f>
        <v xml:space="preserve"> </v>
      </c>
      <c r="AY8" s="58"/>
      <c r="AZ8" s="24" t="str">
        <f t="shared" ref="AZ8:AZ15" si="5">IF(AW8=0," ",AX8/AY8)</f>
        <v xml:space="preserve"> </v>
      </c>
      <c r="BA8" s="25"/>
      <c r="BB8" s="21">
        <v>1</v>
      </c>
      <c r="BC8" s="21">
        <v>11</v>
      </c>
      <c r="BD8" s="22">
        <f t="shared" ref="BD8:BD15" si="6">IF(BC8=0," ",BB8/BC8)</f>
        <v>9.0909090909090912E-2</v>
      </c>
      <c r="BE8" s="58">
        <v>0.09</v>
      </c>
      <c r="BF8" s="24">
        <f t="shared" ref="BF8:BF15" si="7">IF(BC8=0," ",BD8/BE8)</f>
        <v>1.0101010101010102</v>
      </c>
      <c r="BG8" s="25" t="s">
        <v>3603</v>
      </c>
      <c r="BH8" s="21">
        <v>2</v>
      </c>
      <c r="BI8" s="21">
        <v>11</v>
      </c>
      <c r="BJ8" s="22">
        <f>IF(BI8=0," ",BH8/BI8)</f>
        <v>0.18181818181818182</v>
      </c>
      <c r="BK8" s="58">
        <v>0.18</v>
      </c>
      <c r="BL8" s="24">
        <f>IF(BI8=0," ",BJ8/BK8)</f>
        <v>1.0101010101010102</v>
      </c>
      <c r="BM8" s="25" t="s">
        <v>3604</v>
      </c>
      <c r="BN8" s="21"/>
      <c r="BO8" s="21">
        <v>11</v>
      </c>
      <c r="BP8" s="22">
        <f t="shared" ref="BP8:BP15" si="8">IF(BO8=0," ",BN8/BO8)</f>
        <v>0</v>
      </c>
      <c r="BQ8" s="58">
        <v>0.09</v>
      </c>
      <c r="BR8" s="24">
        <f t="shared" ref="BR8:BR15" si="9">IF(BO8=0," ",BP8/BQ8)</f>
        <v>0</v>
      </c>
      <c r="BS8" s="25" t="s">
        <v>3605</v>
      </c>
      <c r="BT8" s="21">
        <v>1</v>
      </c>
      <c r="BU8" s="21">
        <v>11</v>
      </c>
      <c r="BV8" s="22">
        <f t="shared" ref="BV8:BV15" si="10">IF(BU8=0," ",BT8/BU8)</f>
        <v>9.0909090909090912E-2</v>
      </c>
      <c r="BW8" s="58">
        <v>0.27</v>
      </c>
      <c r="BX8" s="24">
        <f t="shared" ref="BX8:BX15" si="11">IF(BU8=0," ",BV8/BW8)</f>
        <v>0.33670033670033667</v>
      </c>
      <c r="BY8" s="25" t="s">
        <v>3606</v>
      </c>
      <c r="BZ8" s="21"/>
      <c r="CA8" s="21">
        <v>11</v>
      </c>
      <c r="CB8" s="22">
        <f t="shared" ref="CB8:CB15" si="12">IF(CA8=0," ",BZ8/CA8)</f>
        <v>0</v>
      </c>
      <c r="CC8" s="58">
        <v>0.09</v>
      </c>
      <c r="CD8" s="24">
        <f t="shared" ref="CD8:CD15" si="13">IF(CA8=0," ",CB8/CC8)</f>
        <v>0</v>
      </c>
      <c r="CE8" s="25" t="s">
        <v>3607</v>
      </c>
      <c r="CF8" s="21"/>
      <c r="CG8" s="21">
        <v>11</v>
      </c>
      <c r="CH8" s="22">
        <f t="shared" ref="CH8:CH15" si="14">IF(CG8=0," ",CF8/CG8)</f>
        <v>0</v>
      </c>
      <c r="CI8" s="58">
        <v>0</v>
      </c>
      <c r="CJ8" s="24" t="e">
        <f t="shared" ref="CJ8:CJ15" si="15">IF(CG8=0," ",CH8/CI8)</f>
        <v>#DIV/0!</v>
      </c>
      <c r="CK8" s="25" t="s">
        <v>3608</v>
      </c>
      <c r="CL8" s="68">
        <v>2</v>
      </c>
      <c r="CM8" s="68">
        <v>11</v>
      </c>
      <c r="CN8" s="22">
        <f>IF(CM8=0," ",CL8/CM8)</f>
        <v>0.18181818181818182</v>
      </c>
      <c r="CO8" s="58">
        <f t="shared" ref="CO8:CO13" si="16">+V8</f>
        <v>0.1</v>
      </c>
      <c r="CP8" s="24">
        <f>IF(CM8=0," ",CN8/CO8)</f>
        <v>1.8181818181818181</v>
      </c>
      <c r="CQ8" s="25" t="s">
        <v>3609</v>
      </c>
      <c r="CR8" s="21">
        <f t="shared" ref="CR8:CR13" si="17">+X8+AD8+AJ8+AP8+AV8+BB8+BH8+BN8+BT8+BZ8+CF8+CL8</f>
        <v>8</v>
      </c>
      <c r="CS8" s="21">
        <f t="shared" ref="CS8:CS13" si="18">+CM8</f>
        <v>11</v>
      </c>
      <c r="CT8" s="24">
        <f t="shared" ref="CT8:CT15" si="19">IF(CS8=0," ",CR8/CS8)</f>
        <v>0.72727272727272729</v>
      </c>
      <c r="CU8" s="58">
        <v>1</v>
      </c>
      <c r="CV8" s="24">
        <f t="shared" ref="CV8:CV15" si="20">IF(CS8=0," ",CT8/CU8)</f>
        <v>0.72727272727272729</v>
      </c>
      <c r="CW8" s="25" t="s">
        <v>3610</v>
      </c>
      <c r="CX8" s="1869" t="s">
        <v>3611</v>
      </c>
    </row>
    <row r="9" spans="1:102" ht="192.75" customHeight="1">
      <c r="B9" s="1872" t="s">
        <v>3594</v>
      </c>
      <c r="C9" s="9" t="s">
        <v>3612</v>
      </c>
      <c r="D9" s="1873" t="s">
        <v>3613</v>
      </c>
      <c r="E9" s="96" t="s">
        <v>3614</v>
      </c>
      <c r="F9" s="59" t="s">
        <v>3615</v>
      </c>
      <c r="G9" s="9" t="s">
        <v>53</v>
      </c>
      <c r="H9" s="1871" t="s">
        <v>3616</v>
      </c>
      <c r="I9" s="9" t="s">
        <v>3617</v>
      </c>
      <c r="J9" s="9" t="s">
        <v>54</v>
      </c>
      <c r="K9" s="60">
        <v>1</v>
      </c>
      <c r="L9" s="60">
        <v>1</v>
      </c>
      <c r="M9" s="60">
        <v>1</v>
      </c>
      <c r="N9" s="60">
        <v>1</v>
      </c>
      <c r="O9" s="60">
        <v>1</v>
      </c>
      <c r="P9" s="60">
        <v>1</v>
      </c>
      <c r="Q9" s="60">
        <v>1</v>
      </c>
      <c r="R9" s="60">
        <v>1</v>
      </c>
      <c r="S9" s="60">
        <v>1</v>
      </c>
      <c r="T9" s="60">
        <v>1</v>
      </c>
      <c r="U9" s="60">
        <v>1</v>
      </c>
      <c r="V9" s="60">
        <v>1</v>
      </c>
      <c r="W9" s="97" t="s">
        <v>3618</v>
      </c>
      <c r="X9" s="21">
        <v>0</v>
      </c>
      <c r="Y9" s="21">
        <v>1</v>
      </c>
      <c r="Z9" s="22">
        <f t="shared" si="0"/>
        <v>0</v>
      </c>
      <c r="AA9" s="58">
        <v>1</v>
      </c>
      <c r="AB9" s="24">
        <f t="shared" si="1"/>
        <v>0</v>
      </c>
      <c r="AC9" s="25" t="s">
        <v>3619</v>
      </c>
      <c r="AD9" s="21">
        <v>2</v>
      </c>
      <c r="AE9" s="21">
        <v>3</v>
      </c>
      <c r="AF9" s="22">
        <f t="shared" si="2"/>
        <v>0.66666666666666663</v>
      </c>
      <c r="AG9" s="58">
        <v>1</v>
      </c>
      <c r="AH9" s="24">
        <f t="shared" si="3"/>
        <v>0.66666666666666663</v>
      </c>
      <c r="AI9" s="25" t="s">
        <v>3620</v>
      </c>
      <c r="AJ9" s="21">
        <v>4</v>
      </c>
      <c r="AK9" s="21">
        <v>5</v>
      </c>
      <c r="AL9" s="22">
        <f t="shared" ref="AL9:AL15" si="21">IF(AK9=0," ",AJ9/AK9)</f>
        <v>0.8</v>
      </c>
      <c r="AM9" s="58">
        <v>1</v>
      </c>
      <c r="AN9" s="24">
        <f t="shared" ref="AN9:AN15" si="22">IF(AK9=0," ",AL9/AM9)</f>
        <v>0.8</v>
      </c>
      <c r="AO9" s="25" t="s">
        <v>3621</v>
      </c>
      <c r="AP9" s="21">
        <v>7</v>
      </c>
      <c r="AQ9" s="21">
        <v>10</v>
      </c>
      <c r="AR9" s="22">
        <f t="shared" ref="AR9:AR15" si="23">IF(AQ9=0," ",AP9/AQ9)</f>
        <v>0.7</v>
      </c>
      <c r="AS9" s="58">
        <v>1</v>
      </c>
      <c r="AT9" s="24">
        <f t="shared" ref="AT9:AT15" si="24">IF(AQ9=0," ",AR9/AS9)</f>
        <v>0.7</v>
      </c>
      <c r="AU9" s="25" t="s">
        <v>3622</v>
      </c>
      <c r="AV9" s="21">
        <v>8</v>
      </c>
      <c r="AW9" s="21">
        <v>13</v>
      </c>
      <c r="AX9" s="22">
        <f>IF(AW9=0," ",AV9/AW9)</f>
        <v>0.61538461538461542</v>
      </c>
      <c r="AY9" s="58">
        <v>1</v>
      </c>
      <c r="AZ9" s="24">
        <f>IF(AW9=0," ",AX9/AY9)</f>
        <v>0.61538461538461542</v>
      </c>
      <c r="BA9" s="215" t="s">
        <v>3623</v>
      </c>
      <c r="BB9" s="21">
        <v>9</v>
      </c>
      <c r="BC9" s="21">
        <v>15</v>
      </c>
      <c r="BD9" s="22">
        <f>IF(BC9=0," ",BB9/BC9)</f>
        <v>0.6</v>
      </c>
      <c r="BE9" s="58">
        <v>1</v>
      </c>
      <c r="BF9" s="24">
        <f>IF(BC9=0," ",BD9/BE9)</f>
        <v>0.6</v>
      </c>
      <c r="BG9" s="25" t="s">
        <v>3624</v>
      </c>
      <c r="BH9" s="21">
        <f>9+5</f>
        <v>14</v>
      </c>
      <c r="BI9" s="21">
        <f>15+7</f>
        <v>22</v>
      </c>
      <c r="BJ9" s="22">
        <f>IF(BI9=0," ",BH9/BI9)</f>
        <v>0.63636363636363635</v>
      </c>
      <c r="BK9" s="58">
        <v>1</v>
      </c>
      <c r="BL9" s="24">
        <f>IF(BI9=0," ",BJ9/BK9)</f>
        <v>0.63636363636363635</v>
      </c>
      <c r="BM9" s="25" t="s">
        <v>3625</v>
      </c>
      <c r="BN9" s="21">
        <v>18</v>
      </c>
      <c r="BO9" s="21">
        <v>24</v>
      </c>
      <c r="BP9" s="22">
        <f>IF(BO9=0," ",BN9/BO9)</f>
        <v>0.75</v>
      </c>
      <c r="BQ9" s="58">
        <v>1</v>
      </c>
      <c r="BR9" s="24">
        <f>IF(BO9=0," ",BP9/BQ9)</f>
        <v>0.75</v>
      </c>
      <c r="BS9" s="25" t="s">
        <v>3626</v>
      </c>
      <c r="BT9" s="21">
        <v>25</v>
      </c>
      <c r="BU9" s="21">
        <v>27</v>
      </c>
      <c r="BV9" s="22">
        <f>IF(BU9=0," ",BT9/BU9)</f>
        <v>0.92592592592592593</v>
      </c>
      <c r="BW9" s="58">
        <v>1</v>
      </c>
      <c r="BX9" s="24">
        <f>IF(BU9=0," ",BV9/BW9)</f>
        <v>0.92592592592592593</v>
      </c>
      <c r="BY9" s="25" t="s">
        <v>3627</v>
      </c>
      <c r="BZ9" s="21">
        <v>28</v>
      </c>
      <c r="CA9" s="21">
        <v>31</v>
      </c>
      <c r="CB9" s="22">
        <f>IF(CA9=0," ",BZ9/CA9)</f>
        <v>0.90322580645161288</v>
      </c>
      <c r="CC9" s="58">
        <v>1</v>
      </c>
      <c r="CD9" s="24">
        <f>IF(CA9=0," ",CB9/CC9)</f>
        <v>0.90322580645161288</v>
      </c>
      <c r="CE9" s="25" t="s">
        <v>3628</v>
      </c>
      <c r="CF9" s="21">
        <v>31</v>
      </c>
      <c r="CG9" s="21">
        <v>34</v>
      </c>
      <c r="CH9" s="22">
        <f>IF(CG9=0," ",CF9/CG9)</f>
        <v>0.91176470588235292</v>
      </c>
      <c r="CI9" s="58">
        <v>1</v>
      </c>
      <c r="CJ9" s="24">
        <f>IF(CG9=0," ",CH9/CI9)</f>
        <v>0.91176470588235292</v>
      </c>
      <c r="CK9" s="25" t="s">
        <v>3629</v>
      </c>
      <c r="CL9" s="21">
        <v>36</v>
      </c>
      <c r="CM9" s="21">
        <v>36</v>
      </c>
      <c r="CN9" s="22">
        <v>1</v>
      </c>
      <c r="CO9" s="58">
        <f t="shared" si="16"/>
        <v>1</v>
      </c>
      <c r="CP9" s="24">
        <f>IF(CM9=0," ",CN9/CO9)</f>
        <v>1</v>
      </c>
      <c r="CQ9" s="25" t="s">
        <v>3630</v>
      </c>
      <c r="CR9" s="21">
        <v>36</v>
      </c>
      <c r="CS9" s="21">
        <f t="shared" si="18"/>
        <v>36</v>
      </c>
      <c r="CT9" s="24">
        <f t="shared" si="19"/>
        <v>1</v>
      </c>
      <c r="CU9" s="58">
        <v>1</v>
      </c>
      <c r="CV9" s="24">
        <f t="shared" si="20"/>
        <v>1</v>
      </c>
      <c r="CW9" s="25" t="s">
        <v>3631</v>
      </c>
      <c r="CX9" s="1869" t="s">
        <v>3632</v>
      </c>
    </row>
    <row r="10" spans="1:102" ht="96" customHeight="1">
      <c r="B10" s="1872" t="s">
        <v>3594</v>
      </c>
      <c r="C10" s="9" t="s">
        <v>3633</v>
      </c>
      <c r="D10" s="1873" t="s">
        <v>3634</v>
      </c>
      <c r="E10" s="96" t="s">
        <v>3635</v>
      </c>
      <c r="F10" s="59" t="s">
        <v>3636</v>
      </c>
      <c r="G10" s="9" t="s">
        <v>53</v>
      </c>
      <c r="H10" s="1871" t="s">
        <v>3637</v>
      </c>
      <c r="I10" s="9" t="s">
        <v>3638</v>
      </c>
      <c r="J10" s="9" t="s">
        <v>54</v>
      </c>
      <c r="K10" s="60">
        <v>1</v>
      </c>
      <c r="L10" s="60">
        <v>1</v>
      </c>
      <c r="M10" s="60">
        <v>1</v>
      </c>
      <c r="N10" s="60">
        <v>1</v>
      </c>
      <c r="O10" s="60">
        <v>1</v>
      </c>
      <c r="P10" s="60">
        <v>1</v>
      </c>
      <c r="Q10" s="60">
        <v>1</v>
      </c>
      <c r="R10" s="60">
        <v>1</v>
      </c>
      <c r="S10" s="60">
        <v>1</v>
      </c>
      <c r="T10" s="60">
        <v>1</v>
      </c>
      <c r="U10" s="60">
        <v>1</v>
      </c>
      <c r="V10" s="60">
        <v>1</v>
      </c>
      <c r="W10" s="97" t="s">
        <v>3639</v>
      </c>
      <c r="X10" s="21">
        <v>0</v>
      </c>
      <c r="Y10" s="21">
        <v>0</v>
      </c>
      <c r="Z10" s="22" t="str">
        <f t="shared" si="0"/>
        <v xml:space="preserve"> </v>
      </c>
      <c r="AA10" s="58">
        <v>1</v>
      </c>
      <c r="AB10" s="24" t="str">
        <f t="shared" si="1"/>
        <v xml:space="preserve"> </v>
      </c>
      <c r="AC10" s="25" t="s">
        <v>3640</v>
      </c>
      <c r="AD10" s="21">
        <v>3</v>
      </c>
      <c r="AE10" s="21">
        <v>3</v>
      </c>
      <c r="AF10" s="22">
        <f t="shared" si="2"/>
        <v>1</v>
      </c>
      <c r="AG10" s="58">
        <v>1</v>
      </c>
      <c r="AH10" s="24">
        <f t="shared" si="3"/>
        <v>1</v>
      </c>
      <c r="AI10" s="25" t="s">
        <v>3641</v>
      </c>
      <c r="AJ10" s="21">
        <v>5</v>
      </c>
      <c r="AK10" s="21">
        <v>5</v>
      </c>
      <c r="AL10" s="22">
        <f t="shared" si="21"/>
        <v>1</v>
      </c>
      <c r="AM10" s="58">
        <v>1</v>
      </c>
      <c r="AN10" s="24">
        <f t="shared" si="22"/>
        <v>1</v>
      </c>
      <c r="AO10" s="25" t="s">
        <v>3642</v>
      </c>
      <c r="AP10" s="21">
        <v>2</v>
      </c>
      <c r="AQ10" s="21">
        <v>2</v>
      </c>
      <c r="AR10" s="22">
        <f t="shared" si="23"/>
        <v>1</v>
      </c>
      <c r="AS10" s="58">
        <v>1</v>
      </c>
      <c r="AT10" s="24">
        <f t="shared" si="24"/>
        <v>1</v>
      </c>
      <c r="AU10" s="25" t="s">
        <v>3643</v>
      </c>
      <c r="AV10" s="21">
        <v>2</v>
      </c>
      <c r="AW10" s="21">
        <v>2</v>
      </c>
      <c r="AX10" s="22">
        <f t="shared" si="4"/>
        <v>1</v>
      </c>
      <c r="AY10" s="58">
        <v>1</v>
      </c>
      <c r="AZ10" s="24">
        <f t="shared" si="5"/>
        <v>1</v>
      </c>
      <c r="BA10" s="215" t="s">
        <v>3644</v>
      </c>
      <c r="BB10" s="21">
        <v>3</v>
      </c>
      <c r="BC10" s="21">
        <v>3</v>
      </c>
      <c r="BD10" s="22">
        <f>IF(BC10=0," ",BB10/BC10)</f>
        <v>1</v>
      </c>
      <c r="BE10" s="58">
        <v>1</v>
      </c>
      <c r="BF10" s="24">
        <f>IF(BC10=0," ",BD10/BE10)</f>
        <v>1</v>
      </c>
      <c r="BG10" s="25" t="s">
        <v>3645</v>
      </c>
      <c r="BH10" s="21">
        <v>3</v>
      </c>
      <c r="BI10" s="21">
        <v>3</v>
      </c>
      <c r="BJ10" s="22">
        <f>IF(BI10=0," ",BH10/BI10)</f>
        <v>1</v>
      </c>
      <c r="BK10" s="58">
        <v>1</v>
      </c>
      <c r="BL10" s="24">
        <f>IF(BI10=0," ",BJ10/BK10)</f>
        <v>1</v>
      </c>
      <c r="BM10" s="25" t="s">
        <v>3646</v>
      </c>
      <c r="BN10" s="21">
        <v>2</v>
      </c>
      <c r="BO10" s="21">
        <v>2</v>
      </c>
      <c r="BP10" s="22">
        <f t="shared" si="8"/>
        <v>1</v>
      </c>
      <c r="BQ10" s="58">
        <v>1</v>
      </c>
      <c r="BR10" s="24">
        <f t="shared" si="9"/>
        <v>1</v>
      </c>
      <c r="BS10" s="25" t="s">
        <v>3647</v>
      </c>
      <c r="BT10" s="21">
        <v>5</v>
      </c>
      <c r="BU10" s="21">
        <v>5</v>
      </c>
      <c r="BV10" s="22">
        <f t="shared" si="10"/>
        <v>1</v>
      </c>
      <c r="BW10" s="58">
        <v>1</v>
      </c>
      <c r="BX10" s="24">
        <f t="shared" si="11"/>
        <v>1</v>
      </c>
      <c r="BY10" s="25" t="s">
        <v>3648</v>
      </c>
      <c r="BZ10" s="21">
        <v>5</v>
      </c>
      <c r="CA10" s="21">
        <v>5</v>
      </c>
      <c r="CB10" s="22">
        <f>IF(CA10=0," ",BZ10/CA10)</f>
        <v>1</v>
      </c>
      <c r="CC10" s="58">
        <v>1</v>
      </c>
      <c r="CD10" s="24">
        <f>IF(CA10=0," ",CB10/CC10)</f>
        <v>1</v>
      </c>
      <c r="CE10" s="25" t="s">
        <v>3648</v>
      </c>
      <c r="CF10" s="21">
        <v>5</v>
      </c>
      <c r="CG10" s="21">
        <v>5</v>
      </c>
      <c r="CH10" s="22">
        <f>IF(CG10=0," ",CF10/CG10)</f>
        <v>1</v>
      </c>
      <c r="CI10" s="58">
        <v>1</v>
      </c>
      <c r="CJ10" s="24">
        <f>IF(CG10=0," ",CH10/CI10)</f>
        <v>1</v>
      </c>
      <c r="CK10" s="25" t="s">
        <v>3648</v>
      </c>
      <c r="CL10" s="21">
        <v>6</v>
      </c>
      <c r="CM10" s="21">
        <v>6</v>
      </c>
      <c r="CN10" s="24">
        <f>IF(CM10=0," ",CL10/CM10)</f>
        <v>1</v>
      </c>
      <c r="CO10" s="58">
        <f t="shared" si="16"/>
        <v>1</v>
      </c>
      <c r="CP10" s="24">
        <f>IF(CM10=0," ",CN10/CO10)</f>
        <v>1</v>
      </c>
      <c r="CQ10" s="25" t="s">
        <v>3649</v>
      </c>
      <c r="CR10" s="21">
        <v>6</v>
      </c>
      <c r="CS10" s="21">
        <v>6</v>
      </c>
      <c r="CT10" s="24">
        <f t="shared" si="19"/>
        <v>1</v>
      </c>
      <c r="CU10" s="58">
        <v>1</v>
      </c>
      <c r="CV10" s="24">
        <f t="shared" si="20"/>
        <v>1</v>
      </c>
      <c r="CW10" s="695" t="s">
        <v>3650</v>
      </c>
      <c r="CX10" s="1869" t="s">
        <v>3632</v>
      </c>
    </row>
    <row r="11" spans="1:102" ht="201.75" customHeight="1">
      <c r="B11" s="59" t="s">
        <v>3651</v>
      </c>
      <c r="C11" s="9" t="s">
        <v>3652</v>
      </c>
      <c r="D11" s="1870" t="s">
        <v>3653</v>
      </c>
      <c r="E11" s="96" t="s">
        <v>3654</v>
      </c>
      <c r="F11" s="59" t="s">
        <v>3655</v>
      </c>
      <c r="G11" s="9" t="s">
        <v>53</v>
      </c>
      <c r="H11" s="1871" t="s">
        <v>3656</v>
      </c>
      <c r="I11" s="9" t="s">
        <v>3600</v>
      </c>
      <c r="J11" s="9" t="s">
        <v>54</v>
      </c>
      <c r="K11" s="60"/>
      <c r="L11" s="118">
        <v>0.08</v>
      </c>
      <c r="M11" s="118">
        <v>0.25</v>
      </c>
      <c r="N11" s="118"/>
      <c r="O11" s="118">
        <v>0.08</v>
      </c>
      <c r="P11" s="118">
        <v>0.09</v>
      </c>
      <c r="Q11" s="118"/>
      <c r="R11" s="118"/>
      <c r="S11" s="118"/>
      <c r="T11" s="118"/>
      <c r="U11" s="118"/>
      <c r="V11" s="118">
        <v>0.5</v>
      </c>
      <c r="W11" s="97" t="s">
        <v>3657</v>
      </c>
      <c r="X11" s="21"/>
      <c r="Y11" s="21"/>
      <c r="Z11" s="22"/>
      <c r="AA11" s="58"/>
      <c r="AB11" s="24"/>
      <c r="AC11" s="25"/>
      <c r="AD11" s="21">
        <v>1</v>
      </c>
      <c r="AE11" s="21">
        <v>12</v>
      </c>
      <c r="AF11" s="22">
        <f>IF(AE11=0," ",AD11/AE11)</f>
        <v>8.3333333333333329E-2</v>
      </c>
      <c r="AG11" s="58">
        <v>0.08</v>
      </c>
      <c r="AH11" s="24">
        <f>AF11/AG11</f>
        <v>1.0416666666666665</v>
      </c>
      <c r="AI11" s="25" t="s">
        <v>3658</v>
      </c>
      <c r="AJ11" s="21">
        <v>3</v>
      </c>
      <c r="AK11" s="21">
        <v>12</v>
      </c>
      <c r="AL11" s="22">
        <f t="shared" si="21"/>
        <v>0.25</v>
      </c>
      <c r="AM11" s="58">
        <v>0.25</v>
      </c>
      <c r="AN11" s="24">
        <f t="shared" si="22"/>
        <v>1</v>
      </c>
      <c r="AO11" s="25" t="s">
        <v>3659</v>
      </c>
      <c r="AP11" s="21"/>
      <c r="AQ11" s="21"/>
      <c r="AR11" s="22" t="str">
        <f t="shared" si="23"/>
        <v xml:space="preserve"> </v>
      </c>
      <c r="AS11" s="58"/>
      <c r="AT11" s="24" t="str">
        <f t="shared" si="24"/>
        <v xml:space="preserve"> </v>
      </c>
      <c r="AU11" s="25"/>
      <c r="AV11" s="21">
        <v>1</v>
      </c>
      <c r="AW11" s="21">
        <v>12</v>
      </c>
      <c r="AX11" s="22">
        <f t="shared" si="4"/>
        <v>8.3333333333333329E-2</v>
      </c>
      <c r="AY11" s="58">
        <v>0.08</v>
      </c>
      <c r="AZ11" s="24">
        <f t="shared" si="5"/>
        <v>1.0416666666666665</v>
      </c>
      <c r="BA11" s="25" t="s">
        <v>3660</v>
      </c>
      <c r="BB11" s="21">
        <v>1</v>
      </c>
      <c r="BC11" s="21">
        <v>12</v>
      </c>
      <c r="BD11" s="22">
        <f>IF(BC11=0," ",BB11/BC11)</f>
        <v>8.3333333333333329E-2</v>
      </c>
      <c r="BE11" s="58">
        <v>0.09</v>
      </c>
      <c r="BF11" s="24">
        <f>IF(BC11=0," ",BD11/BE11)</f>
        <v>0.92592592592592593</v>
      </c>
      <c r="BG11" s="25" t="s">
        <v>3661</v>
      </c>
      <c r="BH11" s="21">
        <v>0</v>
      </c>
      <c r="BI11" s="21">
        <v>12</v>
      </c>
      <c r="BJ11" s="22">
        <f>BH11/BI11</f>
        <v>0</v>
      </c>
      <c r="BK11" s="58">
        <v>0</v>
      </c>
      <c r="BL11" s="24" t="e">
        <f>BJ11/BK11</f>
        <v>#DIV/0!</v>
      </c>
      <c r="BM11" s="25" t="s">
        <v>3662</v>
      </c>
      <c r="BN11" s="21">
        <v>0</v>
      </c>
      <c r="BO11" s="21">
        <v>12</v>
      </c>
      <c r="BP11" s="22">
        <f>BN11/BO11</f>
        <v>0</v>
      </c>
      <c r="BQ11" s="58">
        <v>0</v>
      </c>
      <c r="BR11" s="24" t="e">
        <f>BP11/BQ11</f>
        <v>#DIV/0!</v>
      </c>
      <c r="BS11" s="25" t="s">
        <v>3663</v>
      </c>
      <c r="BT11" s="21">
        <v>0</v>
      </c>
      <c r="BU11" s="21">
        <v>12</v>
      </c>
      <c r="BV11" s="22">
        <f>BT11/BU11</f>
        <v>0</v>
      </c>
      <c r="BW11" s="58">
        <v>0</v>
      </c>
      <c r="BX11" s="24" t="e">
        <f>BV11/BW11</f>
        <v>#DIV/0!</v>
      </c>
      <c r="BY11" s="25" t="s">
        <v>3664</v>
      </c>
      <c r="BZ11" s="21">
        <v>0</v>
      </c>
      <c r="CA11" s="21">
        <v>12</v>
      </c>
      <c r="CB11" s="22">
        <f>BZ11/CA11</f>
        <v>0</v>
      </c>
      <c r="CC11" s="58">
        <v>0</v>
      </c>
      <c r="CD11" s="24" t="e">
        <f>CB11/CC11</f>
        <v>#DIV/0!</v>
      </c>
      <c r="CE11" s="25" t="s">
        <v>3665</v>
      </c>
      <c r="CF11" s="21">
        <v>0</v>
      </c>
      <c r="CG11" s="21">
        <v>12</v>
      </c>
      <c r="CH11" s="22">
        <f>CF11/CG11</f>
        <v>0</v>
      </c>
      <c r="CI11" s="58">
        <v>0</v>
      </c>
      <c r="CJ11" s="24" t="e">
        <f>CH11/CI11</f>
        <v>#DIV/0!</v>
      </c>
      <c r="CK11" s="25" t="s">
        <v>3666</v>
      </c>
      <c r="CL11" s="21">
        <v>5</v>
      </c>
      <c r="CM11" s="21">
        <v>12</v>
      </c>
      <c r="CN11" s="24">
        <f>IF(CM11=0," ",CL11/CM11)</f>
        <v>0.41666666666666669</v>
      </c>
      <c r="CO11" s="58">
        <f t="shared" si="16"/>
        <v>0.5</v>
      </c>
      <c r="CP11" s="24">
        <f>IF(CM11=0," ",CN11/CO11)</f>
        <v>0.83333333333333337</v>
      </c>
      <c r="CQ11" s="25" t="s">
        <v>3667</v>
      </c>
      <c r="CR11" s="21">
        <f t="shared" si="17"/>
        <v>11</v>
      </c>
      <c r="CS11" s="21">
        <f t="shared" si="18"/>
        <v>12</v>
      </c>
      <c r="CT11" s="24">
        <f t="shared" si="19"/>
        <v>0.91666666666666663</v>
      </c>
      <c r="CU11" s="58">
        <v>1</v>
      </c>
      <c r="CV11" s="24">
        <f t="shared" si="20"/>
        <v>0.91666666666666663</v>
      </c>
      <c r="CW11" s="25" t="s">
        <v>3668</v>
      </c>
      <c r="CX11" s="1869" t="s">
        <v>3657</v>
      </c>
    </row>
    <row r="12" spans="1:102" ht="157.5" customHeight="1">
      <c r="B12" s="59" t="s">
        <v>3651</v>
      </c>
      <c r="C12" s="9" t="s">
        <v>3669</v>
      </c>
      <c r="D12" s="1870" t="s">
        <v>3670</v>
      </c>
      <c r="E12" s="96" t="s">
        <v>3671</v>
      </c>
      <c r="F12" s="59" t="s">
        <v>3672</v>
      </c>
      <c r="G12" s="9" t="s">
        <v>53</v>
      </c>
      <c r="H12" s="1871" t="s">
        <v>3656</v>
      </c>
      <c r="I12" s="9" t="s">
        <v>3600</v>
      </c>
      <c r="J12" s="9" t="s">
        <v>54</v>
      </c>
      <c r="K12" s="60"/>
      <c r="L12" s="60">
        <v>0.08</v>
      </c>
      <c r="M12" s="60"/>
      <c r="N12" s="60">
        <v>7.0000000000000007E-2</v>
      </c>
      <c r="O12" s="60"/>
      <c r="P12" s="60">
        <v>0.31</v>
      </c>
      <c r="Q12" s="60">
        <v>0.08</v>
      </c>
      <c r="R12" s="60">
        <v>7.0000000000000007E-2</v>
      </c>
      <c r="S12" s="60">
        <v>0.23</v>
      </c>
      <c r="T12" s="60"/>
      <c r="U12" s="60">
        <v>0.08</v>
      </c>
      <c r="V12" s="60">
        <v>0.08</v>
      </c>
      <c r="W12" s="97" t="s">
        <v>3639</v>
      </c>
      <c r="X12" s="21"/>
      <c r="Y12" s="21"/>
      <c r="Z12" s="22" t="str">
        <f t="shared" si="0"/>
        <v xml:space="preserve"> </v>
      </c>
      <c r="AA12" s="58"/>
      <c r="AB12" s="24" t="str">
        <f t="shared" si="1"/>
        <v xml:space="preserve"> </v>
      </c>
      <c r="AC12" s="25"/>
      <c r="AD12" s="21">
        <v>1</v>
      </c>
      <c r="AE12" s="21">
        <v>13</v>
      </c>
      <c r="AF12" s="22">
        <f>IF(AE12=0," ",AD12/AE12)</f>
        <v>7.6923076923076927E-2</v>
      </c>
      <c r="AG12" s="58">
        <v>0.08</v>
      </c>
      <c r="AH12" s="24">
        <f>AF12/AG12</f>
        <v>0.96153846153846156</v>
      </c>
      <c r="AI12" s="695" t="s">
        <v>3673</v>
      </c>
      <c r="AJ12" s="21"/>
      <c r="AK12" s="21">
        <v>13</v>
      </c>
      <c r="AL12" s="22">
        <f>AJ12/AK12</f>
        <v>0</v>
      </c>
      <c r="AM12" s="58"/>
      <c r="AN12" s="24"/>
      <c r="AO12" s="695"/>
      <c r="AP12" s="21">
        <v>1</v>
      </c>
      <c r="AQ12" s="21">
        <v>13</v>
      </c>
      <c r="AR12" s="22">
        <f>AP12/AQ12</f>
        <v>7.6923076923076927E-2</v>
      </c>
      <c r="AS12" s="58">
        <v>7.0000000000000007E-2</v>
      </c>
      <c r="AT12" s="24">
        <f>AR12/AS12</f>
        <v>1.0989010989010988</v>
      </c>
      <c r="AU12" s="695" t="s">
        <v>3674</v>
      </c>
      <c r="AV12" s="21"/>
      <c r="AW12" s="21"/>
      <c r="AX12" s="22" t="str">
        <f>IF(AW12=0," ",AV12/AW12)</f>
        <v xml:space="preserve"> </v>
      </c>
      <c r="AY12" s="58"/>
      <c r="AZ12" s="24"/>
      <c r="BA12" s="1345"/>
      <c r="BB12" s="21">
        <v>4</v>
      </c>
      <c r="BC12" s="21">
        <v>13</v>
      </c>
      <c r="BD12" s="22">
        <f>BB12/BC12</f>
        <v>0.30769230769230771</v>
      </c>
      <c r="BE12" s="58">
        <v>0.31</v>
      </c>
      <c r="BF12" s="24">
        <f>BD12/BE12</f>
        <v>0.99255583126550873</v>
      </c>
      <c r="BG12" s="25" t="s">
        <v>3675</v>
      </c>
      <c r="BH12" s="21">
        <v>1</v>
      </c>
      <c r="BI12" s="21">
        <v>13</v>
      </c>
      <c r="BJ12" s="22">
        <f>BH12/BI12</f>
        <v>7.6923076923076927E-2</v>
      </c>
      <c r="BK12" s="58">
        <v>0.08</v>
      </c>
      <c r="BL12" s="24">
        <f>BJ12/BK12</f>
        <v>0.96153846153846156</v>
      </c>
      <c r="BM12" s="695" t="s">
        <v>3676</v>
      </c>
      <c r="BN12" s="21"/>
      <c r="BO12" s="21">
        <v>13</v>
      </c>
      <c r="BP12" s="22">
        <f>BN12/BO12</f>
        <v>0</v>
      </c>
      <c r="BQ12" s="58">
        <v>7.0000000000000007E-2</v>
      </c>
      <c r="BR12" s="24">
        <f>BP12/BQ12</f>
        <v>0</v>
      </c>
      <c r="BS12" s="695" t="s">
        <v>3677</v>
      </c>
      <c r="BT12" s="21">
        <v>3</v>
      </c>
      <c r="BU12" s="21">
        <v>13</v>
      </c>
      <c r="BV12" s="22">
        <f>BT12/BU12</f>
        <v>0.23076923076923078</v>
      </c>
      <c r="BW12" s="58">
        <v>0.23</v>
      </c>
      <c r="BX12" s="24">
        <f>BV12/BW12</f>
        <v>1.0033444816053512</v>
      </c>
      <c r="BY12" s="1874" t="s">
        <v>3678</v>
      </c>
      <c r="BZ12" s="21">
        <v>0</v>
      </c>
      <c r="CA12" s="21">
        <v>13</v>
      </c>
      <c r="CB12" s="22">
        <f>IF(CA12=0," ",BZ12/CA12)</f>
        <v>0</v>
      </c>
      <c r="CC12" s="58">
        <v>0</v>
      </c>
      <c r="CD12" s="24" t="e">
        <f>CB12/CC12</f>
        <v>#DIV/0!</v>
      </c>
      <c r="CE12" s="25" t="s">
        <v>3679</v>
      </c>
      <c r="CF12" s="21">
        <v>1</v>
      </c>
      <c r="CG12" s="21">
        <v>13</v>
      </c>
      <c r="CH12" s="22">
        <f>IF(CG12=0," ",CF12/CG12)</f>
        <v>7.6923076923076927E-2</v>
      </c>
      <c r="CI12" s="58">
        <v>0.08</v>
      </c>
      <c r="CJ12" s="24">
        <f>CH12/CI12</f>
        <v>0.96153846153846156</v>
      </c>
      <c r="CK12" s="25" t="s">
        <v>3680</v>
      </c>
      <c r="CL12" s="21">
        <v>2</v>
      </c>
      <c r="CM12" s="21">
        <v>13</v>
      </c>
      <c r="CN12" s="22">
        <v>0.08</v>
      </c>
      <c r="CO12" s="58">
        <f t="shared" si="16"/>
        <v>0.08</v>
      </c>
      <c r="CP12" s="24">
        <f>CN12/CO12</f>
        <v>1</v>
      </c>
      <c r="CQ12" s="695" t="s">
        <v>3681</v>
      </c>
      <c r="CR12" s="21">
        <f t="shared" si="17"/>
        <v>13</v>
      </c>
      <c r="CS12" s="21">
        <f t="shared" si="18"/>
        <v>13</v>
      </c>
      <c r="CT12" s="22">
        <f t="shared" si="19"/>
        <v>1</v>
      </c>
      <c r="CU12" s="58">
        <v>1</v>
      </c>
      <c r="CV12" s="24">
        <f t="shared" si="20"/>
        <v>1</v>
      </c>
      <c r="CW12" s="695" t="s">
        <v>3682</v>
      </c>
      <c r="CX12" s="1869" t="s">
        <v>3639</v>
      </c>
    </row>
    <row r="13" spans="1:102" ht="263.25" customHeight="1">
      <c r="B13" s="59" t="s">
        <v>3651</v>
      </c>
      <c r="C13" s="9" t="s">
        <v>3683</v>
      </c>
      <c r="D13" s="1870" t="s">
        <v>3684</v>
      </c>
      <c r="E13" s="96" t="s">
        <v>3685</v>
      </c>
      <c r="F13" s="59" t="s">
        <v>3686</v>
      </c>
      <c r="G13" s="9" t="s">
        <v>53</v>
      </c>
      <c r="H13" s="1871" t="s">
        <v>3656</v>
      </c>
      <c r="I13" s="9" t="s">
        <v>3600</v>
      </c>
      <c r="J13" s="9" t="s">
        <v>54</v>
      </c>
      <c r="K13" s="60"/>
      <c r="L13" s="118">
        <v>0.03</v>
      </c>
      <c r="M13" s="118">
        <v>0.14000000000000001</v>
      </c>
      <c r="N13" s="118">
        <v>0.02</v>
      </c>
      <c r="O13" s="118">
        <v>0.02</v>
      </c>
      <c r="P13" s="118">
        <v>0.11</v>
      </c>
      <c r="Q13" s="118"/>
      <c r="R13" s="118">
        <v>0.02</v>
      </c>
      <c r="S13" s="118">
        <v>0.02</v>
      </c>
      <c r="T13" s="118">
        <v>0.2</v>
      </c>
      <c r="U13" s="118">
        <v>0.11</v>
      </c>
      <c r="V13" s="118">
        <v>0.33</v>
      </c>
      <c r="W13" s="97" t="s">
        <v>3687</v>
      </c>
      <c r="X13" s="21"/>
      <c r="Y13" s="21"/>
      <c r="Z13" s="22" t="str">
        <f t="shared" si="0"/>
        <v xml:space="preserve"> </v>
      </c>
      <c r="AA13" s="58"/>
      <c r="AB13" s="24" t="str">
        <f t="shared" si="1"/>
        <v xml:space="preserve"> </v>
      </c>
      <c r="AC13" s="25"/>
      <c r="AD13" s="21">
        <v>1</v>
      </c>
      <c r="AE13" s="21">
        <v>35</v>
      </c>
      <c r="AF13" s="22">
        <f>IF(AE13=0," ",AD13/AE13)</f>
        <v>2.8571428571428571E-2</v>
      </c>
      <c r="AG13" s="58">
        <v>0.03</v>
      </c>
      <c r="AH13" s="24">
        <f>IF(AE13=0," ",AF13/AG13)</f>
        <v>0.95238095238095244</v>
      </c>
      <c r="AI13" s="25" t="s">
        <v>3688</v>
      </c>
      <c r="AJ13" s="21">
        <v>5</v>
      </c>
      <c r="AK13" s="21">
        <v>35</v>
      </c>
      <c r="AL13" s="22">
        <f>IF(AK13=0," ",AJ13/AK13)</f>
        <v>0.14285714285714285</v>
      </c>
      <c r="AM13" s="58">
        <v>0.14000000000000001</v>
      </c>
      <c r="AN13" s="24">
        <f>IF(AK13=0," ",AL13/AM13)</f>
        <v>1.0204081632653059</v>
      </c>
      <c r="AO13" s="25" t="s">
        <v>3689</v>
      </c>
      <c r="AP13" s="21">
        <v>1</v>
      </c>
      <c r="AQ13" s="21">
        <v>35</v>
      </c>
      <c r="AR13" s="22">
        <f>IF(AQ13=0," ",AP13/AQ13)</f>
        <v>2.8571428571428571E-2</v>
      </c>
      <c r="AS13" s="58">
        <v>0.02</v>
      </c>
      <c r="AT13" s="24">
        <f>IF(AQ13=0," ",AR13/AS13)</f>
        <v>1.4285714285714286</v>
      </c>
      <c r="AU13" s="25" t="s">
        <v>3690</v>
      </c>
      <c r="AV13" s="21">
        <v>1</v>
      </c>
      <c r="AW13" s="21">
        <v>35</v>
      </c>
      <c r="AX13" s="22">
        <f>IF(AW13=0," ",AV13/AW13)</f>
        <v>2.8571428571428571E-2</v>
      </c>
      <c r="AY13" s="58">
        <v>0.02</v>
      </c>
      <c r="AZ13" s="24">
        <f>IF(AW13=0," ",AX13/AY13)</f>
        <v>1.4285714285714286</v>
      </c>
      <c r="BA13" s="25" t="s">
        <v>3691</v>
      </c>
      <c r="BB13" s="21">
        <v>4</v>
      </c>
      <c r="BC13" s="21">
        <v>35</v>
      </c>
      <c r="BD13" s="22">
        <f t="shared" si="6"/>
        <v>0.11428571428571428</v>
      </c>
      <c r="BE13" s="58">
        <v>0.11</v>
      </c>
      <c r="BF13" s="24">
        <f t="shared" si="7"/>
        <v>1.0389610389610389</v>
      </c>
      <c r="BG13" s="25" t="s">
        <v>3692</v>
      </c>
      <c r="BH13" s="21">
        <v>0</v>
      </c>
      <c r="BI13" s="21">
        <v>35</v>
      </c>
      <c r="BJ13" s="22">
        <f>IF(BI13=0," ",BH13/BI13)</f>
        <v>0</v>
      </c>
      <c r="BK13" s="58">
        <v>0</v>
      </c>
      <c r="BL13" s="24" t="e">
        <f>IF(BI13=0," ",BJ13/BK13)</f>
        <v>#DIV/0!</v>
      </c>
      <c r="BM13" s="25" t="s">
        <v>3693</v>
      </c>
      <c r="BN13" s="21">
        <v>0</v>
      </c>
      <c r="BO13" s="21">
        <v>35</v>
      </c>
      <c r="BP13" s="22">
        <f t="shared" si="8"/>
        <v>0</v>
      </c>
      <c r="BQ13" s="58">
        <v>0.02</v>
      </c>
      <c r="BR13" s="24">
        <f t="shared" si="9"/>
        <v>0</v>
      </c>
      <c r="BS13" s="25" t="s">
        <v>3694</v>
      </c>
      <c r="BT13" s="21">
        <v>1</v>
      </c>
      <c r="BU13" s="21">
        <v>35</v>
      </c>
      <c r="BV13" s="22">
        <f t="shared" si="10"/>
        <v>2.8571428571428571E-2</v>
      </c>
      <c r="BW13" s="58">
        <v>0.02</v>
      </c>
      <c r="BX13" s="24">
        <f t="shared" si="11"/>
        <v>1.4285714285714286</v>
      </c>
      <c r="BY13" s="25" t="s">
        <v>3695</v>
      </c>
      <c r="BZ13" s="21">
        <v>6</v>
      </c>
      <c r="CA13" s="21">
        <v>35</v>
      </c>
      <c r="CB13" s="22">
        <f t="shared" si="12"/>
        <v>0.17142857142857143</v>
      </c>
      <c r="CC13" s="58">
        <v>0.2</v>
      </c>
      <c r="CD13" s="24">
        <f t="shared" si="13"/>
        <v>0.8571428571428571</v>
      </c>
      <c r="CE13" s="25" t="s">
        <v>3696</v>
      </c>
      <c r="CF13" s="21">
        <v>3</v>
      </c>
      <c r="CG13" s="21">
        <v>35</v>
      </c>
      <c r="CH13" s="22">
        <f t="shared" si="14"/>
        <v>8.5714285714285715E-2</v>
      </c>
      <c r="CI13" s="58">
        <v>0.11</v>
      </c>
      <c r="CJ13" s="24">
        <f t="shared" si="15"/>
        <v>0.77922077922077926</v>
      </c>
      <c r="CK13" s="25" t="s">
        <v>3697</v>
      </c>
      <c r="CL13" s="21">
        <v>13</v>
      </c>
      <c r="CM13" s="21">
        <v>35</v>
      </c>
      <c r="CN13" s="22">
        <f>IF(CM13=0," ",CL13/CM13)</f>
        <v>0.37142857142857144</v>
      </c>
      <c r="CO13" s="58">
        <f t="shared" si="16"/>
        <v>0.33</v>
      </c>
      <c r="CP13" s="24">
        <f>IF(CM13=0," ",CN13/CO13)</f>
        <v>1.1255411255411256</v>
      </c>
      <c r="CQ13" s="25" t="s">
        <v>3698</v>
      </c>
      <c r="CR13" s="21">
        <f t="shared" si="17"/>
        <v>35</v>
      </c>
      <c r="CS13" s="21">
        <f t="shared" si="18"/>
        <v>35</v>
      </c>
      <c r="CT13" s="24">
        <f t="shared" si="19"/>
        <v>1</v>
      </c>
      <c r="CU13" s="58">
        <v>1</v>
      </c>
      <c r="CV13" s="24">
        <f t="shared" si="20"/>
        <v>1</v>
      </c>
      <c r="CW13" s="25" t="s">
        <v>3699</v>
      </c>
      <c r="CX13" s="1869" t="s">
        <v>3700</v>
      </c>
    </row>
    <row r="14" spans="1:102" ht="18" hidden="1" customHeight="1">
      <c r="B14" s="8"/>
      <c r="C14" s="9"/>
      <c r="D14" s="13"/>
      <c r="E14" s="13"/>
      <c r="F14" s="8"/>
      <c r="G14" s="8"/>
      <c r="H14" s="13"/>
      <c r="I14" s="8"/>
      <c r="J14" s="8"/>
      <c r="K14" s="60"/>
      <c r="L14" s="60"/>
      <c r="M14" s="60"/>
      <c r="N14" s="60"/>
      <c r="O14" s="60"/>
      <c r="P14" s="60"/>
      <c r="Q14" s="60"/>
      <c r="R14" s="60"/>
      <c r="S14" s="60"/>
      <c r="T14" s="60"/>
      <c r="U14" s="60"/>
      <c r="V14" s="60"/>
      <c r="W14" s="75"/>
      <c r="X14" s="21"/>
      <c r="Y14" s="21"/>
      <c r="Z14" s="22" t="str">
        <f t="shared" si="0"/>
        <v xml:space="preserve"> </v>
      </c>
      <c r="AA14" s="58"/>
      <c r="AB14" s="24" t="str">
        <f t="shared" si="1"/>
        <v xml:space="preserve"> </v>
      </c>
      <c r="AC14" s="25"/>
      <c r="AD14" s="21"/>
      <c r="AE14" s="21"/>
      <c r="AF14" s="22" t="str">
        <f t="shared" si="2"/>
        <v xml:space="preserve"> </v>
      </c>
      <c r="AG14" s="58"/>
      <c r="AH14" s="24" t="str">
        <f t="shared" si="3"/>
        <v xml:space="preserve"> </v>
      </c>
      <c r="AI14" s="25"/>
      <c r="AJ14" s="21"/>
      <c r="AK14" s="21"/>
      <c r="AL14" s="22" t="str">
        <f t="shared" si="21"/>
        <v xml:space="preserve"> </v>
      </c>
      <c r="AM14" s="58"/>
      <c r="AN14" s="24" t="str">
        <f t="shared" si="22"/>
        <v xml:space="preserve"> </v>
      </c>
      <c r="AO14" s="25"/>
      <c r="AP14" s="21"/>
      <c r="AQ14" s="21"/>
      <c r="AR14" s="22" t="str">
        <f t="shared" si="23"/>
        <v xml:space="preserve"> </v>
      </c>
      <c r="AS14" s="58"/>
      <c r="AT14" s="24" t="str">
        <f t="shared" si="24"/>
        <v xml:space="preserve"> </v>
      </c>
      <c r="AU14" s="25"/>
      <c r="AV14" s="21"/>
      <c r="AW14" s="21"/>
      <c r="AX14" s="22" t="str">
        <f t="shared" si="4"/>
        <v xml:space="preserve"> </v>
      </c>
      <c r="AY14" s="58"/>
      <c r="AZ14" s="24" t="str">
        <f t="shared" si="5"/>
        <v xml:space="preserve"> </v>
      </c>
      <c r="BA14" s="25"/>
      <c r="BB14" s="21"/>
      <c r="BC14" s="21"/>
      <c r="BD14" s="22" t="str">
        <f t="shared" si="6"/>
        <v xml:space="preserve"> </v>
      </c>
      <c r="BE14" s="58"/>
      <c r="BF14" s="24" t="str">
        <f t="shared" si="7"/>
        <v xml:space="preserve"> </v>
      </c>
      <c r="BG14" s="25"/>
      <c r="BH14" s="21"/>
      <c r="BI14" s="21"/>
      <c r="BJ14" s="22" t="str">
        <f>IF(BI14=0," ",BH14/BI14)</f>
        <v xml:space="preserve"> </v>
      </c>
      <c r="BK14" s="58"/>
      <c r="BL14" s="24" t="str">
        <f>IF(BI14=0," ",BJ14/BK14)</f>
        <v xml:space="preserve"> </v>
      </c>
      <c r="BM14" s="25"/>
      <c r="BN14" s="21"/>
      <c r="BO14" s="21"/>
      <c r="BP14" s="22" t="str">
        <f t="shared" si="8"/>
        <v xml:space="preserve"> </v>
      </c>
      <c r="BQ14" s="58"/>
      <c r="BR14" s="24" t="str">
        <f t="shared" si="9"/>
        <v xml:space="preserve"> </v>
      </c>
      <c r="BS14" s="25"/>
      <c r="BT14" s="21"/>
      <c r="BU14" s="21"/>
      <c r="BV14" s="22" t="str">
        <f t="shared" si="10"/>
        <v xml:space="preserve"> </v>
      </c>
      <c r="BW14" s="58"/>
      <c r="BX14" s="24" t="str">
        <f t="shared" si="11"/>
        <v xml:space="preserve"> </v>
      </c>
      <c r="BY14" s="25"/>
      <c r="BZ14" s="21"/>
      <c r="CA14" s="21"/>
      <c r="CB14" s="22" t="str">
        <f t="shared" si="12"/>
        <v xml:space="preserve"> </v>
      </c>
      <c r="CC14" s="58"/>
      <c r="CD14" s="24" t="str">
        <f t="shared" si="13"/>
        <v xml:space="preserve"> </v>
      </c>
      <c r="CE14" s="25"/>
      <c r="CF14" s="21"/>
      <c r="CG14" s="21"/>
      <c r="CH14" s="22" t="str">
        <f t="shared" si="14"/>
        <v xml:space="preserve"> </v>
      </c>
      <c r="CI14" s="58"/>
      <c r="CJ14" s="24" t="str">
        <f t="shared" si="15"/>
        <v xml:space="preserve"> </v>
      </c>
      <c r="CK14" s="25"/>
      <c r="CL14" s="21"/>
      <c r="CM14" s="21"/>
      <c r="CN14" s="22" t="str">
        <f>IF(CM14=0," ",CL14/CM14)</f>
        <v xml:space="preserve"> </v>
      </c>
      <c r="CO14" s="58"/>
      <c r="CP14" s="24" t="str">
        <f>IF(CM14=0," ",CN14/CO14)</f>
        <v xml:space="preserve"> </v>
      </c>
      <c r="CQ14" s="25"/>
      <c r="CR14" s="21"/>
      <c r="CS14" s="21"/>
      <c r="CT14" s="22" t="str">
        <f t="shared" si="19"/>
        <v xml:space="preserve"> </v>
      </c>
      <c r="CU14" s="58"/>
      <c r="CV14" s="24" t="str">
        <f t="shared" si="20"/>
        <v xml:space="preserve"> </v>
      </c>
      <c r="CW14" s="25"/>
    </row>
    <row r="15" spans="1:102" ht="18" hidden="1" customHeight="1">
      <c r="B15" s="8"/>
      <c r="C15" s="9"/>
      <c r="D15" s="13"/>
      <c r="E15" s="13"/>
      <c r="F15" s="8"/>
      <c r="G15" s="8"/>
      <c r="H15" s="13"/>
      <c r="I15" s="8"/>
      <c r="J15" s="8"/>
      <c r="K15" s="60"/>
      <c r="L15" s="60"/>
      <c r="M15" s="60"/>
      <c r="N15" s="60"/>
      <c r="O15" s="60"/>
      <c r="P15" s="60"/>
      <c r="Q15" s="60"/>
      <c r="R15" s="60"/>
      <c r="S15" s="60"/>
      <c r="T15" s="60"/>
      <c r="U15" s="60"/>
      <c r="V15" s="60"/>
      <c r="W15" s="75"/>
      <c r="X15" s="21"/>
      <c r="Y15" s="21"/>
      <c r="Z15" s="22" t="str">
        <f t="shared" si="0"/>
        <v xml:space="preserve"> </v>
      </c>
      <c r="AA15" s="58"/>
      <c r="AB15" s="24" t="str">
        <f t="shared" si="1"/>
        <v xml:space="preserve"> </v>
      </c>
      <c r="AC15" s="25"/>
      <c r="AD15" s="21"/>
      <c r="AE15" s="21"/>
      <c r="AF15" s="22" t="str">
        <f t="shared" si="2"/>
        <v xml:space="preserve"> </v>
      </c>
      <c r="AG15" s="58"/>
      <c r="AH15" s="24" t="str">
        <f t="shared" si="3"/>
        <v xml:space="preserve"> </v>
      </c>
      <c r="AI15" s="25"/>
      <c r="AJ15" s="21"/>
      <c r="AK15" s="21"/>
      <c r="AL15" s="22" t="str">
        <f t="shared" si="21"/>
        <v xml:space="preserve"> </v>
      </c>
      <c r="AM15" s="58"/>
      <c r="AN15" s="24" t="str">
        <f t="shared" si="22"/>
        <v xml:space="preserve"> </v>
      </c>
      <c r="AO15" s="25"/>
      <c r="AP15" s="21"/>
      <c r="AQ15" s="21"/>
      <c r="AR15" s="22" t="str">
        <f t="shared" si="23"/>
        <v xml:space="preserve"> </v>
      </c>
      <c r="AS15" s="58"/>
      <c r="AT15" s="24" t="str">
        <f t="shared" si="24"/>
        <v xml:space="preserve"> </v>
      </c>
      <c r="AU15" s="25"/>
      <c r="AV15" s="21"/>
      <c r="AW15" s="21"/>
      <c r="AX15" s="22" t="str">
        <f t="shared" si="4"/>
        <v xml:space="preserve"> </v>
      </c>
      <c r="AY15" s="58"/>
      <c r="AZ15" s="24" t="str">
        <f t="shared" si="5"/>
        <v xml:space="preserve"> </v>
      </c>
      <c r="BA15" s="25"/>
      <c r="BB15" s="21"/>
      <c r="BC15" s="21"/>
      <c r="BD15" s="22" t="str">
        <f t="shared" si="6"/>
        <v xml:space="preserve"> </v>
      </c>
      <c r="BE15" s="58"/>
      <c r="BF15" s="24" t="str">
        <f t="shared" si="7"/>
        <v xml:space="preserve"> </v>
      </c>
      <c r="BG15" s="25"/>
      <c r="BH15" s="21"/>
      <c r="BI15" s="21"/>
      <c r="BJ15" s="22" t="str">
        <f>IF(BI15=0," ",BH15/BI15)</f>
        <v xml:space="preserve"> </v>
      </c>
      <c r="BK15" s="58"/>
      <c r="BL15" s="24" t="str">
        <f>IF(BI15=0," ",BJ15/BK15)</f>
        <v xml:space="preserve"> </v>
      </c>
      <c r="BM15" s="25"/>
      <c r="BN15" s="21"/>
      <c r="BO15" s="21"/>
      <c r="BP15" s="22" t="str">
        <f t="shared" si="8"/>
        <v xml:space="preserve"> </v>
      </c>
      <c r="BQ15" s="58"/>
      <c r="BR15" s="24" t="str">
        <f t="shared" si="9"/>
        <v xml:space="preserve"> </v>
      </c>
      <c r="BS15" s="25"/>
      <c r="BT15" s="21"/>
      <c r="BU15" s="21"/>
      <c r="BV15" s="22" t="str">
        <f t="shared" si="10"/>
        <v xml:space="preserve"> </v>
      </c>
      <c r="BW15" s="58"/>
      <c r="BX15" s="24" t="str">
        <f t="shared" si="11"/>
        <v xml:space="preserve"> </v>
      </c>
      <c r="BY15" s="25"/>
      <c r="BZ15" s="21"/>
      <c r="CA15" s="21"/>
      <c r="CB15" s="22" t="str">
        <f t="shared" si="12"/>
        <v xml:space="preserve"> </v>
      </c>
      <c r="CC15" s="58"/>
      <c r="CD15" s="24" t="str">
        <f t="shared" si="13"/>
        <v xml:space="preserve"> </v>
      </c>
      <c r="CE15" s="25"/>
      <c r="CF15" s="21"/>
      <c r="CG15" s="21"/>
      <c r="CH15" s="22" t="str">
        <f t="shared" si="14"/>
        <v xml:space="preserve"> </v>
      </c>
      <c r="CI15" s="58"/>
      <c r="CJ15" s="24" t="str">
        <f t="shared" si="15"/>
        <v xml:space="preserve"> </v>
      </c>
      <c r="CK15" s="25"/>
      <c r="CL15" s="21"/>
      <c r="CM15" s="21"/>
      <c r="CN15" s="22" t="str">
        <f>IF(CM15=0," ",CL15/CM15)</f>
        <v xml:space="preserve"> </v>
      </c>
      <c r="CO15" s="58"/>
      <c r="CP15" s="24" t="str">
        <f>IF(CM15=0," ",CN15/CO15)</f>
        <v xml:space="preserve"> </v>
      </c>
      <c r="CQ15" s="25"/>
      <c r="CR15" s="21"/>
      <c r="CS15" s="21"/>
      <c r="CT15" s="22" t="str">
        <f t="shared" si="19"/>
        <v xml:space="preserve"> </v>
      </c>
      <c r="CU15" s="58"/>
      <c r="CV15" s="24" t="str">
        <f t="shared" si="20"/>
        <v xml:space="preserve"> </v>
      </c>
      <c r="CW15" s="25"/>
    </row>
    <row r="16" spans="1:102" ht="14.25" customHeight="1">
      <c r="B16" s="2736" t="s">
        <v>49</v>
      </c>
      <c r="C16" s="2737"/>
      <c r="D16" s="2737"/>
      <c r="E16" s="2737"/>
      <c r="F16" s="2737"/>
      <c r="G16" s="2737"/>
      <c r="H16" s="2737"/>
      <c r="I16" s="2737"/>
      <c r="J16" s="2737"/>
      <c r="K16" s="2737"/>
      <c r="L16" s="2737"/>
      <c r="M16" s="2737"/>
      <c r="N16" s="2737"/>
      <c r="O16" s="2737"/>
      <c r="P16" s="2737"/>
      <c r="Q16" s="2737"/>
      <c r="R16" s="2737"/>
      <c r="S16" s="2737"/>
      <c r="T16" s="2737"/>
      <c r="U16" s="2737"/>
      <c r="V16" s="2737"/>
      <c r="W16" s="2738"/>
      <c r="X16" s="709"/>
      <c r="Y16" s="709"/>
      <c r="Z16" s="22"/>
      <c r="AA16" s="24"/>
      <c r="AB16" s="24"/>
      <c r="AC16" s="1203"/>
      <c r="AD16" s="1203"/>
      <c r="AE16" s="709"/>
      <c r="AF16" s="709"/>
      <c r="AG16" s="22"/>
      <c r="AH16" s="24"/>
      <c r="AI16" s="24"/>
      <c r="AJ16" s="1203"/>
      <c r="AK16" s="709"/>
      <c r="AL16" s="709"/>
      <c r="AM16" s="22"/>
      <c r="AN16" s="24"/>
      <c r="AO16" s="24"/>
      <c r="AP16" s="709"/>
      <c r="AQ16" s="709"/>
      <c r="AR16" s="22"/>
      <c r="AS16" s="24"/>
      <c r="AT16" s="24"/>
      <c r="AU16" s="710"/>
      <c r="AV16" s="1203"/>
      <c r="AW16" s="709"/>
      <c r="AX16" s="709"/>
      <c r="AY16" s="22"/>
      <c r="AZ16" s="24"/>
      <c r="BA16" s="24"/>
      <c r="BB16" s="709"/>
      <c r="BC16" s="709"/>
      <c r="BD16" s="22"/>
      <c r="BE16" s="24"/>
      <c r="BF16" s="24"/>
      <c r="BG16" s="710"/>
      <c r="BH16" s="1203"/>
      <c r="BI16" s="709"/>
      <c r="BJ16" s="709"/>
      <c r="BK16" s="22"/>
      <c r="BL16" s="24"/>
      <c r="BM16" s="24"/>
      <c r="BN16" s="709"/>
      <c r="BO16" s="709"/>
      <c r="BP16" s="22"/>
      <c r="BQ16" s="24"/>
      <c r="BR16" s="24"/>
      <c r="BS16" s="710"/>
      <c r="BT16" s="1203"/>
      <c r="BU16" s="709"/>
      <c r="BV16" s="709"/>
      <c r="BW16" s="22"/>
      <c r="BX16" s="24"/>
      <c r="BY16" s="24"/>
      <c r="BZ16" s="709"/>
      <c r="CA16" s="709"/>
      <c r="CB16" s="22"/>
      <c r="CC16" s="24"/>
      <c r="CD16" s="24"/>
      <c r="CE16" s="710"/>
      <c r="CF16" s="1203"/>
      <c r="CG16" s="709"/>
      <c r="CH16" s="709"/>
      <c r="CI16" s="22"/>
      <c r="CJ16" s="24"/>
      <c r="CK16" s="24"/>
      <c r="CL16" s="709"/>
      <c r="CM16" s="709"/>
      <c r="CN16" s="22"/>
      <c r="CO16" s="24"/>
      <c r="CP16" s="24"/>
      <c r="CQ16" s="710"/>
      <c r="CR16" s="1203"/>
      <c r="CS16" s="709"/>
      <c r="CT16" s="709"/>
      <c r="CU16" s="22"/>
      <c r="CV16" s="24"/>
      <c r="CW16" s="24"/>
    </row>
    <row r="17" spans="2:101" ht="70.5" customHeight="1">
      <c r="B17" s="8" t="s">
        <v>155</v>
      </c>
      <c r="C17" s="8" t="s">
        <v>156</v>
      </c>
      <c r="D17" s="13" t="s">
        <v>157</v>
      </c>
      <c r="E17" s="13" t="s">
        <v>158</v>
      </c>
      <c r="F17" s="8" t="s">
        <v>251</v>
      </c>
      <c r="G17" s="8" t="s">
        <v>53</v>
      </c>
      <c r="H17" s="13" t="s">
        <v>160</v>
      </c>
      <c r="I17" s="8" t="s">
        <v>161</v>
      </c>
      <c r="J17" s="8" t="s">
        <v>54</v>
      </c>
      <c r="K17" s="60"/>
      <c r="L17" s="60"/>
      <c r="M17" s="60"/>
      <c r="N17" s="60">
        <v>1</v>
      </c>
      <c r="O17" s="60"/>
      <c r="P17" s="60">
        <v>1</v>
      </c>
      <c r="Q17" s="60"/>
      <c r="R17" s="60"/>
      <c r="S17" s="60">
        <v>1</v>
      </c>
      <c r="T17" s="60"/>
      <c r="U17" s="60"/>
      <c r="V17" s="60">
        <v>1</v>
      </c>
      <c r="W17" s="75" t="s">
        <v>3701</v>
      </c>
      <c r="X17" s="21"/>
      <c r="Y17" s="21"/>
      <c r="Z17" s="22" t="str">
        <f t="shared" ref="Z17:Z24" si="25">IF(Y17=0," ",X17/Y17)</f>
        <v xml:space="preserve"> </v>
      </c>
      <c r="AA17" s="58"/>
      <c r="AB17" s="24" t="str">
        <f t="shared" ref="AB17:AB24" si="26">IF(Y17=0," ",Z17/AA17)</f>
        <v xml:space="preserve"> </v>
      </c>
      <c r="AC17" s="25"/>
      <c r="AD17" s="21"/>
      <c r="AE17" s="21"/>
      <c r="AF17" s="22" t="str">
        <f t="shared" ref="AF17:AF24" si="27">IF(AE17=0," ",AD17/AE17)</f>
        <v xml:space="preserve"> </v>
      </c>
      <c r="AG17" s="58"/>
      <c r="AH17" s="24" t="str">
        <f t="shared" ref="AH17:AH24" si="28">IF(AE17=0," ",AF17/AG17)</f>
        <v xml:space="preserve"> </v>
      </c>
      <c r="AI17" s="25"/>
      <c r="AJ17" s="21"/>
      <c r="AK17" s="21"/>
      <c r="AL17" s="22" t="str">
        <f t="shared" ref="AL17:AL23" si="29">IF(AK17=0," ",AJ17/AK17)</f>
        <v xml:space="preserve"> </v>
      </c>
      <c r="AM17" s="58"/>
      <c r="AN17" s="24" t="str">
        <f t="shared" ref="AN17:AN23" si="30">IF(AK17=0," ",AL17/AM17)</f>
        <v xml:space="preserve"> </v>
      </c>
      <c r="AO17" s="25"/>
      <c r="AP17" s="21">
        <v>13</v>
      </c>
      <c r="AQ17" s="21">
        <v>20</v>
      </c>
      <c r="AR17" s="145">
        <f>IF(AQ17=0," ",AP17/AQ17)</f>
        <v>0.65</v>
      </c>
      <c r="AS17" s="58">
        <v>1</v>
      </c>
      <c r="AT17" s="24">
        <f>IF(AQ17=0," ",AR17/AS17)</f>
        <v>0.65</v>
      </c>
      <c r="AU17" s="687" t="s">
        <v>3702</v>
      </c>
      <c r="AV17" s="21"/>
      <c r="AW17" s="21"/>
      <c r="AX17" s="22" t="str">
        <f t="shared" ref="AX17:AX24" si="31">IF(AW17=0," ",AV17/AW17)</f>
        <v xml:space="preserve"> </v>
      </c>
      <c r="AY17" s="58"/>
      <c r="AZ17" s="24" t="str">
        <f t="shared" ref="AZ17:AZ24" si="32">IF(AW17=0," ",AX17/AY17)</f>
        <v xml:space="preserve"> </v>
      </c>
      <c r="BA17" s="25" t="s">
        <v>3703</v>
      </c>
      <c r="BB17" s="564">
        <v>17</v>
      </c>
      <c r="BC17" s="564">
        <v>21</v>
      </c>
      <c r="BD17" s="145">
        <f>IF(BC17=0," ",BB17/BC17)</f>
        <v>0.80952380952380953</v>
      </c>
      <c r="BE17" s="58">
        <v>1</v>
      </c>
      <c r="BF17" s="24">
        <f>IF(BC17=0," ",BD17/BE17)</f>
        <v>0.80952380952380953</v>
      </c>
      <c r="BG17" s="25" t="s">
        <v>3704</v>
      </c>
      <c r="BH17" s="21"/>
      <c r="BI17" s="21"/>
      <c r="BJ17" s="22" t="str">
        <f t="shared" ref="BJ17:BJ24" si="33">IF(BI17=0," ",BH17/BI17)</f>
        <v xml:space="preserve"> </v>
      </c>
      <c r="BK17" s="58"/>
      <c r="BL17" s="24" t="str">
        <f t="shared" ref="BL17:BL24" si="34">IF(BI17=0," ",BJ17/BK17)</f>
        <v xml:space="preserve"> </v>
      </c>
      <c r="BM17" s="25"/>
      <c r="BN17" s="21"/>
      <c r="BO17" s="21"/>
      <c r="BP17" s="22" t="str">
        <f t="shared" ref="BP17:BP24" si="35">IF(BO17=0," ",BN17/BO17)</f>
        <v xml:space="preserve"> </v>
      </c>
      <c r="BQ17" s="58"/>
      <c r="BR17" s="24" t="str">
        <f t="shared" ref="BR17:BR24" si="36">IF(BO17=0," ",BP17/BQ17)</f>
        <v xml:space="preserve"> </v>
      </c>
      <c r="BS17" s="25"/>
      <c r="BT17" s="1304">
        <v>19</v>
      </c>
      <c r="BU17" s="1304">
        <v>31</v>
      </c>
      <c r="BV17" s="22">
        <f>IF(BU17=0," ",BT17/BU17)</f>
        <v>0.61290322580645162</v>
      </c>
      <c r="BW17" s="58">
        <v>1</v>
      </c>
      <c r="BX17" s="24">
        <f>IF(BU17=0," ",BV17/BW17)</f>
        <v>0.61290322580645162</v>
      </c>
      <c r="BY17" s="25" t="s">
        <v>1419</v>
      </c>
      <c r="BZ17" s="21"/>
      <c r="CA17" s="21"/>
      <c r="CB17" s="22" t="str">
        <f t="shared" ref="CB17:CB24" si="37">IF(CA17=0," ",BZ17/CA17)</f>
        <v xml:space="preserve"> </v>
      </c>
      <c r="CC17" s="58"/>
      <c r="CD17" s="24" t="str">
        <f t="shared" ref="CD17:CD24" si="38">IF(CA17=0," ",CB17/CC17)</f>
        <v xml:space="preserve"> </v>
      </c>
      <c r="CE17" s="25"/>
      <c r="CF17" s="21"/>
      <c r="CG17" s="21"/>
      <c r="CH17" s="22" t="str">
        <f t="shared" ref="CH17:CH24" si="39">IF(CG17=0," ",CF17/CG17)</f>
        <v xml:space="preserve"> </v>
      </c>
      <c r="CI17" s="58"/>
      <c r="CJ17" s="24" t="str">
        <f t="shared" ref="CJ17:CJ24" si="40">IF(CG17=0," ",CH17/CI17)</f>
        <v xml:space="preserve"> </v>
      </c>
      <c r="CK17" s="25"/>
      <c r="CL17" s="117">
        <v>29</v>
      </c>
      <c r="CM17" s="117">
        <v>30</v>
      </c>
      <c r="CN17" s="24">
        <f t="shared" ref="CN17:CN23" si="41">IF(CM17=0," ",CL17/CM17)</f>
        <v>0.96666666666666667</v>
      </c>
      <c r="CO17" s="58">
        <v>1</v>
      </c>
      <c r="CP17" s="24">
        <f>IF(CM17=0," ",CN17/CO17)</f>
        <v>0.96666666666666667</v>
      </c>
      <c r="CQ17" s="116" t="s">
        <v>3705</v>
      </c>
      <c r="CR17" s="117">
        <v>29</v>
      </c>
      <c r="CS17" s="117">
        <v>30</v>
      </c>
      <c r="CT17" s="24">
        <f t="shared" ref="CT17:CT23" si="42">IF(CS17=0," ",CR17/CS17)</f>
        <v>0.96666666666666667</v>
      </c>
      <c r="CU17" s="58">
        <v>1</v>
      </c>
      <c r="CV17" s="24">
        <f>IF(CS17=0," ",CT17/CU17)</f>
        <v>0.96666666666666667</v>
      </c>
      <c r="CW17" s="116" t="s">
        <v>3705</v>
      </c>
    </row>
    <row r="18" spans="2:101" ht="72.75" customHeight="1">
      <c r="B18" s="8" t="s">
        <v>383</v>
      </c>
      <c r="C18" s="8" t="s">
        <v>89</v>
      </c>
      <c r="D18" s="8" t="s">
        <v>56</v>
      </c>
      <c r="E18" s="8" t="s">
        <v>57</v>
      </c>
      <c r="F18" s="403" t="s">
        <v>58</v>
      </c>
      <c r="G18" s="8" t="s">
        <v>53</v>
      </c>
      <c r="H18" s="403" t="s">
        <v>258</v>
      </c>
      <c r="I18" s="8" t="s">
        <v>60</v>
      </c>
      <c r="J18" s="135" t="s">
        <v>54</v>
      </c>
      <c r="K18" s="60"/>
      <c r="L18" s="60"/>
      <c r="M18" s="60">
        <v>1</v>
      </c>
      <c r="N18" s="60"/>
      <c r="O18" s="60"/>
      <c r="P18" s="60">
        <v>1</v>
      </c>
      <c r="Q18" s="60"/>
      <c r="R18" s="60"/>
      <c r="S18" s="60">
        <v>1</v>
      </c>
      <c r="T18" s="60"/>
      <c r="U18" s="60"/>
      <c r="V18" s="60">
        <v>1</v>
      </c>
      <c r="W18" s="8" t="s">
        <v>3706</v>
      </c>
      <c r="X18" s="21"/>
      <c r="Y18" s="21"/>
      <c r="Z18" s="22" t="str">
        <f t="shared" si="25"/>
        <v xml:space="preserve"> </v>
      </c>
      <c r="AA18" s="58"/>
      <c r="AB18" s="24" t="str">
        <f t="shared" si="26"/>
        <v xml:space="preserve"> </v>
      </c>
      <c r="AC18" s="25"/>
      <c r="AD18" s="21"/>
      <c r="AE18" s="21"/>
      <c r="AF18" s="22" t="str">
        <f t="shared" si="27"/>
        <v xml:space="preserve"> </v>
      </c>
      <c r="AG18" s="58"/>
      <c r="AH18" s="24" t="str">
        <f t="shared" si="28"/>
        <v xml:space="preserve"> </v>
      </c>
      <c r="AI18" s="25"/>
      <c r="AJ18" s="1305">
        <v>0</v>
      </c>
      <c r="AK18" s="21">
        <v>1</v>
      </c>
      <c r="AL18" s="145">
        <v>0</v>
      </c>
      <c r="AM18" s="23">
        <v>1</v>
      </c>
      <c r="AN18" s="24">
        <v>0</v>
      </c>
      <c r="AO18" s="215" t="s">
        <v>1509</v>
      </c>
      <c r="AP18" s="21"/>
      <c r="AQ18" s="21"/>
      <c r="AR18" s="22" t="str">
        <f t="shared" ref="AR18:AR24" si="43">IF(AQ18=0," ",AP18/AQ18)</f>
        <v xml:space="preserve"> </v>
      </c>
      <c r="AS18" s="58"/>
      <c r="AT18" s="24" t="str">
        <f t="shared" ref="AT18:AT24" si="44">IF(AQ18=0," ",AR18/AS18)</f>
        <v xml:space="preserve"> </v>
      </c>
      <c r="AU18" s="25"/>
      <c r="AV18" s="21"/>
      <c r="AW18" s="21"/>
      <c r="AX18" s="22" t="str">
        <f t="shared" si="31"/>
        <v xml:space="preserve"> </v>
      </c>
      <c r="AY18" s="58"/>
      <c r="AZ18" s="24" t="str">
        <f t="shared" si="32"/>
        <v xml:space="preserve"> </v>
      </c>
      <c r="BA18" s="25" t="s">
        <v>3703</v>
      </c>
      <c r="BB18" s="1209">
        <v>0</v>
      </c>
      <c r="BC18" s="1210">
        <v>100</v>
      </c>
      <c r="BD18" s="145">
        <f t="shared" ref="BD18:BD23" si="45">IF(BC18=0," ",BB18/BC18)</f>
        <v>0</v>
      </c>
      <c r="BE18" s="23">
        <v>1</v>
      </c>
      <c r="BF18" s="24">
        <f t="shared" ref="BF18:BF23" si="46">IF(BC18=0," ",BD18/BE18)</f>
        <v>0</v>
      </c>
      <c r="BG18" s="215" t="s">
        <v>1509</v>
      </c>
      <c r="BH18" s="21"/>
      <c r="BI18" s="21"/>
      <c r="BJ18" s="22" t="str">
        <f t="shared" si="33"/>
        <v xml:space="preserve"> </v>
      </c>
      <c r="BK18" s="58"/>
      <c r="BL18" s="24" t="str">
        <f t="shared" si="34"/>
        <v xml:space="preserve"> </v>
      </c>
      <c r="BM18" s="25"/>
      <c r="BN18" s="21"/>
      <c r="BO18" s="21"/>
      <c r="BP18" s="22" t="str">
        <f t="shared" si="35"/>
        <v xml:space="preserve"> </v>
      </c>
      <c r="BQ18" s="58"/>
      <c r="BR18" s="24" t="str">
        <f t="shared" si="36"/>
        <v xml:space="preserve"> </v>
      </c>
      <c r="BS18" s="25"/>
      <c r="BT18" s="1304">
        <v>0</v>
      </c>
      <c r="BU18" s="568">
        <v>1</v>
      </c>
      <c r="BV18" s="22">
        <v>0</v>
      </c>
      <c r="BW18" s="58">
        <v>1</v>
      </c>
      <c r="BX18" s="24">
        <v>0</v>
      </c>
      <c r="BY18" s="101" t="s">
        <v>3707</v>
      </c>
      <c r="BZ18" s="21"/>
      <c r="CA18" s="21"/>
      <c r="CB18" s="22" t="str">
        <f t="shared" si="37"/>
        <v xml:space="preserve"> </v>
      </c>
      <c r="CC18" s="58"/>
      <c r="CD18" s="24" t="str">
        <f t="shared" si="38"/>
        <v xml:space="preserve"> </v>
      </c>
      <c r="CE18" s="25"/>
      <c r="CF18" s="21"/>
      <c r="CG18" s="21"/>
      <c r="CH18" s="22" t="str">
        <f t="shared" si="39"/>
        <v xml:space="preserve"> </v>
      </c>
      <c r="CI18" s="58"/>
      <c r="CJ18" s="24" t="str">
        <f t="shared" si="40"/>
        <v xml:space="preserve"> </v>
      </c>
      <c r="CK18" s="25"/>
      <c r="CL18" s="117">
        <v>100</v>
      </c>
      <c r="CM18" s="117">
        <v>100</v>
      </c>
      <c r="CN18" s="24">
        <f t="shared" si="41"/>
        <v>1</v>
      </c>
      <c r="CO18" s="58">
        <v>1</v>
      </c>
      <c r="CP18" s="24">
        <f>IF(CM18=0," ",CN18/CO18)</f>
        <v>1</v>
      </c>
      <c r="CQ18" s="25" t="s">
        <v>326</v>
      </c>
      <c r="CR18" s="653">
        <f>AVERAGE(AJ18,BB18,BT18,CL18)</f>
        <v>25</v>
      </c>
      <c r="CS18" s="21">
        <v>100</v>
      </c>
      <c r="CT18" s="24">
        <f t="shared" si="42"/>
        <v>0.25</v>
      </c>
      <c r="CU18" s="23">
        <v>1</v>
      </c>
      <c r="CV18" s="24">
        <f>IF(CS18=0," ",CT18/CU18)</f>
        <v>0.25</v>
      </c>
      <c r="CW18" s="25" t="s">
        <v>327</v>
      </c>
    </row>
    <row r="19" spans="2:101" ht="83.25" customHeight="1">
      <c r="B19" s="8" t="s">
        <v>383</v>
      </c>
      <c r="C19" s="8" t="s">
        <v>3708</v>
      </c>
      <c r="D19" s="8" t="s">
        <v>61</v>
      </c>
      <c r="E19" s="8" t="s">
        <v>57</v>
      </c>
      <c r="F19" s="403" t="s">
        <v>62</v>
      </c>
      <c r="G19" s="8" t="s">
        <v>53</v>
      </c>
      <c r="H19" s="8" t="s">
        <v>63</v>
      </c>
      <c r="I19" s="8" t="s">
        <v>64</v>
      </c>
      <c r="J19" s="135" t="s">
        <v>54</v>
      </c>
      <c r="K19" s="60"/>
      <c r="L19" s="60">
        <v>1</v>
      </c>
      <c r="M19" s="60"/>
      <c r="N19" s="60">
        <v>1</v>
      </c>
      <c r="O19" s="60"/>
      <c r="P19" s="60">
        <v>1</v>
      </c>
      <c r="Q19" s="60"/>
      <c r="R19" s="60">
        <v>1</v>
      </c>
      <c r="S19" s="60"/>
      <c r="T19" s="60">
        <v>1</v>
      </c>
      <c r="U19" s="60"/>
      <c r="V19" s="60">
        <v>1</v>
      </c>
      <c r="W19" s="1247" t="s">
        <v>3709</v>
      </c>
      <c r="X19" s="21"/>
      <c r="Y19" s="21"/>
      <c r="Z19" s="22" t="str">
        <f t="shared" si="25"/>
        <v xml:space="preserve"> </v>
      </c>
      <c r="AA19" s="58"/>
      <c r="AB19" s="24" t="str">
        <f t="shared" si="26"/>
        <v xml:space="preserve"> </v>
      </c>
      <c r="AC19" s="25"/>
      <c r="AD19" s="21" t="s">
        <v>325</v>
      </c>
      <c r="AE19" s="21"/>
      <c r="AF19" s="22" t="str">
        <f t="shared" si="27"/>
        <v xml:space="preserve"> </v>
      </c>
      <c r="AG19" s="58" t="s">
        <v>325</v>
      </c>
      <c r="AH19" s="24" t="str">
        <f t="shared" si="28"/>
        <v xml:space="preserve"> </v>
      </c>
      <c r="AI19" s="241" t="s">
        <v>148</v>
      </c>
      <c r="AJ19" s="21"/>
      <c r="AK19" s="21"/>
      <c r="AL19" s="22" t="str">
        <f t="shared" si="29"/>
        <v xml:space="preserve"> </v>
      </c>
      <c r="AM19" s="58"/>
      <c r="AN19" s="24" t="str">
        <f t="shared" si="30"/>
        <v xml:space="preserve"> </v>
      </c>
      <c r="AO19" s="1311" t="s">
        <v>1280</v>
      </c>
      <c r="AP19" s="21"/>
      <c r="AQ19" s="21"/>
      <c r="AR19" s="22" t="str">
        <f t="shared" si="43"/>
        <v xml:space="preserve"> </v>
      </c>
      <c r="AS19" s="23"/>
      <c r="AT19" s="24" t="str">
        <f t="shared" si="44"/>
        <v xml:space="preserve"> </v>
      </c>
      <c r="AU19" s="241" t="s">
        <v>148</v>
      </c>
      <c r="AV19" s="21"/>
      <c r="AW19" s="21"/>
      <c r="AX19" s="22" t="str">
        <f t="shared" si="31"/>
        <v xml:space="preserve"> </v>
      </c>
      <c r="AY19" s="58"/>
      <c r="AZ19" s="24" t="str">
        <f t="shared" si="32"/>
        <v xml:space="preserve"> </v>
      </c>
      <c r="BA19" s="25" t="s">
        <v>3703</v>
      </c>
      <c r="BB19" s="1209">
        <v>100</v>
      </c>
      <c r="BC19" s="1210">
        <v>100</v>
      </c>
      <c r="BD19" s="22">
        <f t="shared" si="45"/>
        <v>1</v>
      </c>
      <c r="BE19" s="58">
        <v>1</v>
      </c>
      <c r="BF19" s="24">
        <f t="shared" si="46"/>
        <v>1</v>
      </c>
      <c r="BG19" s="25" t="s">
        <v>972</v>
      </c>
      <c r="BH19" s="21"/>
      <c r="BI19" s="21"/>
      <c r="BJ19" s="22" t="str">
        <f t="shared" si="33"/>
        <v xml:space="preserve"> </v>
      </c>
      <c r="BK19" s="58"/>
      <c r="BL19" s="24" t="str">
        <f t="shared" si="34"/>
        <v xml:space="preserve"> </v>
      </c>
      <c r="BM19" s="25"/>
      <c r="BN19" s="21"/>
      <c r="BO19" s="658"/>
      <c r="BP19" s="281" t="str">
        <f t="shared" si="35"/>
        <v xml:space="preserve"> </v>
      </c>
      <c r="BQ19" s="660" t="s">
        <v>325</v>
      </c>
      <c r="BR19" s="1211" t="str">
        <f t="shared" si="36"/>
        <v xml:space="preserve"> </v>
      </c>
      <c r="BS19" s="241" t="s">
        <v>148</v>
      </c>
      <c r="BT19" s="21"/>
      <c r="BU19" s="21"/>
      <c r="BV19" s="22" t="str">
        <f>IF(BU19=0," ",BT19/BU19)</f>
        <v xml:space="preserve"> </v>
      </c>
      <c r="BW19" s="58"/>
      <c r="BX19" s="24" t="str">
        <f>IF(BU19=0," ",BV19/BW19)</f>
        <v xml:space="preserve"> </v>
      </c>
      <c r="BY19" s="1311" t="s">
        <v>1280</v>
      </c>
      <c r="BZ19" s="21"/>
      <c r="CA19" s="21"/>
      <c r="CB19" s="22" t="str">
        <f t="shared" si="37"/>
        <v xml:space="preserve"> </v>
      </c>
      <c r="CC19" s="58"/>
      <c r="CD19" s="24" t="str">
        <f t="shared" si="38"/>
        <v xml:space="preserve"> </v>
      </c>
      <c r="CE19" s="25" t="s">
        <v>3710</v>
      </c>
      <c r="CF19" s="21"/>
      <c r="CG19" s="21"/>
      <c r="CH19" s="22" t="str">
        <f t="shared" si="39"/>
        <v xml:space="preserve"> </v>
      </c>
      <c r="CI19" s="58"/>
      <c r="CJ19" s="24" t="str">
        <f t="shared" si="40"/>
        <v xml:space="preserve"> </v>
      </c>
      <c r="CK19" s="25"/>
      <c r="CL19" s="1875" t="s">
        <v>325</v>
      </c>
      <c r="CM19" s="623"/>
      <c r="CN19" s="796" t="str">
        <f t="shared" si="41"/>
        <v xml:space="preserve"> </v>
      </c>
      <c r="CO19" s="1876" t="s">
        <v>325</v>
      </c>
      <c r="CP19" s="796" t="str">
        <f t="shared" ref="CP19:CP24" si="47">IF(CM19=0," ",CN19/CO19)</f>
        <v xml:space="preserve"> </v>
      </c>
      <c r="CQ19" s="1877" t="s">
        <v>162</v>
      </c>
      <c r="CR19" s="21">
        <v>100</v>
      </c>
      <c r="CS19" s="21">
        <v>100</v>
      </c>
      <c r="CT19" s="24">
        <f t="shared" si="42"/>
        <v>1</v>
      </c>
      <c r="CU19" s="58">
        <v>1</v>
      </c>
      <c r="CV19" s="24">
        <f t="shared" ref="CV19:CV24" si="48">IF(CS19=0," ",CT19/CU19)</f>
        <v>1</v>
      </c>
      <c r="CW19" s="25"/>
    </row>
    <row r="20" spans="2:101" ht="75.75" customHeight="1">
      <c r="B20" s="391" t="s">
        <v>260</v>
      </c>
      <c r="C20" s="8" t="s">
        <v>261</v>
      </c>
      <c r="D20" s="391" t="s">
        <v>262</v>
      </c>
      <c r="E20" s="8" t="s">
        <v>263</v>
      </c>
      <c r="F20" s="391" t="s">
        <v>730</v>
      </c>
      <c r="G20" s="8" t="s">
        <v>98</v>
      </c>
      <c r="H20" s="391" t="s">
        <v>731</v>
      </c>
      <c r="I20" s="8" t="s">
        <v>267</v>
      </c>
      <c r="J20" s="8" t="s">
        <v>391</v>
      </c>
      <c r="K20" s="60"/>
      <c r="L20" s="60"/>
      <c r="M20" s="60">
        <v>0.18</v>
      </c>
      <c r="N20" s="60"/>
      <c r="O20" s="60"/>
      <c r="P20" s="60"/>
      <c r="Q20" s="60"/>
      <c r="R20" s="60"/>
      <c r="S20" s="60"/>
      <c r="T20" s="60"/>
      <c r="U20" s="60"/>
      <c r="V20" s="60">
        <v>0.82</v>
      </c>
      <c r="W20" s="1248" t="s">
        <v>3711</v>
      </c>
      <c r="X20" s="21">
        <v>0</v>
      </c>
      <c r="Y20" s="21">
        <v>0</v>
      </c>
      <c r="Z20" s="22" t="str">
        <f t="shared" si="25"/>
        <v xml:space="preserve"> </v>
      </c>
      <c r="AA20" s="58">
        <f>K20</f>
        <v>0</v>
      </c>
      <c r="AB20" s="24" t="str">
        <f t="shared" si="26"/>
        <v xml:space="preserve"> </v>
      </c>
      <c r="AC20" s="25" t="s">
        <v>271</v>
      </c>
      <c r="AD20" s="21">
        <v>0</v>
      </c>
      <c r="AE20" s="21">
        <v>0</v>
      </c>
      <c r="AF20" s="22" t="str">
        <f t="shared" si="27"/>
        <v xml:space="preserve"> </v>
      </c>
      <c r="AG20" s="58">
        <f>L20</f>
        <v>0</v>
      </c>
      <c r="AH20" s="24" t="str">
        <f t="shared" si="28"/>
        <v xml:space="preserve"> </v>
      </c>
      <c r="AI20" s="241" t="s">
        <v>271</v>
      </c>
      <c r="AJ20" s="564">
        <v>375000</v>
      </c>
      <c r="AK20" s="564">
        <v>10558615</v>
      </c>
      <c r="AL20" s="145">
        <f t="shared" si="29"/>
        <v>3.5516021750958811E-2</v>
      </c>
      <c r="AM20" s="58">
        <f>M20</f>
        <v>0.18</v>
      </c>
      <c r="AN20" s="24">
        <f t="shared" si="30"/>
        <v>0.19731123194977118</v>
      </c>
      <c r="AO20" s="25" t="s">
        <v>3712</v>
      </c>
      <c r="AP20" s="21">
        <v>0</v>
      </c>
      <c r="AQ20" s="21">
        <v>0</v>
      </c>
      <c r="AR20" s="145" t="str">
        <f t="shared" si="43"/>
        <v xml:space="preserve"> </v>
      </c>
      <c r="AS20" s="23">
        <f>N20</f>
        <v>0</v>
      </c>
      <c r="AT20" s="24" t="str">
        <f t="shared" si="44"/>
        <v xml:space="preserve"> </v>
      </c>
      <c r="AU20" s="241" t="s">
        <v>271</v>
      </c>
      <c r="AV20" s="21">
        <v>0</v>
      </c>
      <c r="AW20" s="21">
        <v>0</v>
      </c>
      <c r="AX20" s="145" t="str">
        <f t="shared" si="31"/>
        <v xml:space="preserve"> </v>
      </c>
      <c r="AY20" s="58">
        <f>O20</f>
        <v>0</v>
      </c>
      <c r="AZ20" s="24" t="str">
        <f t="shared" si="32"/>
        <v xml:space="preserve"> </v>
      </c>
      <c r="BA20" s="25" t="s">
        <v>271</v>
      </c>
      <c r="BB20" s="564">
        <v>10183615</v>
      </c>
      <c r="BC20" s="564">
        <v>10558615</v>
      </c>
      <c r="BD20" s="145">
        <f t="shared" si="45"/>
        <v>0.9644839782490412</v>
      </c>
      <c r="BE20" s="58">
        <f>P20</f>
        <v>0</v>
      </c>
      <c r="BF20" s="24" t="e">
        <f t="shared" si="46"/>
        <v>#DIV/0!</v>
      </c>
      <c r="BG20" s="25" t="s">
        <v>3713</v>
      </c>
      <c r="BH20" s="21"/>
      <c r="BI20" s="21"/>
      <c r="BJ20" s="22" t="str">
        <f t="shared" si="33"/>
        <v xml:space="preserve"> </v>
      </c>
      <c r="BK20" s="58"/>
      <c r="BL20" s="24" t="str">
        <f t="shared" si="34"/>
        <v xml:space="preserve"> </v>
      </c>
      <c r="BM20" s="25" t="s">
        <v>3714</v>
      </c>
      <c r="BN20" s="21"/>
      <c r="BO20" s="21"/>
      <c r="BP20" s="22" t="str">
        <f t="shared" si="35"/>
        <v xml:space="preserve"> </v>
      </c>
      <c r="BQ20" s="58"/>
      <c r="BR20" s="24" t="str">
        <f t="shared" si="36"/>
        <v xml:space="preserve"> </v>
      </c>
      <c r="BS20" s="25" t="s">
        <v>3714</v>
      </c>
      <c r="BT20" s="21"/>
      <c r="BU20" s="21"/>
      <c r="BV20" s="22" t="str">
        <f>IF(BU20=0," ",BT20/BU20)</f>
        <v xml:space="preserve"> </v>
      </c>
      <c r="BW20" s="58"/>
      <c r="BX20" s="24" t="str">
        <f>IF(BU20=0," ",BV20/BW20)</f>
        <v xml:space="preserve"> </v>
      </c>
      <c r="BY20" s="25" t="s">
        <v>3714</v>
      </c>
      <c r="BZ20" s="21"/>
      <c r="CA20" s="21"/>
      <c r="CB20" s="22" t="str">
        <f t="shared" si="37"/>
        <v xml:space="preserve"> </v>
      </c>
      <c r="CC20" s="58">
        <f>T20</f>
        <v>0</v>
      </c>
      <c r="CD20" s="24" t="str">
        <f t="shared" si="38"/>
        <v xml:space="preserve"> </v>
      </c>
      <c r="CE20" s="1697" t="s">
        <v>3714</v>
      </c>
      <c r="CF20" s="21"/>
      <c r="CG20" s="21"/>
      <c r="CH20" s="22" t="str">
        <f t="shared" si="39"/>
        <v xml:space="preserve"> </v>
      </c>
      <c r="CI20" s="58">
        <f>U20</f>
        <v>0</v>
      </c>
      <c r="CJ20" s="24" t="str">
        <f t="shared" si="40"/>
        <v xml:space="preserve"> </v>
      </c>
      <c r="CK20" s="1697" t="s">
        <v>3714</v>
      </c>
      <c r="CL20" s="1878"/>
      <c r="CM20" s="1878"/>
      <c r="CN20" s="157" t="str">
        <f t="shared" si="41"/>
        <v xml:space="preserve"> </v>
      </c>
      <c r="CO20" s="728">
        <f>V20</f>
        <v>0.82</v>
      </c>
      <c r="CP20" s="728" t="str">
        <f t="shared" si="47"/>
        <v xml:space="preserve"> </v>
      </c>
      <c r="CQ20" s="215" t="s">
        <v>3714</v>
      </c>
      <c r="CR20" s="624">
        <f>X20+AD20+AJ20+AP20+AV20+BB20+BH20+BN20+BT20+BZ20+CF20+CL20</f>
        <v>10558615</v>
      </c>
      <c r="CS20" s="624">
        <v>10558615</v>
      </c>
      <c r="CT20" s="728">
        <f t="shared" si="42"/>
        <v>1</v>
      </c>
      <c r="CU20" s="728">
        <f>AA20+AG20+AM20+AS20+AY20+BE20+BK20+BQ20+BW20+CC20+CI20+CO20</f>
        <v>1</v>
      </c>
      <c r="CV20" s="867">
        <f t="shared" si="48"/>
        <v>1</v>
      </c>
      <c r="CW20" s="215" t="s">
        <v>3714</v>
      </c>
    </row>
    <row r="21" spans="2:101" ht="80.25" customHeight="1">
      <c r="B21" s="391" t="s">
        <v>260</v>
      </c>
      <c r="C21" s="8" t="s">
        <v>273</v>
      </c>
      <c r="D21" s="352" t="s">
        <v>274</v>
      </c>
      <c r="E21" s="8" t="s">
        <v>275</v>
      </c>
      <c r="F21" s="391" t="s">
        <v>749</v>
      </c>
      <c r="G21" s="8" t="s">
        <v>98</v>
      </c>
      <c r="H21" s="391" t="s">
        <v>750</v>
      </c>
      <c r="I21" s="8" t="s">
        <v>267</v>
      </c>
      <c r="J21" s="8" t="s">
        <v>391</v>
      </c>
      <c r="K21" s="60">
        <v>0.2</v>
      </c>
      <c r="L21" s="60">
        <v>0.11</v>
      </c>
      <c r="M21" s="60">
        <v>0.09</v>
      </c>
      <c r="N21" s="60">
        <v>0.22</v>
      </c>
      <c r="O21" s="60">
        <v>0.13</v>
      </c>
      <c r="P21" s="60">
        <v>0.16</v>
      </c>
      <c r="Q21" s="60">
        <v>0.09</v>
      </c>
      <c r="R21" s="60"/>
      <c r="S21" s="60"/>
      <c r="T21" s="60"/>
      <c r="U21" s="60"/>
      <c r="V21" s="60"/>
      <c r="W21" s="1248" t="s">
        <v>3711</v>
      </c>
      <c r="X21" s="564">
        <v>67055230</v>
      </c>
      <c r="Y21" s="564">
        <v>347683896</v>
      </c>
      <c r="Z21" s="145">
        <f>IF(Y21=0," ",X21/Y21)</f>
        <v>0.19286262829958625</v>
      </c>
      <c r="AA21" s="58">
        <f>K21</f>
        <v>0.2</v>
      </c>
      <c r="AB21" s="24">
        <f t="shared" si="26"/>
        <v>0.96431314149793124</v>
      </c>
      <c r="AC21" s="25" t="s">
        <v>3715</v>
      </c>
      <c r="AD21" s="564">
        <v>51912226</v>
      </c>
      <c r="AE21" s="564">
        <v>347683896</v>
      </c>
      <c r="AF21" s="145">
        <f t="shared" si="27"/>
        <v>0.14930868699193361</v>
      </c>
      <c r="AG21" s="58">
        <f>L21</f>
        <v>0.11</v>
      </c>
      <c r="AH21" s="24">
        <f t="shared" si="28"/>
        <v>1.3573516999266693</v>
      </c>
      <c r="AI21" s="241" t="s">
        <v>3716</v>
      </c>
      <c r="AJ21" s="564">
        <v>28870864</v>
      </c>
      <c r="AK21" s="564">
        <v>347683896</v>
      </c>
      <c r="AL21" s="145">
        <f t="shared" si="29"/>
        <v>8.3037679720432037E-2</v>
      </c>
      <c r="AM21" s="58">
        <f>M21</f>
        <v>0.09</v>
      </c>
      <c r="AN21" s="24">
        <f t="shared" si="30"/>
        <v>0.92264088578257819</v>
      </c>
      <c r="AO21" s="25" t="s">
        <v>3717</v>
      </c>
      <c r="AP21" s="564">
        <v>61725245</v>
      </c>
      <c r="AQ21" s="564">
        <v>347683896</v>
      </c>
      <c r="AR21" s="145">
        <f t="shared" si="43"/>
        <v>0.17753265454664602</v>
      </c>
      <c r="AS21" s="23">
        <f>N21</f>
        <v>0.22</v>
      </c>
      <c r="AT21" s="24">
        <f t="shared" si="44"/>
        <v>0.80696661157566374</v>
      </c>
      <c r="AU21" s="241" t="s">
        <v>3718</v>
      </c>
      <c r="AV21" s="564">
        <v>19774660</v>
      </c>
      <c r="AW21" s="564">
        <v>347683896</v>
      </c>
      <c r="AX21" s="145">
        <f t="shared" si="31"/>
        <v>5.6875398105870278E-2</v>
      </c>
      <c r="AY21" s="58">
        <f>O21</f>
        <v>0.13</v>
      </c>
      <c r="AZ21" s="24">
        <f t="shared" si="32"/>
        <v>0.4375030623528483</v>
      </c>
      <c r="BA21" s="25" t="s">
        <v>3719</v>
      </c>
      <c r="BB21" s="564">
        <v>48278448</v>
      </c>
      <c r="BC21" s="564">
        <v>347683896</v>
      </c>
      <c r="BD21" s="145">
        <f t="shared" si="45"/>
        <v>0.13885730272649729</v>
      </c>
      <c r="BE21" s="58">
        <f>P21</f>
        <v>0.16</v>
      </c>
      <c r="BF21" s="24">
        <f t="shared" si="46"/>
        <v>0.86785814204060807</v>
      </c>
      <c r="BG21" s="25" t="s">
        <v>3720</v>
      </c>
      <c r="BH21" s="1725">
        <v>22522699</v>
      </c>
      <c r="BI21" s="1725">
        <v>347683896</v>
      </c>
      <c r="BJ21" s="22">
        <f t="shared" si="33"/>
        <v>6.4779241314069952E-2</v>
      </c>
      <c r="BK21" s="58">
        <f>Q21</f>
        <v>0.09</v>
      </c>
      <c r="BL21" s="24">
        <f t="shared" si="34"/>
        <v>0.71976934793411063</v>
      </c>
      <c r="BM21" s="25" t="s">
        <v>3721</v>
      </c>
      <c r="BN21" s="1725">
        <v>30824372</v>
      </c>
      <c r="BO21" s="1725">
        <v>347683896</v>
      </c>
      <c r="BP21" s="22">
        <f t="shared" si="35"/>
        <v>8.865631211173497E-2</v>
      </c>
      <c r="BQ21" s="58">
        <f>R21</f>
        <v>0</v>
      </c>
      <c r="BR21" s="24" t="e">
        <f t="shared" si="36"/>
        <v>#DIV/0!</v>
      </c>
      <c r="BS21" s="25" t="s">
        <v>3722</v>
      </c>
      <c r="BT21" s="564">
        <v>14497617</v>
      </c>
      <c r="BU21" s="564">
        <v>347683896</v>
      </c>
      <c r="BV21" s="22">
        <f>IF(BU21=0," ",BT21/BU21)</f>
        <v>4.1697694850957374E-2</v>
      </c>
      <c r="BW21" s="58">
        <f>S21</f>
        <v>0</v>
      </c>
      <c r="BX21" s="24" t="e">
        <f>IF(BU21=0," ",BV21/BW21)</f>
        <v>#DIV/0!</v>
      </c>
      <c r="BY21" s="25" t="s">
        <v>3723</v>
      </c>
      <c r="BZ21" s="564">
        <v>2222535</v>
      </c>
      <c r="CA21" s="564">
        <v>347683896</v>
      </c>
      <c r="CB21" s="22">
        <f t="shared" si="37"/>
        <v>6.3924013322722312E-3</v>
      </c>
      <c r="CC21" s="58">
        <f>T21</f>
        <v>0</v>
      </c>
      <c r="CD21" s="24" t="e">
        <f t="shared" si="38"/>
        <v>#DIV/0!</v>
      </c>
      <c r="CE21" s="25" t="s">
        <v>3724</v>
      </c>
      <c r="CF21" s="564"/>
      <c r="CG21" s="564"/>
      <c r="CH21" s="22" t="str">
        <f t="shared" si="39"/>
        <v xml:space="preserve"> </v>
      </c>
      <c r="CI21" s="58">
        <f>U21</f>
        <v>0</v>
      </c>
      <c r="CJ21" s="24" t="str">
        <f t="shared" si="40"/>
        <v xml:space="preserve"> </v>
      </c>
      <c r="CK21" s="1697" t="s">
        <v>3714</v>
      </c>
      <c r="CL21" s="1878"/>
      <c r="CM21" s="1878"/>
      <c r="CN21" s="157" t="str">
        <f t="shared" si="41"/>
        <v xml:space="preserve"> </v>
      </c>
      <c r="CO21" s="728">
        <f>V21</f>
        <v>0</v>
      </c>
      <c r="CP21" s="728" t="str">
        <f t="shared" si="47"/>
        <v xml:space="preserve"> </v>
      </c>
      <c r="CQ21" s="215" t="s">
        <v>3714</v>
      </c>
      <c r="CR21" s="624">
        <f>X21+AD21+AJ21+AP21+AV21+BB21+BH21+BN21+BT21+BZ21+CF21+CL21</f>
        <v>347683896</v>
      </c>
      <c r="CS21" s="624">
        <v>347683896</v>
      </c>
      <c r="CT21" s="728">
        <f t="shared" si="42"/>
        <v>1</v>
      </c>
      <c r="CU21" s="728">
        <f>AA21+AG21+AM21+AS21+AY21+BE21+BK21+BQ21+BW21+CC21+CI21+CO21</f>
        <v>1</v>
      </c>
      <c r="CV21" s="867">
        <f t="shared" si="48"/>
        <v>1</v>
      </c>
      <c r="CW21" s="215" t="s">
        <v>3714</v>
      </c>
    </row>
    <row r="22" spans="2:101" ht="78" hidden="1" customHeight="1">
      <c r="B22" s="391" t="s">
        <v>67</v>
      </c>
      <c r="C22" s="790" t="s">
        <v>90</v>
      </c>
      <c r="D22" s="790" t="s">
        <v>93</v>
      </c>
      <c r="E22" s="790" t="s">
        <v>68</v>
      </c>
      <c r="F22" s="790" t="s">
        <v>69</v>
      </c>
      <c r="G22" s="790" t="s">
        <v>53</v>
      </c>
      <c r="H22" s="790" t="s">
        <v>70</v>
      </c>
      <c r="I22" s="790" t="s">
        <v>71</v>
      </c>
      <c r="J22" s="790" t="s">
        <v>54</v>
      </c>
      <c r="K22" s="60" t="s">
        <v>2079</v>
      </c>
      <c r="L22" s="60" t="s">
        <v>2079</v>
      </c>
      <c r="M22" s="60" t="s">
        <v>2079</v>
      </c>
      <c r="N22" s="60" t="s">
        <v>2079</v>
      </c>
      <c r="O22" s="60" t="s">
        <v>2079</v>
      </c>
      <c r="P22" s="60" t="s">
        <v>2079</v>
      </c>
      <c r="Q22" s="60" t="s">
        <v>2079</v>
      </c>
      <c r="R22" s="60" t="s">
        <v>2079</v>
      </c>
      <c r="S22" s="60" t="s">
        <v>2079</v>
      </c>
      <c r="T22" s="60" t="s">
        <v>2079</v>
      </c>
      <c r="U22" s="60" t="s">
        <v>2079</v>
      </c>
      <c r="V22" s="60" t="s">
        <v>2079</v>
      </c>
      <c r="W22" s="1249" t="s">
        <v>72</v>
      </c>
      <c r="X22" s="21"/>
      <c r="Y22" s="21"/>
      <c r="Z22" s="22" t="str">
        <f t="shared" si="25"/>
        <v xml:space="preserve"> </v>
      </c>
      <c r="AA22" s="58"/>
      <c r="AB22" s="24" t="str">
        <f t="shared" si="26"/>
        <v xml:space="preserve"> </v>
      </c>
      <c r="AC22" s="25"/>
      <c r="AD22" s="21"/>
      <c r="AE22" s="21"/>
      <c r="AF22" s="22" t="str">
        <f t="shared" si="27"/>
        <v xml:space="preserve"> </v>
      </c>
      <c r="AG22" s="58"/>
      <c r="AH22" s="24" t="str">
        <f t="shared" si="28"/>
        <v xml:space="preserve"> </v>
      </c>
      <c r="AI22" s="25"/>
      <c r="AJ22" s="21"/>
      <c r="AK22" s="21"/>
      <c r="AL22" s="22" t="str">
        <f t="shared" si="29"/>
        <v xml:space="preserve"> </v>
      </c>
      <c r="AM22" s="58"/>
      <c r="AN22" s="24" t="str">
        <f t="shared" si="30"/>
        <v xml:space="preserve"> </v>
      </c>
      <c r="AO22" s="25"/>
      <c r="AP22" s="21"/>
      <c r="AQ22" s="21"/>
      <c r="AR22" s="22" t="str">
        <f t="shared" si="43"/>
        <v xml:space="preserve"> </v>
      </c>
      <c r="AS22" s="58"/>
      <c r="AT22" s="24" t="str">
        <f t="shared" si="44"/>
        <v xml:space="preserve"> </v>
      </c>
      <c r="AU22" s="25"/>
      <c r="AV22" s="21"/>
      <c r="AW22" s="21"/>
      <c r="AX22" s="22" t="str">
        <f t="shared" si="31"/>
        <v xml:space="preserve"> </v>
      </c>
      <c r="AY22" s="58"/>
      <c r="AZ22" s="24" t="str">
        <f t="shared" si="32"/>
        <v xml:space="preserve"> </v>
      </c>
      <c r="BA22" s="25"/>
      <c r="BB22" s="21"/>
      <c r="BC22" s="21"/>
      <c r="BD22" s="22" t="str">
        <f t="shared" si="45"/>
        <v xml:space="preserve"> </v>
      </c>
      <c r="BE22" s="58"/>
      <c r="BF22" s="24" t="str">
        <f t="shared" si="46"/>
        <v xml:space="preserve"> </v>
      </c>
      <c r="BG22" s="25"/>
      <c r="BH22" s="21"/>
      <c r="BI22" s="21"/>
      <c r="BJ22" s="22" t="str">
        <f t="shared" si="33"/>
        <v xml:space="preserve"> </v>
      </c>
      <c r="BK22" s="58"/>
      <c r="BL22" s="24" t="str">
        <f t="shared" si="34"/>
        <v xml:space="preserve"> </v>
      </c>
      <c r="BM22" s="25"/>
      <c r="BN22" s="21"/>
      <c r="BO22" s="21"/>
      <c r="BP22" s="22" t="str">
        <f t="shared" si="35"/>
        <v xml:space="preserve"> </v>
      </c>
      <c r="BQ22" s="58"/>
      <c r="BR22" s="24" t="str">
        <f t="shared" si="36"/>
        <v xml:space="preserve"> </v>
      </c>
      <c r="BS22" s="25"/>
      <c r="BT22" s="21"/>
      <c r="BU22" s="21"/>
      <c r="BV22" s="22" t="str">
        <f>IF(BU22=0," ",BT22/BU22)</f>
        <v xml:space="preserve"> </v>
      </c>
      <c r="BW22" s="58"/>
      <c r="BX22" s="24" t="str">
        <f>IF(BU22=0," ",BV22/BW22)</f>
        <v xml:space="preserve"> </v>
      </c>
      <c r="BY22" s="25"/>
      <c r="BZ22" s="21"/>
      <c r="CA22" s="21"/>
      <c r="CB22" s="22" t="str">
        <f t="shared" si="37"/>
        <v xml:space="preserve"> </v>
      </c>
      <c r="CC22" s="58"/>
      <c r="CD22" s="24" t="str">
        <f t="shared" si="38"/>
        <v xml:space="preserve"> </v>
      </c>
      <c r="CE22" s="25"/>
      <c r="CF22" s="21"/>
      <c r="CG22" s="21"/>
      <c r="CH22" s="22" t="str">
        <f t="shared" si="39"/>
        <v xml:space="preserve"> </v>
      </c>
      <c r="CI22" s="58"/>
      <c r="CJ22" s="24" t="str">
        <f t="shared" si="40"/>
        <v xml:space="preserve"> </v>
      </c>
      <c r="CK22" s="25"/>
      <c r="CL22" s="21"/>
      <c r="CM22" s="21"/>
      <c r="CN22" s="22" t="str">
        <f t="shared" si="41"/>
        <v xml:space="preserve"> </v>
      </c>
      <c r="CO22" s="58"/>
      <c r="CP22" s="24" t="str">
        <f t="shared" si="47"/>
        <v xml:space="preserve"> </v>
      </c>
      <c r="CQ22" s="25"/>
      <c r="CR22" s="21">
        <f>+X22+AD22+AJ22+AP22+AV22+BB22+BH22+BN22+BT22+BZ22+CF22+CL22</f>
        <v>0</v>
      </c>
      <c r="CS22" s="21">
        <f>+CM22</f>
        <v>0</v>
      </c>
      <c r="CT22" s="24" t="str">
        <f t="shared" si="42"/>
        <v xml:space="preserve"> </v>
      </c>
      <c r="CU22" s="58">
        <v>1</v>
      </c>
      <c r="CV22" s="24" t="str">
        <f t="shared" si="48"/>
        <v xml:space="preserve"> </v>
      </c>
      <c r="CW22" s="25"/>
    </row>
    <row r="23" spans="2:101" ht="89.25" hidden="1" customHeight="1">
      <c r="B23" s="391" t="s">
        <v>73</v>
      </c>
      <c r="C23" s="8" t="s">
        <v>91</v>
      </c>
      <c r="D23" s="8" t="s">
        <v>74</v>
      </c>
      <c r="E23" s="8" t="s">
        <v>75</v>
      </c>
      <c r="F23" s="8" t="s">
        <v>296</v>
      </c>
      <c r="G23" s="8" t="s">
        <v>53</v>
      </c>
      <c r="H23" s="8" t="s">
        <v>776</v>
      </c>
      <c r="I23" s="8" t="s">
        <v>78</v>
      </c>
      <c r="J23" s="8" t="s">
        <v>54</v>
      </c>
      <c r="K23" s="60">
        <v>0.8</v>
      </c>
      <c r="L23" s="60">
        <v>0.8</v>
      </c>
      <c r="M23" s="60">
        <v>0.8</v>
      </c>
      <c r="N23" s="60">
        <v>0.8</v>
      </c>
      <c r="O23" s="60">
        <v>0.8</v>
      </c>
      <c r="P23" s="60">
        <v>0.8</v>
      </c>
      <c r="Q23" s="60">
        <v>0.8</v>
      </c>
      <c r="R23" s="60">
        <v>0.8</v>
      </c>
      <c r="S23" s="60">
        <v>0.8</v>
      </c>
      <c r="T23" s="60">
        <v>0.8</v>
      </c>
      <c r="U23" s="60">
        <v>0.8</v>
      </c>
      <c r="V23" s="60">
        <v>0.8</v>
      </c>
      <c r="W23" s="1249" t="s">
        <v>80</v>
      </c>
      <c r="X23" s="21"/>
      <c r="Y23" s="21"/>
      <c r="Z23" s="22" t="str">
        <f t="shared" si="25"/>
        <v xml:space="preserve"> </v>
      </c>
      <c r="AA23" s="58"/>
      <c r="AB23" s="24" t="str">
        <f t="shared" si="26"/>
        <v xml:space="preserve"> </v>
      </c>
      <c r="AC23" s="25"/>
      <c r="AD23" s="21"/>
      <c r="AE23" s="21"/>
      <c r="AF23" s="22" t="str">
        <f t="shared" si="27"/>
        <v xml:space="preserve"> </v>
      </c>
      <c r="AG23" s="58"/>
      <c r="AH23" s="24" t="str">
        <f t="shared" si="28"/>
        <v xml:space="preserve"> </v>
      </c>
      <c r="AI23" s="25"/>
      <c r="AJ23" s="21"/>
      <c r="AK23" s="21"/>
      <c r="AL23" s="22" t="str">
        <f t="shared" si="29"/>
        <v xml:space="preserve"> </v>
      </c>
      <c r="AM23" s="58"/>
      <c r="AN23" s="24" t="str">
        <f t="shared" si="30"/>
        <v xml:space="preserve"> </v>
      </c>
      <c r="AO23" s="25"/>
      <c r="AP23" s="21"/>
      <c r="AQ23" s="21"/>
      <c r="AR23" s="22" t="str">
        <f t="shared" si="43"/>
        <v xml:space="preserve"> </v>
      </c>
      <c r="AS23" s="58"/>
      <c r="AT23" s="24" t="str">
        <f t="shared" si="44"/>
        <v xml:space="preserve"> </v>
      </c>
      <c r="AU23" s="25"/>
      <c r="AV23" s="21"/>
      <c r="AW23" s="21"/>
      <c r="AX23" s="22" t="str">
        <f t="shared" si="31"/>
        <v xml:space="preserve"> </v>
      </c>
      <c r="AY23" s="58"/>
      <c r="AZ23" s="24" t="str">
        <f t="shared" si="32"/>
        <v xml:space="preserve"> </v>
      </c>
      <c r="BA23" s="25"/>
      <c r="BB23" s="21"/>
      <c r="BC23" s="21"/>
      <c r="BD23" s="22" t="str">
        <f t="shared" si="45"/>
        <v xml:space="preserve"> </v>
      </c>
      <c r="BE23" s="58"/>
      <c r="BF23" s="24" t="str">
        <f t="shared" si="46"/>
        <v xml:space="preserve"> </v>
      </c>
      <c r="BG23" s="25"/>
      <c r="BH23" s="21"/>
      <c r="BI23" s="21"/>
      <c r="BJ23" s="22" t="str">
        <f t="shared" si="33"/>
        <v xml:space="preserve"> </v>
      </c>
      <c r="BK23" s="58"/>
      <c r="BL23" s="24" t="str">
        <f t="shared" si="34"/>
        <v xml:space="preserve"> </v>
      </c>
      <c r="BM23" s="25"/>
      <c r="BN23" s="21"/>
      <c r="BO23" s="21"/>
      <c r="BP23" s="22" t="str">
        <f t="shared" si="35"/>
        <v xml:space="preserve"> </v>
      </c>
      <c r="BQ23" s="58"/>
      <c r="BR23" s="24" t="str">
        <f t="shared" si="36"/>
        <v xml:space="preserve"> </v>
      </c>
      <c r="BS23" s="25"/>
      <c r="BT23" s="21"/>
      <c r="BU23" s="21"/>
      <c r="BV23" s="22" t="str">
        <f>IF(BU23=0," ",BT23/BU23)</f>
        <v xml:space="preserve"> </v>
      </c>
      <c r="BW23" s="58"/>
      <c r="BX23" s="24" t="str">
        <f>IF(BU23=0," ",BV23/BW23)</f>
        <v xml:space="preserve"> </v>
      </c>
      <c r="BY23" s="25"/>
      <c r="BZ23" s="21"/>
      <c r="CA23" s="21"/>
      <c r="CB23" s="22" t="str">
        <f t="shared" si="37"/>
        <v xml:space="preserve"> </v>
      </c>
      <c r="CC23" s="58"/>
      <c r="CD23" s="24" t="str">
        <f t="shared" si="38"/>
        <v xml:space="preserve"> </v>
      </c>
      <c r="CE23" s="25"/>
      <c r="CF23" s="21"/>
      <c r="CG23" s="21"/>
      <c r="CH23" s="22" t="str">
        <f t="shared" si="39"/>
        <v xml:space="preserve"> </v>
      </c>
      <c r="CI23" s="58"/>
      <c r="CJ23" s="24" t="str">
        <f t="shared" si="40"/>
        <v xml:space="preserve"> </v>
      </c>
      <c r="CK23" s="25"/>
      <c r="CL23" s="21"/>
      <c r="CM23" s="21"/>
      <c r="CN23" s="22" t="str">
        <f t="shared" si="41"/>
        <v xml:space="preserve"> </v>
      </c>
      <c r="CO23" s="58"/>
      <c r="CP23" s="24" t="str">
        <f t="shared" si="47"/>
        <v xml:space="preserve"> </v>
      </c>
      <c r="CQ23" s="25"/>
      <c r="CR23" s="21">
        <f>+X23+AD23+AJ23+AP23+AV23+BB23+BH23+BN23+BT23+BZ23+CF23+CL23</f>
        <v>0</v>
      </c>
      <c r="CS23" s="21">
        <f>+CM23</f>
        <v>0</v>
      </c>
      <c r="CT23" s="24" t="str">
        <f t="shared" si="42"/>
        <v xml:space="preserve"> </v>
      </c>
      <c r="CU23" s="58">
        <v>1</v>
      </c>
      <c r="CV23" s="24" t="str">
        <f t="shared" si="48"/>
        <v xml:space="preserve"> </v>
      </c>
      <c r="CW23" s="25"/>
    </row>
    <row r="24" spans="2:101" ht="72.75" customHeight="1">
      <c r="B24" s="391" t="s">
        <v>81</v>
      </c>
      <c r="C24" s="8" t="s">
        <v>92</v>
      </c>
      <c r="D24" s="1136" t="s">
        <v>83</v>
      </c>
      <c r="E24" s="8" t="s">
        <v>84</v>
      </c>
      <c r="F24" s="403" t="s">
        <v>1322</v>
      </c>
      <c r="G24" s="8" t="s">
        <v>98</v>
      </c>
      <c r="H24" s="8" t="s">
        <v>1323</v>
      </c>
      <c r="I24" s="8" t="s">
        <v>85</v>
      </c>
      <c r="J24" s="8" t="s">
        <v>54</v>
      </c>
      <c r="K24" s="60"/>
      <c r="L24" s="60"/>
      <c r="M24" s="60">
        <v>1</v>
      </c>
      <c r="N24" s="60"/>
      <c r="O24" s="60"/>
      <c r="P24" s="60">
        <v>1</v>
      </c>
      <c r="Q24" s="60"/>
      <c r="R24" s="60"/>
      <c r="S24" s="60">
        <v>1</v>
      </c>
      <c r="T24" s="60"/>
      <c r="U24" s="60"/>
      <c r="V24" s="60">
        <v>1</v>
      </c>
      <c r="W24" s="1137" t="s">
        <v>3725</v>
      </c>
      <c r="X24" s="21"/>
      <c r="Y24" s="21"/>
      <c r="Z24" s="22" t="str">
        <f t="shared" si="25"/>
        <v xml:space="preserve"> </v>
      </c>
      <c r="AA24" s="58"/>
      <c r="AB24" s="24" t="str">
        <f t="shared" si="26"/>
        <v xml:space="preserve"> </v>
      </c>
      <c r="AC24" s="25"/>
      <c r="AD24" s="21"/>
      <c r="AE24" s="21"/>
      <c r="AF24" s="22" t="str">
        <f t="shared" si="27"/>
        <v xml:space="preserve"> </v>
      </c>
      <c r="AG24" s="58"/>
      <c r="AH24" s="24" t="str">
        <f t="shared" si="28"/>
        <v xml:space="preserve"> </v>
      </c>
      <c r="AI24" s="25"/>
      <c r="AJ24" s="21">
        <v>31</v>
      </c>
      <c r="AK24" s="21">
        <v>31</v>
      </c>
      <c r="AL24" s="22">
        <f>AJ24/AK24</f>
        <v>1</v>
      </c>
      <c r="AM24" s="58">
        <v>1</v>
      </c>
      <c r="AN24" s="24">
        <f>AL24/AM24</f>
        <v>1</v>
      </c>
      <c r="AO24" s="695" t="s">
        <v>1871</v>
      </c>
      <c r="AP24" s="21"/>
      <c r="AQ24" s="21"/>
      <c r="AR24" s="22" t="str">
        <f t="shared" si="43"/>
        <v xml:space="preserve"> </v>
      </c>
      <c r="AS24" s="58"/>
      <c r="AT24" s="24" t="str">
        <f t="shared" si="44"/>
        <v xml:space="preserve"> </v>
      </c>
      <c r="AU24" s="25"/>
      <c r="AV24" s="21"/>
      <c r="AW24" s="21"/>
      <c r="AX24" s="22" t="str">
        <f t="shared" si="31"/>
        <v xml:space="preserve"> </v>
      </c>
      <c r="AY24" s="58"/>
      <c r="AZ24" s="24" t="str">
        <f t="shared" si="32"/>
        <v xml:space="preserve"> </v>
      </c>
      <c r="BA24" s="25"/>
      <c r="BB24" s="21">
        <v>31</v>
      </c>
      <c r="BC24" s="21">
        <v>33</v>
      </c>
      <c r="BD24" s="22">
        <f>BB24/BC24</f>
        <v>0.93939393939393945</v>
      </c>
      <c r="BE24" s="58">
        <v>1</v>
      </c>
      <c r="BF24" s="24">
        <f>BD24/BE24</f>
        <v>0.93939393939393945</v>
      </c>
      <c r="BG24" s="25" t="s">
        <v>3726</v>
      </c>
      <c r="BH24" s="21"/>
      <c r="BI24" s="21"/>
      <c r="BJ24" s="22" t="str">
        <f t="shared" si="33"/>
        <v xml:space="preserve"> </v>
      </c>
      <c r="BK24" s="58"/>
      <c r="BL24" s="24" t="str">
        <f t="shared" si="34"/>
        <v xml:space="preserve"> </v>
      </c>
      <c r="BM24" s="25"/>
      <c r="BN24" s="21"/>
      <c r="BO24" s="21"/>
      <c r="BP24" s="22" t="str">
        <f t="shared" si="35"/>
        <v xml:space="preserve"> </v>
      </c>
      <c r="BQ24" s="58"/>
      <c r="BR24" s="24" t="str">
        <f t="shared" si="36"/>
        <v xml:space="preserve"> </v>
      </c>
      <c r="BS24" s="25"/>
      <c r="BT24" s="564">
        <v>39</v>
      </c>
      <c r="BU24" s="564">
        <v>43</v>
      </c>
      <c r="BV24" s="22">
        <f>BT24/BU24</f>
        <v>0.90697674418604646</v>
      </c>
      <c r="BW24" s="58">
        <v>1</v>
      </c>
      <c r="BX24" s="24">
        <f>BV24/BW24</f>
        <v>0.90697674418604646</v>
      </c>
      <c r="BY24" s="25" t="s">
        <v>3727</v>
      </c>
      <c r="BZ24" s="21"/>
      <c r="CA24" s="21"/>
      <c r="CB24" s="22" t="str">
        <f t="shared" si="37"/>
        <v xml:space="preserve"> </v>
      </c>
      <c r="CC24" s="58"/>
      <c r="CD24" s="24" t="str">
        <f t="shared" si="38"/>
        <v xml:space="preserve"> </v>
      </c>
      <c r="CE24" s="25"/>
      <c r="CF24" s="21"/>
      <c r="CG24" s="21"/>
      <c r="CH24" s="22" t="str">
        <f t="shared" si="39"/>
        <v xml:space="preserve"> </v>
      </c>
      <c r="CI24" s="58"/>
      <c r="CJ24" s="24" t="str">
        <f t="shared" si="40"/>
        <v xml:space="preserve"> </v>
      </c>
      <c r="CK24" s="25"/>
      <c r="CL24" s="56">
        <v>51</v>
      </c>
      <c r="CM24" s="56">
        <v>52</v>
      </c>
      <c r="CN24" s="1104">
        <f>CL24/CM24</f>
        <v>0.98076923076923073</v>
      </c>
      <c r="CO24" s="1104">
        <v>1</v>
      </c>
      <c r="CP24" s="1092">
        <f t="shared" si="47"/>
        <v>0.98076923076923073</v>
      </c>
      <c r="CQ24" s="220" t="s">
        <v>3728</v>
      </c>
      <c r="CR24" s="58">
        <f>AVERAGE(AN24,BF24,BX24,CP24)</f>
        <v>0.95678497858730416</v>
      </c>
      <c r="CS24" s="58">
        <v>1</v>
      </c>
      <c r="CT24" s="58">
        <f>CR24/CS24</f>
        <v>0.95678497858730416</v>
      </c>
      <c r="CU24" s="58">
        <v>1</v>
      </c>
      <c r="CV24" s="867">
        <f t="shared" si="48"/>
        <v>0.95678497858730416</v>
      </c>
      <c r="CW24" s="101" t="s">
        <v>3729</v>
      </c>
    </row>
    <row r="25" spans="2:101" ht="35.25" customHeight="1">
      <c r="B25" s="1972" t="s">
        <v>17</v>
      </c>
      <c r="C25" s="1972"/>
      <c r="D25" s="1972"/>
      <c r="E25" s="1972"/>
      <c r="F25" s="5"/>
      <c r="G25" s="5"/>
      <c r="H25" s="5"/>
      <c r="I25" s="5"/>
      <c r="J25" s="5"/>
      <c r="K25" s="6"/>
      <c r="L25" s="6"/>
      <c r="M25" s="6"/>
      <c r="N25" s="6"/>
      <c r="O25" s="6"/>
      <c r="P25" s="6"/>
      <c r="Q25" s="6"/>
      <c r="R25" s="6"/>
      <c r="S25" s="6"/>
      <c r="T25" s="6"/>
      <c r="U25" s="6"/>
      <c r="V25" s="6"/>
      <c r="X25" s="1879"/>
    </row>
    <row r="26" spans="2:101" ht="18.75" customHeight="1">
      <c r="X26" s="1880"/>
    </row>
    <row r="27" spans="2:101" ht="7.5" customHeight="1">
      <c r="E27" s="2733"/>
      <c r="F27" s="2733"/>
      <c r="G27" s="2733"/>
      <c r="H27" s="2733"/>
      <c r="I27" s="128"/>
      <c r="J27" s="128"/>
      <c r="K27" s="15" t="s">
        <v>28</v>
      </c>
      <c r="X27" s="1880"/>
    </row>
    <row r="28" spans="2:101" ht="21.75" customHeight="1">
      <c r="F28" s="1881"/>
      <c r="G28" s="1881"/>
      <c r="H28" s="1881"/>
      <c r="I28" s="2734" t="s">
        <v>3730</v>
      </c>
      <c r="J28" s="2734"/>
      <c r="K28" s="2734"/>
      <c r="L28" s="2734"/>
      <c r="M28" s="2734"/>
      <c r="N28" s="2734"/>
      <c r="O28" s="2734"/>
      <c r="P28" s="2734"/>
      <c r="Q28" s="2734"/>
      <c r="R28" s="2734"/>
      <c r="S28" s="2734"/>
      <c r="T28" s="2734"/>
      <c r="X28" s="1882"/>
    </row>
    <row r="29" spans="2:101" ht="20.25" customHeight="1">
      <c r="F29" s="1883"/>
      <c r="G29" s="1883"/>
      <c r="H29" s="1883"/>
      <c r="I29" s="2735" t="s">
        <v>3731</v>
      </c>
      <c r="J29" s="2735"/>
      <c r="K29" s="2735"/>
      <c r="L29" s="2735"/>
      <c r="M29" s="2735"/>
      <c r="N29" s="2735"/>
      <c r="O29" s="2735"/>
      <c r="P29" s="2735"/>
      <c r="Q29" s="2735"/>
      <c r="R29" s="2735"/>
      <c r="S29" s="2735"/>
      <c r="T29" s="2735"/>
    </row>
    <row r="30" spans="2:101">
      <c r="C30" s="15"/>
      <c r="E30" s="128"/>
      <c r="F30" s="128"/>
      <c r="G30" s="128"/>
      <c r="H30" s="128"/>
    </row>
    <row r="31" spans="2:101" ht="19.5" customHeight="1">
      <c r="C31" s="15"/>
    </row>
    <row r="32" spans="2:101" ht="12.75" customHeight="1">
      <c r="C32" s="15"/>
    </row>
    <row r="33" spans="3:3" ht="12.75" customHeight="1">
      <c r="C33" s="15"/>
    </row>
  </sheetData>
  <mergeCells count="50">
    <mergeCell ref="B1:N1"/>
    <mergeCell ref="O1:R1"/>
    <mergeCell ref="S1:V2"/>
    <mergeCell ref="A2:B2"/>
    <mergeCell ref="D2:N2"/>
    <mergeCell ref="O2:R2"/>
    <mergeCell ref="BN4:BS4"/>
    <mergeCell ref="BT4:BY4"/>
    <mergeCell ref="C4:J4"/>
    <mergeCell ref="K4:M4"/>
    <mergeCell ref="N4:V4"/>
    <mergeCell ref="X4:AC4"/>
    <mergeCell ref="AD4:AI4"/>
    <mergeCell ref="AJ4:AO4"/>
    <mergeCell ref="B6:B7"/>
    <mergeCell ref="C6:C7"/>
    <mergeCell ref="D6:D7"/>
    <mergeCell ref="E6:E7"/>
    <mergeCell ref="F6:F7"/>
    <mergeCell ref="G6:G7"/>
    <mergeCell ref="X6:AC6"/>
    <mergeCell ref="AD6:AI6"/>
    <mergeCell ref="BZ4:CE4"/>
    <mergeCell ref="CF4:CK4"/>
    <mergeCell ref="CL4:CQ4"/>
    <mergeCell ref="CR4:CW4"/>
    <mergeCell ref="AP4:AU4"/>
    <mergeCell ref="AV4:BA4"/>
    <mergeCell ref="BB4:BG4"/>
    <mergeCell ref="BH4:BM4"/>
    <mergeCell ref="CF6:CK6"/>
    <mergeCell ref="CL6:CQ6"/>
    <mergeCell ref="CR6:CW6"/>
    <mergeCell ref="B16:W16"/>
    <mergeCell ref="AJ6:AO6"/>
    <mergeCell ref="AP6:AU6"/>
    <mergeCell ref="AV6:BA6"/>
    <mergeCell ref="BB6:BG6"/>
    <mergeCell ref="BH6:BM6"/>
    <mergeCell ref="BN6:BS6"/>
    <mergeCell ref="B25:E25"/>
    <mergeCell ref="E27:H27"/>
    <mergeCell ref="I28:T28"/>
    <mergeCell ref="I29:T29"/>
    <mergeCell ref="BT6:BY6"/>
    <mergeCell ref="BZ6:CE6"/>
    <mergeCell ref="H6:H7"/>
    <mergeCell ref="I6:I7"/>
    <mergeCell ref="J6:J7"/>
    <mergeCell ref="K6:V6"/>
  </mergeCells>
  <conditionalFormatting sqref="AB14">
    <cfRule type="colorScale" priority="171">
      <colorScale>
        <cfvo type="num" val="0.69"/>
        <cfvo type="num" val="0.8"/>
        <cfvo type="num" val="0.9"/>
        <color rgb="FFF8696B"/>
        <color rgb="FFFFEB84"/>
        <color rgb="FF63BE7B"/>
      </colorScale>
    </cfRule>
  </conditionalFormatting>
  <conditionalFormatting sqref="AH14">
    <cfRule type="colorScale" priority="170">
      <colorScale>
        <cfvo type="num" val="0.69"/>
        <cfvo type="num" val="0.8"/>
        <cfvo type="num" val="0.9"/>
        <color rgb="FFF8696B"/>
        <color rgb="FFFFEB84"/>
        <color rgb="FF63BE7B"/>
      </colorScale>
    </cfRule>
  </conditionalFormatting>
  <conditionalFormatting sqref="AN14">
    <cfRule type="colorScale" priority="169">
      <colorScale>
        <cfvo type="num" val="0.69"/>
        <cfvo type="num" val="0.8"/>
        <cfvo type="num" val="0.9"/>
        <color rgb="FFF8696B"/>
        <color rgb="FFFFEB84"/>
        <color rgb="FF63BE7B"/>
      </colorScale>
    </cfRule>
  </conditionalFormatting>
  <conditionalFormatting sqref="AT14">
    <cfRule type="colorScale" priority="168">
      <colorScale>
        <cfvo type="num" val="0.69"/>
        <cfvo type="num" val="0.8"/>
        <cfvo type="num" val="0.9"/>
        <color rgb="FFF8696B"/>
        <color rgb="FFFFEB84"/>
        <color rgb="FF63BE7B"/>
      </colorScale>
    </cfRule>
  </conditionalFormatting>
  <conditionalFormatting sqref="AZ14">
    <cfRule type="colorScale" priority="167">
      <colorScale>
        <cfvo type="num" val="0.69"/>
        <cfvo type="num" val="0.8"/>
        <cfvo type="num" val="0.9"/>
        <color rgb="FFF8696B"/>
        <color rgb="FFFFEB84"/>
        <color rgb="FF63BE7B"/>
      </colorScale>
    </cfRule>
  </conditionalFormatting>
  <conditionalFormatting sqref="BF14">
    <cfRule type="colorScale" priority="166">
      <colorScale>
        <cfvo type="num" val="0.69"/>
        <cfvo type="num" val="0.8"/>
        <cfvo type="num" val="0.9"/>
        <color rgb="FFF8696B"/>
        <color rgb="FFFFEB84"/>
        <color rgb="FF63BE7B"/>
      </colorScale>
    </cfRule>
  </conditionalFormatting>
  <conditionalFormatting sqref="BL14">
    <cfRule type="colorScale" priority="165">
      <colorScale>
        <cfvo type="num" val="0.69"/>
        <cfvo type="num" val="0.8"/>
        <cfvo type="num" val="0.9"/>
        <color rgb="FFF8696B"/>
        <color rgb="FFFFEB84"/>
        <color rgb="FF63BE7B"/>
      </colorScale>
    </cfRule>
  </conditionalFormatting>
  <conditionalFormatting sqref="BR14">
    <cfRule type="colorScale" priority="164">
      <colorScale>
        <cfvo type="num" val="0.69"/>
        <cfvo type="num" val="0.8"/>
        <cfvo type="num" val="0.9"/>
        <color rgb="FFF8696B"/>
        <color rgb="FFFFEB84"/>
        <color rgb="FF63BE7B"/>
      </colorScale>
    </cfRule>
  </conditionalFormatting>
  <conditionalFormatting sqref="BX14">
    <cfRule type="colorScale" priority="163">
      <colorScale>
        <cfvo type="num" val="0.69"/>
        <cfvo type="num" val="0.8"/>
        <cfvo type="num" val="0.9"/>
        <color rgb="FFF8696B"/>
        <color rgb="FFFFEB84"/>
        <color rgb="FF63BE7B"/>
      </colorScale>
    </cfRule>
  </conditionalFormatting>
  <conditionalFormatting sqref="CD14">
    <cfRule type="colorScale" priority="162">
      <colorScale>
        <cfvo type="num" val="0.69"/>
        <cfvo type="num" val="0.8"/>
        <cfvo type="num" val="0.9"/>
        <color rgb="FFF8696B"/>
        <color rgb="FFFFEB84"/>
        <color rgb="FF63BE7B"/>
      </colorScale>
    </cfRule>
  </conditionalFormatting>
  <conditionalFormatting sqref="CJ14">
    <cfRule type="colorScale" priority="161">
      <colorScale>
        <cfvo type="num" val="0.69"/>
        <cfvo type="num" val="0.8"/>
        <cfvo type="num" val="0.9"/>
        <color rgb="FFF8696B"/>
        <color rgb="FFFFEB84"/>
        <color rgb="FF63BE7B"/>
      </colorScale>
    </cfRule>
  </conditionalFormatting>
  <conditionalFormatting sqref="CP14">
    <cfRule type="colorScale" priority="160">
      <colorScale>
        <cfvo type="num" val="0.69"/>
        <cfvo type="num" val="0.8"/>
        <cfvo type="num" val="0.9"/>
        <color rgb="FFF8696B"/>
        <color rgb="FFFFEB84"/>
        <color rgb="FF63BE7B"/>
      </colorScale>
    </cfRule>
  </conditionalFormatting>
  <conditionalFormatting sqref="CV14">
    <cfRule type="colorScale" priority="159">
      <colorScale>
        <cfvo type="num" val="0.69"/>
        <cfvo type="num" val="0.8"/>
        <cfvo type="num" val="0.9"/>
        <color rgb="FFF8696B"/>
        <color rgb="FFFFEB84"/>
        <color rgb="FF63BE7B"/>
      </colorScale>
    </cfRule>
  </conditionalFormatting>
  <conditionalFormatting sqref="AB15">
    <cfRule type="colorScale" priority="158">
      <colorScale>
        <cfvo type="num" val="0.69"/>
        <cfvo type="num" val="0.8"/>
        <cfvo type="num" val="0.9"/>
        <color rgb="FFF8696B"/>
        <color rgb="FFFFEB84"/>
        <color rgb="FF63BE7B"/>
      </colorScale>
    </cfRule>
  </conditionalFormatting>
  <conditionalFormatting sqref="AH15">
    <cfRule type="colorScale" priority="157">
      <colorScale>
        <cfvo type="num" val="0.69"/>
        <cfvo type="num" val="0.8"/>
        <cfvo type="num" val="0.9"/>
        <color rgb="FFF8696B"/>
        <color rgb="FFFFEB84"/>
        <color rgb="FF63BE7B"/>
      </colorScale>
    </cfRule>
  </conditionalFormatting>
  <conditionalFormatting sqref="AN15">
    <cfRule type="colorScale" priority="156">
      <colorScale>
        <cfvo type="num" val="0.69"/>
        <cfvo type="num" val="0.8"/>
        <cfvo type="num" val="0.9"/>
        <color rgb="FFF8696B"/>
        <color rgb="FFFFEB84"/>
        <color rgb="FF63BE7B"/>
      </colorScale>
    </cfRule>
  </conditionalFormatting>
  <conditionalFormatting sqref="AT15">
    <cfRule type="colorScale" priority="155">
      <colorScale>
        <cfvo type="num" val="0.69"/>
        <cfvo type="num" val="0.8"/>
        <cfvo type="num" val="0.9"/>
        <color rgb="FFF8696B"/>
        <color rgb="FFFFEB84"/>
        <color rgb="FF63BE7B"/>
      </colorScale>
    </cfRule>
  </conditionalFormatting>
  <conditionalFormatting sqref="AZ15">
    <cfRule type="colorScale" priority="154">
      <colorScale>
        <cfvo type="num" val="0.69"/>
        <cfvo type="num" val="0.8"/>
        <cfvo type="num" val="0.9"/>
        <color rgb="FFF8696B"/>
        <color rgb="FFFFEB84"/>
        <color rgb="FF63BE7B"/>
      </colorScale>
    </cfRule>
  </conditionalFormatting>
  <conditionalFormatting sqref="BF15">
    <cfRule type="colorScale" priority="153">
      <colorScale>
        <cfvo type="num" val="0.69"/>
        <cfvo type="num" val="0.8"/>
        <cfvo type="num" val="0.9"/>
        <color rgb="FFF8696B"/>
        <color rgb="FFFFEB84"/>
        <color rgb="FF63BE7B"/>
      </colorScale>
    </cfRule>
  </conditionalFormatting>
  <conditionalFormatting sqref="BL15">
    <cfRule type="colorScale" priority="152">
      <colorScale>
        <cfvo type="num" val="0.69"/>
        <cfvo type="num" val="0.8"/>
        <cfvo type="num" val="0.9"/>
        <color rgb="FFF8696B"/>
        <color rgb="FFFFEB84"/>
        <color rgb="FF63BE7B"/>
      </colorScale>
    </cfRule>
  </conditionalFormatting>
  <conditionalFormatting sqref="BR15">
    <cfRule type="colorScale" priority="151">
      <colorScale>
        <cfvo type="num" val="0.69"/>
        <cfvo type="num" val="0.8"/>
        <cfvo type="num" val="0.9"/>
        <color rgb="FFF8696B"/>
        <color rgb="FFFFEB84"/>
        <color rgb="FF63BE7B"/>
      </colorScale>
    </cfRule>
  </conditionalFormatting>
  <conditionalFormatting sqref="BX15">
    <cfRule type="colorScale" priority="150">
      <colorScale>
        <cfvo type="num" val="0.69"/>
        <cfvo type="num" val="0.8"/>
        <cfvo type="num" val="0.9"/>
        <color rgb="FFF8696B"/>
        <color rgb="FFFFEB84"/>
        <color rgb="FF63BE7B"/>
      </colorScale>
    </cfRule>
  </conditionalFormatting>
  <conditionalFormatting sqref="CD15">
    <cfRule type="colorScale" priority="149">
      <colorScale>
        <cfvo type="num" val="0.69"/>
        <cfvo type="num" val="0.8"/>
        <cfvo type="num" val="0.9"/>
        <color rgb="FFF8696B"/>
        <color rgb="FFFFEB84"/>
        <color rgb="FF63BE7B"/>
      </colorScale>
    </cfRule>
  </conditionalFormatting>
  <conditionalFormatting sqref="CJ15">
    <cfRule type="colorScale" priority="148">
      <colorScale>
        <cfvo type="num" val="0.69"/>
        <cfvo type="num" val="0.8"/>
        <cfvo type="num" val="0.9"/>
        <color rgb="FFF8696B"/>
        <color rgb="FFFFEB84"/>
        <color rgb="FF63BE7B"/>
      </colorScale>
    </cfRule>
  </conditionalFormatting>
  <conditionalFormatting sqref="CP15">
    <cfRule type="colorScale" priority="147">
      <colorScale>
        <cfvo type="num" val="0.69"/>
        <cfvo type="num" val="0.8"/>
        <cfvo type="num" val="0.9"/>
        <color rgb="FFF8696B"/>
        <color rgb="FFFFEB84"/>
        <color rgb="FF63BE7B"/>
      </colorScale>
    </cfRule>
  </conditionalFormatting>
  <conditionalFormatting sqref="CV15">
    <cfRule type="colorScale" priority="146">
      <colorScale>
        <cfvo type="num" val="0.69"/>
        <cfvo type="num" val="0.8"/>
        <cfvo type="num" val="0.9"/>
        <color rgb="FFF8696B"/>
        <color rgb="FFFFEB84"/>
        <color rgb="FF63BE7B"/>
      </colorScale>
    </cfRule>
  </conditionalFormatting>
  <conditionalFormatting sqref="AB16">
    <cfRule type="colorScale" priority="145">
      <colorScale>
        <cfvo type="num" val="0.69"/>
        <cfvo type="num" val="0.8"/>
        <cfvo type="num" val="0.9"/>
        <color rgb="FFF8696B"/>
        <color rgb="FFFFEB84"/>
        <color rgb="FF63BE7B"/>
      </colorScale>
    </cfRule>
  </conditionalFormatting>
  <conditionalFormatting sqref="AT16">
    <cfRule type="colorScale" priority="144">
      <colorScale>
        <cfvo type="num" val="0.69"/>
        <cfvo type="num" val="0.8"/>
        <cfvo type="num" val="0.9"/>
        <color rgb="FFF8696B"/>
        <color rgb="FFFFEB84"/>
        <color rgb="FF63BE7B"/>
      </colorScale>
    </cfRule>
  </conditionalFormatting>
  <conditionalFormatting sqref="BF16">
    <cfRule type="colorScale" priority="143">
      <colorScale>
        <cfvo type="num" val="0.69"/>
        <cfvo type="num" val="0.8"/>
        <cfvo type="num" val="0.9"/>
        <color rgb="FFF8696B"/>
        <color rgb="FFFFEB84"/>
        <color rgb="FF63BE7B"/>
      </colorScale>
    </cfRule>
  </conditionalFormatting>
  <conditionalFormatting sqref="BR16">
    <cfRule type="colorScale" priority="142">
      <colorScale>
        <cfvo type="num" val="0.69"/>
        <cfvo type="num" val="0.8"/>
        <cfvo type="num" val="0.9"/>
        <color rgb="FFF8696B"/>
        <color rgb="FFFFEB84"/>
        <color rgb="FF63BE7B"/>
      </colorScale>
    </cfRule>
  </conditionalFormatting>
  <conditionalFormatting sqref="CD16">
    <cfRule type="colorScale" priority="141">
      <colorScale>
        <cfvo type="num" val="0.69"/>
        <cfvo type="num" val="0.8"/>
        <cfvo type="num" val="0.9"/>
        <color rgb="FFF8696B"/>
        <color rgb="FFFFEB84"/>
        <color rgb="FF63BE7B"/>
      </colorScale>
    </cfRule>
  </conditionalFormatting>
  <conditionalFormatting sqref="CP16">
    <cfRule type="colorScale" priority="140">
      <colorScale>
        <cfvo type="num" val="0.69"/>
        <cfvo type="num" val="0.8"/>
        <cfvo type="num" val="0.9"/>
        <color rgb="FFF8696B"/>
        <color rgb="FFFFEB84"/>
        <color rgb="FF63BE7B"/>
      </colorScale>
    </cfRule>
  </conditionalFormatting>
  <conditionalFormatting sqref="AI16">
    <cfRule type="colorScale" priority="139">
      <colorScale>
        <cfvo type="num" val="0.69"/>
        <cfvo type="num" val="0.8"/>
        <cfvo type="num" val="0.9"/>
        <color rgb="FFF8696B"/>
        <color rgb="FFFFEB84"/>
        <color rgb="FF63BE7B"/>
      </colorScale>
    </cfRule>
  </conditionalFormatting>
  <conditionalFormatting sqref="AO16">
    <cfRule type="colorScale" priority="138">
      <colorScale>
        <cfvo type="num" val="0.69"/>
        <cfvo type="num" val="0.8"/>
        <cfvo type="num" val="0.9"/>
        <color rgb="FFF8696B"/>
        <color rgb="FFFFEB84"/>
        <color rgb="FF63BE7B"/>
      </colorScale>
    </cfRule>
  </conditionalFormatting>
  <conditionalFormatting sqref="BA16">
    <cfRule type="colorScale" priority="137">
      <colorScale>
        <cfvo type="num" val="0.69"/>
        <cfvo type="num" val="0.8"/>
        <cfvo type="num" val="0.9"/>
        <color rgb="FFF8696B"/>
        <color rgb="FFFFEB84"/>
        <color rgb="FF63BE7B"/>
      </colorScale>
    </cfRule>
  </conditionalFormatting>
  <conditionalFormatting sqref="BM16">
    <cfRule type="colorScale" priority="136">
      <colorScale>
        <cfvo type="num" val="0.69"/>
        <cfvo type="num" val="0.8"/>
        <cfvo type="num" val="0.9"/>
        <color rgb="FFF8696B"/>
        <color rgb="FFFFEB84"/>
        <color rgb="FF63BE7B"/>
      </colorScale>
    </cfRule>
  </conditionalFormatting>
  <conditionalFormatting sqref="BY16">
    <cfRule type="colorScale" priority="135">
      <colorScale>
        <cfvo type="num" val="0.69"/>
        <cfvo type="num" val="0.8"/>
        <cfvo type="num" val="0.9"/>
        <color rgb="FFF8696B"/>
        <color rgb="FFFFEB84"/>
        <color rgb="FF63BE7B"/>
      </colorScale>
    </cfRule>
  </conditionalFormatting>
  <conditionalFormatting sqref="CK16">
    <cfRule type="colorScale" priority="134">
      <colorScale>
        <cfvo type="num" val="0.69"/>
        <cfvo type="num" val="0.8"/>
        <cfvo type="num" val="0.9"/>
        <color rgb="FFF8696B"/>
        <color rgb="FFFFEB84"/>
        <color rgb="FF63BE7B"/>
      </colorScale>
    </cfRule>
  </conditionalFormatting>
  <conditionalFormatting sqref="CW16">
    <cfRule type="colorScale" priority="133">
      <colorScale>
        <cfvo type="num" val="0.69"/>
        <cfvo type="num" val="0.8"/>
        <cfvo type="num" val="0.9"/>
        <color rgb="FFF8696B"/>
        <color rgb="FFFFEB84"/>
        <color rgb="FF63BE7B"/>
      </colorScale>
    </cfRule>
  </conditionalFormatting>
  <conditionalFormatting sqref="AB17:AB19 AB22:AB24">
    <cfRule type="colorScale" priority="132">
      <colorScale>
        <cfvo type="num" val="0.69"/>
        <cfvo type="num" val="0.8"/>
        <cfvo type="num" val="0.9"/>
        <color rgb="FFF8696B"/>
        <color rgb="FFFFEB84"/>
        <color rgb="FF63BE7B"/>
      </colorScale>
    </cfRule>
  </conditionalFormatting>
  <conditionalFormatting sqref="AH17:AH18 AH22:AH24">
    <cfRule type="colorScale" priority="131">
      <colorScale>
        <cfvo type="num" val="0.69"/>
        <cfvo type="num" val="0.8"/>
        <cfvo type="num" val="0.9"/>
        <color rgb="FFF8696B"/>
        <color rgb="FFFFEB84"/>
        <color rgb="FF63BE7B"/>
      </colorScale>
    </cfRule>
  </conditionalFormatting>
  <conditionalFormatting sqref="AN22:AN23 AN17 AN19">
    <cfRule type="colorScale" priority="130">
      <colorScale>
        <cfvo type="num" val="0.69"/>
        <cfvo type="num" val="0.8"/>
        <cfvo type="num" val="0.9"/>
        <color rgb="FFF8696B"/>
        <color rgb="FFFFEB84"/>
        <color rgb="FF63BE7B"/>
      </colorScale>
    </cfRule>
  </conditionalFormatting>
  <conditionalFormatting sqref="AT22:AT24 AT18">
    <cfRule type="colorScale" priority="129">
      <colorScale>
        <cfvo type="num" val="0.69"/>
        <cfvo type="num" val="0.8"/>
        <cfvo type="num" val="0.9"/>
        <color rgb="FFF8696B"/>
        <color rgb="FFFFEB84"/>
        <color rgb="FF63BE7B"/>
      </colorScale>
    </cfRule>
  </conditionalFormatting>
  <conditionalFormatting sqref="AZ17:AZ19 AZ22:AZ24">
    <cfRule type="colorScale" priority="128">
      <colorScale>
        <cfvo type="num" val="0.69"/>
        <cfvo type="num" val="0.8"/>
        <cfvo type="num" val="0.9"/>
        <color rgb="FFF8696B"/>
        <color rgb="FFFFEB84"/>
        <color rgb="FF63BE7B"/>
      </colorScale>
    </cfRule>
  </conditionalFormatting>
  <conditionalFormatting sqref="BF22:BF23">
    <cfRule type="colorScale" priority="127">
      <colorScale>
        <cfvo type="num" val="0.69"/>
        <cfvo type="num" val="0.8"/>
        <cfvo type="num" val="0.9"/>
        <color rgb="FFF8696B"/>
        <color rgb="FFFFEB84"/>
        <color rgb="FF63BE7B"/>
      </colorScale>
    </cfRule>
  </conditionalFormatting>
  <conditionalFormatting sqref="BL17:BL19 BL22:BL24">
    <cfRule type="colorScale" priority="126">
      <colorScale>
        <cfvo type="num" val="0.69"/>
        <cfvo type="num" val="0.8"/>
        <cfvo type="num" val="0.9"/>
        <color rgb="FFF8696B"/>
        <color rgb="FFFFEB84"/>
        <color rgb="FF63BE7B"/>
      </colorScale>
    </cfRule>
  </conditionalFormatting>
  <conditionalFormatting sqref="BR17:BR18 BR22:BR24 BR20">
    <cfRule type="colorScale" priority="125">
      <colorScale>
        <cfvo type="num" val="0.69"/>
        <cfvo type="num" val="0.8"/>
        <cfvo type="num" val="0.9"/>
        <color rgb="FFF8696B"/>
        <color rgb="FFFFEB84"/>
        <color rgb="FF63BE7B"/>
      </colorScale>
    </cfRule>
  </conditionalFormatting>
  <conditionalFormatting sqref="BX22:BX23 BX19">
    <cfRule type="colorScale" priority="124">
      <colorScale>
        <cfvo type="num" val="0.69"/>
        <cfvo type="num" val="0.8"/>
        <cfvo type="num" val="0.9"/>
        <color rgb="FFF8696B"/>
        <color rgb="FFFFEB84"/>
        <color rgb="FF63BE7B"/>
      </colorScale>
    </cfRule>
  </conditionalFormatting>
  <conditionalFormatting sqref="CD17:CD19 CD22:CD24">
    <cfRule type="colorScale" priority="123">
      <colorScale>
        <cfvo type="num" val="0.69"/>
        <cfvo type="num" val="0.8"/>
        <cfvo type="num" val="0.9"/>
        <color rgb="FFF8696B"/>
        <color rgb="FFFFEB84"/>
        <color rgb="FF63BE7B"/>
      </colorScale>
    </cfRule>
  </conditionalFormatting>
  <conditionalFormatting sqref="CJ17:CJ19 CJ22:CJ24">
    <cfRule type="colorScale" priority="122">
      <colorScale>
        <cfvo type="num" val="0.69"/>
        <cfvo type="num" val="0.8"/>
        <cfvo type="num" val="0.9"/>
        <color rgb="FFF8696B"/>
        <color rgb="FFFFEB84"/>
        <color rgb="FF63BE7B"/>
      </colorScale>
    </cfRule>
  </conditionalFormatting>
  <conditionalFormatting sqref="CP22:CP23">
    <cfRule type="colorScale" priority="121">
      <colorScale>
        <cfvo type="num" val="0.69"/>
        <cfvo type="num" val="0.8"/>
        <cfvo type="num" val="0.9"/>
        <color rgb="FFF8696B"/>
        <color rgb="FFFFEB84"/>
        <color rgb="FF63BE7B"/>
      </colorScale>
    </cfRule>
  </conditionalFormatting>
  <conditionalFormatting sqref="CV22:CV23 CV19">
    <cfRule type="colorScale" priority="120">
      <colorScale>
        <cfvo type="num" val="0.69"/>
        <cfvo type="num" val="0.8"/>
        <cfvo type="num" val="0.9"/>
        <color rgb="FFF8696B"/>
        <color rgb="FFFFEB84"/>
        <color rgb="FF63BE7B"/>
      </colorScale>
    </cfRule>
  </conditionalFormatting>
  <conditionalFormatting sqref="AB8">
    <cfRule type="colorScale" priority="119">
      <colorScale>
        <cfvo type="num" val="0.69"/>
        <cfvo type="num" val="0.8"/>
        <cfvo type="num" val="0.9"/>
        <color rgb="FFF8696B"/>
        <color rgb="FFFFEB84"/>
        <color rgb="FF63BE7B"/>
      </colorScale>
    </cfRule>
  </conditionalFormatting>
  <conditionalFormatting sqref="AH8">
    <cfRule type="colorScale" priority="118">
      <colorScale>
        <cfvo type="num" val="0.69"/>
        <cfvo type="num" val="0.8"/>
        <cfvo type="num" val="0.9"/>
        <color rgb="FFF8696B"/>
        <color rgb="FFFFEB84"/>
        <color rgb="FF63BE7B"/>
      </colorScale>
    </cfRule>
  </conditionalFormatting>
  <conditionalFormatting sqref="AZ8">
    <cfRule type="colorScale" priority="117">
      <colorScale>
        <cfvo type="num" val="0.69"/>
        <cfvo type="num" val="0.8"/>
        <cfvo type="num" val="0.9"/>
        <color rgb="FFF8696B"/>
        <color rgb="FFFFEB84"/>
        <color rgb="FF63BE7B"/>
      </colorScale>
    </cfRule>
  </conditionalFormatting>
  <conditionalFormatting sqref="BF8">
    <cfRule type="colorScale" priority="116">
      <colorScale>
        <cfvo type="num" val="0.69"/>
        <cfvo type="num" val="0.8"/>
        <cfvo type="num" val="0.9"/>
        <color rgb="FFF8696B"/>
        <color rgb="FFFFEB84"/>
        <color rgb="FF63BE7B"/>
      </colorScale>
    </cfRule>
  </conditionalFormatting>
  <conditionalFormatting sqref="BR8">
    <cfRule type="colorScale" priority="115">
      <colorScale>
        <cfvo type="num" val="0.69"/>
        <cfvo type="num" val="0.8"/>
        <cfvo type="num" val="0.9"/>
        <color rgb="FFF8696B"/>
        <color rgb="FFFFEB84"/>
        <color rgb="FF63BE7B"/>
      </colorScale>
    </cfRule>
  </conditionalFormatting>
  <conditionalFormatting sqref="CD8">
    <cfRule type="colorScale" priority="114">
      <colorScale>
        <cfvo type="num" val="0.69"/>
        <cfvo type="num" val="0.8"/>
        <cfvo type="num" val="0.9"/>
        <color rgb="FFF8696B"/>
        <color rgb="FFFFEB84"/>
        <color rgb="FF63BE7B"/>
      </colorScale>
    </cfRule>
  </conditionalFormatting>
  <conditionalFormatting sqref="CJ8">
    <cfRule type="colorScale" priority="113">
      <colorScale>
        <cfvo type="num" val="0.69"/>
        <cfvo type="num" val="0.8"/>
        <cfvo type="num" val="0.9"/>
        <color rgb="FFF8696B"/>
        <color rgb="FFFFEB84"/>
        <color rgb="FF63BE7B"/>
      </colorScale>
    </cfRule>
  </conditionalFormatting>
  <conditionalFormatting sqref="CP8">
    <cfRule type="colorScale" priority="112">
      <colorScale>
        <cfvo type="num" val="0.69"/>
        <cfvo type="num" val="0.8"/>
        <cfvo type="num" val="0.9"/>
        <color rgb="FFF8696B"/>
        <color rgb="FFFFEB84"/>
        <color rgb="FF63BE7B"/>
      </colorScale>
    </cfRule>
  </conditionalFormatting>
  <conditionalFormatting sqref="CV8:CV9">
    <cfRule type="colorScale" priority="111">
      <colorScale>
        <cfvo type="num" val="0.69"/>
        <cfvo type="num" val="0.8"/>
        <cfvo type="num" val="0.9"/>
        <color rgb="FFF8696B"/>
        <color rgb="FFFFEB84"/>
        <color rgb="FF63BE7B"/>
      </colorScale>
    </cfRule>
  </conditionalFormatting>
  <conditionalFormatting sqref="AB11">
    <cfRule type="colorScale" priority="110">
      <colorScale>
        <cfvo type="num" val="0.69"/>
        <cfvo type="num" val="0.8"/>
        <cfvo type="num" val="0.9"/>
        <color rgb="FFF8696B"/>
        <color rgb="FFFFEB84"/>
        <color rgb="FF63BE7B"/>
      </colorScale>
    </cfRule>
  </conditionalFormatting>
  <conditionalFormatting sqref="AZ10">
    <cfRule type="colorScale" priority="109">
      <colorScale>
        <cfvo type="num" val="0.69"/>
        <cfvo type="num" val="0.8"/>
        <cfvo type="num" val="0.9"/>
        <color rgb="FFF8696B"/>
        <color rgb="FFFFEB84"/>
        <color rgb="FF63BE7B"/>
      </colorScale>
    </cfRule>
  </conditionalFormatting>
  <conditionalFormatting sqref="BR10">
    <cfRule type="colorScale" priority="108">
      <colorScale>
        <cfvo type="num" val="0.69"/>
        <cfvo type="num" val="0.8"/>
        <cfvo type="num" val="0.9"/>
        <color rgb="FFF8696B"/>
        <color rgb="FFFFEB84"/>
        <color rgb="FF63BE7B"/>
      </colorScale>
    </cfRule>
  </conditionalFormatting>
  <conditionalFormatting sqref="BX10">
    <cfRule type="colorScale" priority="107">
      <colorScale>
        <cfvo type="num" val="0.69"/>
        <cfvo type="num" val="0.8"/>
        <cfvo type="num" val="0.9"/>
        <color rgb="FFF8696B"/>
        <color rgb="FFFFEB84"/>
        <color rgb="FF63BE7B"/>
      </colorScale>
    </cfRule>
  </conditionalFormatting>
  <conditionalFormatting sqref="CV10:CV12">
    <cfRule type="colorScale" priority="106">
      <colorScale>
        <cfvo type="num" val="0.69"/>
        <cfvo type="num" val="0.8"/>
        <cfvo type="num" val="0.9"/>
        <color rgb="FFF8696B"/>
        <color rgb="FFFFEB84"/>
        <color rgb="FF63BE7B"/>
      </colorScale>
    </cfRule>
  </conditionalFormatting>
  <conditionalFormatting sqref="AB13">
    <cfRule type="colorScale" priority="105">
      <colorScale>
        <cfvo type="num" val="0.69"/>
        <cfvo type="num" val="0.8"/>
        <cfvo type="num" val="0.9"/>
        <color rgb="FFF8696B"/>
        <color rgb="FFFFEB84"/>
        <color rgb="FF63BE7B"/>
      </colorScale>
    </cfRule>
  </conditionalFormatting>
  <conditionalFormatting sqref="BF13">
    <cfRule type="colorScale" priority="104">
      <colorScale>
        <cfvo type="num" val="0.69"/>
        <cfvo type="num" val="0.8"/>
        <cfvo type="num" val="0.9"/>
        <color rgb="FFF8696B"/>
        <color rgb="FFFFEB84"/>
        <color rgb="FF63BE7B"/>
      </colorScale>
    </cfRule>
  </conditionalFormatting>
  <conditionalFormatting sqref="BR13">
    <cfRule type="colorScale" priority="103">
      <colorScale>
        <cfvo type="num" val="0.69"/>
        <cfvo type="num" val="0.8"/>
        <cfvo type="num" val="0.9"/>
        <color rgb="FFF8696B"/>
        <color rgb="FFFFEB84"/>
        <color rgb="FF63BE7B"/>
      </colorScale>
    </cfRule>
  </conditionalFormatting>
  <conditionalFormatting sqref="BX13">
    <cfRule type="colorScale" priority="102">
      <colorScale>
        <cfvo type="num" val="0.69"/>
        <cfvo type="num" val="0.8"/>
        <cfvo type="num" val="0.9"/>
        <color rgb="FFF8696B"/>
        <color rgb="FFFFEB84"/>
        <color rgb="FF63BE7B"/>
      </colorScale>
    </cfRule>
  </conditionalFormatting>
  <conditionalFormatting sqref="CD13">
    <cfRule type="colorScale" priority="101">
      <colorScale>
        <cfvo type="num" val="0.69"/>
        <cfvo type="num" val="0.8"/>
        <cfvo type="num" val="0.9"/>
        <color rgb="FFF8696B"/>
        <color rgb="FFFFEB84"/>
        <color rgb="FF63BE7B"/>
      </colorScale>
    </cfRule>
  </conditionalFormatting>
  <conditionalFormatting sqref="CJ13">
    <cfRule type="colorScale" priority="100">
      <colorScale>
        <cfvo type="num" val="0.69"/>
        <cfvo type="num" val="0.8"/>
        <cfvo type="num" val="0.9"/>
        <color rgb="FFF8696B"/>
        <color rgb="FFFFEB84"/>
        <color rgb="FF63BE7B"/>
      </colorScale>
    </cfRule>
  </conditionalFormatting>
  <conditionalFormatting sqref="CV13">
    <cfRule type="colorScale" priority="99">
      <colorScale>
        <cfvo type="num" val="0.69"/>
        <cfvo type="num" val="0.8"/>
        <cfvo type="num" val="0.9"/>
        <color rgb="FFF8696B"/>
        <color rgb="FFFFEB84"/>
        <color rgb="FF63BE7B"/>
      </colorScale>
    </cfRule>
  </conditionalFormatting>
  <conditionalFormatting sqref="AT17">
    <cfRule type="colorScale" priority="98">
      <colorScale>
        <cfvo type="num" val="0.69"/>
        <cfvo type="num" val="0.8"/>
        <cfvo type="num" val="0.9"/>
        <color rgb="FFF8696B"/>
        <color rgb="FFFFEB84"/>
        <color rgb="FF63BE7B"/>
      </colorScale>
    </cfRule>
  </conditionalFormatting>
  <conditionalFormatting sqref="AH9">
    <cfRule type="colorScale" priority="97">
      <colorScale>
        <cfvo type="num" val="0.69"/>
        <cfvo type="num" val="0.8"/>
        <cfvo type="num" val="0.9"/>
        <color rgb="FFF8696B"/>
        <color rgb="FFFFEB84"/>
        <color rgb="FF63BE7B"/>
      </colorScale>
    </cfRule>
  </conditionalFormatting>
  <conditionalFormatting sqref="AN9">
    <cfRule type="colorScale" priority="96">
      <colorScale>
        <cfvo type="num" val="0.69"/>
        <cfvo type="num" val="0.8"/>
        <cfvo type="num" val="0.9"/>
        <color rgb="FFF8696B"/>
        <color rgb="FFFFEB84"/>
        <color rgb="FF63BE7B"/>
      </colorScale>
    </cfRule>
  </conditionalFormatting>
  <conditionalFormatting sqref="AT9">
    <cfRule type="colorScale" priority="95">
      <colorScale>
        <cfvo type="num" val="0.69"/>
        <cfvo type="num" val="0.8"/>
        <cfvo type="num" val="0.9"/>
        <color rgb="FFF8696B"/>
        <color rgb="FFFFEB84"/>
        <color rgb="FF63BE7B"/>
      </colorScale>
    </cfRule>
  </conditionalFormatting>
  <conditionalFormatting sqref="AB9">
    <cfRule type="colorScale" priority="94">
      <colorScale>
        <cfvo type="num" val="0.69"/>
        <cfvo type="num" val="0.8"/>
        <cfvo type="num" val="0.9"/>
        <color rgb="FFF8696B"/>
        <color rgb="FFFFEB84"/>
        <color rgb="FF63BE7B"/>
      </colorScale>
    </cfRule>
  </conditionalFormatting>
  <conditionalFormatting sqref="AB10">
    <cfRule type="colorScale" priority="93">
      <colorScale>
        <cfvo type="num" val="0.69"/>
        <cfvo type="num" val="0.8"/>
        <cfvo type="num" val="0.9"/>
        <color rgb="FFF8696B"/>
        <color rgb="FFFFEB84"/>
        <color rgb="FF63BE7B"/>
      </colorScale>
    </cfRule>
  </conditionalFormatting>
  <conditionalFormatting sqref="AH10">
    <cfRule type="colorScale" priority="92">
      <colorScale>
        <cfvo type="num" val="0.69"/>
        <cfvo type="num" val="0.8"/>
        <cfvo type="num" val="0.9"/>
        <color rgb="FFF8696B"/>
        <color rgb="FFFFEB84"/>
        <color rgb="FF63BE7B"/>
      </colorScale>
    </cfRule>
  </conditionalFormatting>
  <conditionalFormatting sqref="AN10">
    <cfRule type="colorScale" priority="91">
      <colorScale>
        <cfvo type="num" val="0.69"/>
        <cfvo type="num" val="0.8"/>
        <cfvo type="num" val="0.9"/>
        <color rgb="FFF8696B"/>
        <color rgb="FFFFEB84"/>
        <color rgb="FF63BE7B"/>
      </colorScale>
    </cfRule>
  </conditionalFormatting>
  <conditionalFormatting sqref="AT10">
    <cfRule type="colorScale" priority="90">
      <colorScale>
        <cfvo type="num" val="0.69"/>
        <cfvo type="num" val="0.8"/>
        <cfvo type="num" val="0.9"/>
        <color rgb="FFF8696B"/>
        <color rgb="FFFFEB84"/>
        <color rgb="FF63BE7B"/>
      </colorScale>
    </cfRule>
  </conditionalFormatting>
  <conditionalFormatting sqref="AH13">
    <cfRule type="colorScale" priority="89">
      <colorScale>
        <cfvo type="num" val="0.69"/>
        <cfvo type="num" val="0.8"/>
        <cfvo type="num" val="0.9"/>
        <color rgb="FFF8696B"/>
        <color rgb="FFFFEB84"/>
        <color rgb="FF63BE7B"/>
      </colorScale>
    </cfRule>
  </conditionalFormatting>
  <conditionalFormatting sqref="AN18">
    <cfRule type="colorScale" priority="88">
      <colorScale>
        <cfvo type="num" val="0.69"/>
        <cfvo type="num" val="0.8"/>
        <cfvo type="num" val="0.9"/>
        <color rgb="FFF8696B"/>
        <color rgb="FFFFEB84"/>
        <color rgb="FF63BE7B"/>
      </colorScale>
    </cfRule>
  </conditionalFormatting>
  <conditionalFormatting sqref="AN18">
    <cfRule type="colorScale" priority="87">
      <colorScale>
        <cfvo type="num" val="0.69"/>
        <cfvo type="num" val="0.8"/>
        <cfvo type="num" val="0.9"/>
        <color rgb="FFF8696B"/>
        <color rgb="FFFFEB84"/>
        <color rgb="FF63BE7B"/>
      </colorScale>
    </cfRule>
  </conditionalFormatting>
  <conditionalFormatting sqref="AN8">
    <cfRule type="colorScale" priority="86">
      <colorScale>
        <cfvo type="num" val="0.69"/>
        <cfvo type="num" val="0.8"/>
        <cfvo type="num" val="0.9"/>
        <color rgb="FFF8696B"/>
        <color rgb="FFFFEB84"/>
        <color rgb="FF63BE7B"/>
      </colorScale>
    </cfRule>
  </conditionalFormatting>
  <conditionalFormatting sqref="AT8">
    <cfRule type="colorScale" priority="85">
      <colorScale>
        <cfvo type="num" val="0.69"/>
        <cfvo type="num" val="0.8"/>
        <cfvo type="num" val="0.9"/>
        <color rgb="FFF8696B"/>
        <color rgb="FFFFEB84"/>
        <color rgb="FF63BE7B"/>
      </colorScale>
    </cfRule>
  </conditionalFormatting>
  <conditionalFormatting sqref="AT19">
    <cfRule type="colorScale" priority="84">
      <colorScale>
        <cfvo type="num" val="0.69"/>
        <cfvo type="num" val="0.8"/>
        <cfvo type="num" val="0.9"/>
        <color rgb="FFF8696B"/>
        <color rgb="FFFFEB84"/>
        <color rgb="FF63BE7B"/>
      </colorScale>
    </cfRule>
  </conditionalFormatting>
  <conditionalFormatting sqref="AT19">
    <cfRule type="colorScale" priority="83">
      <colorScale>
        <cfvo type="num" val="0.69"/>
        <cfvo type="num" val="0.8"/>
        <cfvo type="num" val="0.9"/>
        <color rgb="FFF8696B"/>
        <color rgb="FFFFEB84"/>
        <color rgb="FF63BE7B"/>
      </colorScale>
    </cfRule>
  </conditionalFormatting>
  <conditionalFormatting sqref="AB12">
    <cfRule type="colorScale" priority="82">
      <colorScale>
        <cfvo type="num" val="0.69"/>
        <cfvo type="num" val="0.8"/>
        <cfvo type="num" val="0.9"/>
        <color rgb="FFF8696B"/>
        <color rgb="FFFFEB84"/>
        <color rgb="FF63BE7B"/>
      </colorScale>
    </cfRule>
  </conditionalFormatting>
  <conditionalFormatting sqref="AN12">
    <cfRule type="colorScale" priority="81">
      <colorScale>
        <cfvo type="num" val="0.69"/>
        <cfvo type="num" val="0.8"/>
        <cfvo type="num" val="0.9"/>
        <color rgb="FFF8696B"/>
        <color rgb="FFFFEB84"/>
        <color rgb="FF63BE7B"/>
      </colorScale>
    </cfRule>
  </conditionalFormatting>
  <conditionalFormatting sqref="AT12">
    <cfRule type="colorScale" priority="80">
      <colorScale>
        <cfvo type="num" val="0.69"/>
        <cfvo type="num" val="0.8"/>
        <cfvo type="num" val="0.9"/>
        <color rgb="FFF8696B"/>
        <color rgb="FFFFEB84"/>
        <color rgb="FF63BE7B"/>
      </colorScale>
    </cfRule>
  </conditionalFormatting>
  <conditionalFormatting sqref="AN24">
    <cfRule type="colorScale" priority="79">
      <colorScale>
        <cfvo type="num" val="0.69"/>
        <cfvo type="num" val="0.8"/>
        <cfvo type="num" val="0.9"/>
        <color rgb="FFF8696B"/>
        <color rgb="FFFFEB84"/>
        <color rgb="FF63BE7B"/>
      </colorScale>
    </cfRule>
  </conditionalFormatting>
  <conditionalFormatting sqref="AN11">
    <cfRule type="colorScale" priority="78">
      <colorScale>
        <cfvo type="num" val="0.69"/>
        <cfvo type="num" val="0.8"/>
        <cfvo type="num" val="0.9"/>
        <color rgb="FFF8696B"/>
        <color rgb="FFFFEB84"/>
        <color rgb="FF63BE7B"/>
      </colorScale>
    </cfRule>
  </conditionalFormatting>
  <conditionalFormatting sqref="AT11">
    <cfRule type="colorScale" priority="77">
      <colorScale>
        <cfvo type="num" val="0.69"/>
        <cfvo type="num" val="0.8"/>
        <cfvo type="num" val="0.9"/>
        <color rgb="FFF8696B"/>
        <color rgb="FFFFEB84"/>
        <color rgb="FF63BE7B"/>
      </colorScale>
    </cfRule>
  </conditionalFormatting>
  <conditionalFormatting sqref="AN13">
    <cfRule type="colorScale" priority="76">
      <colorScale>
        <cfvo type="num" val="0.69"/>
        <cfvo type="num" val="0.8"/>
        <cfvo type="num" val="0.9"/>
        <color rgb="FFF8696B"/>
        <color rgb="FFFFEB84"/>
        <color rgb="FF63BE7B"/>
      </colorScale>
    </cfRule>
  </conditionalFormatting>
  <conditionalFormatting sqref="AT13">
    <cfRule type="colorScale" priority="75">
      <colorScale>
        <cfvo type="num" val="0.69"/>
        <cfvo type="num" val="0.8"/>
        <cfvo type="num" val="0.9"/>
        <color rgb="FFF8696B"/>
        <color rgb="FFFFEB84"/>
        <color rgb="FF63BE7B"/>
      </colorScale>
    </cfRule>
  </conditionalFormatting>
  <conditionalFormatting sqref="AH19">
    <cfRule type="colorScale" priority="74">
      <colorScale>
        <cfvo type="num" val="0.69"/>
        <cfvo type="num" val="0.8"/>
        <cfvo type="num" val="0.9"/>
        <color rgb="FFF8696B"/>
        <color rgb="FFFFEB84"/>
        <color rgb="FF63BE7B"/>
      </colorScale>
    </cfRule>
  </conditionalFormatting>
  <conditionalFormatting sqref="AZ13">
    <cfRule type="colorScale" priority="73">
      <colorScale>
        <cfvo type="num" val="0.69"/>
        <cfvo type="num" val="0.8"/>
        <cfvo type="num" val="0.9"/>
        <color rgb="FFF8696B"/>
        <color rgb="FFFFEB84"/>
        <color rgb="FF63BE7B"/>
      </colorScale>
    </cfRule>
  </conditionalFormatting>
  <conditionalFormatting sqref="AZ9">
    <cfRule type="colorScale" priority="72">
      <colorScale>
        <cfvo type="num" val="0.69"/>
        <cfvo type="num" val="0.8"/>
        <cfvo type="num" val="0.9"/>
        <color rgb="FFF8696B"/>
        <color rgb="FFFFEB84"/>
        <color rgb="FF63BE7B"/>
      </colorScale>
    </cfRule>
  </conditionalFormatting>
  <conditionalFormatting sqref="AZ12">
    <cfRule type="colorScale" priority="71">
      <colorScale>
        <cfvo type="num" val="0.69"/>
        <cfvo type="num" val="0.8"/>
        <cfvo type="num" val="0.9"/>
        <color rgb="FFF8696B"/>
        <color rgb="FFFFEB84"/>
        <color rgb="FF63BE7B"/>
      </colorScale>
    </cfRule>
  </conditionalFormatting>
  <conditionalFormatting sqref="AH12">
    <cfRule type="colorScale" priority="70">
      <colorScale>
        <cfvo type="num" val="0.69"/>
        <cfvo type="num" val="0.8"/>
        <cfvo type="num" val="0.9"/>
        <color rgb="FFF8696B"/>
        <color rgb="FFFFEB84"/>
        <color rgb="FF63BE7B"/>
      </colorScale>
    </cfRule>
  </conditionalFormatting>
  <conditionalFormatting sqref="AB20:AB21">
    <cfRule type="colorScale" priority="69">
      <colorScale>
        <cfvo type="num" val="0.69"/>
        <cfvo type="num" val="0.8"/>
        <cfvo type="num" val="0.9"/>
        <color rgb="FFF8696B"/>
        <color rgb="FFFFEB84"/>
        <color rgb="FF63BE7B"/>
      </colorScale>
    </cfRule>
  </conditionalFormatting>
  <conditionalFormatting sqref="AN20:AN21">
    <cfRule type="colorScale" priority="68">
      <colorScale>
        <cfvo type="num" val="0.69"/>
        <cfvo type="num" val="0.8"/>
        <cfvo type="num" val="0.9"/>
        <color rgb="FFF8696B"/>
        <color rgb="FFFFEB84"/>
        <color rgb="FF63BE7B"/>
      </colorScale>
    </cfRule>
  </conditionalFormatting>
  <conditionalFormatting sqref="AZ20:AZ21">
    <cfRule type="colorScale" priority="67">
      <colorScale>
        <cfvo type="num" val="0.69"/>
        <cfvo type="num" val="0.8"/>
        <cfvo type="num" val="0.9"/>
        <color rgb="FFF8696B"/>
        <color rgb="FFFFEB84"/>
        <color rgb="FF63BE7B"/>
      </colorScale>
    </cfRule>
  </conditionalFormatting>
  <conditionalFormatting sqref="BF20:BF21">
    <cfRule type="colorScale" priority="66">
      <colorScale>
        <cfvo type="num" val="0.69"/>
        <cfvo type="num" val="0.8"/>
        <cfvo type="num" val="0.9"/>
        <color rgb="FFF8696B"/>
        <color rgb="FFFFEB84"/>
        <color rgb="FF63BE7B"/>
      </colorScale>
    </cfRule>
  </conditionalFormatting>
  <conditionalFormatting sqref="AT20:AT21">
    <cfRule type="colorScale" priority="65">
      <colorScale>
        <cfvo type="num" val="0.69"/>
        <cfvo type="num" val="0.8"/>
        <cfvo type="num" val="0.9"/>
        <color rgb="FFF8696B"/>
        <color rgb="FFFFEB84"/>
        <color rgb="FF63BE7B"/>
      </colorScale>
    </cfRule>
  </conditionalFormatting>
  <conditionalFormatting sqref="AT20:AT21">
    <cfRule type="colorScale" priority="64">
      <colorScale>
        <cfvo type="num" val="0.69"/>
        <cfvo type="num" val="0.8"/>
        <cfvo type="num" val="0.9"/>
        <color rgb="FFF8696B"/>
        <color rgb="FFFFEB84"/>
        <color rgb="FF63BE7B"/>
      </colorScale>
    </cfRule>
  </conditionalFormatting>
  <conditionalFormatting sqref="AH20:AH21">
    <cfRule type="colorScale" priority="63">
      <colorScale>
        <cfvo type="num" val="0.69"/>
        <cfvo type="num" val="0.8"/>
        <cfvo type="num" val="0.9"/>
        <color rgb="FFF8696B"/>
        <color rgb="FFFFEB84"/>
        <color rgb="FF63BE7B"/>
      </colorScale>
    </cfRule>
  </conditionalFormatting>
  <conditionalFormatting sqref="BF24">
    <cfRule type="colorScale" priority="62">
      <colorScale>
        <cfvo type="num" val="0.69"/>
        <cfvo type="num" val="0.8"/>
        <cfvo type="num" val="0.9"/>
        <color rgb="FFF8696B"/>
        <color rgb="FFFFEB84"/>
        <color rgb="FF63BE7B"/>
      </colorScale>
    </cfRule>
  </conditionalFormatting>
  <conditionalFormatting sqref="BF17">
    <cfRule type="colorScale" priority="61">
      <colorScale>
        <cfvo type="num" val="0.69"/>
        <cfvo type="num" val="0.8"/>
        <cfvo type="num" val="0.9"/>
        <color rgb="FFF8696B"/>
        <color rgb="FFFFEB84"/>
        <color rgb="FF63BE7B"/>
      </colorScale>
    </cfRule>
  </conditionalFormatting>
  <conditionalFormatting sqref="BF11">
    <cfRule type="colorScale" priority="60">
      <colorScale>
        <cfvo type="num" val="0.69"/>
        <cfvo type="num" val="0.8"/>
        <cfvo type="num" val="0.9"/>
        <color rgb="FFF8696B"/>
        <color rgb="FFFFEB84"/>
        <color rgb="FF63BE7B"/>
      </colorScale>
    </cfRule>
  </conditionalFormatting>
  <conditionalFormatting sqref="BF10">
    <cfRule type="colorScale" priority="59">
      <colorScale>
        <cfvo type="num" val="0.69"/>
        <cfvo type="num" val="0.8"/>
        <cfvo type="num" val="0.9"/>
        <color rgb="FFF8696B"/>
        <color rgb="FFFFEB84"/>
        <color rgb="FF63BE7B"/>
      </colorScale>
    </cfRule>
  </conditionalFormatting>
  <conditionalFormatting sqref="BF9">
    <cfRule type="colorScale" priority="58">
      <colorScale>
        <cfvo type="num" val="0.69"/>
        <cfvo type="num" val="0.8"/>
        <cfvo type="num" val="0.9"/>
        <color rgb="FFF8696B"/>
        <color rgb="FFFFEB84"/>
        <color rgb="FF63BE7B"/>
      </colorScale>
    </cfRule>
  </conditionalFormatting>
  <conditionalFormatting sqref="BF12">
    <cfRule type="colorScale" priority="57">
      <colorScale>
        <cfvo type="num" val="0.69"/>
        <cfvo type="num" val="0.8"/>
        <cfvo type="num" val="0.9"/>
        <color rgb="FFF8696B"/>
        <color rgb="FFFFEB84"/>
        <color rgb="FF63BE7B"/>
      </colorScale>
    </cfRule>
  </conditionalFormatting>
  <conditionalFormatting sqref="BF19">
    <cfRule type="colorScale" priority="56">
      <colorScale>
        <cfvo type="num" val="0.69"/>
        <cfvo type="num" val="0.8"/>
        <cfvo type="num" val="0.9"/>
        <color rgb="FFF8696B"/>
        <color rgb="FFFFEB84"/>
        <color rgb="FF63BE7B"/>
      </colorScale>
    </cfRule>
  </conditionalFormatting>
  <conditionalFormatting sqref="BF19">
    <cfRule type="colorScale" priority="55">
      <colorScale>
        <cfvo type="num" val="0.69"/>
        <cfvo type="num" val="0.8"/>
        <cfvo type="num" val="0.9"/>
        <color rgb="FFF8696B"/>
        <color rgb="FFFFEB84"/>
        <color rgb="FF63BE7B"/>
      </colorScale>
    </cfRule>
  </conditionalFormatting>
  <conditionalFormatting sqref="BF19">
    <cfRule type="colorScale" priority="54">
      <colorScale>
        <cfvo type="num" val="0.69"/>
        <cfvo type="num" val="0.8"/>
        <cfvo type="num" val="0.9"/>
        <color rgb="FFF8696B"/>
        <color rgb="FFFFEB84"/>
        <color rgb="FF63BE7B"/>
      </colorScale>
    </cfRule>
  </conditionalFormatting>
  <conditionalFormatting sqref="AH11">
    <cfRule type="colorScale" priority="53">
      <colorScale>
        <cfvo type="num" val="0.69"/>
        <cfvo type="num" val="0.8"/>
        <cfvo type="num" val="0.9"/>
        <color rgb="FFF8696B"/>
        <color rgb="FFFFEB84"/>
        <color rgb="FF63BE7B"/>
      </colorScale>
    </cfRule>
  </conditionalFormatting>
  <conditionalFormatting sqref="AZ11">
    <cfRule type="colorScale" priority="52">
      <colorScale>
        <cfvo type="num" val="0.69"/>
        <cfvo type="num" val="0.8"/>
        <cfvo type="num" val="0.9"/>
        <color rgb="FFF8696B"/>
        <color rgb="FFFFEB84"/>
        <color rgb="FF63BE7B"/>
      </colorScale>
    </cfRule>
  </conditionalFormatting>
  <conditionalFormatting sqref="BF18">
    <cfRule type="colorScale" priority="51">
      <colorScale>
        <cfvo type="num" val="0.69"/>
        <cfvo type="num" val="0.8"/>
        <cfvo type="num" val="0.9"/>
        <color rgb="FFF8696B"/>
        <color rgb="FFFFEB84"/>
        <color rgb="FF63BE7B"/>
      </colorScale>
    </cfRule>
  </conditionalFormatting>
  <conditionalFormatting sqref="BL8">
    <cfRule type="colorScale" priority="50">
      <colorScale>
        <cfvo type="num" val="0.69"/>
        <cfvo type="num" val="0.8"/>
        <cfvo type="num" val="0.9"/>
        <color rgb="FFF8696B"/>
        <color rgb="FFFFEB84"/>
        <color rgb="FF63BE7B"/>
      </colorScale>
    </cfRule>
  </conditionalFormatting>
  <conditionalFormatting sqref="BL13">
    <cfRule type="colorScale" priority="49">
      <colorScale>
        <cfvo type="num" val="0.69"/>
        <cfvo type="num" val="0.8"/>
        <cfvo type="num" val="0.9"/>
        <color rgb="FFF8696B"/>
        <color rgb="FFFFEB84"/>
        <color rgb="FF63BE7B"/>
      </colorScale>
    </cfRule>
  </conditionalFormatting>
  <conditionalFormatting sqref="BL20:BL21">
    <cfRule type="colorScale" priority="48">
      <colorScale>
        <cfvo type="num" val="0.69"/>
        <cfvo type="num" val="0.8"/>
        <cfvo type="num" val="0.9"/>
        <color rgb="FFF8696B"/>
        <color rgb="FFFFEB84"/>
        <color rgb="FF63BE7B"/>
      </colorScale>
    </cfRule>
  </conditionalFormatting>
  <conditionalFormatting sqref="BL12">
    <cfRule type="colorScale" priority="47">
      <colorScale>
        <cfvo type="num" val="0.69"/>
        <cfvo type="num" val="0.8"/>
        <cfvo type="num" val="0.9"/>
        <color rgb="FFF8696B"/>
        <color rgb="FFFFEB84"/>
        <color rgb="FF63BE7B"/>
      </colorScale>
    </cfRule>
  </conditionalFormatting>
  <conditionalFormatting sqref="BL11">
    <cfRule type="colorScale" priority="46">
      <colorScale>
        <cfvo type="num" val="0.69"/>
        <cfvo type="num" val="0.8"/>
        <cfvo type="num" val="0.9"/>
        <color rgb="FFF8696B"/>
        <color rgb="FFFFEB84"/>
        <color rgb="FF63BE7B"/>
      </colorScale>
    </cfRule>
  </conditionalFormatting>
  <conditionalFormatting sqref="BL10">
    <cfRule type="colorScale" priority="45">
      <colorScale>
        <cfvo type="num" val="0.69"/>
        <cfvo type="num" val="0.8"/>
        <cfvo type="num" val="0.9"/>
        <color rgb="FFF8696B"/>
        <color rgb="FFFFEB84"/>
        <color rgb="FF63BE7B"/>
      </colorScale>
    </cfRule>
  </conditionalFormatting>
  <conditionalFormatting sqref="BL9">
    <cfRule type="colorScale" priority="44">
      <colorScale>
        <cfvo type="num" val="0.69"/>
        <cfvo type="num" val="0.8"/>
        <cfvo type="num" val="0.9"/>
        <color rgb="FFF8696B"/>
        <color rgb="FFFFEB84"/>
        <color rgb="FF63BE7B"/>
      </colorScale>
    </cfRule>
  </conditionalFormatting>
  <conditionalFormatting sqref="BR9">
    <cfRule type="colorScale" priority="43">
      <colorScale>
        <cfvo type="num" val="0.69"/>
        <cfvo type="num" val="0.8"/>
        <cfvo type="num" val="0.9"/>
        <color rgb="FFF8696B"/>
        <color rgb="FFFFEB84"/>
        <color rgb="FF63BE7B"/>
      </colorScale>
    </cfRule>
  </conditionalFormatting>
  <conditionalFormatting sqref="BR12">
    <cfRule type="colorScale" priority="42">
      <colorScale>
        <cfvo type="num" val="0.69"/>
        <cfvo type="num" val="0.8"/>
        <cfvo type="num" val="0.9"/>
        <color rgb="FFF8696B"/>
        <color rgb="FFFFEB84"/>
        <color rgb="FF63BE7B"/>
      </colorScale>
    </cfRule>
  </conditionalFormatting>
  <conditionalFormatting sqref="BR21">
    <cfRule type="colorScale" priority="41">
      <colorScale>
        <cfvo type="num" val="0.69"/>
        <cfvo type="num" val="0.8"/>
        <cfvo type="num" val="0.9"/>
        <color rgb="FFF8696B"/>
        <color rgb="FFFFEB84"/>
        <color rgb="FF63BE7B"/>
      </colorScale>
    </cfRule>
  </conditionalFormatting>
  <conditionalFormatting sqref="BR11">
    <cfRule type="colorScale" priority="40">
      <colorScale>
        <cfvo type="num" val="0.69"/>
        <cfvo type="num" val="0.8"/>
        <cfvo type="num" val="0.9"/>
        <color rgb="FFF8696B"/>
        <color rgb="FFFFEB84"/>
        <color rgb="FF63BE7B"/>
      </colorScale>
    </cfRule>
  </conditionalFormatting>
  <conditionalFormatting sqref="BR19">
    <cfRule type="colorScale" priority="39">
      <colorScale>
        <cfvo type="num" val="0.69"/>
        <cfvo type="num" val="0.8"/>
        <cfvo type="num" val="0.9"/>
        <color rgb="FFF8696B"/>
        <color rgb="FFFFEB84"/>
        <color rgb="FF63BE7B"/>
      </colorScale>
    </cfRule>
  </conditionalFormatting>
  <conditionalFormatting sqref="BR19">
    <cfRule type="colorScale" priority="38">
      <colorScale>
        <cfvo type="num" val="0.69"/>
        <cfvo type="num" val="0.8"/>
        <cfvo type="num" val="0.9"/>
        <color rgb="FFF8696B"/>
        <color rgb="FFFFEB84"/>
        <color rgb="FF63BE7B"/>
      </colorScale>
    </cfRule>
  </conditionalFormatting>
  <conditionalFormatting sqref="BR19">
    <cfRule type="colorScale" priority="37">
      <colorScale>
        <cfvo type="num" val="0.69"/>
        <cfvo type="num" val="0.8"/>
        <cfvo type="num" val="0.9"/>
        <color rgb="FFF8696B"/>
        <color rgb="FFFFEB84"/>
        <color rgb="FF63BE7B"/>
      </colorScale>
    </cfRule>
  </conditionalFormatting>
  <conditionalFormatting sqref="BX20:BX21">
    <cfRule type="colorScale" priority="36">
      <colorScale>
        <cfvo type="num" val="0.69"/>
        <cfvo type="num" val="0.8"/>
        <cfvo type="num" val="0.9"/>
        <color rgb="FFF8696B"/>
        <color rgb="FFFFEB84"/>
        <color rgb="FF63BE7B"/>
      </colorScale>
    </cfRule>
  </conditionalFormatting>
  <conditionalFormatting sqref="BX8">
    <cfRule type="colorScale" priority="35">
      <colorScale>
        <cfvo type="num" val="0.69"/>
        <cfvo type="num" val="0.8"/>
        <cfvo type="num" val="0.9"/>
        <color rgb="FFF8696B"/>
        <color rgb="FFFFEB84"/>
        <color rgb="FF63BE7B"/>
      </colorScale>
    </cfRule>
  </conditionalFormatting>
  <conditionalFormatting sqref="BX11">
    <cfRule type="colorScale" priority="34">
      <colorScale>
        <cfvo type="num" val="0.69"/>
        <cfvo type="num" val="0.8"/>
        <cfvo type="num" val="0.9"/>
        <color rgb="FFF8696B"/>
        <color rgb="FFFFEB84"/>
        <color rgb="FF63BE7B"/>
      </colorScale>
    </cfRule>
  </conditionalFormatting>
  <conditionalFormatting sqref="BX9">
    <cfRule type="colorScale" priority="33">
      <colorScale>
        <cfvo type="num" val="0.69"/>
        <cfvo type="num" val="0.8"/>
        <cfvo type="num" val="0.9"/>
        <color rgb="FFF8696B"/>
        <color rgb="FFFFEB84"/>
        <color rgb="FF63BE7B"/>
      </colorScale>
    </cfRule>
  </conditionalFormatting>
  <conditionalFormatting sqref="BX12">
    <cfRule type="colorScale" priority="32">
      <colorScale>
        <cfvo type="num" val="0.69"/>
        <cfvo type="num" val="0.8"/>
        <cfvo type="num" val="0.9"/>
        <color rgb="FFF8696B"/>
        <color rgb="FFFFEB84"/>
        <color rgb="FF63BE7B"/>
      </colorScale>
    </cfRule>
  </conditionalFormatting>
  <conditionalFormatting sqref="BX18">
    <cfRule type="colorScale" priority="31">
      <colorScale>
        <cfvo type="num" val="0.69"/>
        <cfvo type="num" val="0.8"/>
        <cfvo type="num" val="0.9"/>
        <color rgb="FFF8696B"/>
        <color rgb="FFFFEB84"/>
        <color rgb="FF63BE7B"/>
      </colorScale>
    </cfRule>
  </conditionalFormatting>
  <conditionalFormatting sqref="BX18">
    <cfRule type="colorScale" priority="30">
      <colorScale>
        <cfvo type="num" val="0.69"/>
        <cfvo type="num" val="0.8"/>
        <cfvo type="num" val="0.9"/>
        <color rgb="FFF8696B"/>
        <color rgb="FFFFEB84"/>
        <color rgb="FF63BE7B"/>
      </colorScale>
    </cfRule>
  </conditionalFormatting>
  <conditionalFormatting sqref="BX18">
    <cfRule type="colorScale" priority="29">
      <colorScale>
        <cfvo type="num" val="0.69"/>
        <cfvo type="num" val="0.8"/>
        <cfvo type="num" val="0.9"/>
        <color rgb="FFF8696B"/>
        <color rgb="FFFFEB84"/>
        <color rgb="FF63BE7B"/>
      </colorScale>
    </cfRule>
  </conditionalFormatting>
  <conditionalFormatting sqref="BX24">
    <cfRule type="colorScale" priority="28">
      <colorScale>
        <cfvo type="num" val="0.69"/>
        <cfvo type="num" val="0.8"/>
        <cfvo type="num" val="0.9"/>
        <color rgb="FFF8696B"/>
        <color rgb="FFFFEB84"/>
        <color rgb="FF63BE7B"/>
      </colorScale>
    </cfRule>
  </conditionalFormatting>
  <conditionalFormatting sqref="BX17">
    <cfRule type="colorScale" priority="27">
      <colorScale>
        <cfvo type="num" val="0.69"/>
        <cfvo type="num" val="0.8"/>
        <cfvo type="num" val="0.9"/>
        <color rgb="FFF8696B"/>
        <color rgb="FFFFEB84"/>
        <color rgb="FF63BE7B"/>
      </colorScale>
    </cfRule>
  </conditionalFormatting>
  <conditionalFormatting sqref="CD11">
    <cfRule type="colorScale" priority="26">
      <colorScale>
        <cfvo type="num" val="0.69"/>
        <cfvo type="num" val="0.8"/>
        <cfvo type="num" val="0.9"/>
        <color rgb="FFF8696B"/>
        <color rgb="FFFFEB84"/>
        <color rgb="FF63BE7B"/>
      </colorScale>
    </cfRule>
  </conditionalFormatting>
  <conditionalFormatting sqref="CD12">
    <cfRule type="colorScale" priority="25">
      <colorScale>
        <cfvo type="num" val="0.69"/>
        <cfvo type="num" val="0.8"/>
        <cfvo type="num" val="0.9"/>
        <color rgb="FFF8696B"/>
        <color rgb="FFFFEB84"/>
        <color rgb="FF63BE7B"/>
      </colorScale>
    </cfRule>
  </conditionalFormatting>
  <conditionalFormatting sqref="CD9">
    <cfRule type="colorScale" priority="24">
      <colorScale>
        <cfvo type="num" val="0.69"/>
        <cfvo type="num" val="0.8"/>
        <cfvo type="num" val="0.9"/>
        <color rgb="FFF8696B"/>
        <color rgb="FFFFEB84"/>
        <color rgb="FF63BE7B"/>
      </colorScale>
    </cfRule>
  </conditionalFormatting>
  <conditionalFormatting sqref="CD10">
    <cfRule type="colorScale" priority="23">
      <colorScale>
        <cfvo type="num" val="0.69"/>
        <cfvo type="num" val="0.8"/>
        <cfvo type="num" val="0.9"/>
        <color rgb="FFF8696B"/>
        <color rgb="FFFFEB84"/>
        <color rgb="FF63BE7B"/>
      </colorScale>
    </cfRule>
  </conditionalFormatting>
  <conditionalFormatting sqref="CD20:CD21">
    <cfRule type="colorScale" priority="22">
      <colorScale>
        <cfvo type="num" val="0.69"/>
        <cfvo type="num" val="0.8"/>
        <cfvo type="num" val="0.9"/>
        <color rgb="FFF8696B"/>
        <color rgb="FFFFEB84"/>
        <color rgb="FF63BE7B"/>
      </colorScale>
    </cfRule>
  </conditionalFormatting>
  <conditionalFormatting sqref="CJ20:CJ21">
    <cfRule type="colorScale" priority="21">
      <colorScale>
        <cfvo type="num" val="0.69"/>
        <cfvo type="num" val="0.8"/>
        <cfvo type="num" val="0.9"/>
        <color rgb="FFF8696B"/>
        <color rgb="FFFFEB84"/>
        <color rgb="FF63BE7B"/>
      </colorScale>
    </cfRule>
  </conditionalFormatting>
  <conditionalFormatting sqref="CJ11">
    <cfRule type="colorScale" priority="20">
      <colorScale>
        <cfvo type="num" val="0.69"/>
        <cfvo type="num" val="0.8"/>
        <cfvo type="num" val="0.9"/>
        <color rgb="FFF8696B"/>
        <color rgb="FFFFEB84"/>
        <color rgb="FF63BE7B"/>
      </colorScale>
    </cfRule>
  </conditionalFormatting>
  <conditionalFormatting sqref="CJ9">
    <cfRule type="colorScale" priority="19">
      <colorScale>
        <cfvo type="num" val="0.69"/>
        <cfvo type="num" val="0.8"/>
        <cfvo type="num" val="0.9"/>
        <color rgb="FFF8696B"/>
        <color rgb="FFFFEB84"/>
        <color rgb="FF63BE7B"/>
      </colorScale>
    </cfRule>
  </conditionalFormatting>
  <conditionalFormatting sqref="CJ10">
    <cfRule type="colorScale" priority="18">
      <colorScale>
        <cfvo type="num" val="0.69"/>
        <cfvo type="num" val="0.8"/>
        <cfvo type="num" val="0.9"/>
        <color rgb="FFF8696B"/>
        <color rgb="FFFFEB84"/>
        <color rgb="FF63BE7B"/>
      </colorScale>
    </cfRule>
  </conditionalFormatting>
  <conditionalFormatting sqref="CJ12">
    <cfRule type="colorScale" priority="17">
      <colorScale>
        <cfvo type="num" val="0.69"/>
        <cfvo type="num" val="0.8"/>
        <cfvo type="num" val="0.9"/>
        <color rgb="FFF8696B"/>
        <color rgb="FFFFEB84"/>
        <color rgb="FF63BE7B"/>
      </colorScale>
    </cfRule>
  </conditionalFormatting>
  <conditionalFormatting sqref="CP13">
    <cfRule type="colorScale" priority="16">
      <colorScale>
        <cfvo type="num" val="0.69"/>
        <cfvo type="num" val="0.8"/>
        <cfvo type="num" val="0.9"/>
        <color rgb="FFF8696B"/>
        <color rgb="FFFFEB84"/>
        <color rgb="FF63BE7B"/>
      </colorScale>
    </cfRule>
  </conditionalFormatting>
  <conditionalFormatting sqref="CP9">
    <cfRule type="colorScale" priority="15">
      <colorScale>
        <cfvo type="num" val="0.69"/>
        <cfvo type="num" val="0.8"/>
        <cfvo type="num" val="0.9"/>
        <color rgb="FFF8696B"/>
        <color rgb="FFFFEB84"/>
        <color rgb="FF63BE7B"/>
      </colorScale>
    </cfRule>
  </conditionalFormatting>
  <conditionalFormatting sqref="CP10">
    <cfRule type="colorScale" priority="14">
      <colorScale>
        <cfvo type="num" val="0.69"/>
        <cfvo type="num" val="0.8"/>
        <cfvo type="num" val="0.9"/>
        <color rgb="FFF8696B"/>
        <color rgb="FFFFEB84"/>
        <color rgb="FF63BE7B"/>
      </colorScale>
    </cfRule>
  </conditionalFormatting>
  <conditionalFormatting sqref="CP12">
    <cfRule type="colorScale" priority="13">
      <colorScale>
        <cfvo type="num" val="0.69"/>
        <cfvo type="num" val="0.8"/>
        <cfvo type="num" val="0.9"/>
        <color rgb="FFF8696B"/>
        <color rgb="FFFFEB84"/>
        <color rgb="FF63BE7B"/>
      </colorScale>
    </cfRule>
  </conditionalFormatting>
  <conditionalFormatting sqref="CP17">
    <cfRule type="colorScale" priority="12">
      <colorScale>
        <cfvo type="num" val="0.69"/>
        <cfvo type="num" val="0.8"/>
        <cfvo type="num" val="0.9"/>
        <color rgb="FFF8696B"/>
        <color rgb="FFFFEB84"/>
        <color rgb="FF63BE7B"/>
      </colorScale>
    </cfRule>
  </conditionalFormatting>
  <conditionalFormatting sqref="CV17">
    <cfRule type="colorScale" priority="11">
      <colorScale>
        <cfvo type="num" val="0.69"/>
        <cfvo type="num" val="0.8"/>
        <cfvo type="num" val="0.9"/>
        <color rgb="FFF8696B"/>
        <color rgb="FFFFEB84"/>
        <color rgb="FF63BE7B"/>
      </colorScale>
    </cfRule>
  </conditionalFormatting>
  <conditionalFormatting sqref="CP11">
    <cfRule type="colorScale" priority="10">
      <colorScale>
        <cfvo type="num" val="0.69"/>
        <cfvo type="num" val="0.8"/>
        <cfvo type="num" val="0.9"/>
        <color rgb="FFF8696B"/>
        <color rgb="FFFFEB84"/>
        <color rgb="FF63BE7B"/>
      </colorScale>
    </cfRule>
  </conditionalFormatting>
  <conditionalFormatting sqref="CP24">
    <cfRule type="colorScale" priority="9">
      <colorScale>
        <cfvo type="num" val="0.69"/>
        <cfvo type="num" val="0.8"/>
        <cfvo type="num" val="0.9"/>
        <color rgb="FFF8696B"/>
        <color rgb="FFFFEB84"/>
        <color rgb="FF63BE7B"/>
      </colorScale>
    </cfRule>
  </conditionalFormatting>
  <conditionalFormatting sqref="CP19">
    <cfRule type="colorScale" priority="8">
      <colorScale>
        <cfvo type="num" val="0.69"/>
        <cfvo type="num" val="0.8"/>
        <cfvo type="num" val="0.9"/>
        <color rgb="FFF8696B"/>
        <color rgb="FFFFEB84"/>
        <color rgb="FF63BE7B"/>
      </colorScale>
    </cfRule>
  </conditionalFormatting>
  <conditionalFormatting sqref="CP19">
    <cfRule type="colorScale" priority="7">
      <colorScale>
        <cfvo type="num" val="0.69"/>
        <cfvo type="num" val="0.8"/>
        <cfvo type="num" val="0.9"/>
        <color rgb="FFF8696B"/>
        <color rgb="FFFFEB84"/>
        <color rgb="FF63BE7B"/>
      </colorScale>
    </cfRule>
  </conditionalFormatting>
  <conditionalFormatting sqref="CP19">
    <cfRule type="colorScale" priority="6">
      <colorScale>
        <cfvo type="num" val="0.69"/>
        <cfvo type="num" val="0.8"/>
        <cfvo type="num" val="0.9"/>
        <color rgb="FFF8696B"/>
        <color rgb="FFFFEB84"/>
        <color rgb="FF63BE7B"/>
      </colorScale>
    </cfRule>
  </conditionalFormatting>
  <conditionalFormatting sqref="CV18">
    <cfRule type="colorScale" priority="5">
      <colorScale>
        <cfvo type="num" val="0.69"/>
        <cfvo type="num" val="0.8"/>
        <cfvo type="num" val="0.9"/>
        <color rgb="FFF8696B"/>
        <color rgb="FFFFEB84"/>
        <color rgb="FF63BE7B"/>
      </colorScale>
    </cfRule>
  </conditionalFormatting>
  <conditionalFormatting sqref="CP18">
    <cfRule type="colorScale" priority="4">
      <colorScale>
        <cfvo type="num" val="0.69"/>
        <cfvo type="num" val="0.8"/>
        <cfvo type="num" val="0.9"/>
        <color rgb="FFF8696B"/>
        <color rgb="FFFFEB84"/>
        <color rgb="FF63BE7B"/>
      </colorScale>
    </cfRule>
  </conditionalFormatting>
  <conditionalFormatting sqref="CP20:CP21">
    <cfRule type="colorScale" priority="3">
      <colorScale>
        <cfvo type="num" val="0.69"/>
        <cfvo type="num" val="0.8"/>
        <cfvo type="num" val="0.9"/>
        <color rgb="FFF8696B"/>
        <color rgb="FFFFEB84"/>
        <color rgb="FF63BE7B"/>
      </colorScale>
    </cfRule>
  </conditionalFormatting>
  <conditionalFormatting sqref="CV20:CV21">
    <cfRule type="colorScale" priority="2">
      <colorScale>
        <cfvo type="num" val="0.69"/>
        <cfvo type="num" val="0.8"/>
        <cfvo type="num" val="0.9"/>
        <color rgb="FFF8696B"/>
        <color rgb="FFFFEB84"/>
        <color rgb="FF63BE7B"/>
      </colorScale>
    </cfRule>
  </conditionalFormatting>
  <conditionalFormatting sqref="CV24">
    <cfRule type="colorScale" priority="1">
      <colorScale>
        <cfvo type="num" val="0.69"/>
        <cfvo type="num" val="0.8"/>
        <cfvo type="num" val="0.9"/>
        <color rgb="FFF8696B"/>
        <color rgb="FFFFEB84"/>
        <color rgb="FF63BE7B"/>
      </colorScale>
    </cfRule>
  </conditionalFormatting>
  <printOptions horizontalCentered="1"/>
  <pageMargins left="0.19685039370078741" right="0.19685039370078741" top="0.35433070866141736" bottom="0.39370078740157483" header="0" footer="0.19685039370078741"/>
  <pageSetup paperSize="14" scale="70" fitToHeight="12" orientation="landscape" horizontalDpi="4294967295" verticalDpi="4294967295" r:id="rId1"/>
  <headerFooter alignWithMargins="0">
    <oddFooter>&amp;CPágina &amp;P de &amp;N</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pageSetUpPr fitToPage="1"/>
  </sheetPr>
  <dimension ref="A1:CW33"/>
  <sheetViews>
    <sheetView showGridLines="0" view="pageBreakPreview" zoomScaleNormal="100" zoomScaleSheetLayoutView="100" workbookViewId="0">
      <selection activeCell="C2" sqref="C2"/>
    </sheetView>
  </sheetViews>
  <sheetFormatPr baseColWidth="10" defaultRowHeight="12.75"/>
  <cols>
    <col min="1" max="1" width="1.140625" style="15" customWidth="1"/>
    <col min="2" max="2" width="21.42578125" style="15" customWidth="1"/>
    <col min="3" max="3" width="9.28515625" style="2" customWidth="1"/>
    <col min="4" max="4" width="19.7109375" style="15" customWidth="1"/>
    <col min="5" max="5" width="14.7109375" style="15" customWidth="1"/>
    <col min="6" max="6" width="15" style="15" customWidth="1"/>
    <col min="7" max="7" width="13.42578125" style="15" customWidth="1"/>
    <col min="8" max="8" width="17.140625" style="15" customWidth="1"/>
    <col min="9" max="9" width="16.7109375" style="15" customWidth="1"/>
    <col min="10" max="10" width="10" style="15" customWidth="1"/>
    <col min="11" max="22" width="5.7109375" style="15" customWidth="1"/>
    <col min="23" max="23" width="9.5703125" style="15" customWidth="1"/>
    <col min="24" max="24" width="15.5703125" style="15" customWidth="1"/>
    <col min="25" max="25" width="12.7109375" style="15" customWidth="1"/>
    <col min="26" max="27" width="8.140625" style="15" customWidth="1"/>
    <col min="28" max="28" width="11.5703125" style="15" customWidth="1"/>
    <col min="29" max="29" width="55.42578125" style="15" customWidth="1"/>
    <col min="30" max="30" width="12" style="15" customWidth="1"/>
    <col min="31" max="31" width="12.85546875" style="15" customWidth="1"/>
    <col min="32" max="33" width="8.140625" style="15" customWidth="1"/>
    <col min="34" max="34" width="11.5703125" style="15" customWidth="1"/>
    <col min="35" max="35" width="55.42578125" style="15" customWidth="1"/>
    <col min="36" max="36" width="9.28515625" style="15" customWidth="1"/>
    <col min="37" max="37" width="11" style="15" customWidth="1"/>
    <col min="38" max="39" width="8.140625" style="15" customWidth="1"/>
    <col min="40" max="40" width="11.5703125" style="15" customWidth="1"/>
    <col min="41" max="41" width="55.42578125" style="15" customWidth="1"/>
    <col min="42" max="42" width="9.28515625" style="15" customWidth="1"/>
    <col min="43" max="43" width="11" style="15" customWidth="1"/>
    <col min="44" max="45" width="8.140625" style="15" customWidth="1"/>
    <col min="46" max="46" width="11.5703125" style="15" customWidth="1"/>
    <col min="47" max="47" width="55.42578125" style="15" customWidth="1"/>
    <col min="48" max="48" width="10.42578125" style="15" customWidth="1"/>
    <col min="49" max="49" width="12.42578125" style="15" customWidth="1"/>
    <col min="50" max="51" width="8.140625" style="15" customWidth="1"/>
    <col min="52" max="52" width="11.5703125" style="15" customWidth="1"/>
    <col min="53" max="53" width="55.42578125" style="15" customWidth="1"/>
    <col min="54" max="54" width="16.140625" style="15" customWidth="1"/>
    <col min="55" max="55" width="17.85546875" style="15" customWidth="1"/>
    <col min="56" max="56" width="8.140625" style="15" customWidth="1"/>
    <col min="57" max="57" width="14.140625" style="15" customWidth="1"/>
    <col min="58" max="58" width="11.5703125" style="15" customWidth="1"/>
    <col min="59" max="59" width="55.42578125" style="15" customWidth="1"/>
    <col min="60" max="60" width="9.28515625" style="15" customWidth="1"/>
    <col min="61" max="61" width="11" style="15" customWidth="1"/>
    <col min="62" max="63" width="8.140625" style="15" customWidth="1"/>
    <col min="64" max="64" width="11.5703125" style="15" customWidth="1"/>
    <col min="65" max="65" width="55.42578125" style="15" customWidth="1"/>
    <col min="66" max="66" width="9.28515625" style="15" customWidth="1"/>
    <col min="67" max="67" width="11" style="15" customWidth="1"/>
    <col min="68" max="69" width="8.140625" style="15" customWidth="1"/>
    <col min="70" max="70" width="11.5703125" style="15" customWidth="1"/>
    <col min="71" max="71" width="55.42578125" style="15" customWidth="1"/>
    <col min="72" max="72" width="9.28515625" style="15" customWidth="1"/>
    <col min="73" max="73" width="11" style="15" customWidth="1"/>
    <col min="74" max="75" width="8.140625" style="15" customWidth="1"/>
    <col min="76" max="76" width="11.5703125" style="15" customWidth="1"/>
    <col min="77" max="77" width="55.42578125" style="15" customWidth="1"/>
    <col min="78" max="78" width="9.28515625" style="15" customWidth="1"/>
    <col min="79" max="79" width="11" style="15" customWidth="1"/>
    <col min="80" max="81" width="8.140625" style="15" customWidth="1"/>
    <col min="82" max="82" width="11.5703125" style="15" customWidth="1"/>
    <col min="83" max="83" width="55.42578125" style="15" customWidth="1"/>
    <col min="84" max="84" width="9.28515625" style="15" customWidth="1"/>
    <col min="85" max="85" width="11" style="15" customWidth="1"/>
    <col min="86" max="87" width="8.140625" style="15" customWidth="1"/>
    <col min="88" max="88" width="11.5703125" style="15" customWidth="1"/>
    <col min="89" max="89" width="55.42578125" style="15" customWidth="1"/>
    <col min="90" max="90" width="9.28515625" style="15" bestFit="1" customWidth="1"/>
    <col min="91" max="91" width="11" style="15" customWidth="1"/>
    <col min="92" max="93" width="8.140625" style="15" customWidth="1"/>
    <col min="94" max="94" width="11.5703125" style="15" customWidth="1"/>
    <col min="95" max="95" width="55.42578125" style="15" customWidth="1"/>
    <col min="96" max="96" width="12.7109375" style="15" customWidth="1"/>
    <col min="97" max="97" width="13.5703125" style="15" customWidth="1"/>
    <col min="98" max="98" width="8.140625" style="15" customWidth="1"/>
    <col min="99" max="99" width="9.140625" style="15" customWidth="1"/>
    <col min="100" max="100" width="12.85546875" style="15" customWidth="1"/>
    <col min="101" max="101" width="55.42578125" style="15" customWidth="1"/>
    <col min="102" max="16384" width="11.42578125" style="15"/>
  </cols>
  <sheetData>
    <row r="1" spans="1:101"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c r="W1" s="1884"/>
    </row>
    <row r="2" spans="1:101"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c r="W2" s="575"/>
    </row>
    <row r="3" spans="1:101" ht="5.25" customHeight="1">
      <c r="W3" s="683"/>
    </row>
    <row r="4" spans="1:101" ht="19.5" customHeight="1">
      <c r="B4" s="49" t="s">
        <v>18</v>
      </c>
      <c r="C4" s="1979" t="s">
        <v>3732</v>
      </c>
      <c r="D4" s="1979"/>
      <c r="E4" s="1979"/>
      <c r="F4" s="1979"/>
      <c r="G4" s="1979"/>
      <c r="H4" s="1979"/>
      <c r="I4" s="1979"/>
      <c r="J4" s="1979"/>
      <c r="K4" s="1996" t="s">
        <v>21</v>
      </c>
      <c r="L4" s="1996"/>
      <c r="M4" s="1996"/>
      <c r="N4" s="1999">
        <v>2014</v>
      </c>
      <c r="O4" s="2000"/>
      <c r="P4" s="2000"/>
      <c r="Q4" s="2000"/>
      <c r="R4" s="2000"/>
      <c r="S4" s="2000"/>
      <c r="T4" s="2000"/>
      <c r="U4" s="2000"/>
      <c r="V4" s="2001"/>
      <c r="W4" s="683"/>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6" customHeight="1">
      <c r="A5" s="128"/>
      <c r="B5" s="128"/>
      <c r="C5" s="44"/>
      <c r="D5" s="128"/>
      <c r="E5" s="128"/>
      <c r="F5" s="128"/>
      <c r="G5" s="128"/>
      <c r="H5" s="128"/>
      <c r="I5" s="128"/>
      <c r="J5" s="128"/>
      <c r="K5" s="128"/>
      <c r="L5" s="128"/>
      <c r="M5" s="128"/>
      <c r="N5" s="128"/>
      <c r="O5" s="128"/>
      <c r="P5" s="128"/>
      <c r="Q5" s="128"/>
      <c r="R5" s="128"/>
      <c r="S5" s="128"/>
      <c r="T5" s="128"/>
      <c r="U5" s="128"/>
      <c r="V5" s="128"/>
      <c r="W5" s="683"/>
    </row>
    <row r="6" spans="1:101"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1"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1683" t="s">
        <v>65</v>
      </c>
      <c r="X7" s="1402" t="s">
        <v>31</v>
      </c>
      <c r="Y7" s="56" t="s">
        <v>32</v>
      </c>
      <c r="Z7" s="57" t="s">
        <v>33</v>
      </c>
      <c r="AA7" s="56" t="s">
        <v>34</v>
      </c>
      <c r="AB7" s="19" t="s">
        <v>35</v>
      </c>
      <c r="AC7" s="57" t="s">
        <v>36</v>
      </c>
      <c r="AD7" s="56" t="s">
        <v>31</v>
      </c>
      <c r="AE7" s="56" t="s">
        <v>32</v>
      </c>
      <c r="AF7" s="57" t="s">
        <v>33</v>
      </c>
      <c r="AG7" s="56" t="s">
        <v>34</v>
      </c>
      <c r="AH7" s="19" t="s">
        <v>35</v>
      </c>
      <c r="AI7" s="57" t="s">
        <v>36</v>
      </c>
      <c r="AJ7" s="56" t="s">
        <v>31</v>
      </c>
      <c r="AK7" s="56" t="s">
        <v>32</v>
      </c>
      <c r="AL7" s="57" t="s">
        <v>33</v>
      </c>
      <c r="AM7" s="56" t="s">
        <v>34</v>
      </c>
      <c r="AN7" s="19" t="s">
        <v>35</v>
      </c>
      <c r="AO7" s="57" t="s">
        <v>36</v>
      </c>
      <c r="AP7" s="56" t="s">
        <v>31</v>
      </c>
      <c r="AQ7" s="56" t="s">
        <v>32</v>
      </c>
      <c r="AR7" s="57" t="s">
        <v>33</v>
      </c>
      <c r="AS7" s="56" t="s">
        <v>34</v>
      </c>
      <c r="AT7" s="19" t="s">
        <v>35</v>
      </c>
      <c r="AU7" s="57" t="s">
        <v>36</v>
      </c>
      <c r="AV7" s="56" t="s">
        <v>31</v>
      </c>
      <c r="AW7" s="56" t="s">
        <v>32</v>
      </c>
      <c r="AX7" s="57" t="s">
        <v>33</v>
      </c>
      <c r="AY7" s="56" t="s">
        <v>34</v>
      </c>
      <c r="AZ7" s="19" t="s">
        <v>35</v>
      </c>
      <c r="BA7" s="57" t="s">
        <v>36</v>
      </c>
      <c r="BB7" s="56" t="s">
        <v>31</v>
      </c>
      <c r="BC7" s="56" t="s">
        <v>32</v>
      </c>
      <c r="BD7" s="57" t="s">
        <v>33</v>
      </c>
      <c r="BE7" s="56" t="s">
        <v>34</v>
      </c>
      <c r="BF7" s="19" t="s">
        <v>35</v>
      </c>
      <c r="BG7" s="57" t="s">
        <v>36</v>
      </c>
      <c r="BH7" s="56" t="s">
        <v>31</v>
      </c>
      <c r="BI7" s="56" t="s">
        <v>32</v>
      </c>
      <c r="BJ7" s="57" t="s">
        <v>33</v>
      </c>
      <c r="BK7" s="56" t="s">
        <v>34</v>
      </c>
      <c r="BL7" s="19" t="s">
        <v>35</v>
      </c>
      <c r="BM7" s="57" t="s">
        <v>36</v>
      </c>
      <c r="BN7" s="56" t="s">
        <v>31</v>
      </c>
      <c r="BO7" s="56" t="s">
        <v>32</v>
      </c>
      <c r="BP7" s="57" t="s">
        <v>33</v>
      </c>
      <c r="BQ7" s="56" t="s">
        <v>34</v>
      </c>
      <c r="BR7" s="19" t="s">
        <v>35</v>
      </c>
      <c r="BS7" s="57" t="s">
        <v>36</v>
      </c>
      <c r="BT7" s="56" t="s">
        <v>31</v>
      </c>
      <c r="BU7" s="56" t="s">
        <v>32</v>
      </c>
      <c r="BV7" s="57" t="s">
        <v>33</v>
      </c>
      <c r="BW7" s="56" t="s">
        <v>34</v>
      </c>
      <c r="BX7" s="19" t="s">
        <v>35</v>
      </c>
      <c r="BY7" s="57" t="s">
        <v>36</v>
      </c>
      <c r="BZ7" s="56" t="s">
        <v>31</v>
      </c>
      <c r="CA7" s="56" t="s">
        <v>32</v>
      </c>
      <c r="CB7" s="57" t="s">
        <v>33</v>
      </c>
      <c r="CC7" s="56" t="s">
        <v>34</v>
      </c>
      <c r="CD7" s="19" t="s">
        <v>35</v>
      </c>
      <c r="CE7" s="57" t="s">
        <v>36</v>
      </c>
      <c r="CF7" s="56" t="s">
        <v>31</v>
      </c>
      <c r="CG7" s="56" t="s">
        <v>32</v>
      </c>
      <c r="CH7" s="57" t="s">
        <v>33</v>
      </c>
      <c r="CI7" s="56" t="s">
        <v>34</v>
      </c>
      <c r="CJ7" s="19" t="s">
        <v>35</v>
      </c>
      <c r="CK7" s="57" t="s">
        <v>36</v>
      </c>
      <c r="CL7" s="56" t="s">
        <v>31</v>
      </c>
      <c r="CM7" s="56" t="s">
        <v>32</v>
      </c>
      <c r="CN7" s="57" t="s">
        <v>33</v>
      </c>
      <c r="CO7" s="56" t="s">
        <v>34</v>
      </c>
      <c r="CP7" s="19" t="s">
        <v>35</v>
      </c>
      <c r="CQ7" s="57" t="s">
        <v>36</v>
      </c>
      <c r="CR7" s="56" t="s">
        <v>31</v>
      </c>
      <c r="CS7" s="56" t="s">
        <v>32</v>
      </c>
      <c r="CT7" s="57" t="s">
        <v>33</v>
      </c>
      <c r="CU7" s="56" t="s">
        <v>34</v>
      </c>
      <c r="CV7" s="19" t="s">
        <v>35</v>
      </c>
      <c r="CW7" s="57" t="s">
        <v>36</v>
      </c>
    </row>
    <row r="8" spans="1:101" ht="98.25" customHeight="1">
      <c r="B8" s="1885" t="s">
        <v>3733</v>
      </c>
      <c r="C8" s="135" t="s">
        <v>3734</v>
      </c>
      <c r="D8" s="1886" t="s">
        <v>3735</v>
      </c>
      <c r="E8" s="136" t="s">
        <v>3736</v>
      </c>
      <c r="F8" s="135" t="s">
        <v>3737</v>
      </c>
      <c r="G8" s="1887" t="s">
        <v>352</v>
      </c>
      <c r="H8" s="136" t="s">
        <v>3738</v>
      </c>
      <c r="I8" s="135" t="s">
        <v>3739</v>
      </c>
      <c r="J8" s="1888" t="s">
        <v>54</v>
      </c>
      <c r="K8" s="138"/>
      <c r="L8" s="138"/>
      <c r="M8" s="139"/>
      <c r="N8" s="138"/>
      <c r="O8" s="138"/>
      <c r="P8" s="140"/>
      <c r="Q8" s="152">
        <v>0.1</v>
      </c>
      <c r="R8" s="140"/>
      <c r="S8" s="140">
        <v>0.5</v>
      </c>
      <c r="T8" s="140"/>
      <c r="U8" s="140"/>
      <c r="V8" s="140">
        <v>1</v>
      </c>
      <c r="W8" s="8" t="s">
        <v>3740</v>
      </c>
      <c r="X8" s="26"/>
      <c r="Y8" s="21"/>
      <c r="Z8" s="22" t="str">
        <f t="shared" ref="Z8:Z15" si="0">IF(Y8=0," ",X8/Y8)</f>
        <v xml:space="preserve"> </v>
      </c>
      <c r="AA8" s="58"/>
      <c r="AB8" s="24" t="str">
        <f t="shared" ref="AB8:AB15" si="1">IF(Y8=0," ",Z8/AA8)</f>
        <v xml:space="preserve"> </v>
      </c>
      <c r="AC8" s="25"/>
      <c r="AD8" s="21"/>
      <c r="AE8" s="21"/>
      <c r="AF8" s="22" t="str">
        <f>IF(AE8=0," ",AD8/AE8)</f>
        <v xml:space="preserve"> </v>
      </c>
      <c r="AG8" s="58"/>
      <c r="AH8" s="24" t="str">
        <f>IF(AE8=0," ",AF8/AG8)</f>
        <v xml:space="preserve"> </v>
      </c>
      <c r="AI8" s="148" t="s">
        <v>3741</v>
      </c>
      <c r="AJ8" s="21"/>
      <c r="AK8" s="21"/>
      <c r="AL8" s="22" t="str">
        <f t="shared" ref="AL8:AL15" si="2">IF(AK8=0," ",AJ8/AK8)</f>
        <v xml:space="preserve"> </v>
      </c>
      <c r="AM8" s="58"/>
      <c r="AN8" s="24" t="str">
        <f t="shared" ref="AN8:AN15" si="3">IF(AK8=0," ",AL8/AM8)</f>
        <v xml:space="preserve"> </v>
      </c>
      <c r="AO8" s="25"/>
      <c r="AP8" s="21"/>
      <c r="AQ8" s="21"/>
      <c r="AR8" s="22" t="str">
        <f t="shared" ref="AR8:AR15" si="4">IF(AQ8=0," ",AP8/AQ8)</f>
        <v xml:space="preserve"> </v>
      </c>
      <c r="AS8" s="58"/>
      <c r="AT8" s="24" t="str">
        <f t="shared" ref="AT8:AT15" si="5">IF(AQ8=0," ",AR8/AS8)</f>
        <v xml:space="preserve"> </v>
      </c>
      <c r="AU8" s="25" t="s">
        <v>3742</v>
      </c>
      <c r="AV8" s="21"/>
      <c r="AW8" s="21"/>
      <c r="AX8" s="22" t="str">
        <f t="shared" ref="AX8:AX15" si="6">IF(AW8=0," ",AV8/AW8)</f>
        <v xml:space="preserve"> </v>
      </c>
      <c r="AY8" s="58"/>
      <c r="AZ8" s="24" t="str">
        <f t="shared" ref="AZ8:AZ15" si="7">IF(AW8=0," ",AX8/AY8)</f>
        <v xml:space="preserve"> </v>
      </c>
      <c r="BA8" s="148" t="s">
        <v>3741</v>
      </c>
      <c r="BB8" s="144"/>
      <c r="BC8" s="144"/>
      <c r="BD8" s="22" t="str">
        <f t="shared" ref="BD8:BD24" si="8">IF(BC8=0," ",BB8/BC8)</f>
        <v xml:space="preserve"> </v>
      </c>
      <c r="BE8" s="112"/>
      <c r="BF8" s="145" t="str">
        <f t="shared" ref="BF8:BF24" si="9">IF(BC8=0," ",BD8/BE8)</f>
        <v xml:space="preserve"> </v>
      </c>
      <c r="BG8" s="148" t="s">
        <v>3743</v>
      </c>
      <c r="BH8" s="21">
        <v>5</v>
      </c>
      <c r="BI8" s="21">
        <v>6</v>
      </c>
      <c r="BJ8" s="22">
        <f t="shared" ref="BJ8:BJ15" si="10">IF(BI8=0," ",BH8/BI8)</f>
        <v>0.83333333333333337</v>
      </c>
      <c r="BK8" s="58">
        <v>0.1</v>
      </c>
      <c r="BL8" s="24">
        <f t="shared" ref="BL8:BL15" si="11">IF(BI8=0," ",BJ8/BK8)</f>
        <v>8.3333333333333339</v>
      </c>
      <c r="BM8" s="25" t="s">
        <v>3744</v>
      </c>
      <c r="BN8" s="21"/>
      <c r="BO8" s="21"/>
      <c r="BP8" s="22" t="str">
        <f t="shared" ref="BP8:BP15" si="12">IF(BO8=0," ",BN8/BO8)</f>
        <v xml:space="preserve"> </v>
      </c>
      <c r="BQ8" s="58"/>
      <c r="BR8" s="24" t="str">
        <f t="shared" ref="BR8:BR15" si="13">IF(BO8=0," ",BP8/BQ8)</f>
        <v xml:space="preserve"> </v>
      </c>
      <c r="BS8" s="25" t="s">
        <v>3745</v>
      </c>
      <c r="BT8" s="21">
        <v>12</v>
      </c>
      <c r="BU8" s="21">
        <v>14</v>
      </c>
      <c r="BV8" s="22">
        <f t="shared" ref="BV8:BV15" si="14">IF(BU8=0," ",BT8/BU8)</f>
        <v>0.8571428571428571</v>
      </c>
      <c r="BW8" s="58">
        <f>S8</f>
        <v>0.5</v>
      </c>
      <c r="BX8" s="24">
        <f t="shared" ref="BX8:BX15" si="15">IF(BU8=0," ",BV8/BW8)</f>
        <v>1.7142857142857142</v>
      </c>
      <c r="BY8" s="695" t="s">
        <v>3746</v>
      </c>
      <c r="BZ8" s="21"/>
      <c r="CA8" s="21"/>
      <c r="CB8" s="22" t="str">
        <f t="shared" ref="CB8:CB15" si="16">IF(CA8=0," ",BZ8/CA8)</f>
        <v xml:space="preserve"> </v>
      </c>
      <c r="CC8" s="58"/>
      <c r="CD8" s="24" t="str">
        <f t="shared" ref="CD8:CD15" si="17">IF(CA8=0," ",CB8/CC8)</f>
        <v xml:space="preserve"> </v>
      </c>
      <c r="CE8" s="25"/>
      <c r="CF8" s="21"/>
      <c r="CG8" s="21"/>
      <c r="CH8" s="22" t="str">
        <f t="shared" ref="CH8:CH15" si="18">IF(CG8=0," ",CF8/CG8)</f>
        <v xml:space="preserve"> </v>
      </c>
      <c r="CI8" s="58"/>
      <c r="CJ8" s="24" t="str">
        <f t="shared" ref="CJ8:CJ15" si="19">IF(CG8=0," ",CH8/CI8)</f>
        <v xml:space="preserve"> </v>
      </c>
      <c r="CK8" s="25"/>
      <c r="CL8" s="21">
        <v>16</v>
      </c>
      <c r="CM8" s="21">
        <v>16</v>
      </c>
      <c r="CN8" s="22">
        <f t="shared" ref="CN8:CN15" si="20">IF(CM8=0," ",CL8/CM8)</f>
        <v>1</v>
      </c>
      <c r="CO8" s="58">
        <f>V8</f>
        <v>1</v>
      </c>
      <c r="CP8" s="24">
        <f t="shared" ref="CP8:CP15" si="21">IF(CM8=0," ",CN8/CO8)</f>
        <v>1</v>
      </c>
      <c r="CQ8" s="25" t="s">
        <v>3747</v>
      </c>
      <c r="CR8" s="21">
        <v>16</v>
      </c>
      <c r="CS8" s="21">
        <v>16</v>
      </c>
      <c r="CT8" s="22">
        <f t="shared" ref="CT8:CT13" si="22">IF(CS8=0," ",CR8/CS8)</f>
        <v>1</v>
      </c>
      <c r="CU8" s="58">
        <f>CO8</f>
        <v>1</v>
      </c>
      <c r="CV8" s="24">
        <f t="shared" ref="CV8:CV15" si="23">IF(CS8=0," ",CT8/CU8)</f>
        <v>1</v>
      </c>
      <c r="CW8" s="25" t="s">
        <v>3748</v>
      </c>
    </row>
    <row r="9" spans="1:101" ht="92.25" customHeight="1">
      <c r="B9" s="1889" t="s">
        <v>3733</v>
      </c>
      <c r="C9" s="135" t="s">
        <v>3749</v>
      </c>
      <c r="D9" s="1887" t="s">
        <v>3750</v>
      </c>
      <c r="E9" s="136" t="s">
        <v>3751</v>
      </c>
      <c r="F9" s="135" t="s">
        <v>3752</v>
      </c>
      <c r="G9" s="1887" t="s">
        <v>352</v>
      </c>
      <c r="H9" s="136" t="s">
        <v>3753</v>
      </c>
      <c r="I9" s="135" t="s">
        <v>3754</v>
      </c>
      <c r="J9" s="1888" t="s">
        <v>54</v>
      </c>
      <c r="K9" s="139"/>
      <c r="L9" s="138"/>
      <c r="M9" s="139">
        <v>1</v>
      </c>
      <c r="N9" s="138"/>
      <c r="O9" s="138"/>
      <c r="P9" s="140">
        <v>1</v>
      </c>
      <c r="Q9" s="140"/>
      <c r="R9" s="140"/>
      <c r="S9" s="140">
        <v>1</v>
      </c>
      <c r="T9" s="140"/>
      <c r="U9" s="140"/>
      <c r="V9" s="140">
        <v>1</v>
      </c>
      <c r="W9" s="8" t="s">
        <v>3740</v>
      </c>
      <c r="X9" s="26"/>
      <c r="Y9" s="21"/>
      <c r="Z9" s="22"/>
      <c r="AA9" s="58"/>
      <c r="AB9" s="24"/>
      <c r="AC9" s="25"/>
      <c r="AD9" s="21"/>
      <c r="AE9" s="21"/>
      <c r="AF9" s="22" t="str">
        <f>IF(AE9=0," ",AD9/AE9)</f>
        <v xml:space="preserve"> </v>
      </c>
      <c r="AG9" s="58"/>
      <c r="AH9" s="24" t="str">
        <f>IF(AG9=0," ",AF9/AG9)</f>
        <v xml:space="preserve"> </v>
      </c>
      <c r="AI9" s="148" t="s">
        <v>3741</v>
      </c>
      <c r="AJ9" s="144">
        <v>2637</v>
      </c>
      <c r="AK9" s="144">
        <v>2637</v>
      </c>
      <c r="AL9" s="22">
        <f>IF(AK9=0," ",AJ9/AK9)</f>
        <v>1</v>
      </c>
      <c r="AM9" s="112">
        <v>1</v>
      </c>
      <c r="AN9" s="145">
        <f>IF(AM9=0," ",AL9/AM9)</f>
        <v>1</v>
      </c>
      <c r="AO9" s="148" t="s">
        <v>3755</v>
      </c>
      <c r="AP9" s="21"/>
      <c r="AQ9" s="21"/>
      <c r="AR9" s="22"/>
      <c r="AS9" s="58"/>
      <c r="AT9" s="24"/>
      <c r="AU9" s="25" t="s">
        <v>3742</v>
      </c>
      <c r="AV9" s="21"/>
      <c r="AW9" s="21"/>
      <c r="AX9" s="22"/>
      <c r="AY9" s="58"/>
      <c r="AZ9" s="24"/>
      <c r="BA9" s="148" t="s">
        <v>3741</v>
      </c>
      <c r="BB9" s="144">
        <v>4935</v>
      </c>
      <c r="BC9" s="144">
        <v>4935</v>
      </c>
      <c r="BD9" s="22">
        <f t="shared" si="8"/>
        <v>1</v>
      </c>
      <c r="BE9" s="112">
        <v>1</v>
      </c>
      <c r="BF9" s="145">
        <f t="shared" si="9"/>
        <v>1</v>
      </c>
      <c r="BG9" s="148" t="s">
        <v>3756</v>
      </c>
      <c r="BH9" s="21"/>
      <c r="BI9" s="21"/>
      <c r="BJ9" s="22"/>
      <c r="BK9" s="58"/>
      <c r="BL9" s="24"/>
      <c r="BM9" s="25"/>
      <c r="BN9" s="21"/>
      <c r="BO9" s="21"/>
      <c r="BP9" s="22"/>
      <c r="BQ9" s="58"/>
      <c r="BR9" s="24"/>
      <c r="BS9" s="25" t="s">
        <v>3745</v>
      </c>
      <c r="BT9" s="21">
        <v>2942</v>
      </c>
      <c r="BU9" s="21">
        <v>2942</v>
      </c>
      <c r="BV9" s="22">
        <f t="shared" si="14"/>
        <v>1</v>
      </c>
      <c r="BW9" s="58">
        <f t="shared" ref="BW9:BW20" si="24">S9</f>
        <v>1</v>
      </c>
      <c r="BX9" s="24">
        <f t="shared" si="15"/>
        <v>1</v>
      </c>
      <c r="BY9" s="695" t="s">
        <v>3757</v>
      </c>
      <c r="BZ9" s="21"/>
      <c r="CA9" s="21"/>
      <c r="CB9" s="22"/>
      <c r="CC9" s="58"/>
      <c r="CD9" s="24"/>
      <c r="CE9" s="25"/>
      <c r="CF9" s="21"/>
      <c r="CG9" s="21"/>
      <c r="CH9" s="22"/>
      <c r="CI9" s="58"/>
      <c r="CJ9" s="24"/>
      <c r="CK9" s="25"/>
      <c r="CL9" s="21">
        <v>3174</v>
      </c>
      <c r="CM9" s="21">
        <v>3174</v>
      </c>
      <c r="CN9" s="22">
        <f t="shared" si="20"/>
        <v>1</v>
      </c>
      <c r="CO9" s="58">
        <f>V9</f>
        <v>1</v>
      </c>
      <c r="CP9" s="24">
        <f t="shared" si="21"/>
        <v>1</v>
      </c>
      <c r="CQ9" s="25" t="s">
        <v>3758</v>
      </c>
      <c r="CR9" s="564">
        <f>+AJ9+BB9+BT9+CL9</f>
        <v>13688</v>
      </c>
      <c r="CS9" s="564">
        <f>+AK9+BC9+BT9+CM9</f>
        <v>13688</v>
      </c>
      <c r="CT9" s="22">
        <f t="shared" si="22"/>
        <v>1</v>
      </c>
      <c r="CU9" s="58">
        <f>CO9</f>
        <v>1</v>
      </c>
      <c r="CV9" s="24">
        <f t="shared" si="23"/>
        <v>1</v>
      </c>
      <c r="CW9" s="25" t="s">
        <v>3759</v>
      </c>
    </row>
    <row r="10" spans="1:101" ht="91.5" customHeight="1">
      <c r="B10" s="1885" t="s">
        <v>3760</v>
      </c>
      <c r="C10" s="135" t="s">
        <v>3761</v>
      </c>
      <c r="D10" s="1887" t="s">
        <v>3762</v>
      </c>
      <c r="E10" s="1887" t="s">
        <v>3763</v>
      </c>
      <c r="F10" s="1887" t="s">
        <v>3764</v>
      </c>
      <c r="G10" s="1887" t="s">
        <v>352</v>
      </c>
      <c r="H10" s="136" t="s">
        <v>3765</v>
      </c>
      <c r="I10" s="135" t="s">
        <v>3739</v>
      </c>
      <c r="J10" s="1888" t="s">
        <v>54</v>
      </c>
      <c r="K10" s="138"/>
      <c r="L10" s="138"/>
      <c r="M10" s="139"/>
      <c r="N10" s="138"/>
      <c r="O10" s="138"/>
      <c r="P10" s="140"/>
      <c r="Q10" s="140">
        <v>0.3</v>
      </c>
      <c r="R10" s="140"/>
      <c r="S10" s="140"/>
      <c r="T10" s="140"/>
      <c r="U10" s="140"/>
      <c r="V10" s="140">
        <v>1</v>
      </c>
      <c r="W10" s="8" t="s">
        <v>3740</v>
      </c>
      <c r="X10" s="26"/>
      <c r="Y10" s="21"/>
      <c r="Z10" s="22" t="str">
        <f t="shared" si="0"/>
        <v xml:space="preserve"> </v>
      </c>
      <c r="AA10" s="58"/>
      <c r="AB10" s="24" t="str">
        <f t="shared" si="1"/>
        <v xml:space="preserve"> </v>
      </c>
      <c r="AC10" s="25"/>
      <c r="AD10" s="21"/>
      <c r="AE10" s="21"/>
      <c r="AF10" s="22" t="str">
        <f t="shared" ref="AF10:AF24" si="25">IF(AE10=0," ",AD10/AE10)</f>
        <v xml:space="preserve"> </v>
      </c>
      <c r="AG10" s="58"/>
      <c r="AH10" s="24" t="str">
        <f t="shared" ref="AH10:AH24" si="26">IF(AG10=0," ",AF10/AG10)</f>
        <v xml:space="preserve"> </v>
      </c>
      <c r="AI10" s="148" t="s">
        <v>3741</v>
      </c>
      <c r="AJ10" s="21"/>
      <c r="AK10" s="21"/>
      <c r="AL10" s="22" t="str">
        <f t="shared" si="2"/>
        <v xml:space="preserve"> </v>
      </c>
      <c r="AM10" s="58"/>
      <c r="AN10" s="24" t="str">
        <f t="shared" si="3"/>
        <v xml:space="preserve"> </v>
      </c>
      <c r="AO10" s="25"/>
      <c r="AP10" s="21"/>
      <c r="AQ10" s="21"/>
      <c r="AR10" s="22" t="str">
        <f t="shared" si="4"/>
        <v xml:space="preserve"> </v>
      </c>
      <c r="AS10" s="58"/>
      <c r="AT10" s="24" t="str">
        <f t="shared" si="5"/>
        <v xml:space="preserve"> </v>
      </c>
      <c r="AU10" s="25" t="s">
        <v>3742</v>
      </c>
      <c r="AV10" s="21"/>
      <c r="AW10" s="21"/>
      <c r="AX10" s="22" t="str">
        <f t="shared" si="6"/>
        <v xml:space="preserve"> </v>
      </c>
      <c r="AY10" s="58"/>
      <c r="AZ10" s="24" t="str">
        <f t="shared" si="7"/>
        <v xml:space="preserve"> </v>
      </c>
      <c r="BA10" s="148" t="s">
        <v>3741</v>
      </c>
      <c r="BB10" s="144"/>
      <c r="BC10" s="144"/>
      <c r="BD10" s="22" t="str">
        <f t="shared" si="8"/>
        <v xml:space="preserve"> </v>
      </c>
      <c r="BE10" s="112"/>
      <c r="BF10" s="145" t="str">
        <f t="shared" si="9"/>
        <v xml:space="preserve"> </v>
      </c>
      <c r="BG10" s="148" t="s">
        <v>3743</v>
      </c>
      <c r="BH10" s="21">
        <v>1</v>
      </c>
      <c r="BI10" s="21">
        <v>4</v>
      </c>
      <c r="BJ10" s="22">
        <f t="shared" si="10"/>
        <v>0.25</v>
      </c>
      <c r="BK10" s="58">
        <v>0.3</v>
      </c>
      <c r="BL10" s="24">
        <f t="shared" si="11"/>
        <v>0.83333333333333337</v>
      </c>
      <c r="BM10" s="25" t="s">
        <v>3766</v>
      </c>
      <c r="BN10" s="21"/>
      <c r="BO10" s="21"/>
      <c r="BP10" s="22" t="str">
        <f t="shared" si="12"/>
        <v xml:space="preserve"> </v>
      </c>
      <c r="BQ10" s="58"/>
      <c r="BR10" s="24" t="str">
        <f t="shared" si="13"/>
        <v xml:space="preserve"> </v>
      </c>
      <c r="BS10" s="25" t="s">
        <v>3745</v>
      </c>
      <c r="BT10" s="21"/>
      <c r="BU10" s="21"/>
      <c r="BV10" s="22" t="str">
        <f t="shared" si="14"/>
        <v xml:space="preserve"> </v>
      </c>
      <c r="BW10" s="58">
        <f t="shared" si="24"/>
        <v>0</v>
      </c>
      <c r="BX10" s="24" t="str">
        <f t="shared" si="15"/>
        <v xml:space="preserve"> </v>
      </c>
      <c r="BY10" s="25"/>
      <c r="BZ10" s="21"/>
      <c r="CA10" s="21"/>
      <c r="CB10" s="22" t="str">
        <f t="shared" si="16"/>
        <v xml:space="preserve"> </v>
      </c>
      <c r="CC10" s="58"/>
      <c r="CD10" s="24" t="str">
        <f t="shared" si="17"/>
        <v xml:space="preserve"> </v>
      </c>
      <c r="CE10" s="25"/>
      <c r="CF10" s="21"/>
      <c r="CG10" s="21"/>
      <c r="CH10" s="22" t="str">
        <f t="shared" si="18"/>
        <v xml:space="preserve"> </v>
      </c>
      <c r="CI10" s="58"/>
      <c r="CJ10" s="24" t="str">
        <f t="shared" si="19"/>
        <v xml:space="preserve"> </v>
      </c>
      <c r="CK10" s="25"/>
      <c r="CL10" s="21">
        <v>4</v>
      </c>
      <c r="CM10" s="21">
        <v>4</v>
      </c>
      <c r="CN10" s="22">
        <f t="shared" si="20"/>
        <v>1</v>
      </c>
      <c r="CO10" s="58">
        <f t="shared" ref="CO10:CO15" si="27">V10</f>
        <v>1</v>
      </c>
      <c r="CP10" s="24">
        <f t="shared" si="21"/>
        <v>1</v>
      </c>
      <c r="CQ10" s="25" t="s">
        <v>3767</v>
      </c>
      <c r="CR10" s="21">
        <v>4</v>
      </c>
      <c r="CS10" s="21">
        <v>4</v>
      </c>
      <c r="CT10" s="22">
        <f t="shared" si="22"/>
        <v>1</v>
      </c>
      <c r="CU10" s="58">
        <f t="shared" ref="CU10:CU17" si="28">CO10</f>
        <v>1</v>
      </c>
      <c r="CV10" s="24">
        <f t="shared" si="23"/>
        <v>1</v>
      </c>
      <c r="CW10" s="25" t="s">
        <v>3767</v>
      </c>
    </row>
    <row r="11" spans="1:101" ht="89.25" customHeight="1">
      <c r="B11" s="1885" t="s">
        <v>3760</v>
      </c>
      <c r="C11" s="135" t="s">
        <v>3768</v>
      </c>
      <c r="D11" s="1887" t="s">
        <v>3769</v>
      </c>
      <c r="E11" s="1887" t="s">
        <v>3770</v>
      </c>
      <c r="F11" s="1887" t="s">
        <v>3771</v>
      </c>
      <c r="G11" s="1887" t="s">
        <v>352</v>
      </c>
      <c r="H11" s="1887" t="s">
        <v>3772</v>
      </c>
      <c r="I11" s="1887" t="s">
        <v>3739</v>
      </c>
      <c r="J11" s="1890" t="s">
        <v>54</v>
      </c>
      <c r="K11" s="1890"/>
      <c r="L11" s="138"/>
      <c r="M11" s="139"/>
      <c r="N11" s="138"/>
      <c r="O11" s="138"/>
      <c r="P11" s="140">
        <v>0.4</v>
      </c>
      <c r="Q11" s="140"/>
      <c r="R11" s="140"/>
      <c r="S11" s="140"/>
      <c r="T11" s="140"/>
      <c r="U11" s="140"/>
      <c r="V11" s="140">
        <v>1</v>
      </c>
      <c r="W11" s="8" t="s">
        <v>3740</v>
      </c>
      <c r="X11" s="26"/>
      <c r="Y11" s="21"/>
      <c r="Z11" s="22"/>
      <c r="AA11" s="58"/>
      <c r="AB11" s="24"/>
      <c r="AC11" s="25"/>
      <c r="AD11" s="21"/>
      <c r="AE11" s="21"/>
      <c r="AF11" s="22" t="str">
        <f t="shared" si="25"/>
        <v xml:space="preserve"> </v>
      </c>
      <c r="AG11" s="58"/>
      <c r="AH11" s="24" t="str">
        <f t="shared" si="26"/>
        <v xml:space="preserve"> </v>
      </c>
      <c r="AI11" s="148" t="s">
        <v>3741</v>
      </c>
      <c r="AJ11" s="21"/>
      <c r="AK11" s="21"/>
      <c r="AL11" s="22"/>
      <c r="AM11" s="58"/>
      <c r="AN11" s="24"/>
      <c r="AO11" s="25"/>
      <c r="AP11" s="21"/>
      <c r="AQ11" s="21"/>
      <c r="AR11" s="22"/>
      <c r="AS11" s="58"/>
      <c r="AT11" s="24"/>
      <c r="AU11" s="25" t="s">
        <v>3742</v>
      </c>
      <c r="AV11" s="21"/>
      <c r="AW11" s="21"/>
      <c r="AX11" s="22"/>
      <c r="AY11" s="58"/>
      <c r="AZ11" s="24"/>
      <c r="BA11" s="148" t="s">
        <v>3741</v>
      </c>
      <c r="BB11" s="144">
        <v>1</v>
      </c>
      <c r="BC11" s="144">
        <v>3</v>
      </c>
      <c r="BD11" s="22">
        <f t="shared" si="8"/>
        <v>0.33333333333333331</v>
      </c>
      <c r="BE11" s="112">
        <v>0.4</v>
      </c>
      <c r="BF11" s="145">
        <f t="shared" si="9"/>
        <v>0.83333333333333326</v>
      </c>
      <c r="BG11" s="148" t="s">
        <v>3773</v>
      </c>
      <c r="BH11" s="21"/>
      <c r="BI11" s="21"/>
      <c r="BJ11" s="22"/>
      <c r="BK11" s="58"/>
      <c r="BL11" s="24"/>
      <c r="BM11" s="25"/>
      <c r="BN11" s="21"/>
      <c r="BO11" s="21"/>
      <c r="BP11" s="22"/>
      <c r="BQ11" s="58"/>
      <c r="BR11" s="24"/>
      <c r="BS11" s="25" t="s">
        <v>3745</v>
      </c>
      <c r="BT11" s="21"/>
      <c r="BU11" s="21"/>
      <c r="BV11" s="22"/>
      <c r="BW11" s="58">
        <f t="shared" si="24"/>
        <v>0</v>
      </c>
      <c r="BX11" s="24"/>
      <c r="BY11" s="25"/>
      <c r="BZ11" s="21"/>
      <c r="CA11" s="21"/>
      <c r="CB11" s="22"/>
      <c r="CC11" s="58"/>
      <c r="CD11" s="24"/>
      <c r="CE11" s="25"/>
      <c r="CF11" s="21"/>
      <c r="CG11" s="21"/>
      <c r="CH11" s="22"/>
      <c r="CI11" s="58"/>
      <c r="CJ11" s="24"/>
      <c r="CK11" s="25"/>
      <c r="CL11" s="21">
        <v>3</v>
      </c>
      <c r="CM11" s="21">
        <v>3</v>
      </c>
      <c r="CN11" s="22">
        <f t="shared" si="20"/>
        <v>1</v>
      </c>
      <c r="CO11" s="58">
        <f t="shared" si="27"/>
        <v>1</v>
      </c>
      <c r="CP11" s="24">
        <f t="shared" si="21"/>
        <v>1</v>
      </c>
      <c r="CQ11" s="25" t="s">
        <v>3774</v>
      </c>
      <c r="CR11" s="21">
        <v>3</v>
      </c>
      <c r="CS11" s="21">
        <v>3</v>
      </c>
      <c r="CT11" s="22">
        <f t="shared" si="22"/>
        <v>1</v>
      </c>
      <c r="CU11" s="58">
        <f t="shared" si="28"/>
        <v>1</v>
      </c>
      <c r="CV11" s="24">
        <f t="shared" si="23"/>
        <v>1</v>
      </c>
      <c r="CW11" s="25" t="s">
        <v>3774</v>
      </c>
    </row>
    <row r="12" spans="1:101" ht="122.25" customHeight="1">
      <c r="B12" s="1891" t="s">
        <v>3775</v>
      </c>
      <c r="C12" s="135" t="s">
        <v>3776</v>
      </c>
      <c r="D12" s="1887" t="s">
        <v>3777</v>
      </c>
      <c r="E12" s="1887" t="s">
        <v>3778</v>
      </c>
      <c r="F12" s="1887" t="s">
        <v>3779</v>
      </c>
      <c r="G12" s="1887" t="s">
        <v>352</v>
      </c>
      <c r="H12" s="1887" t="s">
        <v>3780</v>
      </c>
      <c r="I12" s="1887" t="s">
        <v>3781</v>
      </c>
      <c r="J12" s="1890" t="s">
        <v>54</v>
      </c>
      <c r="K12" s="138"/>
      <c r="L12" s="138"/>
      <c r="M12" s="139"/>
      <c r="N12" s="138"/>
      <c r="O12" s="138"/>
      <c r="P12" s="140">
        <v>0.3</v>
      </c>
      <c r="Q12" s="140"/>
      <c r="R12" s="140"/>
      <c r="S12" s="140">
        <v>0.6</v>
      </c>
      <c r="T12" s="140"/>
      <c r="U12" s="3"/>
      <c r="V12" s="140">
        <v>1</v>
      </c>
      <c r="W12" s="8" t="s">
        <v>3740</v>
      </c>
      <c r="X12" s="26"/>
      <c r="Y12" s="21"/>
      <c r="Z12" s="22" t="str">
        <f t="shared" si="0"/>
        <v xml:space="preserve"> </v>
      </c>
      <c r="AA12" s="58"/>
      <c r="AB12" s="24" t="str">
        <f t="shared" si="1"/>
        <v xml:space="preserve"> </v>
      </c>
      <c r="AC12" s="25"/>
      <c r="AD12" s="21"/>
      <c r="AE12" s="21"/>
      <c r="AF12" s="22" t="str">
        <f t="shared" si="25"/>
        <v xml:space="preserve"> </v>
      </c>
      <c r="AG12" s="58"/>
      <c r="AH12" s="24" t="str">
        <f t="shared" si="26"/>
        <v xml:space="preserve"> </v>
      </c>
      <c r="AI12" s="148" t="s">
        <v>3741</v>
      </c>
      <c r="AJ12" s="21"/>
      <c r="AK12" s="21"/>
      <c r="AL12" s="22" t="str">
        <f t="shared" si="2"/>
        <v xml:space="preserve"> </v>
      </c>
      <c r="AM12" s="58"/>
      <c r="AN12" s="24" t="str">
        <f t="shared" si="3"/>
        <v xml:space="preserve"> </v>
      </c>
      <c r="AO12" s="25"/>
      <c r="AP12" s="21"/>
      <c r="AQ12" s="21"/>
      <c r="AR12" s="22" t="str">
        <f t="shared" si="4"/>
        <v xml:space="preserve"> </v>
      </c>
      <c r="AS12" s="58"/>
      <c r="AT12" s="24" t="str">
        <f t="shared" si="5"/>
        <v xml:space="preserve"> </v>
      </c>
      <c r="AU12" s="25" t="s">
        <v>3742</v>
      </c>
      <c r="AV12" s="21"/>
      <c r="AW12" s="21"/>
      <c r="AX12" s="22" t="str">
        <f t="shared" si="6"/>
        <v xml:space="preserve"> </v>
      </c>
      <c r="AY12" s="58"/>
      <c r="AZ12" s="24" t="str">
        <f t="shared" si="7"/>
        <v xml:space="preserve"> </v>
      </c>
      <c r="BA12" s="148" t="s">
        <v>3741</v>
      </c>
      <c r="BB12" s="144">
        <v>2.7</v>
      </c>
      <c r="BC12" s="144">
        <v>5</v>
      </c>
      <c r="BD12" s="22">
        <f t="shared" si="8"/>
        <v>0.54</v>
      </c>
      <c r="BE12" s="112">
        <v>0.3</v>
      </c>
      <c r="BF12" s="145">
        <f t="shared" si="9"/>
        <v>1.8000000000000003</v>
      </c>
      <c r="BG12" s="148" t="s">
        <v>3782</v>
      </c>
      <c r="BH12" s="21"/>
      <c r="BI12" s="21"/>
      <c r="BJ12" s="22" t="str">
        <f t="shared" si="10"/>
        <v xml:space="preserve"> </v>
      </c>
      <c r="BK12" s="58"/>
      <c r="BL12" s="24" t="str">
        <f t="shared" si="11"/>
        <v xml:space="preserve"> </v>
      </c>
      <c r="BM12" s="25"/>
      <c r="BN12" s="21"/>
      <c r="BO12" s="21"/>
      <c r="BP12" s="22" t="str">
        <f t="shared" si="12"/>
        <v xml:space="preserve"> </v>
      </c>
      <c r="BQ12" s="58"/>
      <c r="BR12" s="24" t="str">
        <f t="shared" si="13"/>
        <v xml:space="preserve"> </v>
      </c>
      <c r="BS12" s="25" t="s">
        <v>3745</v>
      </c>
      <c r="BT12" s="21">
        <v>5</v>
      </c>
      <c r="BU12" s="21">
        <v>8</v>
      </c>
      <c r="BV12" s="22">
        <f t="shared" si="14"/>
        <v>0.625</v>
      </c>
      <c r="BW12" s="58">
        <f t="shared" si="24"/>
        <v>0.6</v>
      </c>
      <c r="BX12" s="24">
        <f t="shared" si="15"/>
        <v>1.0416666666666667</v>
      </c>
      <c r="BY12" s="695" t="s">
        <v>3783</v>
      </c>
      <c r="BZ12" s="21"/>
      <c r="CA12" s="21"/>
      <c r="CB12" s="22" t="str">
        <f t="shared" si="16"/>
        <v xml:space="preserve"> </v>
      </c>
      <c r="CC12" s="58"/>
      <c r="CD12" s="24" t="str">
        <f t="shared" si="17"/>
        <v xml:space="preserve"> </v>
      </c>
      <c r="CE12" s="25"/>
      <c r="CF12" s="21"/>
      <c r="CG12" s="21"/>
      <c r="CH12" s="22" t="str">
        <f t="shared" si="18"/>
        <v xml:space="preserve"> </v>
      </c>
      <c r="CI12" s="58"/>
      <c r="CJ12" s="24" t="str">
        <f t="shared" si="19"/>
        <v xml:space="preserve"> </v>
      </c>
      <c r="CK12" s="25"/>
      <c r="CL12" s="21">
        <v>6</v>
      </c>
      <c r="CM12" s="21">
        <v>8</v>
      </c>
      <c r="CN12" s="22">
        <f t="shared" si="20"/>
        <v>0.75</v>
      </c>
      <c r="CO12" s="58">
        <f t="shared" si="27"/>
        <v>1</v>
      </c>
      <c r="CP12" s="24">
        <f t="shared" si="21"/>
        <v>0.75</v>
      </c>
      <c r="CQ12" s="25" t="s">
        <v>3784</v>
      </c>
      <c r="CR12" s="21">
        <v>6</v>
      </c>
      <c r="CS12" s="21">
        <v>8</v>
      </c>
      <c r="CT12" s="22">
        <f t="shared" si="22"/>
        <v>0.75</v>
      </c>
      <c r="CU12" s="58">
        <f t="shared" si="28"/>
        <v>1</v>
      </c>
      <c r="CV12" s="24">
        <f t="shared" si="23"/>
        <v>0.75</v>
      </c>
      <c r="CW12" s="25" t="s">
        <v>3784</v>
      </c>
    </row>
    <row r="13" spans="1:101" ht="129" customHeight="1">
      <c r="B13" s="1892" t="s">
        <v>113</v>
      </c>
      <c r="C13" s="135" t="s">
        <v>3785</v>
      </c>
      <c r="D13" s="1887" t="s">
        <v>3786</v>
      </c>
      <c r="E13" s="1887" t="s">
        <v>3787</v>
      </c>
      <c r="F13" s="1887" t="s">
        <v>3779</v>
      </c>
      <c r="G13" s="1887" t="s">
        <v>352</v>
      </c>
      <c r="H13" s="1887" t="s">
        <v>3780</v>
      </c>
      <c r="I13" s="1887" t="s">
        <v>3781</v>
      </c>
      <c r="J13" s="1890" t="s">
        <v>54</v>
      </c>
      <c r="K13" s="138"/>
      <c r="L13" s="138"/>
      <c r="M13" s="139"/>
      <c r="N13" s="138"/>
      <c r="O13" s="138"/>
      <c r="P13" s="140">
        <v>0.3</v>
      </c>
      <c r="Q13" s="140"/>
      <c r="R13" s="140"/>
      <c r="S13" s="140">
        <v>0.6</v>
      </c>
      <c r="T13" s="140"/>
      <c r="U13" s="582"/>
      <c r="V13" s="140">
        <v>1</v>
      </c>
      <c r="W13" s="8" t="s">
        <v>3740</v>
      </c>
      <c r="X13" s="26"/>
      <c r="Y13" s="21"/>
      <c r="Z13" s="22"/>
      <c r="AA13" s="58"/>
      <c r="AB13" s="24"/>
      <c r="AC13" s="25"/>
      <c r="AD13" s="21"/>
      <c r="AE13" s="21"/>
      <c r="AF13" s="22" t="str">
        <f t="shared" si="25"/>
        <v xml:space="preserve"> </v>
      </c>
      <c r="AG13" s="58"/>
      <c r="AH13" s="24" t="str">
        <f t="shared" si="26"/>
        <v xml:space="preserve"> </v>
      </c>
      <c r="AI13" s="148" t="s">
        <v>3741</v>
      </c>
      <c r="AJ13" s="21"/>
      <c r="AK13" s="21"/>
      <c r="AL13" s="22"/>
      <c r="AM13" s="58"/>
      <c r="AN13" s="24"/>
      <c r="AO13" s="25"/>
      <c r="AP13" s="21"/>
      <c r="AQ13" s="21"/>
      <c r="AR13" s="22"/>
      <c r="AS13" s="58"/>
      <c r="AT13" s="24"/>
      <c r="AU13" s="25" t="s">
        <v>3742</v>
      </c>
      <c r="AV13" s="21"/>
      <c r="AW13" s="21"/>
      <c r="AX13" s="22"/>
      <c r="AY13" s="58"/>
      <c r="AZ13" s="24"/>
      <c r="BA13" s="148" t="s">
        <v>3741</v>
      </c>
      <c r="BB13" s="144">
        <v>0.2</v>
      </c>
      <c r="BC13" s="144">
        <v>3</v>
      </c>
      <c r="BD13" s="22">
        <f t="shared" si="8"/>
        <v>6.6666666666666666E-2</v>
      </c>
      <c r="BE13" s="112">
        <v>1</v>
      </c>
      <c r="BF13" s="145">
        <f t="shared" si="9"/>
        <v>6.6666666666666666E-2</v>
      </c>
      <c r="BG13" s="148" t="s">
        <v>3788</v>
      </c>
      <c r="BH13" s="21"/>
      <c r="BI13" s="21"/>
      <c r="BJ13" s="22"/>
      <c r="BK13" s="58"/>
      <c r="BL13" s="24"/>
      <c r="BM13" s="25"/>
      <c r="BN13" s="21"/>
      <c r="BO13" s="21"/>
      <c r="BP13" s="22"/>
      <c r="BQ13" s="58"/>
      <c r="BR13" s="24"/>
      <c r="BS13" s="25" t="s">
        <v>3745</v>
      </c>
      <c r="BT13" s="21">
        <v>24</v>
      </c>
      <c r="BU13" s="21">
        <v>38</v>
      </c>
      <c r="BV13" s="22">
        <f t="shared" si="14"/>
        <v>0.63157894736842102</v>
      </c>
      <c r="BW13" s="58">
        <f t="shared" si="24"/>
        <v>0.6</v>
      </c>
      <c r="BX13" s="24">
        <f t="shared" si="15"/>
        <v>1.0526315789473684</v>
      </c>
      <c r="BY13" s="695" t="s">
        <v>3789</v>
      </c>
      <c r="BZ13" s="21"/>
      <c r="CA13" s="21"/>
      <c r="CB13" s="22"/>
      <c r="CC13" s="58"/>
      <c r="CD13" s="24"/>
      <c r="CE13" s="25"/>
      <c r="CF13" s="21"/>
      <c r="CG13" s="21"/>
      <c r="CH13" s="22"/>
      <c r="CI13" s="58"/>
      <c r="CJ13" s="24"/>
      <c r="CK13" s="25"/>
      <c r="CL13" s="21">
        <v>4.3</v>
      </c>
      <c r="CM13" s="21">
        <v>5</v>
      </c>
      <c r="CN13" s="22">
        <f t="shared" si="20"/>
        <v>0.86</v>
      </c>
      <c r="CO13" s="58">
        <f t="shared" si="27"/>
        <v>1</v>
      </c>
      <c r="CP13" s="24">
        <f t="shared" si="21"/>
        <v>0.86</v>
      </c>
      <c r="CQ13" s="25" t="s">
        <v>3790</v>
      </c>
      <c r="CR13" s="21">
        <v>4.3</v>
      </c>
      <c r="CS13" s="21">
        <v>5</v>
      </c>
      <c r="CT13" s="22">
        <f t="shared" si="22"/>
        <v>0.86</v>
      </c>
      <c r="CU13" s="58">
        <f t="shared" si="28"/>
        <v>1</v>
      </c>
      <c r="CV13" s="24">
        <f t="shared" si="23"/>
        <v>0.86</v>
      </c>
      <c r="CW13" s="25" t="s">
        <v>3790</v>
      </c>
    </row>
    <row r="14" spans="1:101" ht="312.75" customHeight="1">
      <c r="B14" s="1892" t="s">
        <v>113</v>
      </c>
      <c r="C14" s="135" t="s">
        <v>3791</v>
      </c>
      <c r="D14" s="1887" t="s">
        <v>3792</v>
      </c>
      <c r="E14" s="1887" t="s">
        <v>3793</v>
      </c>
      <c r="F14" s="1887" t="s">
        <v>3779</v>
      </c>
      <c r="G14" s="1887" t="s">
        <v>352</v>
      </c>
      <c r="H14" s="1887" t="s">
        <v>3794</v>
      </c>
      <c r="I14" s="1887" t="s">
        <v>3781</v>
      </c>
      <c r="J14" s="1890" t="s">
        <v>54</v>
      </c>
      <c r="K14" s="138"/>
      <c r="L14" s="138"/>
      <c r="M14" s="139"/>
      <c r="N14" s="138"/>
      <c r="O14" s="138"/>
      <c r="P14" s="140">
        <v>0.3</v>
      </c>
      <c r="Q14" s="140"/>
      <c r="R14" s="140"/>
      <c r="S14" s="140">
        <v>0.6</v>
      </c>
      <c r="T14" s="140"/>
      <c r="U14" s="582"/>
      <c r="V14" s="140">
        <v>1</v>
      </c>
      <c r="W14" s="8" t="s">
        <v>3740</v>
      </c>
      <c r="X14" s="26"/>
      <c r="Y14" s="21"/>
      <c r="Z14" s="22" t="str">
        <f>IF(Y14=0," ",X14/Y14)</f>
        <v xml:space="preserve"> </v>
      </c>
      <c r="AA14" s="58"/>
      <c r="AB14" s="24" t="str">
        <f>IF(Y14=0," ",Z14/AA14)</f>
        <v xml:space="preserve"> </v>
      </c>
      <c r="AC14" s="25"/>
      <c r="AD14" s="21"/>
      <c r="AE14" s="21"/>
      <c r="AF14" s="22" t="str">
        <f>IF(AE14=0," ",AD14/AE14)</f>
        <v xml:space="preserve"> </v>
      </c>
      <c r="AG14" s="58"/>
      <c r="AH14" s="24" t="str">
        <f>IF(AG14=0," ",AF14/AG14)</f>
        <v xml:space="preserve"> </v>
      </c>
      <c r="AI14" s="148" t="s">
        <v>3741</v>
      </c>
      <c r="AJ14" s="21"/>
      <c r="AK14" s="21"/>
      <c r="AL14" s="22" t="str">
        <f>IF(AK14=0," ",AJ14/AK14)</f>
        <v xml:space="preserve"> </v>
      </c>
      <c r="AM14" s="58"/>
      <c r="AN14" s="24" t="str">
        <f>IF(AK14=0," ",AL14/AM14)</f>
        <v xml:space="preserve"> </v>
      </c>
      <c r="AO14" s="25"/>
      <c r="AP14" s="21"/>
      <c r="AQ14" s="21"/>
      <c r="AR14" s="22" t="str">
        <f>IF(AQ14=0," ",AP14/AQ14)</f>
        <v xml:space="preserve"> </v>
      </c>
      <c r="AS14" s="58"/>
      <c r="AT14" s="24" t="str">
        <f>IF(AQ14=0," ",AR14/AS14)</f>
        <v xml:space="preserve"> </v>
      </c>
      <c r="AU14" s="25" t="s">
        <v>3742</v>
      </c>
      <c r="AV14" s="21"/>
      <c r="AW14" s="21"/>
      <c r="AX14" s="22" t="str">
        <f>IF(AW14=0," ",AV14/AW14)</f>
        <v xml:space="preserve"> </v>
      </c>
      <c r="AY14" s="58"/>
      <c r="AZ14" s="24" t="str">
        <f>IF(AW14=0," ",AX14/AY14)</f>
        <v xml:space="preserve"> </v>
      </c>
      <c r="BA14" s="148" t="s">
        <v>3741</v>
      </c>
      <c r="BB14" s="144">
        <v>6</v>
      </c>
      <c r="BC14" s="144">
        <v>8</v>
      </c>
      <c r="BD14" s="22">
        <f t="shared" si="8"/>
        <v>0.75</v>
      </c>
      <c r="BE14" s="112">
        <v>1</v>
      </c>
      <c r="BF14" s="145">
        <f t="shared" si="9"/>
        <v>0.75</v>
      </c>
      <c r="BG14" s="148" t="s">
        <v>3795</v>
      </c>
      <c r="BH14" s="21"/>
      <c r="BI14" s="21"/>
      <c r="BJ14" s="22">
        <v>0</v>
      </c>
      <c r="BK14" s="58"/>
      <c r="BL14" s="24" t="str">
        <f>IF(BI14=0," ",BJ14/BK14)</f>
        <v xml:space="preserve"> </v>
      </c>
      <c r="BM14" s="25"/>
      <c r="BN14" s="21"/>
      <c r="BO14" s="21"/>
      <c r="BP14" s="22" t="str">
        <f>IF(BO14=0," ",BN14/BO14)</f>
        <v xml:space="preserve"> </v>
      </c>
      <c r="BQ14" s="58"/>
      <c r="BR14" s="24" t="str">
        <f>IF(BO14=0," ",BP14/BQ14)</f>
        <v xml:space="preserve"> </v>
      </c>
      <c r="BS14" s="25" t="s">
        <v>3745</v>
      </c>
      <c r="BT14" s="21">
        <v>7</v>
      </c>
      <c r="BU14" s="21">
        <v>10</v>
      </c>
      <c r="BV14" s="22">
        <f>IF(BU14=0," ",BT14/BU14)</f>
        <v>0.7</v>
      </c>
      <c r="BW14" s="58">
        <f t="shared" si="24"/>
        <v>0.6</v>
      </c>
      <c r="BX14" s="24">
        <f>IF(BU14=0," ",BV14/BW14)</f>
        <v>1.1666666666666667</v>
      </c>
      <c r="BY14" s="695" t="s">
        <v>3796</v>
      </c>
      <c r="BZ14" s="21"/>
      <c r="CA14" s="21"/>
      <c r="CB14" s="22" t="str">
        <f>IF(CA14=0," ",BZ14/CA14)</f>
        <v xml:space="preserve"> </v>
      </c>
      <c r="CC14" s="58"/>
      <c r="CD14" s="24" t="str">
        <f>IF(CA14=0," ",CB14/CC14)</f>
        <v xml:space="preserve"> </v>
      </c>
      <c r="CE14" s="25"/>
      <c r="CF14" s="21"/>
      <c r="CG14" s="21"/>
      <c r="CH14" s="22" t="str">
        <f>IF(CG14=0," ",CF14/CG14)</f>
        <v xml:space="preserve"> </v>
      </c>
      <c r="CI14" s="58"/>
      <c r="CJ14" s="24" t="str">
        <f>IF(CG14=0," ",CH14/CI14)</f>
        <v xml:space="preserve"> </v>
      </c>
      <c r="CK14" s="25"/>
      <c r="CL14" s="21">
        <v>10</v>
      </c>
      <c r="CM14" s="21">
        <v>11</v>
      </c>
      <c r="CN14" s="22">
        <f>IF(CM14=0," ",CL14/CM14)</f>
        <v>0.90909090909090906</v>
      </c>
      <c r="CO14" s="58">
        <f t="shared" si="27"/>
        <v>1</v>
      </c>
      <c r="CP14" s="24">
        <f t="shared" si="21"/>
        <v>0.90909090909090906</v>
      </c>
      <c r="CQ14" s="25" t="s">
        <v>3797</v>
      </c>
      <c r="CR14" s="21">
        <v>10</v>
      </c>
      <c r="CS14" s="21">
        <v>11</v>
      </c>
      <c r="CT14" s="22">
        <f>IF(CS14=0," ",CR14/CS14)</f>
        <v>0.90909090909090906</v>
      </c>
      <c r="CU14" s="58">
        <f t="shared" si="28"/>
        <v>1</v>
      </c>
      <c r="CV14" s="24">
        <f t="shared" si="23"/>
        <v>0.90909090909090906</v>
      </c>
      <c r="CW14" s="25" t="s">
        <v>3798</v>
      </c>
    </row>
    <row r="15" spans="1:101" ht="108.75" customHeight="1">
      <c r="B15" s="1892" t="s">
        <v>3775</v>
      </c>
      <c r="C15" s="135" t="s">
        <v>3799</v>
      </c>
      <c r="D15" s="1887" t="s">
        <v>3800</v>
      </c>
      <c r="E15" s="1887" t="s">
        <v>3801</v>
      </c>
      <c r="F15" s="1887" t="s">
        <v>3802</v>
      </c>
      <c r="G15" s="1887" t="s">
        <v>53</v>
      </c>
      <c r="H15" s="1887" t="s">
        <v>3803</v>
      </c>
      <c r="I15" s="1887" t="s">
        <v>3804</v>
      </c>
      <c r="J15" s="1890" t="s">
        <v>1069</v>
      </c>
      <c r="K15" s="138"/>
      <c r="L15" s="138"/>
      <c r="M15" s="1893">
        <v>4</v>
      </c>
      <c r="N15" s="138"/>
      <c r="O15" s="138"/>
      <c r="P15" s="1894">
        <v>4</v>
      </c>
      <c r="Q15" s="140"/>
      <c r="R15" s="140"/>
      <c r="S15" s="1894">
        <v>4</v>
      </c>
      <c r="T15" s="140"/>
      <c r="U15" s="3"/>
      <c r="V15" s="1894">
        <v>4</v>
      </c>
      <c r="W15" s="8" t="s">
        <v>3740</v>
      </c>
      <c r="X15" s="26"/>
      <c r="Y15" s="21"/>
      <c r="Z15" s="1895" t="str">
        <f t="shared" si="0"/>
        <v xml:space="preserve"> </v>
      </c>
      <c r="AA15" s="58"/>
      <c r="AB15" s="24" t="str">
        <f t="shared" si="1"/>
        <v xml:space="preserve"> </v>
      </c>
      <c r="AC15" s="25"/>
      <c r="AD15" s="21"/>
      <c r="AE15" s="21"/>
      <c r="AF15" s="22" t="str">
        <f t="shared" si="25"/>
        <v xml:space="preserve"> </v>
      </c>
      <c r="AG15" s="58"/>
      <c r="AH15" s="24" t="str">
        <f t="shared" si="26"/>
        <v xml:space="preserve"> </v>
      </c>
      <c r="AI15" s="148" t="s">
        <v>3741</v>
      </c>
      <c r="AJ15" s="144">
        <v>7051.1</v>
      </c>
      <c r="AK15" s="144">
        <v>1541</v>
      </c>
      <c r="AL15" s="1896">
        <f t="shared" si="2"/>
        <v>4.5756651524983782</v>
      </c>
      <c r="AM15" s="1897">
        <v>4</v>
      </c>
      <c r="AN15" s="145">
        <f t="shared" si="3"/>
        <v>1.1439162881245946</v>
      </c>
      <c r="AO15" s="148" t="s">
        <v>3805</v>
      </c>
      <c r="AP15" s="21"/>
      <c r="AQ15" s="21"/>
      <c r="AR15" s="22" t="str">
        <f t="shared" si="4"/>
        <v xml:space="preserve"> </v>
      </c>
      <c r="AS15" s="58"/>
      <c r="AT15" s="24" t="str">
        <f t="shared" si="5"/>
        <v xml:space="preserve"> </v>
      </c>
      <c r="AU15" s="25" t="s">
        <v>3742</v>
      </c>
      <c r="AV15" s="21"/>
      <c r="AW15" s="21"/>
      <c r="AX15" s="22" t="str">
        <f t="shared" si="6"/>
        <v xml:space="preserve"> </v>
      </c>
      <c r="AY15" s="58"/>
      <c r="AZ15" s="24" t="str">
        <f t="shared" si="7"/>
        <v xml:space="preserve"> </v>
      </c>
      <c r="BA15" s="148" t="s">
        <v>3741</v>
      </c>
      <c r="BB15" s="144">
        <v>6172.5</v>
      </c>
      <c r="BC15" s="144">
        <v>1332</v>
      </c>
      <c r="BD15" s="1898">
        <f t="shared" si="8"/>
        <v>4.6340090090090094</v>
      </c>
      <c r="BE15" s="1899">
        <v>4</v>
      </c>
      <c r="BF15" s="145">
        <f t="shared" si="9"/>
        <v>1.1585022522522523</v>
      </c>
      <c r="BG15" s="148" t="s">
        <v>3806</v>
      </c>
      <c r="BH15" s="21"/>
      <c r="BI15" s="21"/>
      <c r="BJ15" s="22" t="str">
        <f t="shared" si="10"/>
        <v xml:space="preserve"> </v>
      </c>
      <c r="BK15" s="58"/>
      <c r="BL15" s="24" t="str">
        <f t="shared" si="11"/>
        <v xml:space="preserve"> </v>
      </c>
      <c r="BM15" s="25"/>
      <c r="BN15" s="21"/>
      <c r="BO15" s="21"/>
      <c r="BP15" s="22" t="str">
        <f t="shared" si="12"/>
        <v xml:space="preserve"> </v>
      </c>
      <c r="BQ15" s="58"/>
      <c r="BR15" s="24" t="str">
        <f t="shared" si="13"/>
        <v xml:space="preserve"> </v>
      </c>
      <c r="BS15" s="25" t="s">
        <v>3745</v>
      </c>
      <c r="BT15" s="21">
        <v>1917</v>
      </c>
      <c r="BU15" s="21">
        <v>416</v>
      </c>
      <c r="BV15" s="1896">
        <f t="shared" si="14"/>
        <v>4.6081730769230766</v>
      </c>
      <c r="BW15" s="1900">
        <f t="shared" si="24"/>
        <v>4</v>
      </c>
      <c r="BX15" s="1901">
        <f t="shared" si="15"/>
        <v>1.1520432692307692</v>
      </c>
      <c r="BY15" s="695" t="s">
        <v>3806</v>
      </c>
      <c r="BZ15" s="21"/>
      <c r="CA15" s="21"/>
      <c r="CB15" s="22" t="str">
        <f t="shared" si="16"/>
        <v xml:space="preserve"> </v>
      </c>
      <c r="CC15" s="58"/>
      <c r="CD15" s="24" t="str">
        <f t="shared" si="17"/>
        <v xml:space="preserve"> </v>
      </c>
      <c r="CE15" s="25"/>
      <c r="CF15" s="21"/>
      <c r="CG15" s="21"/>
      <c r="CH15" s="22" t="str">
        <f t="shared" si="18"/>
        <v xml:space="preserve"> </v>
      </c>
      <c r="CI15" s="58"/>
      <c r="CJ15" s="24" t="str">
        <f t="shared" si="19"/>
        <v xml:space="preserve"> </v>
      </c>
      <c r="CK15" s="25"/>
      <c r="CL15" s="21">
        <v>1503.5</v>
      </c>
      <c r="CM15" s="21">
        <v>322</v>
      </c>
      <c r="CN15" s="1896">
        <f t="shared" si="20"/>
        <v>4.6692546583850936</v>
      </c>
      <c r="CO15" s="1900">
        <f t="shared" si="27"/>
        <v>4</v>
      </c>
      <c r="CP15" s="24">
        <f t="shared" si="21"/>
        <v>1.1673136645962734</v>
      </c>
      <c r="CQ15" s="25" t="s">
        <v>3807</v>
      </c>
      <c r="CR15" s="21">
        <v>1503.5</v>
      </c>
      <c r="CS15" s="21">
        <v>322</v>
      </c>
      <c r="CT15" s="1896">
        <f>IF(CS15=0," ",CR15/CS15)</f>
        <v>4.6692546583850936</v>
      </c>
      <c r="CU15" s="1900">
        <f t="shared" si="28"/>
        <v>4</v>
      </c>
      <c r="CV15" s="24">
        <f t="shared" si="23"/>
        <v>1.1673136645962734</v>
      </c>
      <c r="CW15" s="25" t="s">
        <v>3807</v>
      </c>
    </row>
    <row r="16" spans="1:101" ht="14.25" customHeight="1">
      <c r="B16" s="2740" t="s">
        <v>49</v>
      </c>
      <c r="C16" s="2741"/>
      <c r="D16" s="2741"/>
      <c r="E16" s="2741"/>
      <c r="F16" s="2741"/>
      <c r="G16" s="2741"/>
      <c r="H16" s="2741"/>
      <c r="I16" s="2741"/>
      <c r="J16" s="2741"/>
      <c r="K16" s="170"/>
      <c r="L16" s="170"/>
      <c r="M16" s="171"/>
      <c r="N16" s="170"/>
      <c r="O16" s="170"/>
      <c r="P16" s="172"/>
      <c r="Q16" s="172"/>
      <c r="R16" s="172"/>
      <c r="S16" s="172"/>
      <c r="T16" s="172"/>
      <c r="U16" s="172"/>
      <c r="V16" s="172"/>
      <c r="W16" s="36"/>
      <c r="X16" s="709"/>
      <c r="Y16" s="709"/>
      <c r="Z16" s="22"/>
      <c r="AA16" s="24"/>
      <c r="AB16" s="24"/>
      <c r="AC16" s="1203"/>
      <c r="AD16" s="1203"/>
      <c r="AE16" s="709"/>
      <c r="AF16" s="709"/>
      <c r="AG16" s="22"/>
      <c r="AH16" s="24"/>
      <c r="AI16" s="24"/>
      <c r="AJ16" s="1203"/>
      <c r="AK16" s="709"/>
      <c r="AL16" s="709"/>
      <c r="AM16" s="22"/>
      <c r="AN16" s="24"/>
      <c r="AO16" s="24"/>
      <c r="AP16" s="709"/>
      <c r="AQ16" s="709"/>
      <c r="AR16" s="22"/>
      <c r="AS16" s="24"/>
      <c r="AT16" s="24"/>
      <c r="AU16" s="710"/>
      <c r="AV16" s="1203"/>
      <c r="AW16" s="709"/>
      <c r="AX16" s="709"/>
      <c r="AY16" s="22"/>
      <c r="AZ16" s="24"/>
      <c r="BA16" s="145"/>
      <c r="BB16" s="174"/>
      <c r="BC16" s="174"/>
      <c r="BD16" s="22"/>
      <c r="BE16" s="145"/>
      <c r="BF16" s="145"/>
      <c r="BG16" s="176"/>
      <c r="BH16" s="1203"/>
      <c r="BI16" s="709"/>
      <c r="BJ16" s="709"/>
      <c r="BK16" s="22"/>
      <c r="BL16" s="24"/>
      <c r="BM16" s="24"/>
      <c r="BN16" s="709"/>
      <c r="BO16" s="709"/>
      <c r="BP16" s="22"/>
      <c r="BQ16" s="24"/>
      <c r="BR16" s="24"/>
      <c r="BS16" s="710"/>
      <c r="BT16" s="1203"/>
      <c r="BU16" s="709"/>
      <c r="BV16" s="709"/>
      <c r="BW16" s="22"/>
      <c r="BX16" s="24"/>
      <c r="BY16" s="24"/>
      <c r="BZ16" s="709"/>
      <c r="CA16" s="709"/>
      <c r="CB16" s="22"/>
      <c r="CC16" s="24"/>
      <c r="CD16" s="24"/>
      <c r="CE16" s="710"/>
      <c r="CF16" s="1203"/>
      <c r="CG16" s="709"/>
      <c r="CH16" s="709"/>
      <c r="CI16" s="22"/>
      <c r="CJ16" s="24"/>
      <c r="CK16" s="24"/>
      <c r="CL16" s="709"/>
      <c r="CM16" s="709"/>
      <c r="CN16" s="22"/>
      <c r="CO16" s="24"/>
      <c r="CP16" s="24"/>
      <c r="CQ16" s="710"/>
      <c r="CR16" s="709"/>
      <c r="CS16" s="709"/>
      <c r="CT16" s="22"/>
      <c r="CU16" s="24"/>
      <c r="CV16" s="24"/>
      <c r="CW16" s="710"/>
    </row>
    <row r="17" spans="2:101" ht="346.5" customHeight="1">
      <c r="B17" s="135" t="s">
        <v>155</v>
      </c>
      <c r="C17" s="135" t="s">
        <v>156</v>
      </c>
      <c r="D17" s="136" t="s">
        <v>157</v>
      </c>
      <c r="E17" s="136" t="s">
        <v>158</v>
      </c>
      <c r="F17" s="135" t="s">
        <v>251</v>
      </c>
      <c r="G17" s="135" t="s">
        <v>53</v>
      </c>
      <c r="H17" s="136" t="s">
        <v>160</v>
      </c>
      <c r="I17" s="135" t="s">
        <v>161</v>
      </c>
      <c r="J17" s="1888" t="s">
        <v>54</v>
      </c>
      <c r="K17" s="138"/>
      <c r="L17" s="138"/>
      <c r="M17" s="139"/>
      <c r="N17" s="178">
        <v>1</v>
      </c>
      <c r="O17" s="138"/>
      <c r="P17" s="178">
        <v>1</v>
      </c>
      <c r="Q17" s="178"/>
      <c r="R17" s="178"/>
      <c r="S17" s="178">
        <v>1</v>
      </c>
      <c r="T17" s="178"/>
      <c r="U17" s="178"/>
      <c r="V17" s="178">
        <v>1</v>
      </c>
      <c r="W17" s="8" t="s">
        <v>259</v>
      </c>
      <c r="X17" s="21"/>
      <c r="Y17" s="21"/>
      <c r="Z17" s="22" t="str">
        <f t="shared" ref="Z17:Z24" si="29">IF(Y17=0," ",X17/Y17)</f>
        <v xml:space="preserve"> </v>
      </c>
      <c r="AA17" s="58"/>
      <c r="AB17" s="24" t="str">
        <f t="shared" ref="AB17:AB24" si="30">IF(Y17=0," ",Z17/AA17)</f>
        <v xml:space="preserve"> </v>
      </c>
      <c r="AC17" s="25"/>
      <c r="AD17" s="21"/>
      <c r="AE17" s="21"/>
      <c r="AF17" s="22" t="str">
        <f t="shared" si="25"/>
        <v xml:space="preserve"> </v>
      </c>
      <c r="AG17" s="58"/>
      <c r="AH17" s="24" t="str">
        <f t="shared" si="26"/>
        <v xml:space="preserve"> </v>
      </c>
      <c r="AI17" s="148" t="s">
        <v>3741</v>
      </c>
      <c r="AJ17" s="21"/>
      <c r="AK17" s="21"/>
      <c r="AL17" s="22" t="str">
        <f t="shared" ref="AL17:AL24" si="31">IF(AK17=0," ",AJ17/AK17)</f>
        <v xml:space="preserve"> </v>
      </c>
      <c r="AM17" s="58"/>
      <c r="AN17" s="24" t="str">
        <f t="shared" ref="AN17:AN24" si="32">IF(AK17=0," ",AL17/AM17)</f>
        <v xml:space="preserve"> </v>
      </c>
      <c r="AO17" s="25"/>
      <c r="AP17" s="144"/>
      <c r="AQ17" s="144"/>
      <c r="AR17" s="22" t="str">
        <f t="shared" ref="AR17:AR24" si="33">IF(AQ17=0," ",AP17/AQ17)</f>
        <v xml:space="preserve"> </v>
      </c>
      <c r="AS17" s="112"/>
      <c r="AT17" s="145" t="str">
        <f t="shared" ref="AT17:AT24" si="34">IF(AQ17=0," ",AR17/AS17)</f>
        <v xml:space="preserve"> </v>
      </c>
      <c r="AU17" s="148" t="s">
        <v>3808</v>
      </c>
      <c r="AV17" s="21"/>
      <c r="AW17" s="21"/>
      <c r="AX17" s="22" t="str">
        <f t="shared" ref="AX17:AX24" si="35">IF(AW17=0," ",AV17/AW17)</f>
        <v xml:space="preserve"> </v>
      </c>
      <c r="AY17" s="58"/>
      <c r="AZ17" s="24" t="str">
        <f t="shared" ref="AZ17:AZ24" si="36">IF(AW17=0," ",AX17/AY17)</f>
        <v xml:space="preserve"> </v>
      </c>
      <c r="BA17" s="148" t="s">
        <v>3741</v>
      </c>
      <c r="BB17" s="144"/>
      <c r="BC17" s="144"/>
      <c r="BD17" s="22" t="str">
        <f t="shared" si="8"/>
        <v xml:space="preserve"> </v>
      </c>
      <c r="BE17" s="112"/>
      <c r="BF17" s="145" t="str">
        <f t="shared" si="9"/>
        <v xml:space="preserve"> </v>
      </c>
      <c r="BG17" s="148" t="s">
        <v>3809</v>
      </c>
      <c r="BH17" s="21"/>
      <c r="BI17" s="21"/>
      <c r="BJ17" s="22" t="str">
        <f t="shared" ref="BJ17:BJ24" si="37">IF(BI17=0," ",BH17/BI17)</f>
        <v xml:space="preserve"> </v>
      </c>
      <c r="BK17" s="58"/>
      <c r="BL17" s="24" t="str">
        <f t="shared" ref="BL17:BL24" si="38">IF(BI17=0," ",BJ17/BK17)</f>
        <v xml:space="preserve"> </v>
      </c>
      <c r="BM17" s="25"/>
      <c r="BN17" s="21"/>
      <c r="BO17" s="21"/>
      <c r="BP17" s="22" t="str">
        <f t="shared" ref="BP17:BP24" si="39">IF(BO17=0," ",BN17/BO17)</f>
        <v xml:space="preserve"> </v>
      </c>
      <c r="BQ17" s="58"/>
      <c r="BR17" s="24" t="str">
        <f t="shared" ref="BR17:BR24" si="40">IF(BO17=0," ",BP17/BQ17)</f>
        <v xml:space="preserve"> </v>
      </c>
      <c r="BS17" s="25" t="s">
        <v>3745</v>
      </c>
      <c r="BT17" s="21">
        <v>0</v>
      </c>
      <c r="BU17" s="21">
        <v>5</v>
      </c>
      <c r="BV17" s="22">
        <f t="shared" ref="BV17:BV24" si="41">IF(BU17=0," ",BT17/BU17)</f>
        <v>0</v>
      </c>
      <c r="BW17" s="1900">
        <f t="shared" si="24"/>
        <v>1</v>
      </c>
      <c r="BX17" s="24">
        <f t="shared" ref="BX17:BX24" si="42">IF(BU17=0," ",BV17/BW17)</f>
        <v>0</v>
      </c>
      <c r="BY17" s="695" t="s">
        <v>3810</v>
      </c>
      <c r="BZ17" s="21"/>
      <c r="CA17" s="21"/>
      <c r="CB17" s="22" t="str">
        <f t="shared" ref="CB17:CB24" si="43">IF(CA17=0," ",BZ17/CA17)</f>
        <v xml:space="preserve"> </v>
      </c>
      <c r="CC17" s="58"/>
      <c r="CD17" s="24" t="str">
        <f t="shared" ref="CD17:CD24" si="44">IF(CA17=0," ",CB17/CC17)</f>
        <v xml:space="preserve"> </v>
      </c>
      <c r="CE17" s="25"/>
      <c r="CF17" s="21"/>
      <c r="CG17" s="21"/>
      <c r="CH17" s="22" t="str">
        <f t="shared" ref="CH17:CH24" si="45">IF(CG17=0," ",CF17/CG17)</f>
        <v xml:space="preserve"> </v>
      </c>
      <c r="CI17" s="58"/>
      <c r="CJ17" s="24" t="str">
        <f t="shared" ref="CJ17:CJ24" si="46">IF(CG17=0," ",CH17/CI17)</f>
        <v xml:space="preserve"> </v>
      </c>
      <c r="CK17" s="25"/>
      <c r="CL17" s="21">
        <v>13</v>
      </c>
      <c r="CM17" s="21">
        <v>22</v>
      </c>
      <c r="CN17" s="22">
        <f t="shared" ref="CN17:CN24" si="47">IF(CM17=0," ",CL17/CM17)</f>
        <v>0.59090909090909094</v>
      </c>
      <c r="CO17" s="58">
        <f>V17</f>
        <v>1</v>
      </c>
      <c r="CP17" s="24">
        <f t="shared" ref="CP17:CP24" si="48">IF(CM17=0," ",CN17/CO17)</f>
        <v>0.59090909090909094</v>
      </c>
      <c r="CQ17" s="25" t="s">
        <v>3811</v>
      </c>
      <c r="CR17" s="21">
        <v>13</v>
      </c>
      <c r="CS17" s="21">
        <v>22</v>
      </c>
      <c r="CT17" s="22">
        <f>IF(CS17=0," ",CR17/CS17)</f>
        <v>0.59090909090909094</v>
      </c>
      <c r="CU17" s="58">
        <f t="shared" si="28"/>
        <v>1</v>
      </c>
      <c r="CV17" s="24">
        <f>IF(CS17=0," ",CT17/CU17)</f>
        <v>0.59090909090909094</v>
      </c>
      <c r="CW17" s="25" t="s">
        <v>3811</v>
      </c>
    </row>
    <row r="18" spans="2:101" ht="135.75" customHeight="1">
      <c r="B18" s="135" t="s">
        <v>55</v>
      </c>
      <c r="C18" s="135" t="s">
        <v>89</v>
      </c>
      <c r="D18" s="135" t="s">
        <v>56</v>
      </c>
      <c r="E18" s="135" t="s">
        <v>57</v>
      </c>
      <c r="F18" s="263" t="s">
        <v>58</v>
      </c>
      <c r="G18" s="135" t="s">
        <v>53</v>
      </c>
      <c r="H18" s="263" t="s">
        <v>59</v>
      </c>
      <c r="I18" s="135" t="s">
        <v>60</v>
      </c>
      <c r="J18" s="1888" t="s">
        <v>54</v>
      </c>
      <c r="K18" s="138"/>
      <c r="L18" s="138"/>
      <c r="M18" s="139">
        <v>1</v>
      </c>
      <c r="N18" s="138"/>
      <c r="O18" s="138"/>
      <c r="P18" s="139">
        <v>1</v>
      </c>
      <c r="Q18" s="139"/>
      <c r="R18" s="138"/>
      <c r="S18" s="139">
        <v>1</v>
      </c>
      <c r="T18" s="139"/>
      <c r="U18" s="138"/>
      <c r="V18" s="139">
        <v>1</v>
      </c>
      <c r="W18" s="1223" t="s">
        <v>79</v>
      </c>
      <c r="X18" s="21"/>
      <c r="Y18" s="21"/>
      <c r="Z18" s="22" t="str">
        <f t="shared" si="29"/>
        <v xml:space="preserve"> </v>
      </c>
      <c r="AA18" s="58"/>
      <c r="AB18" s="24" t="str">
        <f t="shared" si="30"/>
        <v xml:space="preserve"> </v>
      </c>
      <c r="AC18" s="25"/>
      <c r="AD18" s="21"/>
      <c r="AE18" s="21"/>
      <c r="AF18" s="22" t="str">
        <f t="shared" si="25"/>
        <v xml:space="preserve"> </v>
      </c>
      <c r="AG18" s="58"/>
      <c r="AH18" s="24" t="str">
        <f t="shared" si="26"/>
        <v xml:space="preserve"> </v>
      </c>
      <c r="AI18" s="148" t="s">
        <v>3741</v>
      </c>
      <c r="AJ18" s="144">
        <v>1</v>
      </c>
      <c r="AK18" s="144">
        <v>1</v>
      </c>
      <c r="AL18" s="22">
        <f t="shared" si="31"/>
        <v>1</v>
      </c>
      <c r="AM18" s="112">
        <v>1</v>
      </c>
      <c r="AN18" s="145">
        <f t="shared" si="32"/>
        <v>1</v>
      </c>
      <c r="AO18" s="148" t="s">
        <v>1509</v>
      </c>
      <c r="AP18" s="21"/>
      <c r="AQ18" s="21"/>
      <c r="AR18" s="22" t="str">
        <f t="shared" si="33"/>
        <v xml:space="preserve"> </v>
      </c>
      <c r="AS18" s="58"/>
      <c r="AT18" s="24" t="str">
        <f t="shared" si="34"/>
        <v xml:space="preserve"> </v>
      </c>
      <c r="AU18" s="25" t="s">
        <v>3742</v>
      </c>
      <c r="AV18" s="21"/>
      <c r="AW18" s="21"/>
      <c r="AX18" s="22" t="str">
        <f t="shared" si="35"/>
        <v xml:space="preserve"> </v>
      </c>
      <c r="AY18" s="58"/>
      <c r="AZ18" s="24" t="str">
        <f t="shared" si="36"/>
        <v xml:space="preserve"> </v>
      </c>
      <c r="BA18" s="148" t="s">
        <v>3741</v>
      </c>
      <c r="BB18" s="144">
        <v>0</v>
      </c>
      <c r="BC18" s="144">
        <v>100</v>
      </c>
      <c r="BD18" s="22">
        <f t="shared" si="8"/>
        <v>0</v>
      </c>
      <c r="BE18" s="112">
        <v>1</v>
      </c>
      <c r="BF18" s="145">
        <f t="shared" si="9"/>
        <v>0</v>
      </c>
      <c r="BG18" s="148" t="s">
        <v>3812</v>
      </c>
      <c r="BH18" s="21"/>
      <c r="BI18" s="21"/>
      <c r="BJ18" s="22" t="str">
        <f t="shared" si="37"/>
        <v xml:space="preserve"> </v>
      </c>
      <c r="BK18" s="58"/>
      <c r="BL18" s="24" t="str">
        <f t="shared" si="38"/>
        <v xml:space="preserve"> </v>
      </c>
      <c r="BM18" s="25"/>
      <c r="BN18" s="21"/>
      <c r="BO18" s="21"/>
      <c r="BP18" s="22" t="str">
        <f t="shared" si="39"/>
        <v xml:space="preserve"> </v>
      </c>
      <c r="BQ18" s="58"/>
      <c r="BR18" s="24" t="str">
        <f t="shared" si="40"/>
        <v xml:space="preserve"> </v>
      </c>
      <c r="BS18" s="25" t="s">
        <v>3745</v>
      </c>
      <c r="BT18" s="21">
        <v>0</v>
      </c>
      <c r="BU18" s="21">
        <v>1</v>
      </c>
      <c r="BV18" s="22">
        <f t="shared" si="41"/>
        <v>0</v>
      </c>
      <c r="BW18" s="58">
        <f t="shared" si="24"/>
        <v>1</v>
      </c>
      <c r="BX18" s="24">
        <f t="shared" si="42"/>
        <v>0</v>
      </c>
      <c r="BY18" s="695" t="s">
        <v>961</v>
      </c>
      <c r="BZ18" s="21"/>
      <c r="CA18" s="21"/>
      <c r="CB18" s="22" t="str">
        <f t="shared" si="43"/>
        <v xml:space="preserve"> </v>
      </c>
      <c r="CC18" s="58"/>
      <c r="CD18" s="24" t="str">
        <f t="shared" si="44"/>
        <v xml:space="preserve"> </v>
      </c>
      <c r="CE18" s="25"/>
      <c r="CF18" s="21"/>
      <c r="CG18" s="21"/>
      <c r="CH18" s="22" t="str">
        <f t="shared" si="45"/>
        <v xml:space="preserve"> </v>
      </c>
      <c r="CI18" s="58"/>
      <c r="CJ18" s="24" t="str">
        <f t="shared" si="46"/>
        <v xml:space="preserve"> </v>
      </c>
      <c r="CK18" s="25"/>
      <c r="CL18" s="21">
        <v>0</v>
      </c>
      <c r="CM18" s="21">
        <v>100</v>
      </c>
      <c r="CN18" s="22">
        <f t="shared" si="47"/>
        <v>0</v>
      </c>
      <c r="CO18" s="58">
        <f>V18</f>
        <v>1</v>
      </c>
      <c r="CP18" s="24">
        <f t="shared" si="48"/>
        <v>0</v>
      </c>
      <c r="CQ18" s="25" t="s">
        <v>3813</v>
      </c>
      <c r="CR18" s="21">
        <v>25</v>
      </c>
      <c r="CS18" s="21">
        <v>100</v>
      </c>
      <c r="CT18" s="22">
        <f t="shared" ref="CT18:CT24" si="49">IF(CS18=0," ",CR18/CS18)</f>
        <v>0.25</v>
      </c>
      <c r="CU18" s="58">
        <f t="shared" ref="CU18:CU24" si="50">V18</f>
        <v>1</v>
      </c>
      <c r="CV18" s="24">
        <f t="shared" ref="CV18:CV24" si="51">IF(CS18=0," ",CT18/CU18)</f>
        <v>0.25</v>
      </c>
      <c r="CW18" s="25" t="s">
        <v>3814</v>
      </c>
    </row>
    <row r="19" spans="2:101" ht="193.5" customHeight="1">
      <c r="B19" s="135" t="s">
        <v>55</v>
      </c>
      <c r="C19" s="135" t="s">
        <v>88</v>
      </c>
      <c r="D19" s="135" t="s">
        <v>61</v>
      </c>
      <c r="E19" s="135" t="s">
        <v>57</v>
      </c>
      <c r="F19" s="263" t="s">
        <v>62</v>
      </c>
      <c r="G19" s="135" t="s">
        <v>53</v>
      </c>
      <c r="H19" s="135" t="s">
        <v>63</v>
      </c>
      <c r="I19" s="135" t="s">
        <v>64</v>
      </c>
      <c r="J19" s="1888" t="s">
        <v>54</v>
      </c>
      <c r="K19" s="184"/>
      <c r="L19" s="185">
        <v>1</v>
      </c>
      <c r="M19" s="185"/>
      <c r="N19" s="185">
        <v>1</v>
      </c>
      <c r="O19" s="184"/>
      <c r="P19" s="139">
        <v>1</v>
      </c>
      <c r="Q19" s="186"/>
      <c r="R19" s="139">
        <v>1</v>
      </c>
      <c r="S19" s="186"/>
      <c r="T19" s="139">
        <v>1</v>
      </c>
      <c r="U19" s="1902"/>
      <c r="V19" s="139">
        <v>1</v>
      </c>
      <c r="W19" s="1223" t="s">
        <v>79</v>
      </c>
      <c r="X19" s="21"/>
      <c r="Y19" s="21"/>
      <c r="Z19" s="22" t="str">
        <f t="shared" si="29"/>
        <v xml:space="preserve"> </v>
      </c>
      <c r="AA19" s="58"/>
      <c r="AB19" s="24" t="str">
        <f t="shared" si="30"/>
        <v xml:space="preserve"> </v>
      </c>
      <c r="AC19" s="25"/>
      <c r="AD19" s="21" t="s">
        <v>325</v>
      </c>
      <c r="AE19" s="21"/>
      <c r="AF19" s="22" t="str">
        <f t="shared" si="25"/>
        <v xml:space="preserve"> </v>
      </c>
      <c r="AG19" s="58" t="s">
        <v>325</v>
      </c>
      <c r="AH19" s="24"/>
      <c r="AI19" s="148" t="s">
        <v>148</v>
      </c>
      <c r="AJ19" s="21"/>
      <c r="AK19" s="21"/>
      <c r="AL19" s="22" t="str">
        <f t="shared" si="31"/>
        <v xml:space="preserve"> </v>
      </c>
      <c r="AM19" s="58"/>
      <c r="AN19" s="24" t="str">
        <f t="shared" si="32"/>
        <v xml:space="preserve"> </v>
      </c>
      <c r="AO19" s="25"/>
      <c r="AP19" s="21"/>
      <c r="AQ19" s="21"/>
      <c r="AR19" s="22" t="str">
        <f t="shared" si="33"/>
        <v xml:space="preserve"> </v>
      </c>
      <c r="AS19" s="58"/>
      <c r="AT19" s="24" t="str">
        <f t="shared" si="34"/>
        <v xml:space="preserve"> </v>
      </c>
      <c r="AU19" s="148" t="s">
        <v>3815</v>
      </c>
      <c r="AV19" s="21"/>
      <c r="AW19" s="21"/>
      <c r="AX19" s="22" t="str">
        <f t="shared" si="35"/>
        <v xml:space="preserve"> </v>
      </c>
      <c r="AY19" s="58"/>
      <c r="AZ19" s="24" t="str">
        <f t="shared" si="36"/>
        <v xml:space="preserve"> </v>
      </c>
      <c r="BA19" s="148" t="s">
        <v>3741</v>
      </c>
      <c r="BB19" s="144"/>
      <c r="BC19" s="144"/>
      <c r="BD19" s="22" t="str">
        <f t="shared" si="8"/>
        <v xml:space="preserve"> </v>
      </c>
      <c r="BE19" s="112"/>
      <c r="BF19" s="145" t="str">
        <f t="shared" si="9"/>
        <v xml:space="preserve"> </v>
      </c>
      <c r="BG19" s="148" t="s">
        <v>3816</v>
      </c>
      <c r="BH19" s="21"/>
      <c r="BI19" s="21"/>
      <c r="BJ19" s="22" t="str">
        <f t="shared" si="37"/>
        <v xml:space="preserve"> </v>
      </c>
      <c r="BK19" s="58"/>
      <c r="BL19" s="24" t="str">
        <f t="shared" si="38"/>
        <v xml:space="preserve"> </v>
      </c>
      <c r="BM19" s="25"/>
      <c r="BN19" s="21"/>
      <c r="BO19" s="21"/>
      <c r="BP19" s="22" t="str">
        <f t="shared" si="39"/>
        <v xml:space="preserve"> </v>
      </c>
      <c r="BQ19" s="58"/>
      <c r="BR19" s="24" t="str">
        <f t="shared" si="40"/>
        <v xml:space="preserve"> </v>
      </c>
      <c r="BS19" s="25" t="s">
        <v>3817</v>
      </c>
      <c r="BT19" s="21"/>
      <c r="BU19" s="21"/>
      <c r="BV19" s="22" t="str">
        <f t="shared" si="41"/>
        <v xml:space="preserve"> </v>
      </c>
      <c r="BW19" s="58">
        <f t="shared" si="24"/>
        <v>0</v>
      </c>
      <c r="BX19" s="24" t="str">
        <f t="shared" si="42"/>
        <v xml:space="preserve"> </v>
      </c>
      <c r="BY19" s="25"/>
      <c r="BZ19" s="21"/>
      <c r="CA19" s="21"/>
      <c r="CB19" s="22" t="str">
        <f t="shared" si="43"/>
        <v xml:space="preserve"> </v>
      </c>
      <c r="CC19" s="58"/>
      <c r="CD19" s="24" t="str">
        <f t="shared" si="44"/>
        <v xml:space="preserve"> </v>
      </c>
      <c r="CE19" s="25" t="s">
        <v>2691</v>
      </c>
      <c r="CF19" s="21"/>
      <c r="CG19" s="21"/>
      <c r="CH19" s="22" t="str">
        <f t="shared" si="45"/>
        <v xml:space="preserve"> </v>
      </c>
      <c r="CI19" s="58"/>
      <c r="CJ19" s="24" t="str">
        <f t="shared" si="46"/>
        <v xml:space="preserve"> </v>
      </c>
      <c r="CK19" s="25"/>
      <c r="CL19" s="21">
        <v>100</v>
      </c>
      <c r="CM19" s="21">
        <v>100</v>
      </c>
      <c r="CN19" s="22">
        <f t="shared" si="47"/>
        <v>1</v>
      </c>
      <c r="CO19" s="58">
        <f>V19</f>
        <v>1</v>
      </c>
      <c r="CP19" s="24">
        <f t="shared" si="48"/>
        <v>1</v>
      </c>
      <c r="CQ19" s="25" t="s">
        <v>3818</v>
      </c>
      <c r="CR19" s="21">
        <v>100</v>
      </c>
      <c r="CS19" s="21">
        <v>100</v>
      </c>
      <c r="CT19" s="22">
        <f t="shared" si="49"/>
        <v>1</v>
      </c>
      <c r="CU19" s="58">
        <f t="shared" si="50"/>
        <v>1</v>
      </c>
      <c r="CV19" s="24">
        <f t="shared" si="51"/>
        <v>1</v>
      </c>
      <c r="CW19" s="25" t="s">
        <v>3819</v>
      </c>
    </row>
    <row r="20" spans="2:101" ht="165.75">
      <c r="B20" s="134" t="s">
        <v>260</v>
      </c>
      <c r="C20" s="135" t="s">
        <v>261</v>
      </c>
      <c r="D20" s="134" t="s">
        <v>262</v>
      </c>
      <c r="E20" s="135" t="s">
        <v>263</v>
      </c>
      <c r="F20" s="134" t="s">
        <v>264</v>
      </c>
      <c r="G20" s="135" t="s">
        <v>66</v>
      </c>
      <c r="H20" s="134" t="s">
        <v>390</v>
      </c>
      <c r="I20" s="135" t="s">
        <v>267</v>
      </c>
      <c r="J20" s="1888" t="s">
        <v>391</v>
      </c>
      <c r="K20" s="142">
        <v>0</v>
      </c>
      <c r="L20" s="142">
        <v>0</v>
      </c>
      <c r="M20" s="142">
        <v>0</v>
      </c>
      <c r="N20" s="142">
        <v>1</v>
      </c>
      <c r="O20" s="142">
        <v>0</v>
      </c>
      <c r="P20" s="142">
        <v>0</v>
      </c>
      <c r="Q20" s="142">
        <v>0</v>
      </c>
      <c r="R20" s="142">
        <v>0</v>
      </c>
      <c r="S20" s="142">
        <v>0</v>
      </c>
      <c r="T20" s="142">
        <v>0</v>
      </c>
      <c r="U20" s="142">
        <v>0</v>
      </c>
      <c r="V20" s="142">
        <v>0</v>
      </c>
      <c r="W20" s="391" t="s">
        <v>2291</v>
      </c>
      <c r="X20" s="1903">
        <v>53208752</v>
      </c>
      <c r="Y20" s="1903">
        <v>266728910</v>
      </c>
      <c r="Z20" s="22">
        <f t="shared" si="29"/>
        <v>0.19948625741394138</v>
      </c>
      <c r="AA20" s="112">
        <f>K20</f>
        <v>0</v>
      </c>
      <c r="AB20" s="145" t="e">
        <f t="shared" si="30"/>
        <v>#DIV/0!</v>
      </c>
      <c r="AC20" s="148" t="s">
        <v>3820</v>
      </c>
      <c r="AD20" s="1903">
        <v>194651656</v>
      </c>
      <c r="AE20" s="1903">
        <v>266728910</v>
      </c>
      <c r="AF20" s="22">
        <f t="shared" si="25"/>
        <v>0.72977337177286106</v>
      </c>
      <c r="AG20" s="112">
        <f>L20</f>
        <v>0</v>
      </c>
      <c r="AH20" s="145" t="str">
        <f t="shared" si="26"/>
        <v xml:space="preserve"> </v>
      </c>
      <c r="AI20" s="148" t="s">
        <v>3821</v>
      </c>
      <c r="AJ20" s="144"/>
      <c r="AK20" s="144"/>
      <c r="AL20" s="22" t="str">
        <f t="shared" si="31"/>
        <v xml:space="preserve"> </v>
      </c>
      <c r="AM20" s="112"/>
      <c r="AN20" s="145" t="str">
        <f t="shared" si="32"/>
        <v xml:space="preserve"> </v>
      </c>
      <c r="AO20" s="148" t="s">
        <v>3815</v>
      </c>
      <c r="AP20" s="1904">
        <v>12028144</v>
      </c>
      <c r="AQ20" s="1904">
        <v>266728910</v>
      </c>
      <c r="AR20" s="22">
        <f t="shared" si="33"/>
        <v>4.5095014259984044E-2</v>
      </c>
      <c r="AS20" s="58">
        <f>N20</f>
        <v>1</v>
      </c>
      <c r="AT20" s="24">
        <f t="shared" si="34"/>
        <v>4.5095014259984044E-2</v>
      </c>
      <c r="AU20" s="148" t="s">
        <v>3822</v>
      </c>
      <c r="AV20" s="21"/>
      <c r="AW20" s="21"/>
      <c r="AX20" s="22" t="str">
        <f t="shared" si="35"/>
        <v xml:space="preserve"> </v>
      </c>
      <c r="AY20" s="58"/>
      <c r="AZ20" s="24" t="str">
        <f t="shared" si="36"/>
        <v xml:space="preserve"> </v>
      </c>
      <c r="BA20" s="148" t="s">
        <v>3741</v>
      </c>
      <c r="BB20" s="144"/>
      <c r="BC20" s="144"/>
      <c r="BD20" s="22" t="str">
        <f t="shared" si="8"/>
        <v xml:space="preserve"> </v>
      </c>
      <c r="BE20" s="112"/>
      <c r="BF20" s="145" t="str">
        <f t="shared" si="9"/>
        <v xml:space="preserve"> </v>
      </c>
      <c r="BG20" s="148" t="s">
        <v>3743</v>
      </c>
      <c r="BH20" s="1904"/>
      <c r="BI20" s="1904"/>
      <c r="BJ20" s="22" t="str">
        <f t="shared" si="37"/>
        <v xml:space="preserve"> </v>
      </c>
      <c r="BK20" s="58"/>
      <c r="BL20" s="24" t="str">
        <f t="shared" si="38"/>
        <v xml:space="preserve"> </v>
      </c>
      <c r="BM20" s="25" t="s">
        <v>3823</v>
      </c>
      <c r="BN20" s="21"/>
      <c r="BO20" s="21"/>
      <c r="BP20" s="22" t="str">
        <f t="shared" si="39"/>
        <v xml:space="preserve"> </v>
      </c>
      <c r="BQ20" s="58"/>
      <c r="BR20" s="24" t="str">
        <f t="shared" si="40"/>
        <v xml:space="preserve"> </v>
      </c>
      <c r="BS20" s="25" t="s">
        <v>3745</v>
      </c>
      <c r="BT20" s="21"/>
      <c r="BU20" s="21"/>
      <c r="BV20" s="22" t="str">
        <f t="shared" si="41"/>
        <v xml:space="preserve"> </v>
      </c>
      <c r="BW20" s="58">
        <f t="shared" si="24"/>
        <v>0</v>
      </c>
      <c r="BX20" s="24" t="str">
        <f t="shared" si="42"/>
        <v xml:space="preserve"> </v>
      </c>
      <c r="BY20" s="25"/>
      <c r="BZ20" s="21"/>
      <c r="CA20" s="21"/>
      <c r="CB20" s="22" t="str">
        <f t="shared" si="43"/>
        <v xml:space="preserve"> </v>
      </c>
      <c r="CC20" s="58"/>
      <c r="CD20" s="24" t="str">
        <f t="shared" si="44"/>
        <v xml:space="preserve"> </v>
      </c>
      <c r="CE20" s="25"/>
      <c r="CF20" s="21"/>
      <c r="CG20" s="21"/>
      <c r="CH20" s="22" t="str">
        <f t="shared" si="45"/>
        <v xml:space="preserve"> </v>
      </c>
      <c r="CI20" s="58"/>
      <c r="CJ20" s="24" t="str">
        <f t="shared" si="46"/>
        <v xml:space="preserve"> </v>
      </c>
      <c r="CK20" s="25"/>
      <c r="CL20" s="21"/>
      <c r="CM20" s="21"/>
      <c r="CN20" s="22" t="str">
        <f t="shared" si="47"/>
        <v xml:space="preserve"> </v>
      </c>
      <c r="CO20" s="58"/>
      <c r="CP20" s="24" t="str">
        <f t="shared" si="48"/>
        <v xml:space="preserve"> </v>
      </c>
      <c r="CQ20" s="25"/>
      <c r="CR20" s="1905">
        <v>266728910</v>
      </c>
      <c r="CS20" s="1905">
        <v>266728910</v>
      </c>
      <c r="CT20" s="22">
        <f t="shared" si="49"/>
        <v>1</v>
      </c>
      <c r="CU20" s="58">
        <v>1</v>
      </c>
      <c r="CV20" s="24">
        <f t="shared" si="51"/>
        <v>1</v>
      </c>
      <c r="CW20" s="25" t="s">
        <v>3824</v>
      </c>
    </row>
    <row r="21" spans="2:101" ht="177" customHeight="1">
      <c r="B21" s="134" t="s">
        <v>260</v>
      </c>
      <c r="C21" s="135" t="s">
        <v>273</v>
      </c>
      <c r="D21" s="271" t="s">
        <v>274</v>
      </c>
      <c r="E21" s="135" t="s">
        <v>275</v>
      </c>
      <c r="F21" s="134" t="s">
        <v>276</v>
      </c>
      <c r="G21" s="135" t="s">
        <v>66</v>
      </c>
      <c r="H21" s="134" t="s">
        <v>394</v>
      </c>
      <c r="I21" s="135" t="s">
        <v>267</v>
      </c>
      <c r="J21" s="1888" t="s">
        <v>391</v>
      </c>
      <c r="K21" s="142">
        <v>0</v>
      </c>
      <c r="L21" s="142">
        <v>0.24</v>
      </c>
      <c r="M21" s="142">
        <v>0.19</v>
      </c>
      <c r="N21" s="142">
        <v>0.22</v>
      </c>
      <c r="O21" s="142">
        <v>0.02</v>
      </c>
      <c r="P21" s="142">
        <v>0.11</v>
      </c>
      <c r="Q21" s="142">
        <v>0.15</v>
      </c>
      <c r="R21" s="142">
        <v>0.03</v>
      </c>
      <c r="S21" s="142">
        <v>0.04</v>
      </c>
      <c r="T21" s="142">
        <v>0</v>
      </c>
      <c r="U21" s="142">
        <v>0</v>
      </c>
      <c r="V21" s="142">
        <v>0</v>
      </c>
      <c r="W21" s="391" t="s">
        <v>2292</v>
      </c>
      <c r="X21" s="21"/>
      <c r="Y21" s="21"/>
      <c r="Z21" s="22" t="str">
        <f t="shared" si="29"/>
        <v xml:space="preserve"> </v>
      </c>
      <c r="AA21" s="58"/>
      <c r="AB21" s="24" t="str">
        <f t="shared" si="30"/>
        <v xml:space="preserve"> </v>
      </c>
      <c r="AC21" s="25"/>
      <c r="AD21" s="1903">
        <v>887675994</v>
      </c>
      <c r="AE21" s="1903">
        <v>3761594345</v>
      </c>
      <c r="AF21" s="22">
        <f t="shared" si="25"/>
        <v>0.23598397716115238</v>
      </c>
      <c r="AG21" s="112">
        <f>L21</f>
        <v>0.24</v>
      </c>
      <c r="AH21" s="145">
        <f t="shared" si="26"/>
        <v>0.98326657150480157</v>
      </c>
      <c r="AI21" s="148" t="s">
        <v>3825</v>
      </c>
      <c r="AJ21" s="1904">
        <v>720389009</v>
      </c>
      <c r="AK21" s="1904">
        <v>3761594345</v>
      </c>
      <c r="AL21" s="22">
        <f t="shared" si="31"/>
        <v>0.19151161526961516</v>
      </c>
      <c r="AM21" s="58">
        <f>M21</f>
        <v>0.19</v>
      </c>
      <c r="AN21" s="24">
        <f t="shared" si="32"/>
        <v>1.0079558698400797</v>
      </c>
      <c r="AO21" s="148" t="s">
        <v>3826</v>
      </c>
      <c r="AP21" s="1904">
        <v>821407956</v>
      </c>
      <c r="AQ21" s="1904">
        <v>3761594345</v>
      </c>
      <c r="AR21" s="22">
        <f t="shared" si="33"/>
        <v>0.21836696907305669</v>
      </c>
      <c r="AS21" s="58">
        <f>N21</f>
        <v>0.22</v>
      </c>
      <c r="AT21" s="24">
        <f t="shared" si="34"/>
        <v>0.99257713215025767</v>
      </c>
      <c r="AU21" s="148" t="s">
        <v>3827</v>
      </c>
      <c r="AV21" s="144">
        <v>80372124</v>
      </c>
      <c r="AW21" s="144">
        <v>3761594345</v>
      </c>
      <c r="AX21" s="750">
        <f t="shared" si="35"/>
        <v>2.1366504898868887E-2</v>
      </c>
      <c r="AY21" s="112">
        <v>0.02</v>
      </c>
      <c r="AZ21" s="145">
        <f t="shared" si="36"/>
        <v>1.0683252449434444</v>
      </c>
      <c r="BA21" s="148" t="s">
        <v>3828</v>
      </c>
      <c r="BB21" s="1906">
        <v>472708393</v>
      </c>
      <c r="BC21" s="1906">
        <v>3761594345</v>
      </c>
      <c r="BD21" s="750">
        <f t="shared" si="8"/>
        <v>0.12566703095678969</v>
      </c>
      <c r="BE21" s="112">
        <v>0.11</v>
      </c>
      <c r="BF21" s="145">
        <f t="shared" si="9"/>
        <v>1.1424275541526334</v>
      </c>
      <c r="BG21" s="148" t="s">
        <v>3829</v>
      </c>
      <c r="BH21" s="1907">
        <v>167086196</v>
      </c>
      <c r="BI21" s="1907">
        <v>3761594345</v>
      </c>
      <c r="BJ21" s="22">
        <f t="shared" si="37"/>
        <v>4.4418983195807629E-2</v>
      </c>
      <c r="BK21" s="58">
        <f>Q21</f>
        <v>0.15</v>
      </c>
      <c r="BL21" s="24">
        <f t="shared" si="38"/>
        <v>0.29612655463871757</v>
      </c>
      <c r="BM21" s="25" t="s">
        <v>3830</v>
      </c>
      <c r="BN21" s="21">
        <v>19523476</v>
      </c>
      <c r="BO21" s="21">
        <v>3761594345</v>
      </c>
      <c r="BP21" s="560">
        <f t="shared" si="39"/>
        <v>5.1902130345211376E-3</v>
      </c>
      <c r="BQ21" s="58">
        <v>0.03</v>
      </c>
      <c r="BR21" s="24">
        <f t="shared" si="40"/>
        <v>0.17300710115070458</v>
      </c>
      <c r="BS21" s="25" t="s">
        <v>3831</v>
      </c>
      <c r="BT21" s="1904">
        <v>55195145</v>
      </c>
      <c r="BU21" s="1904">
        <v>3761594345</v>
      </c>
      <c r="BV21" s="22">
        <f t="shared" si="41"/>
        <v>1.4673337935380164E-2</v>
      </c>
      <c r="BW21" s="58">
        <v>0.04</v>
      </c>
      <c r="BX21" s="24">
        <f t="shared" si="42"/>
        <v>0.3668334483845041</v>
      </c>
      <c r="BY21" s="695" t="s">
        <v>3832</v>
      </c>
      <c r="BZ21" s="21"/>
      <c r="CA21" s="21"/>
      <c r="CB21" s="22" t="str">
        <f t="shared" si="43"/>
        <v xml:space="preserve"> </v>
      </c>
      <c r="CC21" s="58"/>
      <c r="CD21" s="24" t="str">
        <f t="shared" si="44"/>
        <v xml:space="preserve"> </v>
      </c>
      <c r="CE21" s="25"/>
      <c r="CF21" s="21"/>
      <c r="CG21" s="21"/>
      <c r="CH21" s="22" t="str">
        <f t="shared" si="45"/>
        <v xml:space="preserve"> </v>
      </c>
      <c r="CI21" s="58"/>
      <c r="CJ21" s="24" t="str">
        <f t="shared" si="46"/>
        <v xml:space="preserve"> </v>
      </c>
      <c r="CK21" s="25"/>
      <c r="CL21" s="21"/>
      <c r="CM21" s="21"/>
      <c r="CN21" s="22" t="str">
        <f t="shared" si="47"/>
        <v xml:space="preserve"> </v>
      </c>
      <c r="CO21" s="58"/>
      <c r="CP21" s="24" t="str">
        <f t="shared" si="48"/>
        <v xml:space="preserve"> </v>
      </c>
      <c r="CQ21" s="25"/>
      <c r="CR21" s="720">
        <v>3746011674</v>
      </c>
      <c r="CS21" s="720">
        <v>3761594345</v>
      </c>
      <c r="CT21" s="22">
        <f t="shared" si="49"/>
        <v>0.99585742917209752</v>
      </c>
      <c r="CU21" s="58">
        <v>1</v>
      </c>
      <c r="CV21" s="24">
        <f t="shared" si="51"/>
        <v>0.99585742917209752</v>
      </c>
      <c r="CW21" s="25" t="s">
        <v>3833</v>
      </c>
    </row>
    <row r="22" spans="2:101" ht="112.5" customHeight="1">
      <c r="B22" s="134" t="s">
        <v>67</v>
      </c>
      <c r="C22" s="206" t="s">
        <v>90</v>
      </c>
      <c r="D22" s="206" t="s">
        <v>93</v>
      </c>
      <c r="E22" s="206" t="s">
        <v>68</v>
      </c>
      <c r="F22" s="206" t="s">
        <v>69</v>
      </c>
      <c r="G22" s="206" t="s">
        <v>53</v>
      </c>
      <c r="H22" s="206" t="s">
        <v>70</v>
      </c>
      <c r="I22" s="206" t="s">
        <v>71</v>
      </c>
      <c r="J22" s="1908" t="s">
        <v>54</v>
      </c>
      <c r="K22" s="1909" t="s">
        <v>2079</v>
      </c>
      <c r="L22" s="1910" t="s">
        <v>2079</v>
      </c>
      <c r="M22" s="1910" t="s">
        <v>2079</v>
      </c>
      <c r="N22" s="1910" t="s">
        <v>2079</v>
      </c>
      <c r="O22" s="1910" t="s">
        <v>2079</v>
      </c>
      <c r="P22" s="1910" t="s">
        <v>2079</v>
      </c>
      <c r="Q22" s="1910" t="s">
        <v>2079</v>
      </c>
      <c r="R22" s="1910" t="s">
        <v>2079</v>
      </c>
      <c r="S22" s="1910" t="s">
        <v>2079</v>
      </c>
      <c r="T22" s="1910" t="s">
        <v>2079</v>
      </c>
      <c r="U22" s="1910" t="s">
        <v>2079</v>
      </c>
      <c r="V22" s="1910" t="s">
        <v>2079</v>
      </c>
      <c r="W22" s="846" t="s">
        <v>72</v>
      </c>
      <c r="X22" s="21"/>
      <c r="Y22" s="21"/>
      <c r="Z22" s="22" t="str">
        <f t="shared" si="29"/>
        <v xml:space="preserve"> </v>
      </c>
      <c r="AA22" s="58"/>
      <c r="AB22" s="24" t="str">
        <f t="shared" si="30"/>
        <v xml:space="preserve"> </v>
      </c>
      <c r="AC22" s="25"/>
      <c r="AD22" s="21"/>
      <c r="AE22" s="21"/>
      <c r="AF22" s="22" t="str">
        <f t="shared" si="25"/>
        <v xml:space="preserve"> </v>
      </c>
      <c r="AG22" s="58"/>
      <c r="AH22" s="24" t="str">
        <f t="shared" si="26"/>
        <v xml:space="preserve"> </v>
      </c>
      <c r="AI22" s="148"/>
      <c r="AJ22" s="21"/>
      <c r="AK22" s="21"/>
      <c r="AL22" s="22" t="str">
        <f t="shared" si="31"/>
        <v xml:space="preserve"> </v>
      </c>
      <c r="AM22" s="58"/>
      <c r="AN22" s="24" t="str">
        <f t="shared" si="32"/>
        <v xml:space="preserve"> </v>
      </c>
      <c r="AO22" s="25"/>
      <c r="AP22" s="21"/>
      <c r="AQ22" s="21"/>
      <c r="AR22" s="22" t="str">
        <f t="shared" si="33"/>
        <v xml:space="preserve"> </v>
      </c>
      <c r="AS22" s="58"/>
      <c r="AT22" s="24" t="str">
        <f t="shared" si="34"/>
        <v xml:space="preserve"> </v>
      </c>
      <c r="AU22" s="25"/>
      <c r="AV22" s="21"/>
      <c r="AW22" s="21"/>
      <c r="AX22" s="22" t="str">
        <f t="shared" si="35"/>
        <v xml:space="preserve"> </v>
      </c>
      <c r="AY22" s="58"/>
      <c r="AZ22" s="24" t="str">
        <f t="shared" si="36"/>
        <v xml:space="preserve"> </v>
      </c>
      <c r="BA22" s="25"/>
      <c r="BB22" s="144"/>
      <c r="BC22" s="144"/>
      <c r="BD22" s="22" t="str">
        <f t="shared" si="8"/>
        <v xml:space="preserve"> </v>
      </c>
      <c r="BE22" s="112"/>
      <c r="BF22" s="145" t="str">
        <f t="shared" si="9"/>
        <v xml:space="preserve"> </v>
      </c>
      <c r="BG22" s="148"/>
      <c r="BH22" s="21"/>
      <c r="BI22" s="21"/>
      <c r="BJ22" s="22" t="str">
        <f t="shared" si="37"/>
        <v xml:space="preserve"> </v>
      </c>
      <c r="BK22" s="58"/>
      <c r="BL22" s="24" t="str">
        <f t="shared" si="38"/>
        <v xml:space="preserve"> </v>
      </c>
      <c r="BM22" s="25"/>
      <c r="BN22" s="21"/>
      <c r="BO22" s="21"/>
      <c r="BP22" s="22" t="str">
        <f t="shared" si="39"/>
        <v xml:space="preserve"> </v>
      </c>
      <c r="BQ22" s="58"/>
      <c r="BR22" s="24" t="str">
        <f t="shared" si="40"/>
        <v xml:space="preserve"> </v>
      </c>
      <c r="BS22" s="25"/>
      <c r="BT22" s="21"/>
      <c r="BU22" s="21"/>
      <c r="BV22" s="22" t="str">
        <f t="shared" si="41"/>
        <v xml:space="preserve"> </v>
      </c>
      <c r="BW22" s="58"/>
      <c r="BX22" s="24" t="str">
        <f t="shared" si="42"/>
        <v xml:space="preserve"> </v>
      </c>
      <c r="BY22" s="25"/>
      <c r="BZ22" s="21"/>
      <c r="CA22" s="21"/>
      <c r="CB22" s="22" t="str">
        <f t="shared" si="43"/>
        <v xml:space="preserve"> </v>
      </c>
      <c r="CC22" s="535" t="str">
        <f>T22</f>
        <v>X</v>
      </c>
      <c r="CD22" s="24" t="str">
        <f t="shared" si="44"/>
        <v xml:space="preserve"> </v>
      </c>
      <c r="CE22" s="25" t="s">
        <v>3834</v>
      </c>
      <c r="CF22" s="21"/>
      <c r="CG22" s="21"/>
      <c r="CH22" s="22" t="str">
        <f t="shared" si="45"/>
        <v xml:space="preserve"> </v>
      </c>
      <c r="CI22" s="58"/>
      <c r="CJ22" s="24" t="str">
        <f t="shared" si="46"/>
        <v xml:space="preserve"> </v>
      </c>
      <c r="CK22" s="25" t="str">
        <f>CE22</f>
        <v>No le corresponde a esta subdirección reportar este indicador</v>
      </c>
      <c r="CL22" s="21"/>
      <c r="CM22" s="21"/>
      <c r="CN22" s="22" t="str">
        <f t="shared" si="47"/>
        <v xml:space="preserve"> </v>
      </c>
      <c r="CO22" s="535"/>
      <c r="CP22" s="24" t="str">
        <f t="shared" si="48"/>
        <v xml:space="preserve"> </v>
      </c>
      <c r="CQ22" s="25" t="str">
        <f>CK22</f>
        <v>No le corresponde a esta subdirección reportar este indicador</v>
      </c>
      <c r="CR22" s="21"/>
      <c r="CS22" s="21"/>
      <c r="CT22" s="22" t="str">
        <f t="shared" si="49"/>
        <v xml:space="preserve"> </v>
      </c>
      <c r="CU22" s="58"/>
      <c r="CV22" s="24" t="str">
        <f t="shared" si="51"/>
        <v xml:space="preserve"> </v>
      </c>
      <c r="CW22" s="25" t="s">
        <v>3835</v>
      </c>
    </row>
    <row r="23" spans="2:101" ht="162.75" customHeight="1">
      <c r="B23" s="134" t="s">
        <v>73</v>
      </c>
      <c r="C23" s="135" t="s">
        <v>91</v>
      </c>
      <c r="D23" s="135" t="s">
        <v>74</v>
      </c>
      <c r="E23" s="135" t="s">
        <v>75</v>
      </c>
      <c r="F23" s="135" t="s">
        <v>76</v>
      </c>
      <c r="G23" s="135" t="s">
        <v>53</v>
      </c>
      <c r="H23" s="135" t="s">
        <v>77</v>
      </c>
      <c r="I23" s="135" t="s">
        <v>78</v>
      </c>
      <c r="J23" s="1888" t="s">
        <v>54</v>
      </c>
      <c r="K23" s="139">
        <v>0.8</v>
      </c>
      <c r="L23" s="139">
        <v>0.8</v>
      </c>
      <c r="M23" s="139">
        <v>0.8</v>
      </c>
      <c r="N23" s="139">
        <v>0.8</v>
      </c>
      <c r="O23" s="139">
        <v>0.8</v>
      </c>
      <c r="P23" s="139">
        <v>0.8</v>
      </c>
      <c r="Q23" s="139">
        <v>0.8</v>
      </c>
      <c r="R23" s="139">
        <v>0.8</v>
      </c>
      <c r="S23" s="139">
        <v>0.8</v>
      </c>
      <c r="T23" s="139">
        <v>0.8</v>
      </c>
      <c r="U23" s="139">
        <v>0.8</v>
      </c>
      <c r="V23" s="139">
        <v>0.8</v>
      </c>
      <c r="W23" s="846" t="s">
        <v>80</v>
      </c>
      <c r="X23" s="21"/>
      <c r="Y23" s="21"/>
      <c r="Z23" s="22" t="str">
        <f t="shared" si="29"/>
        <v xml:space="preserve"> </v>
      </c>
      <c r="AA23" s="58"/>
      <c r="AB23" s="24" t="str">
        <f t="shared" si="30"/>
        <v xml:space="preserve"> </v>
      </c>
      <c r="AC23" s="25"/>
      <c r="AD23" s="21"/>
      <c r="AE23" s="21"/>
      <c r="AF23" s="22" t="str">
        <f t="shared" si="25"/>
        <v xml:space="preserve"> </v>
      </c>
      <c r="AG23" s="58"/>
      <c r="AH23" s="24" t="str">
        <f t="shared" si="26"/>
        <v xml:space="preserve"> </v>
      </c>
      <c r="AI23" s="148"/>
      <c r="AJ23" s="21"/>
      <c r="AK23" s="21"/>
      <c r="AL23" s="22" t="str">
        <f t="shared" si="31"/>
        <v xml:space="preserve"> </v>
      </c>
      <c r="AM23" s="58"/>
      <c r="AN23" s="24" t="str">
        <f t="shared" si="32"/>
        <v xml:space="preserve"> </v>
      </c>
      <c r="AO23" s="25"/>
      <c r="AP23" s="21"/>
      <c r="AQ23" s="21"/>
      <c r="AR23" s="22" t="str">
        <f t="shared" si="33"/>
        <v xml:space="preserve"> </v>
      </c>
      <c r="AS23" s="58"/>
      <c r="AT23" s="24" t="str">
        <f t="shared" si="34"/>
        <v xml:space="preserve"> </v>
      </c>
      <c r="AU23" s="25"/>
      <c r="AV23" s="21"/>
      <c r="AW23" s="21"/>
      <c r="AX23" s="22" t="str">
        <f t="shared" si="35"/>
        <v xml:space="preserve"> </v>
      </c>
      <c r="AY23" s="58"/>
      <c r="AZ23" s="24" t="str">
        <f t="shared" si="36"/>
        <v xml:space="preserve"> </v>
      </c>
      <c r="BA23" s="25"/>
      <c r="BB23" s="144"/>
      <c r="BC23" s="144"/>
      <c r="BD23" s="22" t="str">
        <f t="shared" si="8"/>
        <v xml:space="preserve"> </v>
      </c>
      <c r="BE23" s="112"/>
      <c r="BF23" s="145" t="str">
        <f t="shared" si="9"/>
        <v xml:space="preserve"> </v>
      </c>
      <c r="BG23" s="148"/>
      <c r="BH23" s="21"/>
      <c r="BI23" s="21"/>
      <c r="BJ23" s="22" t="str">
        <f t="shared" si="37"/>
        <v xml:space="preserve"> </v>
      </c>
      <c r="BK23" s="58"/>
      <c r="BL23" s="24" t="str">
        <f t="shared" si="38"/>
        <v xml:space="preserve"> </v>
      </c>
      <c r="BM23" s="25"/>
      <c r="BN23" s="21"/>
      <c r="BO23" s="21"/>
      <c r="BP23" s="22" t="str">
        <f t="shared" si="39"/>
        <v xml:space="preserve"> </v>
      </c>
      <c r="BQ23" s="58"/>
      <c r="BR23" s="24" t="str">
        <f t="shared" si="40"/>
        <v xml:space="preserve"> </v>
      </c>
      <c r="BS23" s="25"/>
      <c r="BT23" s="21"/>
      <c r="BU23" s="21"/>
      <c r="BV23" s="22" t="str">
        <f t="shared" si="41"/>
        <v xml:space="preserve"> </v>
      </c>
      <c r="BW23" s="58"/>
      <c r="BX23" s="24" t="str">
        <f t="shared" si="42"/>
        <v xml:space="preserve"> </v>
      </c>
      <c r="BY23" s="25"/>
      <c r="BZ23" s="21"/>
      <c r="CA23" s="21"/>
      <c r="CB23" s="22" t="str">
        <f t="shared" si="43"/>
        <v xml:space="preserve"> </v>
      </c>
      <c r="CC23" s="58">
        <f>T23</f>
        <v>0.8</v>
      </c>
      <c r="CD23" s="24" t="str">
        <f t="shared" si="44"/>
        <v xml:space="preserve"> </v>
      </c>
      <c r="CE23" s="25" t="s">
        <v>3834</v>
      </c>
      <c r="CF23" s="21"/>
      <c r="CG23" s="21"/>
      <c r="CH23" s="22" t="str">
        <f t="shared" si="45"/>
        <v xml:space="preserve"> </v>
      </c>
      <c r="CI23" s="58"/>
      <c r="CJ23" s="24" t="str">
        <f t="shared" si="46"/>
        <v xml:space="preserve"> </v>
      </c>
      <c r="CK23" s="25" t="str">
        <f>CE23</f>
        <v>No le corresponde a esta subdirección reportar este indicador</v>
      </c>
      <c r="CL23" s="21"/>
      <c r="CM23" s="21"/>
      <c r="CN23" s="22" t="str">
        <f t="shared" si="47"/>
        <v xml:space="preserve"> </v>
      </c>
      <c r="CO23" s="58"/>
      <c r="CP23" s="24" t="str">
        <f t="shared" si="48"/>
        <v xml:space="preserve"> </v>
      </c>
      <c r="CQ23" s="25" t="str">
        <f>CK23</f>
        <v>No le corresponde a esta subdirección reportar este indicador</v>
      </c>
      <c r="CR23" s="21"/>
      <c r="CS23" s="21"/>
      <c r="CT23" s="22" t="str">
        <f t="shared" si="49"/>
        <v xml:space="preserve"> </v>
      </c>
      <c r="CU23" s="58"/>
      <c r="CV23" s="24" t="str">
        <f t="shared" si="51"/>
        <v xml:space="preserve"> </v>
      </c>
      <c r="CW23" s="25" t="s">
        <v>3835</v>
      </c>
    </row>
    <row r="24" spans="2:101" ht="216.75" customHeight="1">
      <c r="B24" s="134" t="s">
        <v>81</v>
      </c>
      <c r="C24" s="135" t="s">
        <v>92</v>
      </c>
      <c r="D24" s="223" t="s">
        <v>83</v>
      </c>
      <c r="E24" s="135" t="s">
        <v>84</v>
      </c>
      <c r="F24" s="263" t="s">
        <v>1322</v>
      </c>
      <c r="G24" s="135" t="s">
        <v>66</v>
      </c>
      <c r="H24" s="135" t="s">
        <v>1323</v>
      </c>
      <c r="I24" s="135" t="s">
        <v>85</v>
      </c>
      <c r="J24" s="1888" t="s">
        <v>54</v>
      </c>
      <c r="K24" s="139"/>
      <c r="L24" s="139"/>
      <c r="M24" s="139">
        <v>1</v>
      </c>
      <c r="N24" s="139"/>
      <c r="O24" s="139"/>
      <c r="P24" s="139">
        <v>1</v>
      </c>
      <c r="Q24" s="139"/>
      <c r="R24" s="139"/>
      <c r="S24" s="139">
        <v>1</v>
      </c>
      <c r="T24" s="139"/>
      <c r="U24" s="139"/>
      <c r="V24" s="139">
        <v>1</v>
      </c>
      <c r="W24" s="790" t="s">
        <v>79</v>
      </c>
      <c r="X24" s="21"/>
      <c r="Y24" s="21"/>
      <c r="Z24" s="22" t="str">
        <f t="shared" si="29"/>
        <v xml:space="preserve"> </v>
      </c>
      <c r="AA24" s="58"/>
      <c r="AB24" s="24" t="str">
        <f t="shared" si="30"/>
        <v xml:space="preserve"> </v>
      </c>
      <c r="AC24" s="25"/>
      <c r="AD24" s="21"/>
      <c r="AE24" s="21"/>
      <c r="AF24" s="22" t="str">
        <f t="shared" si="25"/>
        <v xml:space="preserve"> </v>
      </c>
      <c r="AG24" s="58"/>
      <c r="AH24" s="24" t="str">
        <f t="shared" si="26"/>
        <v xml:space="preserve"> </v>
      </c>
      <c r="AI24" s="148" t="s">
        <v>3741</v>
      </c>
      <c r="AJ24" s="21">
        <v>78</v>
      </c>
      <c r="AK24" s="21">
        <v>78</v>
      </c>
      <c r="AL24" s="22">
        <f t="shared" si="31"/>
        <v>1</v>
      </c>
      <c r="AM24" s="58">
        <f>M24</f>
        <v>1</v>
      </c>
      <c r="AN24" s="24">
        <f t="shared" si="32"/>
        <v>1</v>
      </c>
      <c r="AO24" s="148" t="s">
        <v>3172</v>
      </c>
      <c r="AP24" s="21"/>
      <c r="AQ24" s="21"/>
      <c r="AR24" s="22" t="str">
        <f t="shared" si="33"/>
        <v xml:space="preserve"> </v>
      </c>
      <c r="AS24" s="58"/>
      <c r="AT24" s="24" t="str">
        <f t="shared" si="34"/>
        <v xml:space="preserve"> </v>
      </c>
      <c r="AU24" s="25" t="s">
        <v>3742</v>
      </c>
      <c r="AV24" s="21"/>
      <c r="AW24" s="21"/>
      <c r="AX24" s="22" t="str">
        <f t="shared" si="35"/>
        <v xml:space="preserve"> </v>
      </c>
      <c r="AY24" s="58"/>
      <c r="AZ24" s="24" t="str">
        <f t="shared" si="36"/>
        <v xml:space="preserve"> </v>
      </c>
      <c r="BA24" s="148" t="s">
        <v>3741</v>
      </c>
      <c r="BB24" s="113">
        <v>73</v>
      </c>
      <c r="BC24" s="113">
        <v>78</v>
      </c>
      <c r="BD24" s="22">
        <f t="shared" si="8"/>
        <v>0.9358974358974359</v>
      </c>
      <c r="BE24" s="112">
        <v>1</v>
      </c>
      <c r="BF24" s="145">
        <f t="shared" si="9"/>
        <v>0.9358974358974359</v>
      </c>
      <c r="BG24" s="148" t="s">
        <v>3836</v>
      </c>
      <c r="BH24" s="21"/>
      <c r="BI24" s="21"/>
      <c r="BJ24" s="22" t="str">
        <f t="shared" si="37"/>
        <v xml:space="preserve"> </v>
      </c>
      <c r="BK24" s="58"/>
      <c r="BL24" s="24" t="str">
        <f t="shared" si="38"/>
        <v xml:space="preserve"> </v>
      </c>
      <c r="BM24" s="25"/>
      <c r="BN24" s="21"/>
      <c r="BO24" s="21"/>
      <c r="BP24" s="22" t="str">
        <f t="shared" si="39"/>
        <v xml:space="preserve"> </v>
      </c>
      <c r="BQ24" s="58"/>
      <c r="BR24" s="24" t="str">
        <f t="shared" si="40"/>
        <v xml:space="preserve"> </v>
      </c>
      <c r="BS24" s="25" t="s">
        <v>3745</v>
      </c>
      <c r="BT24" s="21"/>
      <c r="BU24" s="21"/>
      <c r="BV24" s="22" t="str">
        <f t="shared" si="41"/>
        <v xml:space="preserve"> </v>
      </c>
      <c r="BW24" s="58">
        <f>S24</f>
        <v>1</v>
      </c>
      <c r="BX24" s="24" t="str">
        <f t="shared" si="42"/>
        <v xml:space="preserve"> </v>
      </c>
      <c r="BY24" s="25" t="s">
        <v>3837</v>
      </c>
      <c r="BZ24" s="21"/>
      <c r="CA24" s="21"/>
      <c r="CB24" s="22" t="str">
        <f t="shared" si="43"/>
        <v xml:space="preserve"> </v>
      </c>
      <c r="CC24" s="58"/>
      <c r="CD24" s="24" t="str">
        <f t="shared" si="44"/>
        <v xml:space="preserve"> </v>
      </c>
      <c r="CE24" s="25"/>
      <c r="CF24" s="21"/>
      <c r="CG24" s="21"/>
      <c r="CH24" s="22" t="str">
        <f t="shared" si="45"/>
        <v xml:space="preserve"> </v>
      </c>
      <c r="CI24" s="58"/>
      <c r="CJ24" s="24" t="str">
        <f t="shared" si="46"/>
        <v xml:space="preserve"> </v>
      </c>
      <c r="CK24" s="25"/>
      <c r="CL24" s="21">
        <v>132</v>
      </c>
      <c r="CM24" s="21">
        <v>137</v>
      </c>
      <c r="CN24" s="22">
        <f t="shared" si="47"/>
        <v>0.96350364963503654</v>
      </c>
      <c r="CO24" s="58">
        <f>V24</f>
        <v>1</v>
      </c>
      <c r="CP24" s="24">
        <f t="shared" si="48"/>
        <v>0.96350364963503654</v>
      </c>
      <c r="CQ24" s="25" t="s">
        <v>3838</v>
      </c>
      <c r="CR24" s="568">
        <v>0.95</v>
      </c>
      <c r="CS24" s="568">
        <v>1</v>
      </c>
      <c r="CT24" s="22">
        <f t="shared" si="49"/>
        <v>0.95</v>
      </c>
      <c r="CU24" s="58">
        <f t="shared" si="50"/>
        <v>1</v>
      </c>
      <c r="CV24" s="24">
        <f t="shared" si="51"/>
        <v>0.95</v>
      </c>
      <c r="CW24" s="25" t="s">
        <v>2444</v>
      </c>
    </row>
    <row r="25" spans="2:101" ht="15.75" customHeight="1">
      <c r="B25" s="1972" t="s">
        <v>17</v>
      </c>
      <c r="C25" s="1972"/>
      <c r="D25" s="1972"/>
      <c r="E25" s="1972"/>
      <c r="F25" s="5"/>
      <c r="G25" s="5"/>
      <c r="H25" s="5"/>
      <c r="I25" s="5"/>
      <c r="J25" s="5"/>
      <c r="K25" s="6"/>
      <c r="L25" s="6"/>
      <c r="M25" s="6"/>
      <c r="N25" s="6"/>
      <c r="O25" s="6"/>
      <c r="P25" s="6"/>
      <c r="Q25" s="6"/>
      <c r="R25" s="6"/>
      <c r="S25" s="6"/>
      <c r="T25" s="6"/>
      <c r="U25" s="6"/>
      <c r="V25" s="6"/>
    </row>
    <row r="27" spans="2:101">
      <c r="E27" s="1971"/>
      <c r="F27" s="1971"/>
      <c r="G27" s="1971"/>
      <c r="H27" s="1971"/>
      <c r="K27" s="15" t="s">
        <v>28</v>
      </c>
    </row>
    <row r="28" spans="2:101">
      <c r="E28" s="1972" t="s">
        <v>3839</v>
      </c>
      <c r="F28" s="1972"/>
      <c r="G28" s="1972"/>
      <c r="H28" s="1972"/>
    </row>
    <row r="29" spans="2:101" ht="26.25" customHeight="1">
      <c r="E29" s="1974" t="s">
        <v>3840</v>
      </c>
      <c r="F29" s="1974"/>
      <c r="G29" s="1974"/>
      <c r="H29" s="1974"/>
    </row>
    <row r="30" spans="2:101">
      <c r="C30" s="15"/>
      <c r="E30" s="128"/>
      <c r="F30" s="128"/>
      <c r="G30" s="128"/>
      <c r="H30" s="128"/>
    </row>
    <row r="31" spans="2:101" ht="19.5" customHeight="1">
      <c r="C31" s="15"/>
    </row>
    <row r="32" spans="2:101" ht="12.75" customHeight="1">
      <c r="C32" s="15"/>
    </row>
    <row r="33" spans="3:3" ht="12.75" customHeight="1">
      <c r="C33" s="15"/>
    </row>
  </sheetData>
  <autoFilter ref="A7:CW25"/>
  <mergeCells count="50">
    <mergeCell ref="B1:N1"/>
    <mergeCell ref="O1:R1"/>
    <mergeCell ref="S1:V2"/>
    <mergeCell ref="A2:B2"/>
    <mergeCell ref="D2:N2"/>
    <mergeCell ref="O2:R2"/>
    <mergeCell ref="BN4:BS4"/>
    <mergeCell ref="BT4:BY4"/>
    <mergeCell ref="C4:J4"/>
    <mergeCell ref="K4:M4"/>
    <mergeCell ref="N4:V4"/>
    <mergeCell ref="X4:AC4"/>
    <mergeCell ref="AD4:AI4"/>
    <mergeCell ref="AJ4:AO4"/>
    <mergeCell ref="B6:B7"/>
    <mergeCell ref="C6:C7"/>
    <mergeCell ref="D6:D7"/>
    <mergeCell ref="E6:E7"/>
    <mergeCell ref="F6:F7"/>
    <mergeCell ref="G6:G7"/>
    <mergeCell ref="X6:AC6"/>
    <mergeCell ref="AD6:AI6"/>
    <mergeCell ref="BZ4:CE4"/>
    <mergeCell ref="CF4:CK4"/>
    <mergeCell ref="CL4:CQ4"/>
    <mergeCell ref="CR4:CW4"/>
    <mergeCell ref="AP4:AU4"/>
    <mergeCell ref="AV4:BA4"/>
    <mergeCell ref="BB4:BG4"/>
    <mergeCell ref="BH4:BM4"/>
    <mergeCell ref="CF6:CK6"/>
    <mergeCell ref="CL6:CQ6"/>
    <mergeCell ref="CR6:CW6"/>
    <mergeCell ref="B16:J16"/>
    <mergeCell ref="AJ6:AO6"/>
    <mergeCell ref="AP6:AU6"/>
    <mergeCell ref="AV6:BA6"/>
    <mergeCell ref="BB6:BG6"/>
    <mergeCell ref="BH6:BM6"/>
    <mergeCell ref="BN6:BS6"/>
    <mergeCell ref="B25:E25"/>
    <mergeCell ref="E27:H27"/>
    <mergeCell ref="E28:H28"/>
    <mergeCell ref="E29:H29"/>
    <mergeCell ref="BT6:BY6"/>
    <mergeCell ref="BZ6:CE6"/>
    <mergeCell ref="H6:H7"/>
    <mergeCell ref="I6:I7"/>
    <mergeCell ref="J6:J7"/>
    <mergeCell ref="K6:V6"/>
  </mergeCells>
  <conditionalFormatting sqref="AB12:AB13">
    <cfRule type="colorScale" priority="116">
      <colorScale>
        <cfvo type="num" val="0.69"/>
        <cfvo type="num" val="0.8"/>
        <cfvo type="num" val="0.9"/>
        <color rgb="FFF8696B"/>
        <color rgb="FFFFEB84"/>
        <color rgb="FF63BE7B"/>
      </colorScale>
    </cfRule>
  </conditionalFormatting>
  <conditionalFormatting sqref="AN12:AN13">
    <cfRule type="colorScale" priority="115">
      <colorScale>
        <cfvo type="num" val="0.69"/>
        <cfvo type="num" val="0.8"/>
        <cfvo type="num" val="0.9"/>
        <color rgb="FFF8696B"/>
        <color rgb="FFFFEB84"/>
        <color rgb="FF63BE7B"/>
      </colorScale>
    </cfRule>
  </conditionalFormatting>
  <conditionalFormatting sqref="AT12:AT13">
    <cfRule type="colorScale" priority="114">
      <colorScale>
        <cfvo type="num" val="0.69"/>
        <cfvo type="num" val="0.8"/>
        <cfvo type="num" val="0.9"/>
        <color rgb="FFF8696B"/>
        <color rgb="FFFFEB84"/>
        <color rgb="FF63BE7B"/>
      </colorScale>
    </cfRule>
  </conditionalFormatting>
  <conditionalFormatting sqref="AZ12:AZ13">
    <cfRule type="colorScale" priority="113">
      <colorScale>
        <cfvo type="num" val="0.69"/>
        <cfvo type="num" val="0.8"/>
        <cfvo type="num" val="0.9"/>
        <color rgb="FFF8696B"/>
        <color rgb="FFFFEB84"/>
        <color rgb="FF63BE7B"/>
      </colorScale>
    </cfRule>
  </conditionalFormatting>
  <conditionalFormatting sqref="BL12:BL13">
    <cfRule type="colorScale" priority="112">
      <colorScale>
        <cfvo type="num" val="0.69"/>
        <cfvo type="num" val="0.8"/>
        <cfvo type="num" val="0.9"/>
        <color rgb="FFF8696B"/>
        <color rgb="FFFFEB84"/>
        <color rgb="FF63BE7B"/>
      </colorScale>
    </cfRule>
  </conditionalFormatting>
  <conditionalFormatting sqref="BR12:BR13">
    <cfRule type="colorScale" priority="111">
      <colorScale>
        <cfvo type="num" val="0.69"/>
        <cfvo type="num" val="0.8"/>
        <cfvo type="num" val="0.9"/>
        <color rgb="FFF8696B"/>
        <color rgb="FFFFEB84"/>
        <color rgb="FF63BE7B"/>
      </colorScale>
    </cfRule>
  </conditionalFormatting>
  <conditionalFormatting sqref="BX12:BX13">
    <cfRule type="colorScale" priority="110">
      <colorScale>
        <cfvo type="num" val="0.69"/>
        <cfvo type="num" val="0.8"/>
        <cfvo type="num" val="0.9"/>
        <color rgb="FFF8696B"/>
        <color rgb="FFFFEB84"/>
        <color rgb="FF63BE7B"/>
      </colorScale>
    </cfRule>
  </conditionalFormatting>
  <conditionalFormatting sqref="CD12:CD13">
    <cfRule type="colorScale" priority="109">
      <colorScale>
        <cfvo type="num" val="0.69"/>
        <cfvo type="num" val="0.8"/>
        <cfvo type="num" val="0.9"/>
        <color rgb="FFF8696B"/>
        <color rgb="FFFFEB84"/>
        <color rgb="FF63BE7B"/>
      </colorScale>
    </cfRule>
  </conditionalFormatting>
  <conditionalFormatting sqref="CJ12:CJ13">
    <cfRule type="colorScale" priority="108">
      <colorScale>
        <cfvo type="num" val="0.69"/>
        <cfvo type="num" val="0.8"/>
        <cfvo type="num" val="0.9"/>
        <color rgb="FFF8696B"/>
        <color rgb="FFFFEB84"/>
        <color rgb="FF63BE7B"/>
      </colorScale>
    </cfRule>
  </conditionalFormatting>
  <conditionalFormatting sqref="AB15">
    <cfRule type="colorScale" priority="107">
      <colorScale>
        <cfvo type="num" val="0.69"/>
        <cfvo type="num" val="0.8"/>
        <cfvo type="num" val="0.9"/>
        <color rgb="FFF8696B"/>
        <color rgb="FFFFEB84"/>
        <color rgb="FF63BE7B"/>
      </colorScale>
    </cfRule>
  </conditionalFormatting>
  <conditionalFormatting sqref="AN15">
    <cfRule type="colorScale" priority="106">
      <colorScale>
        <cfvo type="num" val="0.69"/>
        <cfvo type="num" val="0.8"/>
        <cfvo type="num" val="0.9"/>
        <color rgb="FFF8696B"/>
        <color rgb="FFFFEB84"/>
        <color rgb="FF63BE7B"/>
      </colorScale>
    </cfRule>
  </conditionalFormatting>
  <conditionalFormatting sqref="AT15">
    <cfRule type="colorScale" priority="105">
      <colorScale>
        <cfvo type="num" val="0.69"/>
        <cfvo type="num" val="0.8"/>
        <cfvo type="num" val="0.9"/>
        <color rgb="FFF8696B"/>
        <color rgb="FFFFEB84"/>
        <color rgb="FF63BE7B"/>
      </colorScale>
    </cfRule>
  </conditionalFormatting>
  <conditionalFormatting sqref="AZ15">
    <cfRule type="colorScale" priority="104">
      <colorScale>
        <cfvo type="num" val="0.69"/>
        <cfvo type="num" val="0.8"/>
        <cfvo type="num" val="0.9"/>
        <color rgb="FFF8696B"/>
        <color rgb="FFFFEB84"/>
        <color rgb="FF63BE7B"/>
      </colorScale>
    </cfRule>
  </conditionalFormatting>
  <conditionalFormatting sqref="BL15">
    <cfRule type="colorScale" priority="103">
      <colorScale>
        <cfvo type="num" val="0.69"/>
        <cfvo type="num" val="0.8"/>
        <cfvo type="num" val="0.9"/>
        <color rgb="FFF8696B"/>
        <color rgb="FFFFEB84"/>
        <color rgb="FF63BE7B"/>
      </colorScale>
    </cfRule>
  </conditionalFormatting>
  <conditionalFormatting sqref="BR15">
    <cfRule type="colorScale" priority="102">
      <colorScale>
        <cfvo type="num" val="0.69"/>
        <cfvo type="num" val="0.8"/>
        <cfvo type="num" val="0.9"/>
        <color rgb="FFF8696B"/>
        <color rgb="FFFFEB84"/>
        <color rgb="FF63BE7B"/>
      </colorScale>
    </cfRule>
  </conditionalFormatting>
  <conditionalFormatting sqref="BX15">
    <cfRule type="colorScale" priority="101">
      <colorScale>
        <cfvo type="num" val="0.69"/>
        <cfvo type="num" val="0.8"/>
        <cfvo type="num" val="0.9"/>
        <color rgb="FFF8696B"/>
        <color rgb="FFFFEB84"/>
        <color rgb="FF63BE7B"/>
      </colorScale>
    </cfRule>
  </conditionalFormatting>
  <conditionalFormatting sqref="CD15">
    <cfRule type="colorScale" priority="100">
      <colorScale>
        <cfvo type="num" val="0.69"/>
        <cfvo type="num" val="0.8"/>
        <cfvo type="num" val="0.9"/>
        <color rgb="FFF8696B"/>
        <color rgb="FFFFEB84"/>
        <color rgb="FF63BE7B"/>
      </colorScale>
    </cfRule>
  </conditionalFormatting>
  <conditionalFormatting sqref="CJ15">
    <cfRule type="colorScale" priority="99">
      <colorScale>
        <cfvo type="num" val="0.69"/>
        <cfvo type="num" val="0.8"/>
        <cfvo type="num" val="0.9"/>
        <color rgb="FFF8696B"/>
        <color rgb="FFFFEB84"/>
        <color rgb="FF63BE7B"/>
      </colorScale>
    </cfRule>
  </conditionalFormatting>
  <conditionalFormatting sqref="CP15">
    <cfRule type="colorScale" priority="98">
      <colorScale>
        <cfvo type="num" val="0.69"/>
        <cfvo type="num" val="0.8"/>
        <cfvo type="num" val="0.9"/>
        <color rgb="FFF8696B"/>
        <color rgb="FFFFEB84"/>
        <color rgb="FF63BE7B"/>
      </colorScale>
    </cfRule>
  </conditionalFormatting>
  <conditionalFormatting sqref="AB16">
    <cfRule type="colorScale" priority="97">
      <colorScale>
        <cfvo type="num" val="0.69"/>
        <cfvo type="num" val="0.8"/>
        <cfvo type="num" val="0.9"/>
        <color rgb="FFF8696B"/>
        <color rgb="FFFFEB84"/>
        <color rgb="FF63BE7B"/>
      </colorScale>
    </cfRule>
  </conditionalFormatting>
  <conditionalFormatting sqref="AT16">
    <cfRule type="colorScale" priority="96">
      <colorScale>
        <cfvo type="num" val="0.69"/>
        <cfvo type="num" val="0.8"/>
        <cfvo type="num" val="0.9"/>
        <color rgb="FFF8696B"/>
        <color rgb="FFFFEB84"/>
        <color rgb="FF63BE7B"/>
      </colorScale>
    </cfRule>
  </conditionalFormatting>
  <conditionalFormatting sqref="BF16">
    <cfRule type="colorScale" priority="95">
      <colorScale>
        <cfvo type="num" val="0.69"/>
        <cfvo type="num" val="0.8"/>
        <cfvo type="num" val="0.9"/>
        <color rgb="FFF8696B"/>
        <color rgb="FFFFEB84"/>
        <color rgb="FF63BE7B"/>
      </colorScale>
    </cfRule>
  </conditionalFormatting>
  <conditionalFormatting sqref="BR16">
    <cfRule type="colorScale" priority="94">
      <colorScale>
        <cfvo type="num" val="0.69"/>
        <cfvo type="num" val="0.8"/>
        <cfvo type="num" val="0.9"/>
        <color rgb="FFF8696B"/>
        <color rgb="FFFFEB84"/>
        <color rgb="FF63BE7B"/>
      </colorScale>
    </cfRule>
  </conditionalFormatting>
  <conditionalFormatting sqref="CD16">
    <cfRule type="colorScale" priority="93">
      <colorScale>
        <cfvo type="num" val="0.69"/>
        <cfvo type="num" val="0.8"/>
        <cfvo type="num" val="0.9"/>
        <color rgb="FFF8696B"/>
        <color rgb="FFFFEB84"/>
        <color rgb="FF63BE7B"/>
      </colorScale>
    </cfRule>
  </conditionalFormatting>
  <conditionalFormatting sqref="CP16">
    <cfRule type="colorScale" priority="92">
      <colorScale>
        <cfvo type="num" val="0.69"/>
        <cfvo type="num" val="0.8"/>
        <cfvo type="num" val="0.9"/>
        <color rgb="FFF8696B"/>
        <color rgb="FFFFEB84"/>
        <color rgb="FF63BE7B"/>
      </colorScale>
    </cfRule>
  </conditionalFormatting>
  <conditionalFormatting sqref="AI16">
    <cfRule type="colorScale" priority="91">
      <colorScale>
        <cfvo type="num" val="0.69"/>
        <cfvo type="num" val="0.8"/>
        <cfvo type="num" val="0.9"/>
        <color rgb="FFF8696B"/>
        <color rgb="FFFFEB84"/>
        <color rgb="FF63BE7B"/>
      </colorScale>
    </cfRule>
  </conditionalFormatting>
  <conditionalFormatting sqref="AO16">
    <cfRule type="colorScale" priority="90">
      <colorScale>
        <cfvo type="num" val="0.69"/>
        <cfvo type="num" val="0.8"/>
        <cfvo type="num" val="0.9"/>
        <color rgb="FFF8696B"/>
        <color rgb="FFFFEB84"/>
        <color rgb="FF63BE7B"/>
      </colorScale>
    </cfRule>
  </conditionalFormatting>
  <conditionalFormatting sqref="BA16">
    <cfRule type="colorScale" priority="89">
      <colorScale>
        <cfvo type="num" val="0.69"/>
        <cfvo type="num" val="0.8"/>
        <cfvo type="num" val="0.9"/>
        <color rgb="FFF8696B"/>
        <color rgb="FFFFEB84"/>
        <color rgb="FF63BE7B"/>
      </colorScale>
    </cfRule>
  </conditionalFormatting>
  <conditionalFormatting sqref="BM16">
    <cfRule type="colorScale" priority="88">
      <colorScale>
        <cfvo type="num" val="0.69"/>
        <cfvo type="num" val="0.8"/>
        <cfvo type="num" val="0.9"/>
        <color rgb="FFF8696B"/>
        <color rgb="FFFFEB84"/>
        <color rgb="FF63BE7B"/>
      </colorScale>
    </cfRule>
  </conditionalFormatting>
  <conditionalFormatting sqref="BY16">
    <cfRule type="colorScale" priority="87">
      <colorScale>
        <cfvo type="num" val="0.69"/>
        <cfvo type="num" val="0.8"/>
        <cfvo type="num" val="0.9"/>
        <color rgb="FFF8696B"/>
        <color rgb="FFFFEB84"/>
        <color rgb="FF63BE7B"/>
      </colorScale>
    </cfRule>
  </conditionalFormatting>
  <conditionalFormatting sqref="CK16">
    <cfRule type="colorScale" priority="86">
      <colorScale>
        <cfvo type="num" val="0.69"/>
        <cfvo type="num" val="0.8"/>
        <cfvo type="num" val="0.9"/>
        <color rgb="FFF8696B"/>
        <color rgb="FFFFEB84"/>
        <color rgb="FF63BE7B"/>
      </colorScale>
    </cfRule>
  </conditionalFormatting>
  <conditionalFormatting sqref="AB17:AB24">
    <cfRule type="colorScale" priority="85">
      <colorScale>
        <cfvo type="num" val="0.69"/>
        <cfvo type="num" val="0.8"/>
        <cfvo type="num" val="0.9"/>
        <color rgb="FFF8696B"/>
        <color rgb="FFFFEB84"/>
        <color rgb="FF63BE7B"/>
      </colorScale>
    </cfRule>
  </conditionalFormatting>
  <conditionalFormatting sqref="AH17:AH24">
    <cfRule type="colorScale" priority="84">
      <colorScale>
        <cfvo type="num" val="0.69"/>
        <cfvo type="num" val="0.8"/>
        <cfvo type="num" val="0.9"/>
        <color rgb="FFF8696B"/>
        <color rgb="FFFFEB84"/>
        <color rgb="FF63BE7B"/>
      </colorScale>
    </cfRule>
  </conditionalFormatting>
  <conditionalFormatting sqref="AN17:AN24">
    <cfRule type="colorScale" priority="83">
      <colorScale>
        <cfvo type="num" val="0.69"/>
        <cfvo type="num" val="0.8"/>
        <cfvo type="num" val="0.9"/>
        <color rgb="FFF8696B"/>
        <color rgb="FFFFEB84"/>
        <color rgb="FF63BE7B"/>
      </colorScale>
    </cfRule>
  </conditionalFormatting>
  <conditionalFormatting sqref="AT17:AT24">
    <cfRule type="colorScale" priority="82">
      <colorScale>
        <cfvo type="num" val="0.69"/>
        <cfvo type="num" val="0.8"/>
        <cfvo type="num" val="0.9"/>
        <color rgb="FFF8696B"/>
        <color rgb="FFFFEB84"/>
        <color rgb="FF63BE7B"/>
      </colorScale>
    </cfRule>
  </conditionalFormatting>
  <conditionalFormatting sqref="AZ17:AZ24">
    <cfRule type="colorScale" priority="81">
      <colorScale>
        <cfvo type="num" val="0.69"/>
        <cfvo type="num" val="0.8"/>
        <cfvo type="num" val="0.9"/>
        <color rgb="FFF8696B"/>
        <color rgb="FFFFEB84"/>
        <color rgb="FF63BE7B"/>
      </colorScale>
    </cfRule>
  </conditionalFormatting>
  <conditionalFormatting sqref="BL17:BL24">
    <cfRule type="colorScale" priority="80">
      <colorScale>
        <cfvo type="num" val="0.69"/>
        <cfvo type="num" val="0.8"/>
        <cfvo type="num" val="0.9"/>
        <color rgb="FFF8696B"/>
        <color rgb="FFFFEB84"/>
        <color rgb="FF63BE7B"/>
      </colorScale>
    </cfRule>
  </conditionalFormatting>
  <conditionalFormatting sqref="BR17:BR24">
    <cfRule type="colorScale" priority="79">
      <colorScale>
        <cfvo type="num" val="0.69"/>
        <cfvo type="num" val="0.8"/>
        <cfvo type="num" val="0.9"/>
        <color rgb="FFF8696B"/>
        <color rgb="FFFFEB84"/>
        <color rgb="FF63BE7B"/>
      </colorScale>
    </cfRule>
  </conditionalFormatting>
  <conditionalFormatting sqref="BX17:BX18 BX20:BX24">
    <cfRule type="colorScale" priority="78">
      <colorScale>
        <cfvo type="num" val="0.69"/>
        <cfvo type="num" val="0.8"/>
        <cfvo type="num" val="0.9"/>
        <color rgb="FFF8696B"/>
        <color rgb="FFFFEB84"/>
        <color rgb="FF63BE7B"/>
      </colorScale>
    </cfRule>
  </conditionalFormatting>
  <conditionalFormatting sqref="CD17:CD24">
    <cfRule type="colorScale" priority="77">
      <colorScale>
        <cfvo type="num" val="0.69"/>
        <cfvo type="num" val="0.8"/>
        <cfvo type="num" val="0.9"/>
        <color rgb="FFF8696B"/>
        <color rgb="FFFFEB84"/>
        <color rgb="FF63BE7B"/>
      </colorScale>
    </cfRule>
  </conditionalFormatting>
  <conditionalFormatting sqref="CJ17:CJ24">
    <cfRule type="colorScale" priority="76">
      <colorScale>
        <cfvo type="num" val="0.69"/>
        <cfvo type="num" val="0.8"/>
        <cfvo type="num" val="0.9"/>
        <color rgb="FFF8696B"/>
        <color rgb="FFFFEB84"/>
        <color rgb="FF63BE7B"/>
      </colorScale>
    </cfRule>
  </conditionalFormatting>
  <conditionalFormatting sqref="CP17:CP24">
    <cfRule type="colorScale" priority="75">
      <colorScale>
        <cfvo type="num" val="0.69"/>
        <cfvo type="num" val="0.8"/>
        <cfvo type="num" val="0.9"/>
        <color rgb="FFF8696B"/>
        <color rgb="FFFFEB84"/>
        <color rgb="FF63BE7B"/>
      </colorScale>
    </cfRule>
  </conditionalFormatting>
  <conditionalFormatting sqref="CV18:CV24">
    <cfRule type="colorScale" priority="74">
      <colorScale>
        <cfvo type="num" val="0.69"/>
        <cfvo type="num" val="0.8"/>
        <cfvo type="num" val="0.9"/>
        <color rgb="FFF8696B"/>
        <color rgb="FFFFEB84"/>
        <color rgb="FF63BE7B"/>
      </colorScale>
    </cfRule>
  </conditionalFormatting>
  <conditionalFormatting sqref="AB8:AB9">
    <cfRule type="colorScale" priority="73">
      <colorScale>
        <cfvo type="num" val="0.69"/>
        <cfvo type="num" val="0.8"/>
        <cfvo type="num" val="0.9"/>
        <color rgb="FFF8696B"/>
        <color rgb="FFFFEB84"/>
        <color rgb="FF63BE7B"/>
      </colorScale>
    </cfRule>
  </conditionalFormatting>
  <conditionalFormatting sqref="AH8:AH13 AH15">
    <cfRule type="colorScale" priority="72">
      <colorScale>
        <cfvo type="num" val="0.69"/>
        <cfvo type="num" val="0.8"/>
        <cfvo type="num" val="0.9"/>
        <color rgb="FFF8696B"/>
        <color rgb="FFFFEB84"/>
        <color rgb="FF63BE7B"/>
      </colorScale>
    </cfRule>
  </conditionalFormatting>
  <conditionalFormatting sqref="AN8:AN9">
    <cfRule type="colorScale" priority="71">
      <colorScale>
        <cfvo type="num" val="0.69"/>
        <cfvo type="num" val="0.8"/>
        <cfvo type="num" val="0.9"/>
        <color rgb="FFF8696B"/>
        <color rgb="FFFFEB84"/>
        <color rgb="FF63BE7B"/>
      </colorScale>
    </cfRule>
  </conditionalFormatting>
  <conditionalFormatting sqref="AT8:AT9">
    <cfRule type="colorScale" priority="70">
      <colorScale>
        <cfvo type="num" val="0.69"/>
        <cfvo type="num" val="0.8"/>
        <cfvo type="num" val="0.9"/>
        <color rgb="FFF8696B"/>
        <color rgb="FFFFEB84"/>
        <color rgb="FF63BE7B"/>
      </colorScale>
    </cfRule>
  </conditionalFormatting>
  <conditionalFormatting sqref="AZ8:AZ9">
    <cfRule type="colorScale" priority="69">
      <colorScale>
        <cfvo type="num" val="0.69"/>
        <cfvo type="num" val="0.8"/>
        <cfvo type="num" val="0.9"/>
        <color rgb="FFF8696B"/>
        <color rgb="FFFFEB84"/>
        <color rgb="FF63BE7B"/>
      </colorScale>
    </cfRule>
  </conditionalFormatting>
  <conditionalFormatting sqref="BF8:BF14">
    <cfRule type="colorScale" priority="68">
      <colorScale>
        <cfvo type="num" val="0.69"/>
        <cfvo type="num" val="0.8"/>
        <cfvo type="num" val="0.9"/>
        <color rgb="FFF8696B"/>
        <color rgb="FFFFEB84"/>
        <color rgb="FF63BE7B"/>
      </colorScale>
    </cfRule>
  </conditionalFormatting>
  <conditionalFormatting sqref="BL8:BL9">
    <cfRule type="colorScale" priority="67">
      <colorScale>
        <cfvo type="num" val="0.69"/>
        <cfvo type="num" val="0.8"/>
        <cfvo type="num" val="0.9"/>
        <color rgb="FFF8696B"/>
        <color rgb="FFFFEB84"/>
        <color rgb="FF63BE7B"/>
      </colorScale>
    </cfRule>
  </conditionalFormatting>
  <conditionalFormatting sqref="BR8:BR9">
    <cfRule type="colorScale" priority="66">
      <colorScale>
        <cfvo type="num" val="0.69"/>
        <cfvo type="num" val="0.8"/>
        <cfvo type="num" val="0.9"/>
        <color rgb="FFF8696B"/>
        <color rgb="FFFFEB84"/>
        <color rgb="FF63BE7B"/>
      </colorScale>
    </cfRule>
  </conditionalFormatting>
  <conditionalFormatting sqref="BX8:BX9">
    <cfRule type="colorScale" priority="65">
      <colorScale>
        <cfvo type="num" val="0.69"/>
        <cfvo type="num" val="0.8"/>
        <cfvo type="num" val="0.9"/>
        <color rgb="FFF8696B"/>
        <color rgb="FFFFEB84"/>
        <color rgb="FF63BE7B"/>
      </colorScale>
    </cfRule>
  </conditionalFormatting>
  <conditionalFormatting sqref="CD8:CD9">
    <cfRule type="colorScale" priority="64">
      <colorScale>
        <cfvo type="num" val="0.69"/>
        <cfvo type="num" val="0.8"/>
        <cfvo type="num" val="0.9"/>
        <color rgb="FFF8696B"/>
        <color rgb="FFFFEB84"/>
        <color rgb="FF63BE7B"/>
      </colorScale>
    </cfRule>
  </conditionalFormatting>
  <conditionalFormatting sqref="CJ8:CJ9">
    <cfRule type="colorScale" priority="63">
      <colorScale>
        <cfvo type="num" val="0.69"/>
        <cfvo type="num" val="0.8"/>
        <cfvo type="num" val="0.9"/>
        <color rgb="FFF8696B"/>
        <color rgb="FFFFEB84"/>
        <color rgb="FF63BE7B"/>
      </colorScale>
    </cfRule>
  </conditionalFormatting>
  <conditionalFormatting sqref="CP8">
    <cfRule type="colorScale" priority="62">
      <colorScale>
        <cfvo type="num" val="0.69"/>
        <cfvo type="num" val="0.8"/>
        <cfvo type="num" val="0.9"/>
        <color rgb="FFF8696B"/>
        <color rgb="FFFFEB84"/>
        <color rgb="FF63BE7B"/>
      </colorScale>
    </cfRule>
  </conditionalFormatting>
  <conditionalFormatting sqref="AB10:AB11">
    <cfRule type="colorScale" priority="61">
      <colorScale>
        <cfvo type="num" val="0.69"/>
        <cfvo type="num" val="0.8"/>
        <cfvo type="num" val="0.9"/>
        <color rgb="FFF8696B"/>
        <color rgb="FFFFEB84"/>
        <color rgb="FF63BE7B"/>
      </colorScale>
    </cfRule>
  </conditionalFormatting>
  <conditionalFormatting sqref="AN10:AN11">
    <cfRule type="colorScale" priority="60">
      <colorScale>
        <cfvo type="num" val="0.69"/>
        <cfvo type="num" val="0.8"/>
        <cfvo type="num" val="0.9"/>
        <color rgb="FFF8696B"/>
        <color rgb="FFFFEB84"/>
        <color rgb="FF63BE7B"/>
      </colorScale>
    </cfRule>
  </conditionalFormatting>
  <conditionalFormatting sqref="AT10:AT11">
    <cfRule type="colorScale" priority="59">
      <colorScale>
        <cfvo type="num" val="0.69"/>
        <cfvo type="num" val="0.8"/>
        <cfvo type="num" val="0.9"/>
        <color rgb="FFF8696B"/>
        <color rgb="FFFFEB84"/>
        <color rgb="FF63BE7B"/>
      </colorScale>
    </cfRule>
  </conditionalFormatting>
  <conditionalFormatting sqref="AZ10:AZ11">
    <cfRule type="colorScale" priority="58">
      <colorScale>
        <cfvo type="num" val="0.69"/>
        <cfvo type="num" val="0.8"/>
        <cfvo type="num" val="0.9"/>
        <color rgb="FFF8696B"/>
        <color rgb="FFFFEB84"/>
        <color rgb="FF63BE7B"/>
      </colorScale>
    </cfRule>
  </conditionalFormatting>
  <conditionalFormatting sqref="BL10:BL11">
    <cfRule type="colorScale" priority="57">
      <colorScale>
        <cfvo type="num" val="0.69"/>
        <cfvo type="num" val="0.8"/>
        <cfvo type="num" val="0.9"/>
        <color rgb="FFF8696B"/>
        <color rgb="FFFFEB84"/>
        <color rgb="FF63BE7B"/>
      </colorScale>
    </cfRule>
  </conditionalFormatting>
  <conditionalFormatting sqref="BR10:BR11">
    <cfRule type="colorScale" priority="56">
      <colorScale>
        <cfvo type="num" val="0.69"/>
        <cfvo type="num" val="0.8"/>
        <cfvo type="num" val="0.9"/>
        <color rgb="FFF8696B"/>
        <color rgb="FFFFEB84"/>
        <color rgb="FF63BE7B"/>
      </colorScale>
    </cfRule>
  </conditionalFormatting>
  <conditionalFormatting sqref="BX10:BX11">
    <cfRule type="colorScale" priority="55">
      <colorScale>
        <cfvo type="num" val="0.69"/>
        <cfvo type="num" val="0.8"/>
        <cfvo type="num" val="0.9"/>
        <color rgb="FFF8696B"/>
        <color rgb="FFFFEB84"/>
        <color rgb="FF63BE7B"/>
      </colorScale>
    </cfRule>
  </conditionalFormatting>
  <conditionalFormatting sqref="CD10:CD11">
    <cfRule type="colorScale" priority="54">
      <colorScale>
        <cfvo type="num" val="0.69"/>
        <cfvo type="num" val="0.8"/>
        <cfvo type="num" val="0.9"/>
        <color rgb="FFF8696B"/>
        <color rgb="FFFFEB84"/>
        <color rgb="FF63BE7B"/>
      </colorScale>
    </cfRule>
  </conditionalFormatting>
  <conditionalFormatting sqref="CJ10:CJ11">
    <cfRule type="colorScale" priority="53">
      <colorScale>
        <cfvo type="num" val="0.69"/>
        <cfvo type="num" val="0.8"/>
        <cfvo type="num" val="0.9"/>
        <color rgb="FFF8696B"/>
        <color rgb="FFFFEB84"/>
        <color rgb="FF63BE7B"/>
      </colorScale>
    </cfRule>
  </conditionalFormatting>
  <conditionalFormatting sqref="CP9:CP13">
    <cfRule type="colorScale" priority="52">
      <colorScale>
        <cfvo type="num" val="0.69"/>
        <cfvo type="num" val="0.8"/>
        <cfvo type="num" val="0.9"/>
        <color rgb="FFF8696B"/>
        <color rgb="FFFFEB84"/>
        <color rgb="FF63BE7B"/>
      </colorScale>
    </cfRule>
  </conditionalFormatting>
  <conditionalFormatting sqref="AC8:AC13 AC15:AC24">
    <cfRule type="expression" dxfId="30" priority="51" stopIfTrue="1">
      <formula>K8=0</formula>
    </cfRule>
  </conditionalFormatting>
  <conditionalFormatting sqref="AI8:AI13 AI15:AI24">
    <cfRule type="expression" dxfId="29" priority="50" stopIfTrue="1">
      <formula>L8=0</formula>
    </cfRule>
  </conditionalFormatting>
  <conditionalFormatting sqref="AO8:AO13 AO15:AO24">
    <cfRule type="expression" dxfId="28" priority="49" stopIfTrue="1">
      <formula>M8=0</formula>
    </cfRule>
  </conditionalFormatting>
  <conditionalFormatting sqref="AU8:AU13 AU15:AU24">
    <cfRule type="expression" dxfId="27" priority="48" stopIfTrue="1">
      <formula>N8=0</formula>
    </cfRule>
  </conditionalFormatting>
  <conditionalFormatting sqref="BA8:BA24">
    <cfRule type="expression" dxfId="26" priority="47" stopIfTrue="1">
      <formula>O8=0</formula>
    </cfRule>
  </conditionalFormatting>
  <conditionalFormatting sqref="BG8:BG13 BG15:BG24">
    <cfRule type="expression" dxfId="25" priority="46" stopIfTrue="1">
      <formula>P8=0</formula>
    </cfRule>
  </conditionalFormatting>
  <conditionalFormatting sqref="BM8:BM13 BM15:BM24">
    <cfRule type="expression" dxfId="24" priority="45" stopIfTrue="1">
      <formula>Q8=0</formula>
    </cfRule>
  </conditionalFormatting>
  <conditionalFormatting sqref="BS8:BS13 BS15:BS24">
    <cfRule type="expression" dxfId="23" priority="44" stopIfTrue="1">
      <formula>R8=0</formula>
    </cfRule>
  </conditionalFormatting>
  <conditionalFormatting sqref="BY15:BY16 BY8:BY13 BY23:BY24">
    <cfRule type="expression" dxfId="22" priority="43" stopIfTrue="1">
      <formula>S8=0</formula>
    </cfRule>
  </conditionalFormatting>
  <conditionalFormatting sqref="CE8:CE13 CE15:CE24">
    <cfRule type="expression" dxfId="21" priority="42" stopIfTrue="1">
      <formula>T8=0</formula>
    </cfRule>
  </conditionalFormatting>
  <conditionalFormatting sqref="CK8:CK13 CK15:CK24">
    <cfRule type="expression" dxfId="20" priority="41" stopIfTrue="1">
      <formula>U8=0</formula>
    </cfRule>
  </conditionalFormatting>
  <conditionalFormatting sqref="CQ8:CQ13 CQ15:CQ21 CQ24">
    <cfRule type="expression" dxfId="19" priority="40" stopIfTrue="1">
      <formula>V8=0</formula>
    </cfRule>
  </conditionalFormatting>
  <conditionalFormatting sqref="AB14">
    <cfRule type="colorScale" priority="39">
      <colorScale>
        <cfvo type="num" val="0.69"/>
        <cfvo type="num" val="0.8"/>
        <cfvo type="num" val="0.9"/>
        <color rgb="FFF8696B"/>
        <color rgb="FFFFEB84"/>
        <color rgb="FF63BE7B"/>
      </colorScale>
    </cfRule>
  </conditionalFormatting>
  <conditionalFormatting sqref="AN14">
    <cfRule type="colorScale" priority="38">
      <colorScale>
        <cfvo type="num" val="0.69"/>
        <cfvo type="num" val="0.8"/>
        <cfvo type="num" val="0.9"/>
        <color rgb="FFF8696B"/>
        <color rgb="FFFFEB84"/>
        <color rgb="FF63BE7B"/>
      </colorScale>
    </cfRule>
  </conditionalFormatting>
  <conditionalFormatting sqref="AT14">
    <cfRule type="colorScale" priority="37">
      <colorScale>
        <cfvo type="num" val="0.69"/>
        <cfvo type="num" val="0.8"/>
        <cfvo type="num" val="0.9"/>
        <color rgb="FFF8696B"/>
        <color rgb="FFFFEB84"/>
        <color rgb="FF63BE7B"/>
      </colorScale>
    </cfRule>
  </conditionalFormatting>
  <conditionalFormatting sqref="AZ14">
    <cfRule type="colorScale" priority="36">
      <colorScale>
        <cfvo type="num" val="0.69"/>
        <cfvo type="num" val="0.8"/>
        <cfvo type="num" val="0.9"/>
        <color rgb="FFF8696B"/>
        <color rgb="FFFFEB84"/>
        <color rgb="FF63BE7B"/>
      </colorScale>
    </cfRule>
  </conditionalFormatting>
  <conditionalFormatting sqref="BL14">
    <cfRule type="colorScale" priority="35">
      <colorScale>
        <cfvo type="num" val="0.69"/>
        <cfvo type="num" val="0.8"/>
        <cfvo type="num" val="0.9"/>
        <color rgb="FFF8696B"/>
        <color rgb="FFFFEB84"/>
        <color rgb="FF63BE7B"/>
      </colorScale>
    </cfRule>
  </conditionalFormatting>
  <conditionalFormatting sqref="BR14">
    <cfRule type="colorScale" priority="34">
      <colorScale>
        <cfvo type="num" val="0.69"/>
        <cfvo type="num" val="0.8"/>
        <cfvo type="num" val="0.9"/>
        <color rgb="FFF8696B"/>
        <color rgb="FFFFEB84"/>
        <color rgb="FF63BE7B"/>
      </colorScale>
    </cfRule>
  </conditionalFormatting>
  <conditionalFormatting sqref="BX14">
    <cfRule type="colorScale" priority="33">
      <colorScale>
        <cfvo type="num" val="0.69"/>
        <cfvo type="num" val="0.8"/>
        <cfvo type="num" val="0.9"/>
        <color rgb="FFF8696B"/>
        <color rgb="FFFFEB84"/>
        <color rgb="FF63BE7B"/>
      </colorScale>
    </cfRule>
  </conditionalFormatting>
  <conditionalFormatting sqref="CD14">
    <cfRule type="colorScale" priority="32">
      <colorScale>
        <cfvo type="num" val="0.69"/>
        <cfvo type="num" val="0.8"/>
        <cfvo type="num" val="0.9"/>
        <color rgb="FFF8696B"/>
        <color rgb="FFFFEB84"/>
        <color rgb="FF63BE7B"/>
      </colorScale>
    </cfRule>
  </conditionalFormatting>
  <conditionalFormatting sqref="CJ14">
    <cfRule type="colorScale" priority="31">
      <colorScale>
        <cfvo type="num" val="0.69"/>
        <cfvo type="num" val="0.8"/>
        <cfvo type="num" val="0.9"/>
        <color rgb="FFF8696B"/>
        <color rgb="FFFFEB84"/>
        <color rgb="FF63BE7B"/>
      </colorScale>
    </cfRule>
  </conditionalFormatting>
  <conditionalFormatting sqref="CP14">
    <cfRule type="colorScale" priority="30">
      <colorScale>
        <cfvo type="num" val="0.69"/>
        <cfvo type="num" val="0.8"/>
        <cfvo type="num" val="0.9"/>
        <color rgb="FFF8696B"/>
        <color rgb="FFFFEB84"/>
        <color rgb="FF63BE7B"/>
      </colorScale>
    </cfRule>
  </conditionalFormatting>
  <conditionalFormatting sqref="AH14">
    <cfRule type="colorScale" priority="29">
      <colorScale>
        <cfvo type="num" val="0.69"/>
        <cfvo type="num" val="0.8"/>
        <cfvo type="num" val="0.9"/>
        <color rgb="FFF8696B"/>
        <color rgb="FFFFEB84"/>
        <color rgb="FF63BE7B"/>
      </colorScale>
    </cfRule>
  </conditionalFormatting>
  <conditionalFormatting sqref="AC14">
    <cfRule type="expression" dxfId="18" priority="28" stopIfTrue="1">
      <formula>K14=0</formula>
    </cfRule>
  </conditionalFormatting>
  <conditionalFormatting sqref="AI14">
    <cfRule type="expression" dxfId="17" priority="27" stopIfTrue="1">
      <formula>L14=0</formula>
    </cfRule>
  </conditionalFormatting>
  <conditionalFormatting sqref="AO14">
    <cfRule type="expression" dxfId="16" priority="26" stopIfTrue="1">
      <formula>M14=0</formula>
    </cfRule>
  </conditionalFormatting>
  <conditionalFormatting sqref="AU14">
    <cfRule type="expression" dxfId="15" priority="25" stopIfTrue="1">
      <formula>N14=0</formula>
    </cfRule>
  </conditionalFormatting>
  <conditionalFormatting sqref="BG14">
    <cfRule type="expression" dxfId="14" priority="24" stopIfTrue="1">
      <formula>P14=0</formula>
    </cfRule>
  </conditionalFormatting>
  <conditionalFormatting sqref="BM14">
    <cfRule type="expression" dxfId="13" priority="23" stopIfTrue="1">
      <formula>Q14=0</formula>
    </cfRule>
  </conditionalFormatting>
  <conditionalFormatting sqref="BS14">
    <cfRule type="expression" dxfId="12" priority="22" stopIfTrue="1">
      <formula>R14=0</formula>
    </cfRule>
  </conditionalFormatting>
  <conditionalFormatting sqref="CE14">
    <cfRule type="expression" dxfId="11" priority="21" stopIfTrue="1">
      <formula>T14=0</formula>
    </cfRule>
  </conditionalFormatting>
  <conditionalFormatting sqref="CK14">
    <cfRule type="expression" dxfId="10" priority="20" stopIfTrue="1">
      <formula>U14=0</formula>
    </cfRule>
  </conditionalFormatting>
  <conditionalFormatting sqref="CQ14">
    <cfRule type="expression" dxfId="9" priority="19" stopIfTrue="1">
      <formula>V14=0</formula>
    </cfRule>
  </conditionalFormatting>
  <conditionalFormatting sqref="BF17:BF24">
    <cfRule type="colorScale" priority="18">
      <colorScale>
        <cfvo type="num" val="0.69"/>
        <cfvo type="num" val="0.8"/>
        <cfvo type="num" val="0.9"/>
        <color rgb="FFF8696B"/>
        <color rgb="FFFFEB84"/>
        <color rgb="FF63BE7B"/>
      </colorScale>
    </cfRule>
  </conditionalFormatting>
  <conditionalFormatting sqref="BF15">
    <cfRule type="colorScale" priority="17">
      <colorScale>
        <cfvo type="num" val="0.69"/>
        <cfvo type="num" val="0.8"/>
        <cfvo type="num" val="0.9"/>
        <color rgb="FFF8696B"/>
        <color rgb="FFFFEB84"/>
        <color rgb="FF63BE7B"/>
      </colorScale>
    </cfRule>
  </conditionalFormatting>
  <conditionalFormatting sqref="BY14">
    <cfRule type="expression" dxfId="8" priority="16" stopIfTrue="1">
      <formula>S14=0</formula>
    </cfRule>
  </conditionalFormatting>
  <conditionalFormatting sqref="BY17">
    <cfRule type="expression" dxfId="7" priority="15" stopIfTrue="1">
      <formula>S17=0</formula>
    </cfRule>
  </conditionalFormatting>
  <conditionalFormatting sqref="BY18">
    <cfRule type="expression" dxfId="6" priority="14" stopIfTrue="1">
      <formula>S18=0</formula>
    </cfRule>
  </conditionalFormatting>
  <conditionalFormatting sqref="BY22">
    <cfRule type="expression" dxfId="5" priority="13" stopIfTrue="1">
      <formula>X22=0</formula>
    </cfRule>
  </conditionalFormatting>
  <conditionalFormatting sqref="BY20">
    <cfRule type="expression" dxfId="4" priority="12" stopIfTrue="1">
      <formula>S20=0</formula>
    </cfRule>
  </conditionalFormatting>
  <conditionalFormatting sqref="BX19">
    <cfRule type="colorScale" priority="11">
      <colorScale>
        <cfvo type="num" val="0.69"/>
        <cfvo type="num" val="0.8"/>
        <cfvo type="num" val="0.9"/>
        <color rgb="FFF8696B"/>
        <color rgb="FFFFEB84"/>
        <color rgb="FF63BE7B"/>
      </colorScale>
    </cfRule>
  </conditionalFormatting>
  <conditionalFormatting sqref="BY19">
    <cfRule type="expression" dxfId="3" priority="10" stopIfTrue="1">
      <formula>S19=0</formula>
    </cfRule>
  </conditionalFormatting>
  <conditionalFormatting sqref="BY21">
    <cfRule type="expression" dxfId="2" priority="9" stopIfTrue="1">
      <formula>S21=0</formula>
    </cfRule>
  </conditionalFormatting>
  <conditionalFormatting sqref="CQ22:CQ23">
    <cfRule type="expression" dxfId="1" priority="8" stopIfTrue="1">
      <formula>AA22=0</formula>
    </cfRule>
  </conditionalFormatting>
  <conditionalFormatting sqref="CV15">
    <cfRule type="colorScale" priority="7">
      <colorScale>
        <cfvo type="num" val="0.69"/>
        <cfvo type="num" val="0.8"/>
        <cfvo type="num" val="0.9"/>
        <color rgb="FFF8696B"/>
        <color rgb="FFFFEB84"/>
        <color rgb="FF63BE7B"/>
      </colorScale>
    </cfRule>
  </conditionalFormatting>
  <conditionalFormatting sqref="CV16">
    <cfRule type="colorScale" priority="6">
      <colorScale>
        <cfvo type="num" val="0.69"/>
        <cfvo type="num" val="0.8"/>
        <cfvo type="num" val="0.9"/>
        <color rgb="FFF8696B"/>
        <color rgb="FFFFEB84"/>
        <color rgb="FF63BE7B"/>
      </colorScale>
    </cfRule>
  </conditionalFormatting>
  <conditionalFormatting sqref="CV17">
    <cfRule type="colorScale" priority="5">
      <colorScale>
        <cfvo type="num" val="0.69"/>
        <cfvo type="num" val="0.8"/>
        <cfvo type="num" val="0.9"/>
        <color rgb="FFF8696B"/>
        <color rgb="FFFFEB84"/>
        <color rgb="FF63BE7B"/>
      </colorScale>
    </cfRule>
  </conditionalFormatting>
  <conditionalFormatting sqref="CV8:CV10">
    <cfRule type="colorScale" priority="4">
      <colorScale>
        <cfvo type="num" val="0.69"/>
        <cfvo type="num" val="0.8"/>
        <cfvo type="num" val="0.9"/>
        <color rgb="FFF8696B"/>
        <color rgb="FFFFEB84"/>
        <color rgb="FF63BE7B"/>
      </colorScale>
    </cfRule>
  </conditionalFormatting>
  <conditionalFormatting sqref="CV11:CV13">
    <cfRule type="colorScale" priority="3">
      <colorScale>
        <cfvo type="num" val="0.69"/>
        <cfvo type="num" val="0.8"/>
        <cfvo type="num" val="0.9"/>
        <color rgb="FFF8696B"/>
        <color rgb="FFFFEB84"/>
        <color rgb="FF63BE7B"/>
      </colorScale>
    </cfRule>
  </conditionalFormatting>
  <conditionalFormatting sqref="CV14">
    <cfRule type="colorScale" priority="2">
      <colorScale>
        <cfvo type="num" val="0.69"/>
        <cfvo type="num" val="0.8"/>
        <cfvo type="num" val="0.9"/>
        <color rgb="FFF8696B"/>
        <color rgb="FFFFEB84"/>
        <color rgb="FF63BE7B"/>
      </colorScale>
    </cfRule>
  </conditionalFormatting>
  <conditionalFormatting sqref="CW14">
    <cfRule type="expression" dxfId="0" priority="1" stopIfTrue="1">
      <formula>AB14=0</formula>
    </cfRule>
  </conditionalFormatting>
  <dataValidations count="2">
    <dataValidation type="list" allowBlank="1" showInputMessage="1" showErrorMessage="1" sqref="D10:D11">
      <formula1>INI</formula1>
    </dataValidation>
    <dataValidation allowBlank="1" showInputMessage="1" showErrorMessage="1" prompt="Una iniciativa estratégica es un conjunto de acciones, proyectos o programas orientados a alcanzar las metas del periodo y por consiguiente con el tiempo el logro de los objetivos estratégicos de mediano y largo plazo." sqref="D8:D9"/>
  </dataValidations>
  <printOptions horizontalCentered="1"/>
  <pageMargins left="0.39370078740157483" right="0.19685039370078741" top="0.39370078740157483" bottom="0.39370078740157483" header="0.31496062992125984" footer="0.31496062992125984"/>
  <pageSetup paperSize="14" scale="10" fitToHeight="0" orientation="landscape" r:id="rId1"/>
  <headerFooter alignWithMargins="0"/>
  <rowBreaks count="1" manualBreakCount="1">
    <brk id="17" min="47" max="52" man="1"/>
  </rowBreaks>
  <colBreaks count="13" manualBreakCount="13">
    <brk id="23" max="27" man="1"/>
    <brk id="29" max="27" man="1"/>
    <brk id="35" max="27" man="1"/>
    <brk id="41" max="27" man="1"/>
    <brk id="47" max="27" man="1"/>
    <brk id="53" max="27" man="1"/>
    <brk id="59" max="27" man="1"/>
    <brk id="65" max="27" man="1"/>
    <brk id="71" max="27" man="1"/>
    <brk id="77" max="27" man="1"/>
    <brk id="83" max="27" man="1"/>
    <brk id="89" max="27" man="1"/>
    <brk id="95" max="27" man="1"/>
  </col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Z31"/>
  <sheetViews>
    <sheetView showGridLines="0" zoomScaleNormal="100" zoomScaleSheetLayoutView="100" workbookViewId="0">
      <pane xSplit="1" ySplit="7" topLeftCell="B8" activePane="bottomRight" state="frozen"/>
      <selection pane="topRight" activeCell="B1" sqref="B1"/>
      <selection pane="bottomLeft" activeCell="A8" sqref="A8"/>
      <selection pane="bottomRight" activeCell="I8" sqref="I8"/>
    </sheetView>
  </sheetViews>
  <sheetFormatPr baseColWidth="10" defaultRowHeight="12.75"/>
  <cols>
    <col min="1" max="1" width="1.140625" style="15" customWidth="1"/>
    <col min="2" max="2" width="14.140625" style="15" customWidth="1"/>
    <col min="3" max="3" width="7.42578125" style="2" customWidth="1"/>
    <col min="4" max="4" width="16.140625" style="15" customWidth="1"/>
    <col min="5" max="5" width="14.7109375" style="15" customWidth="1"/>
    <col min="6" max="6" width="15" style="15" customWidth="1"/>
    <col min="7" max="7" width="9.28515625" style="15" customWidth="1"/>
    <col min="8" max="8" width="17.140625" style="15" customWidth="1"/>
    <col min="9" max="9" width="16.7109375" style="15" customWidth="1"/>
    <col min="10" max="10" width="10" style="15" customWidth="1"/>
    <col min="11" max="22" width="4.7109375" style="15" customWidth="1"/>
    <col min="23" max="23" width="9.5703125" style="15" customWidth="1"/>
    <col min="24" max="24" width="13.42578125" style="15" customWidth="1"/>
    <col min="25" max="25" width="13.28515625" style="15" customWidth="1"/>
    <col min="26" max="27" width="8.140625" style="15" customWidth="1"/>
    <col min="28" max="28" width="11.5703125" style="15" customWidth="1"/>
    <col min="29" max="29" width="55.42578125" style="15" customWidth="1"/>
    <col min="30" max="30" width="12.42578125" style="15" customWidth="1"/>
    <col min="31" max="31" width="12.5703125" style="15" customWidth="1"/>
    <col min="32" max="33" width="8.140625" style="15" customWidth="1"/>
    <col min="34" max="34" width="11.5703125" style="15" customWidth="1"/>
    <col min="35" max="35" width="55.42578125" style="15" customWidth="1"/>
    <col min="36" max="36" width="14.7109375" style="15" customWidth="1"/>
    <col min="37" max="37" width="15.28515625" style="15" customWidth="1"/>
    <col min="38" max="39" width="8.140625" style="15" customWidth="1"/>
    <col min="40" max="40" width="11.5703125" style="15" customWidth="1"/>
    <col min="41" max="41" width="52.140625" style="15" customWidth="1"/>
    <col min="42" max="42" width="14" style="15" customWidth="1"/>
    <col min="43" max="43" width="13.42578125" style="15" customWidth="1"/>
    <col min="44" max="45" width="8.140625" style="15" customWidth="1"/>
    <col min="46" max="46" width="11.5703125" style="15" customWidth="1"/>
    <col min="47" max="47" width="55.42578125" style="15" customWidth="1"/>
    <col min="48" max="48" width="12.28515625" style="15" customWidth="1"/>
    <col min="49" max="49" width="12.42578125" style="15" customWidth="1"/>
    <col min="50" max="50" width="8.85546875" style="15" customWidth="1"/>
    <col min="51" max="51" width="8.140625" style="15" customWidth="1"/>
    <col min="52" max="52" width="11.5703125" style="15" customWidth="1"/>
    <col min="53" max="53" width="55.42578125" style="15" customWidth="1"/>
    <col min="54" max="54" width="12.5703125" style="15" customWidth="1"/>
    <col min="55" max="55" width="13" style="15" customWidth="1"/>
    <col min="56" max="57" width="8.140625" style="15" customWidth="1"/>
    <col min="58" max="58" width="11.5703125" style="15" customWidth="1"/>
    <col min="59" max="59" width="55.42578125" style="15" customWidth="1"/>
    <col min="60" max="60" width="14.5703125" style="15" customWidth="1"/>
    <col min="61" max="61" width="12.42578125" style="15" customWidth="1"/>
    <col min="62" max="63" width="8.140625" style="15" customWidth="1"/>
    <col min="64" max="64" width="11.5703125" style="15" customWidth="1"/>
    <col min="65" max="65" width="55.42578125" style="15" customWidth="1"/>
    <col min="66" max="66" width="14.5703125" style="15" customWidth="1"/>
    <col min="67" max="67" width="14.7109375" style="15" customWidth="1"/>
    <col min="68" max="69" width="8.140625" style="15" customWidth="1"/>
    <col min="70" max="70" width="11.5703125" style="15" customWidth="1"/>
    <col min="71" max="71" width="55.42578125" style="15" customWidth="1"/>
    <col min="72" max="72" width="14.5703125" style="15" customWidth="1"/>
    <col min="73" max="73" width="14.42578125" style="15" customWidth="1"/>
    <col min="74" max="75" width="8.140625" style="15" customWidth="1"/>
    <col min="76" max="76" width="11.5703125" style="15" customWidth="1"/>
    <col min="77" max="77" width="55.42578125" style="15" customWidth="1"/>
    <col min="78" max="78" width="13.5703125" style="15" customWidth="1"/>
    <col min="79" max="79" width="12.28515625" style="15" customWidth="1"/>
    <col min="80" max="80" width="10.85546875" style="15" customWidth="1"/>
    <col min="81" max="81" width="8.140625" style="15" customWidth="1"/>
    <col min="82" max="82" width="11.5703125" style="15" customWidth="1"/>
    <col min="83" max="83" width="55.42578125" style="15" customWidth="1"/>
    <col min="84" max="84" width="12.5703125" style="15" customWidth="1"/>
    <col min="85" max="85" width="12.42578125" style="15" customWidth="1"/>
    <col min="86" max="87" width="8.140625" style="15" customWidth="1"/>
    <col min="88" max="88" width="11.5703125" style="15" customWidth="1"/>
    <col min="89" max="89" width="55.42578125" style="15" customWidth="1"/>
    <col min="90" max="90" width="12.5703125" style="15" customWidth="1"/>
    <col min="91" max="91" width="13" style="15" customWidth="1"/>
    <col min="92" max="93" width="8.140625" style="15" customWidth="1"/>
    <col min="94" max="94" width="11.5703125" style="15" customWidth="1"/>
    <col min="95" max="95" width="55.42578125" style="15" customWidth="1"/>
    <col min="96" max="96" width="15.5703125" style="15" bestFit="1" customWidth="1"/>
    <col min="97" max="97" width="14.7109375" style="15" customWidth="1"/>
    <col min="98" max="98" width="8.140625" style="15" customWidth="1"/>
    <col min="99" max="99" width="9.140625" style="15" customWidth="1"/>
    <col min="100" max="100" width="12.85546875" style="15" customWidth="1"/>
    <col min="101" max="101" width="55.42578125" style="15" customWidth="1"/>
    <col min="102" max="16384" width="11.42578125" style="15"/>
  </cols>
  <sheetData>
    <row r="1" spans="1:104"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4"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row>
    <row r="3" spans="1:104" ht="5.25" customHeight="1"/>
    <row r="4" spans="1:104" ht="19.5" customHeight="1">
      <c r="B4" s="49" t="s">
        <v>18</v>
      </c>
      <c r="C4" s="1979" t="s">
        <v>3841</v>
      </c>
      <c r="D4" s="1979"/>
      <c r="E4" s="1979"/>
      <c r="F4" s="1979"/>
      <c r="G4" s="1979"/>
      <c r="H4" s="1979"/>
      <c r="I4" s="1979"/>
      <c r="J4" s="1979"/>
      <c r="K4" s="1996" t="s">
        <v>21</v>
      </c>
      <c r="L4" s="1996"/>
      <c r="M4" s="1996"/>
      <c r="N4" s="1999">
        <v>2014</v>
      </c>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4" ht="6" customHeight="1">
      <c r="A5" s="128"/>
      <c r="B5" s="128"/>
      <c r="C5" s="44"/>
      <c r="D5" s="128"/>
      <c r="E5" s="128"/>
      <c r="F5" s="128"/>
      <c r="G5" s="128"/>
      <c r="H5" s="128"/>
      <c r="I5" s="128"/>
      <c r="J5" s="128"/>
      <c r="K5" s="128"/>
      <c r="L5" s="128"/>
      <c r="M5" s="128"/>
      <c r="N5" s="128"/>
      <c r="O5" s="128"/>
      <c r="P5" s="128"/>
      <c r="Q5" s="128"/>
      <c r="R5" s="128"/>
      <c r="S5" s="128"/>
      <c r="T5" s="128"/>
      <c r="U5" s="128"/>
      <c r="V5" s="128"/>
      <c r="W5" s="128"/>
    </row>
    <row r="6" spans="1:104"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4"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55" t="s">
        <v>65</v>
      </c>
      <c r="X7" s="56" t="s">
        <v>31</v>
      </c>
      <c r="Y7" s="56" t="s">
        <v>32</v>
      </c>
      <c r="Z7" s="57" t="s">
        <v>33</v>
      </c>
      <c r="AA7" s="56" t="s">
        <v>34</v>
      </c>
      <c r="AB7" s="19" t="s">
        <v>35</v>
      </c>
      <c r="AC7" s="57" t="s">
        <v>36</v>
      </c>
      <c r="AD7" s="56" t="s">
        <v>31</v>
      </c>
      <c r="AE7" s="56" t="s">
        <v>32</v>
      </c>
      <c r="AF7" s="57" t="s">
        <v>33</v>
      </c>
      <c r="AG7" s="56" t="s">
        <v>34</v>
      </c>
      <c r="AH7" s="19" t="s">
        <v>35</v>
      </c>
      <c r="AI7" s="57" t="s">
        <v>36</v>
      </c>
      <c r="AJ7" s="56" t="s">
        <v>31</v>
      </c>
      <c r="AK7" s="56" t="s">
        <v>32</v>
      </c>
      <c r="AL7" s="57" t="s">
        <v>33</v>
      </c>
      <c r="AM7" s="56" t="s">
        <v>34</v>
      </c>
      <c r="AN7" s="19" t="s">
        <v>35</v>
      </c>
      <c r="AO7" s="57" t="s">
        <v>36</v>
      </c>
      <c r="AP7" s="56" t="s">
        <v>31</v>
      </c>
      <c r="AQ7" s="56" t="s">
        <v>32</v>
      </c>
      <c r="AR7" s="57" t="s">
        <v>33</v>
      </c>
      <c r="AS7" s="56" t="s">
        <v>34</v>
      </c>
      <c r="AT7" s="19" t="s">
        <v>35</v>
      </c>
      <c r="AU7" s="57" t="s">
        <v>36</v>
      </c>
      <c r="AV7" s="56" t="s">
        <v>31</v>
      </c>
      <c r="AW7" s="56" t="s">
        <v>32</v>
      </c>
      <c r="AX7" s="57" t="s">
        <v>33</v>
      </c>
      <c r="AY7" s="56" t="s">
        <v>34</v>
      </c>
      <c r="AZ7" s="19" t="s">
        <v>35</v>
      </c>
      <c r="BA7" s="57" t="s">
        <v>36</v>
      </c>
      <c r="BB7" s="56" t="s">
        <v>31</v>
      </c>
      <c r="BC7" s="56" t="s">
        <v>32</v>
      </c>
      <c r="BD7" s="57" t="s">
        <v>33</v>
      </c>
      <c r="BE7" s="56" t="s">
        <v>34</v>
      </c>
      <c r="BF7" s="19" t="s">
        <v>35</v>
      </c>
      <c r="BG7" s="57" t="s">
        <v>36</v>
      </c>
      <c r="BH7" s="56" t="s">
        <v>31</v>
      </c>
      <c r="BI7" s="56" t="s">
        <v>32</v>
      </c>
      <c r="BJ7" s="57" t="s">
        <v>33</v>
      </c>
      <c r="BK7" s="56" t="s">
        <v>34</v>
      </c>
      <c r="BL7" s="19" t="s">
        <v>35</v>
      </c>
      <c r="BM7" s="57" t="s">
        <v>36</v>
      </c>
      <c r="BN7" s="56" t="s">
        <v>31</v>
      </c>
      <c r="BO7" s="56" t="s">
        <v>32</v>
      </c>
      <c r="BP7" s="57" t="s">
        <v>33</v>
      </c>
      <c r="BQ7" s="56" t="s">
        <v>34</v>
      </c>
      <c r="BR7" s="19" t="s">
        <v>35</v>
      </c>
      <c r="BS7" s="57" t="s">
        <v>36</v>
      </c>
      <c r="BT7" s="56" t="s">
        <v>31</v>
      </c>
      <c r="BU7" s="56" t="s">
        <v>32</v>
      </c>
      <c r="BV7" s="57" t="s">
        <v>33</v>
      </c>
      <c r="BW7" s="56" t="s">
        <v>34</v>
      </c>
      <c r="BX7" s="19" t="s">
        <v>35</v>
      </c>
      <c r="BY7" s="57" t="s">
        <v>36</v>
      </c>
      <c r="BZ7" s="56" t="s">
        <v>31</v>
      </c>
      <c r="CA7" s="56" t="s">
        <v>32</v>
      </c>
      <c r="CB7" s="57" t="s">
        <v>33</v>
      </c>
      <c r="CC7" s="56" t="s">
        <v>34</v>
      </c>
      <c r="CD7" s="19" t="s">
        <v>35</v>
      </c>
      <c r="CE7" s="57" t="s">
        <v>36</v>
      </c>
      <c r="CF7" s="56" t="s">
        <v>31</v>
      </c>
      <c r="CG7" s="56" t="s">
        <v>32</v>
      </c>
      <c r="CH7" s="57" t="s">
        <v>33</v>
      </c>
      <c r="CI7" s="56" t="s">
        <v>34</v>
      </c>
      <c r="CJ7" s="19" t="s">
        <v>35</v>
      </c>
      <c r="CK7" s="57" t="s">
        <v>36</v>
      </c>
      <c r="CL7" s="56" t="s">
        <v>31</v>
      </c>
      <c r="CM7" s="56" t="s">
        <v>32</v>
      </c>
      <c r="CN7" s="57" t="s">
        <v>33</v>
      </c>
      <c r="CO7" s="56" t="s">
        <v>34</v>
      </c>
      <c r="CP7" s="19" t="s">
        <v>35</v>
      </c>
      <c r="CQ7" s="57" t="s">
        <v>36</v>
      </c>
      <c r="CR7" s="56" t="s">
        <v>31</v>
      </c>
      <c r="CS7" s="56" t="s">
        <v>32</v>
      </c>
      <c r="CT7" s="57" t="s">
        <v>33</v>
      </c>
      <c r="CU7" s="56" t="s">
        <v>34</v>
      </c>
      <c r="CV7" s="19" t="s">
        <v>35</v>
      </c>
      <c r="CW7" s="57" t="s">
        <v>36</v>
      </c>
    </row>
    <row r="8" spans="1:104" ht="72.75" customHeight="1">
      <c r="B8" s="8" t="s">
        <v>73</v>
      </c>
      <c r="C8" s="9"/>
      <c r="D8" s="13" t="s">
        <v>3842</v>
      </c>
      <c r="E8" s="13" t="s">
        <v>3843</v>
      </c>
      <c r="F8" s="8" t="s">
        <v>3844</v>
      </c>
      <c r="G8" s="8" t="s">
        <v>53</v>
      </c>
      <c r="H8" s="13" t="s">
        <v>3845</v>
      </c>
      <c r="I8" s="8" t="s">
        <v>3846</v>
      </c>
      <c r="J8" s="8" t="s">
        <v>54</v>
      </c>
      <c r="K8" s="12">
        <v>1</v>
      </c>
      <c r="L8" s="12">
        <v>1</v>
      </c>
      <c r="M8" s="12">
        <v>1</v>
      </c>
      <c r="N8" s="12">
        <v>1</v>
      </c>
      <c r="O8" s="12">
        <v>1</v>
      </c>
      <c r="P8" s="14">
        <v>1</v>
      </c>
      <c r="Q8" s="14">
        <v>1</v>
      </c>
      <c r="R8" s="14">
        <v>1</v>
      </c>
      <c r="S8" s="14">
        <v>1</v>
      </c>
      <c r="T8" s="14">
        <v>1</v>
      </c>
      <c r="U8" s="14">
        <v>1</v>
      </c>
      <c r="V8" s="14">
        <v>1</v>
      </c>
      <c r="W8" s="75" t="s">
        <v>3847</v>
      </c>
      <c r="X8" s="1416">
        <v>24345854532</v>
      </c>
      <c r="Y8" s="1416">
        <v>24345854532</v>
      </c>
      <c r="Z8" s="22">
        <f t="shared" ref="Z8:Z14" si="0">IF(Y8=0," ",X8/Y8)</f>
        <v>1</v>
      </c>
      <c r="AA8" s="58">
        <v>1</v>
      </c>
      <c r="AB8" s="24">
        <f t="shared" ref="AB8:AB14" si="1">IF(Y8=0," ",Z8/AA8)</f>
        <v>1</v>
      </c>
      <c r="AC8" s="25" t="s">
        <v>3848</v>
      </c>
      <c r="AD8" s="564">
        <v>14152177003</v>
      </c>
      <c r="AE8" s="564">
        <v>14152177003</v>
      </c>
      <c r="AF8" s="22">
        <f t="shared" ref="AF8:AF14" si="2">IF(AE8=0," ",AD8/AE8)</f>
        <v>1</v>
      </c>
      <c r="AG8" s="58">
        <v>1</v>
      </c>
      <c r="AH8" s="24">
        <f t="shared" ref="AH8:AH14" si="3">IF(AE8=0," ",AF8/AG8)</f>
        <v>1</v>
      </c>
      <c r="AI8" s="25" t="s">
        <v>3849</v>
      </c>
      <c r="AJ8" s="553">
        <v>33834477842</v>
      </c>
      <c r="AK8" s="553">
        <v>33834477842</v>
      </c>
      <c r="AL8" s="22">
        <f t="shared" ref="AL8:AL14" si="4">IF(AK8=0," ",AJ8/AK8)</f>
        <v>1</v>
      </c>
      <c r="AM8" s="58">
        <v>1</v>
      </c>
      <c r="AN8" s="24">
        <f t="shared" ref="AN8:AN14" si="5">IF(AK8=0," ",AL8/AM8)</f>
        <v>1</v>
      </c>
      <c r="AO8" s="25" t="s">
        <v>3850</v>
      </c>
      <c r="AP8" s="564">
        <v>26683619869</v>
      </c>
      <c r="AQ8" s="564">
        <v>26683619869</v>
      </c>
      <c r="AR8" s="22">
        <f t="shared" ref="AR8:AR14" si="6">IF(AQ8=0," ",AP8/AQ8)</f>
        <v>1</v>
      </c>
      <c r="AS8" s="58">
        <v>1</v>
      </c>
      <c r="AT8" s="24">
        <f t="shared" ref="AT8:AT14" si="7">IF(AQ8=0," ",AR8/AS8)</f>
        <v>1</v>
      </c>
      <c r="AU8" s="25" t="s">
        <v>3851</v>
      </c>
      <c r="AV8" s="564">
        <v>19151150427</v>
      </c>
      <c r="AW8" s="564">
        <v>19151150427</v>
      </c>
      <c r="AX8" s="22">
        <f t="shared" ref="AX8:AX14" si="8">IF(AW8=0," ",AV8/AW8)</f>
        <v>1</v>
      </c>
      <c r="AY8" s="58">
        <v>1</v>
      </c>
      <c r="AZ8" s="24">
        <f t="shared" ref="AZ8:AZ14" si="9">IF(AW8=0," ",AX8/AY8)</f>
        <v>1</v>
      </c>
      <c r="BA8" s="25" t="s">
        <v>3852</v>
      </c>
      <c r="BB8" s="564">
        <v>30156600068</v>
      </c>
      <c r="BC8" s="564">
        <v>30156600068</v>
      </c>
      <c r="BD8" s="22">
        <f t="shared" ref="BD8:BD14" si="10">IF(BC8=0," ",BB8/BC8)</f>
        <v>1</v>
      </c>
      <c r="BE8" s="58">
        <v>1</v>
      </c>
      <c r="BF8" s="24">
        <f t="shared" ref="BF8:BF14" si="11">IF(BC8=0," ",BD8/BE8)</f>
        <v>1</v>
      </c>
      <c r="BG8" s="25" t="s">
        <v>3853</v>
      </c>
      <c r="BH8" s="564">
        <v>23644862769</v>
      </c>
      <c r="BI8" s="564">
        <v>23644862769</v>
      </c>
      <c r="BJ8" s="22">
        <f t="shared" ref="BJ8:BJ13" si="12">IF(BI8=0," ",BH8/BI8)</f>
        <v>1</v>
      </c>
      <c r="BK8" s="58">
        <v>1</v>
      </c>
      <c r="BL8" s="24">
        <f t="shared" ref="BL8:BL14" si="13">IF(BI8=0," ",BJ8/BK8)</f>
        <v>1</v>
      </c>
      <c r="BM8" s="25" t="s">
        <v>3854</v>
      </c>
      <c r="BN8" s="564">
        <v>26340316229</v>
      </c>
      <c r="BO8" s="564">
        <v>26340316229</v>
      </c>
      <c r="BP8" s="22">
        <f t="shared" ref="BP8:BP14" si="14">IF(BO8=0," ",BN8/BO8)</f>
        <v>1</v>
      </c>
      <c r="BQ8" s="58">
        <v>1</v>
      </c>
      <c r="BR8" s="24">
        <f t="shared" ref="BR8:BR14" si="15">IF(BO8=0," ",BP8/BQ8)</f>
        <v>1</v>
      </c>
      <c r="BS8" s="25" t="s">
        <v>3855</v>
      </c>
      <c r="BT8" s="564">
        <v>30154733431</v>
      </c>
      <c r="BU8" s="564">
        <v>30154733431</v>
      </c>
      <c r="BV8" s="22">
        <f t="shared" ref="BV8:BV13" si="16">IF(BU8=0," ",BT8/BU8)</f>
        <v>1</v>
      </c>
      <c r="BW8" s="58">
        <v>1</v>
      </c>
      <c r="BX8" s="24">
        <f t="shared" ref="BX8:BX14" si="17">IF(BU8=0," ",BV8/BW8)</f>
        <v>1</v>
      </c>
      <c r="BY8" s="25" t="s">
        <v>3856</v>
      </c>
      <c r="BZ8" s="564">
        <v>37937016376</v>
      </c>
      <c r="CA8" s="564">
        <v>37937016376</v>
      </c>
      <c r="CB8" s="22">
        <f t="shared" ref="CB8:CB14" si="18">IF(CA8=0," ",BZ8/CA8)</f>
        <v>1</v>
      </c>
      <c r="CC8" s="58">
        <v>1</v>
      </c>
      <c r="CD8" s="24">
        <f t="shared" ref="CD8:CD14" si="19">IF(CA8=0," ",CB8/CC8)</f>
        <v>1</v>
      </c>
      <c r="CE8" s="25" t="s">
        <v>3857</v>
      </c>
      <c r="CF8" s="564">
        <v>38915455145</v>
      </c>
      <c r="CG8" s="564">
        <v>38915455145</v>
      </c>
      <c r="CH8" s="22">
        <f t="shared" ref="CH8:CH14" si="20">IF(CG8=0," ",CF8/CG8)</f>
        <v>1</v>
      </c>
      <c r="CI8" s="58">
        <v>1</v>
      </c>
      <c r="CJ8" s="24">
        <f t="shared" ref="CJ8:CJ14" si="21">IF(CG8=0," ",CH8/CI8)</f>
        <v>1</v>
      </c>
      <c r="CK8" s="25" t="s">
        <v>3858</v>
      </c>
      <c r="CL8" s="564">
        <v>59616720313</v>
      </c>
      <c r="CM8" s="564">
        <v>59616720313</v>
      </c>
      <c r="CN8" s="22">
        <f t="shared" ref="CN8:CN14" si="22">IF(CM8=0," ",CL8/CM8)</f>
        <v>1</v>
      </c>
      <c r="CO8" s="58">
        <v>1</v>
      </c>
      <c r="CP8" s="24">
        <f t="shared" ref="CP8:CP14" si="23">IF(CM8=0," ",CN8/CO8)</f>
        <v>1</v>
      </c>
      <c r="CQ8" s="25" t="s">
        <v>3859</v>
      </c>
      <c r="CR8" s="564">
        <f>+X8+AD8+AJ8+AP8+AV8+BB8+BH8+BN8++BT8+BZ8+CF8+CL8</f>
        <v>364932984004</v>
      </c>
      <c r="CS8" s="564">
        <f>+Y8++AE8+AK8+AQ8++AW8++BC8+BI8++BO8+BU8+CA8+CG8+CM8</f>
        <v>364932984004</v>
      </c>
      <c r="CT8" s="22">
        <f t="shared" ref="CT8:CT14" si="24">IF(CS8=0," ",CR8/CS8)</f>
        <v>1</v>
      </c>
      <c r="CU8" s="58">
        <v>1</v>
      </c>
      <c r="CV8" s="24">
        <f t="shared" ref="CV8:CV14" si="25">IF(CS8=0," ",CT8/CU8)</f>
        <v>1</v>
      </c>
      <c r="CW8" s="215" t="s">
        <v>3860</v>
      </c>
    </row>
    <row r="9" spans="1:104" ht="74.25" customHeight="1">
      <c r="B9" s="8" t="s">
        <v>73</v>
      </c>
      <c r="C9" s="9"/>
      <c r="D9" s="13" t="s">
        <v>3861</v>
      </c>
      <c r="E9" s="13" t="s">
        <v>3862</v>
      </c>
      <c r="F9" s="8" t="s">
        <v>3844</v>
      </c>
      <c r="G9" s="8" t="s">
        <v>53</v>
      </c>
      <c r="H9" s="13" t="s">
        <v>3863</v>
      </c>
      <c r="I9" s="8" t="s">
        <v>3864</v>
      </c>
      <c r="J9" s="8" t="s">
        <v>54</v>
      </c>
      <c r="K9" s="12">
        <v>1</v>
      </c>
      <c r="L9" s="12">
        <v>1</v>
      </c>
      <c r="M9" s="12">
        <v>1</v>
      </c>
      <c r="N9" s="12">
        <v>1</v>
      </c>
      <c r="O9" s="12">
        <v>1</v>
      </c>
      <c r="P9" s="14">
        <v>1</v>
      </c>
      <c r="Q9" s="14">
        <v>1</v>
      </c>
      <c r="R9" s="14">
        <v>1</v>
      </c>
      <c r="S9" s="14">
        <v>1</v>
      </c>
      <c r="T9" s="14">
        <v>1</v>
      </c>
      <c r="U9" s="14">
        <v>1</v>
      </c>
      <c r="V9" s="14">
        <v>1</v>
      </c>
      <c r="W9" s="75" t="s">
        <v>3847</v>
      </c>
      <c r="X9" s="696">
        <f>'[29]FO-PL-054'!W10</f>
        <v>4</v>
      </c>
      <c r="Y9" s="696">
        <f>'[29]FO-PL-054'!X10</f>
        <v>4</v>
      </c>
      <c r="Z9" s="22">
        <f t="shared" si="0"/>
        <v>1</v>
      </c>
      <c r="AA9" s="58">
        <f>'[29]FO-PL-054'!Z10</f>
        <v>1</v>
      </c>
      <c r="AB9" s="24">
        <f t="shared" si="1"/>
        <v>1</v>
      </c>
      <c r="AC9" s="1911" t="s">
        <v>3865</v>
      </c>
      <c r="AD9" s="696">
        <v>4</v>
      </c>
      <c r="AE9" s="696">
        <v>4</v>
      </c>
      <c r="AF9" s="22">
        <f t="shared" si="2"/>
        <v>1</v>
      </c>
      <c r="AG9" s="58">
        <v>1</v>
      </c>
      <c r="AH9" s="24">
        <f t="shared" si="3"/>
        <v>1</v>
      </c>
      <c r="AI9" s="25" t="s">
        <v>3866</v>
      </c>
      <c r="AJ9" s="696">
        <v>4</v>
      </c>
      <c r="AK9" s="696">
        <v>4</v>
      </c>
      <c r="AL9" s="22">
        <f t="shared" si="4"/>
        <v>1</v>
      </c>
      <c r="AM9" s="58">
        <v>1</v>
      </c>
      <c r="AN9" s="24">
        <f t="shared" si="5"/>
        <v>1</v>
      </c>
      <c r="AO9" s="25" t="s">
        <v>3867</v>
      </c>
      <c r="AP9" s="696">
        <v>4</v>
      </c>
      <c r="AQ9" s="696">
        <v>4</v>
      </c>
      <c r="AR9" s="22">
        <f t="shared" si="6"/>
        <v>1</v>
      </c>
      <c r="AS9" s="58">
        <v>1</v>
      </c>
      <c r="AT9" s="24">
        <f t="shared" si="7"/>
        <v>1</v>
      </c>
      <c r="AU9" s="25" t="s">
        <v>3868</v>
      </c>
      <c r="AV9" s="696">
        <v>4</v>
      </c>
      <c r="AW9" s="696">
        <v>4</v>
      </c>
      <c r="AX9" s="22">
        <f t="shared" si="8"/>
        <v>1</v>
      </c>
      <c r="AY9" s="58">
        <v>1</v>
      </c>
      <c r="AZ9" s="24">
        <f t="shared" si="9"/>
        <v>1</v>
      </c>
      <c r="BA9" s="25" t="s">
        <v>3869</v>
      </c>
      <c r="BB9" s="696">
        <v>4</v>
      </c>
      <c r="BC9" s="696">
        <v>4</v>
      </c>
      <c r="BD9" s="22">
        <f t="shared" si="10"/>
        <v>1</v>
      </c>
      <c r="BE9" s="58">
        <v>1</v>
      </c>
      <c r="BF9" s="24">
        <f t="shared" si="11"/>
        <v>1</v>
      </c>
      <c r="BG9" s="25" t="s">
        <v>3870</v>
      </c>
      <c r="BH9" s="696">
        <v>4</v>
      </c>
      <c r="BI9" s="696">
        <v>4</v>
      </c>
      <c r="BJ9" s="22">
        <f t="shared" si="12"/>
        <v>1</v>
      </c>
      <c r="BK9" s="58">
        <v>1</v>
      </c>
      <c r="BL9" s="24">
        <f t="shared" si="13"/>
        <v>1</v>
      </c>
      <c r="BM9" s="25" t="s">
        <v>3871</v>
      </c>
      <c r="BN9" s="696">
        <v>4</v>
      </c>
      <c r="BO9" s="696">
        <v>4</v>
      </c>
      <c r="BP9" s="22">
        <f t="shared" si="14"/>
        <v>1</v>
      </c>
      <c r="BQ9" s="58">
        <v>1</v>
      </c>
      <c r="BR9" s="24">
        <f t="shared" si="15"/>
        <v>1</v>
      </c>
      <c r="BS9" s="25" t="s">
        <v>3872</v>
      </c>
      <c r="BT9" s="696">
        <v>4</v>
      </c>
      <c r="BU9" s="696">
        <v>4</v>
      </c>
      <c r="BV9" s="22">
        <f t="shared" si="16"/>
        <v>1</v>
      </c>
      <c r="BW9" s="58">
        <v>1</v>
      </c>
      <c r="BX9" s="24">
        <f t="shared" si="17"/>
        <v>1</v>
      </c>
      <c r="BY9" s="25" t="s">
        <v>3873</v>
      </c>
      <c r="BZ9" s="696">
        <v>4</v>
      </c>
      <c r="CA9" s="696">
        <v>4</v>
      </c>
      <c r="CB9" s="22">
        <f t="shared" si="18"/>
        <v>1</v>
      </c>
      <c r="CC9" s="58">
        <v>1</v>
      </c>
      <c r="CD9" s="24">
        <f t="shared" si="19"/>
        <v>1</v>
      </c>
      <c r="CE9" s="25" t="s">
        <v>3874</v>
      </c>
      <c r="CF9" s="696">
        <v>4</v>
      </c>
      <c r="CG9" s="696">
        <v>4</v>
      </c>
      <c r="CH9" s="22">
        <f t="shared" si="20"/>
        <v>1</v>
      </c>
      <c r="CI9" s="58">
        <v>1</v>
      </c>
      <c r="CJ9" s="24">
        <f t="shared" si="21"/>
        <v>1</v>
      </c>
      <c r="CK9" s="25" t="s">
        <v>3875</v>
      </c>
      <c r="CL9" s="696">
        <v>4</v>
      </c>
      <c r="CM9" s="696">
        <v>4</v>
      </c>
      <c r="CN9" s="22">
        <f t="shared" si="22"/>
        <v>1</v>
      </c>
      <c r="CO9" s="58">
        <v>1</v>
      </c>
      <c r="CP9" s="24">
        <f t="shared" si="23"/>
        <v>1</v>
      </c>
      <c r="CQ9" s="25" t="s">
        <v>3876</v>
      </c>
      <c r="CR9" s="1912">
        <f>+X9+AD9+AJ9+AP9+AV9+BB9+BH9++BN9++BT9+BZ9+CF9+CL9</f>
        <v>48</v>
      </c>
      <c r="CS9" s="1912">
        <f>+Y9++AE9+AK9+AQ9++AW9++BC9+BI9+BO9+BU9+CA9+CG9+CM9</f>
        <v>48</v>
      </c>
      <c r="CT9" s="750">
        <f t="shared" si="24"/>
        <v>1</v>
      </c>
      <c r="CU9" s="58">
        <v>1</v>
      </c>
      <c r="CV9" s="24">
        <f t="shared" si="25"/>
        <v>1</v>
      </c>
      <c r="CW9" s="215" t="s">
        <v>3877</v>
      </c>
    </row>
    <row r="10" spans="1:104" ht="83.25" customHeight="1">
      <c r="B10" s="8" t="s">
        <v>73</v>
      </c>
      <c r="C10" s="9"/>
      <c r="D10" s="13" t="s">
        <v>3878</v>
      </c>
      <c r="E10" s="13" t="s">
        <v>3879</v>
      </c>
      <c r="F10" s="8" t="s">
        <v>3880</v>
      </c>
      <c r="G10" s="8" t="s">
        <v>53</v>
      </c>
      <c r="H10" s="13" t="s">
        <v>3881</v>
      </c>
      <c r="I10" s="8" t="s">
        <v>3882</v>
      </c>
      <c r="J10" s="8" t="s">
        <v>54</v>
      </c>
      <c r="K10" s="12">
        <v>1</v>
      </c>
      <c r="L10" s="12">
        <v>1</v>
      </c>
      <c r="M10" s="12">
        <v>1</v>
      </c>
      <c r="N10" s="12">
        <v>1</v>
      </c>
      <c r="O10" s="12">
        <v>1</v>
      </c>
      <c r="P10" s="14">
        <v>1</v>
      </c>
      <c r="Q10" s="14">
        <v>1</v>
      </c>
      <c r="R10" s="14">
        <v>1</v>
      </c>
      <c r="S10" s="14">
        <v>1</v>
      </c>
      <c r="T10" s="14">
        <v>1</v>
      </c>
      <c r="U10" s="14">
        <v>1</v>
      </c>
      <c r="V10" s="14">
        <v>1</v>
      </c>
      <c r="W10" s="75" t="s">
        <v>3847</v>
      </c>
      <c r="X10" s="564">
        <f>'[29]FO-PL-054'!W11</f>
        <v>1101</v>
      </c>
      <c r="Y10" s="564">
        <f>'[29]FO-PL-054'!X11</f>
        <v>1115</v>
      </c>
      <c r="Z10" s="560">
        <f t="shared" si="0"/>
        <v>0.98744394618834086</v>
      </c>
      <c r="AA10" s="58">
        <f>'[29]FO-PL-054'!Z11</f>
        <v>1</v>
      </c>
      <c r="AB10" s="24">
        <f t="shared" si="1"/>
        <v>0.98744394618834086</v>
      </c>
      <c r="AC10" s="25" t="s">
        <v>3883</v>
      </c>
      <c r="AD10" s="696">
        <v>2124</v>
      </c>
      <c r="AE10" s="696">
        <v>2130</v>
      </c>
      <c r="AF10" s="560">
        <f t="shared" si="2"/>
        <v>0.9971830985915493</v>
      </c>
      <c r="AG10" s="58">
        <v>1</v>
      </c>
      <c r="AH10" s="861">
        <f t="shared" si="3"/>
        <v>0.9971830985915493</v>
      </c>
      <c r="AI10" s="25" t="s">
        <v>3884</v>
      </c>
      <c r="AJ10" s="696">
        <v>3095</v>
      </c>
      <c r="AK10" s="696">
        <v>3097</v>
      </c>
      <c r="AL10" s="560">
        <f t="shared" si="4"/>
        <v>0.99935421375524702</v>
      </c>
      <c r="AM10" s="58">
        <v>1</v>
      </c>
      <c r="AN10" s="861">
        <f t="shared" si="5"/>
        <v>0.99935421375524702</v>
      </c>
      <c r="AO10" s="25" t="s">
        <v>3885</v>
      </c>
      <c r="AP10" s="696">
        <v>3148</v>
      </c>
      <c r="AQ10" s="696">
        <v>3149</v>
      </c>
      <c r="AR10" s="560">
        <f t="shared" si="6"/>
        <v>0.99968243886948238</v>
      </c>
      <c r="AS10" s="58">
        <v>1</v>
      </c>
      <c r="AT10" s="861">
        <f t="shared" si="7"/>
        <v>0.99968243886948238</v>
      </c>
      <c r="AU10" s="25" t="s">
        <v>3886</v>
      </c>
      <c r="AV10" s="696">
        <v>5841</v>
      </c>
      <c r="AW10" s="696">
        <v>5842</v>
      </c>
      <c r="AX10" s="560">
        <f t="shared" si="8"/>
        <v>0.99982882574460796</v>
      </c>
      <c r="AY10" s="58">
        <v>1</v>
      </c>
      <c r="AZ10" s="861">
        <f t="shared" si="9"/>
        <v>0.99982882574460796</v>
      </c>
      <c r="BA10" s="25" t="s">
        <v>3887</v>
      </c>
      <c r="BB10" s="696">
        <v>3506</v>
      </c>
      <c r="BC10" s="696">
        <v>3508</v>
      </c>
      <c r="BD10" s="22">
        <f t="shared" si="10"/>
        <v>0.99942987457240595</v>
      </c>
      <c r="BE10" s="58">
        <v>1</v>
      </c>
      <c r="BF10" s="24">
        <f t="shared" si="11"/>
        <v>0.99942987457240595</v>
      </c>
      <c r="BG10" s="25" t="s">
        <v>3888</v>
      </c>
      <c r="BH10" s="696">
        <v>2377</v>
      </c>
      <c r="BI10" s="696">
        <v>2383</v>
      </c>
      <c r="BJ10" s="560">
        <f t="shared" si="12"/>
        <v>0.99748216533780953</v>
      </c>
      <c r="BK10" s="58">
        <v>1</v>
      </c>
      <c r="BL10" s="861">
        <f t="shared" si="13"/>
        <v>0.99748216533780953</v>
      </c>
      <c r="BM10" s="25" t="s">
        <v>3889</v>
      </c>
      <c r="BN10" s="696">
        <v>2111</v>
      </c>
      <c r="BO10" s="696">
        <v>2115</v>
      </c>
      <c r="BP10" s="560">
        <f t="shared" si="14"/>
        <v>0.99810874704491725</v>
      </c>
      <c r="BQ10" s="58">
        <v>1</v>
      </c>
      <c r="BR10" s="861">
        <f t="shared" si="15"/>
        <v>0.99810874704491725</v>
      </c>
      <c r="BS10" s="25" t="s">
        <v>3890</v>
      </c>
      <c r="BT10" s="696">
        <v>1473</v>
      </c>
      <c r="BU10" s="696">
        <v>1482</v>
      </c>
      <c r="BV10" s="560">
        <f t="shared" si="16"/>
        <v>0.99392712550607287</v>
      </c>
      <c r="BW10" s="58">
        <v>1</v>
      </c>
      <c r="BX10" s="861">
        <f t="shared" si="17"/>
        <v>0.99392712550607287</v>
      </c>
      <c r="BY10" s="25" t="s">
        <v>3891</v>
      </c>
      <c r="BZ10" s="696">
        <v>2339</v>
      </c>
      <c r="CA10" s="696">
        <v>2343</v>
      </c>
      <c r="CB10" s="560">
        <f t="shared" si="18"/>
        <v>0.99829278702518143</v>
      </c>
      <c r="CC10" s="58">
        <v>1</v>
      </c>
      <c r="CD10" s="861">
        <f t="shared" si="19"/>
        <v>0.99829278702518143</v>
      </c>
      <c r="CE10" s="25" t="s">
        <v>3892</v>
      </c>
      <c r="CF10" s="696">
        <v>2047</v>
      </c>
      <c r="CG10" s="696">
        <v>2055</v>
      </c>
      <c r="CH10" s="560">
        <f t="shared" si="20"/>
        <v>0.99610705596107052</v>
      </c>
      <c r="CI10" s="58">
        <v>1</v>
      </c>
      <c r="CJ10" s="24">
        <f t="shared" si="21"/>
        <v>0.99610705596107052</v>
      </c>
      <c r="CK10" s="25" t="s">
        <v>3893</v>
      </c>
      <c r="CL10" s="696">
        <v>2714</v>
      </c>
      <c r="CM10" s="696">
        <v>2722</v>
      </c>
      <c r="CN10" s="560">
        <f>IF(CM10=0," ",CL10/CM10)</f>
        <v>0.99706098457016901</v>
      </c>
      <c r="CO10" s="58">
        <v>1</v>
      </c>
      <c r="CP10" s="24">
        <f t="shared" si="23"/>
        <v>0.99706098457016901</v>
      </c>
      <c r="CQ10" s="25" t="s">
        <v>3894</v>
      </c>
      <c r="CR10" s="1913">
        <f>+X10+AD10+AJ10+AP10+AV10+BB10+BH10+BN10++BT10+BZ10+CF10+CL10</f>
        <v>31876</v>
      </c>
      <c r="CS10" s="1913">
        <f>+Y10++AE10+AK10+AQ10++AW10++BC10++BI10+BO10+BU10+CA10+CG10+CM10</f>
        <v>31941</v>
      </c>
      <c r="CT10" s="560">
        <f t="shared" si="24"/>
        <v>0.99796499796499794</v>
      </c>
      <c r="CU10" s="58">
        <v>1</v>
      </c>
      <c r="CV10" s="24">
        <f t="shared" si="25"/>
        <v>0.99796499796499794</v>
      </c>
      <c r="CW10" s="1914" t="s">
        <v>3895</v>
      </c>
    </row>
    <row r="11" spans="1:104" ht="120" customHeight="1">
      <c r="B11" s="8" t="s">
        <v>73</v>
      </c>
      <c r="C11" s="9"/>
      <c r="D11" s="13" t="s">
        <v>3896</v>
      </c>
      <c r="E11" s="13" t="s">
        <v>3897</v>
      </c>
      <c r="F11" s="8" t="s">
        <v>3898</v>
      </c>
      <c r="G11" s="8" t="s">
        <v>53</v>
      </c>
      <c r="H11" s="13" t="s">
        <v>3899</v>
      </c>
      <c r="I11" s="8" t="s">
        <v>3882</v>
      </c>
      <c r="J11" s="8" t="s">
        <v>54</v>
      </c>
      <c r="K11" s="12">
        <v>0.98</v>
      </c>
      <c r="L11" s="12">
        <v>0.98</v>
      </c>
      <c r="M11" s="12">
        <v>0.98</v>
      </c>
      <c r="N11" s="12">
        <v>0.98</v>
      </c>
      <c r="O11" s="12">
        <v>0.98</v>
      </c>
      <c r="P11" s="14">
        <v>0.98</v>
      </c>
      <c r="Q11" s="14">
        <v>0.98</v>
      </c>
      <c r="R11" s="14">
        <v>0.98</v>
      </c>
      <c r="S11" s="14">
        <v>0.98</v>
      </c>
      <c r="T11" s="14">
        <v>0.98</v>
      </c>
      <c r="U11" s="14">
        <v>0.98</v>
      </c>
      <c r="V11" s="14">
        <v>0.98</v>
      </c>
      <c r="W11" s="75" t="s">
        <v>3847</v>
      </c>
      <c r="X11" s="1915">
        <v>1111</v>
      </c>
      <c r="Y11" s="1916">
        <f>'[29]FO-PL-054'!X12</f>
        <v>1115</v>
      </c>
      <c r="Z11" s="560">
        <f t="shared" si="0"/>
        <v>0.99641255605381163</v>
      </c>
      <c r="AA11" s="58">
        <f>'[29]FO-PL-054'!Z12</f>
        <v>0.98</v>
      </c>
      <c r="AB11" s="24">
        <f t="shared" si="1"/>
        <v>1.0167475061773588</v>
      </c>
      <c r="AC11" s="25" t="s">
        <v>3900</v>
      </c>
      <c r="AD11" s="1916">
        <v>2119</v>
      </c>
      <c r="AE11" s="1916">
        <v>2130</v>
      </c>
      <c r="AF11" s="560">
        <f t="shared" si="2"/>
        <v>0.99483568075117368</v>
      </c>
      <c r="AG11" s="58">
        <v>0.98</v>
      </c>
      <c r="AH11" s="861">
        <f t="shared" si="3"/>
        <v>1.0151384497460956</v>
      </c>
      <c r="AI11" s="25" t="s">
        <v>3901</v>
      </c>
      <c r="AJ11" s="696">
        <v>3093</v>
      </c>
      <c r="AK11" s="696">
        <v>3097</v>
      </c>
      <c r="AL11" s="560">
        <f t="shared" si="4"/>
        <v>0.99870842751049405</v>
      </c>
      <c r="AM11" s="58">
        <v>0.98</v>
      </c>
      <c r="AN11" s="861">
        <f t="shared" si="5"/>
        <v>1.0190902321535653</v>
      </c>
      <c r="AO11" s="25" t="s">
        <v>3902</v>
      </c>
      <c r="AP11" s="696">
        <v>3139</v>
      </c>
      <c r="AQ11" s="696">
        <v>3149</v>
      </c>
      <c r="AR11" s="560">
        <f t="shared" si="6"/>
        <v>0.9968243886948237</v>
      </c>
      <c r="AS11" s="58">
        <v>0.98</v>
      </c>
      <c r="AT11" s="861">
        <f t="shared" si="7"/>
        <v>1.0171677435661466</v>
      </c>
      <c r="AU11" s="25" t="s">
        <v>3903</v>
      </c>
      <c r="AV11" s="696">
        <v>5834</v>
      </c>
      <c r="AW11" s="696">
        <v>5842</v>
      </c>
      <c r="AX11" s="560">
        <f t="shared" si="8"/>
        <v>0.99863060595686404</v>
      </c>
      <c r="AY11" s="58">
        <v>0.98</v>
      </c>
      <c r="AZ11" s="861">
        <f t="shared" si="9"/>
        <v>1.0190108224049632</v>
      </c>
      <c r="BA11" s="25" t="s">
        <v>3904</v>
      </c>
      <c r="BB11" s="696">
        <v>3491</v>
      </c>
      <c r="BC11" s="696">
        <v>3508</v>
      </c>
      <c r="BD11" s="560">
        <f t="shared" si="10"/>
        <v>0.99515393386545037</v>
      </c>
      <c r="BE11" s="58">
        <v>0.98</v>
      </c>
      <c r="BF11" s="861">
        <f t="shared" si="11"/>
        <v>1.0154631978218882</v>
      </c>
      <c r="BG11" s="25" t="s">
        <v>3905</v>
      </c>
      <c r="BH11" s="696">
        <v>2364</v>
      </c>
      <c r="BI11" s="696">
        <v>2383</v>
      </c>
      <c r="BJ11" s="560">
        <f t="shared" si="12"/>
        <v>0.99202685690306336</v>
      </c>
      <c r="BK11" s="58">
        <v>0.98</v>
      </c>
      <c r="BL11" s="24">
        <f t="shared" si="13"/>
        <v>1.0122723029623095</v>
      </c>
      <c r="BM11" s="25" t="s">
        <v>3906</v>
      </c>
      <c r="BN11" s="696">
        <v>2096</v>
      </c>
      <c r="BO11" s="696">
        <v>2115</v>
      </c>
      <c r="BP11" s="560">
        <f t="shared" si="14"/>
        <v>0.99101654846335696</v>
      </c>
      <c r="BQ11" s="58">
        <v>0.98</v>
      </c>
      <c r="BR11" s="861">
        <f t="shared" si="15"/>
        <v>1.0112413759830172</v>
      </c>
      <c r="BS11" s="25" t="s">
        <v>3907</v>
      </c>
      <c r="BT11" s="696">
        <v>1442</v>
      </c>
      <c r="BU11" s="696">
        <v>1482</v>
      </c>
      <c r="BV11" s="560">
        <f t="shared" si="16"/>
        <v>0.97300944669365719</v>
      </c>
      <c r="BW11" s="58">
        <v>0.98</v>
      </c>
      <c r="BX11" s="861">
        <f t="shared" si="17"/>
        <v>0.99286678234046655</v>
      </c>
      <c r="BY11" s="25" t="s">
        <v>3908</v>
      </c>
      <c r="BZ11" s="696">
        <v>2293</v>
      </c>
      <c r="CA11" s="696">
        <v>2343</v>
      </c>
      <c r="CB11" s="560">
        <f t="shared" si="18"/>
        <v>0.9786598378147674</v>
      </c>
      <c r="CC11" s="58">
        <v>0.98</v>
      </c>
      <c r="CD11" s="861">
        <f t="shared" si="19"/>
        <v>0.99863248756608924</v>
      </c>
      <c r="CE11" s="25" t="s">
        <v>3909</v>
      </c>
      <c r="CF11" s="696">
        <v>2014</v>
      </c>
      <c r="CG11" s="696">
        <v>2055</v>
      </c>
      <c r="CH11" s="560">
        <f t="shared" si="20"/>
        <v>0.98004866180048666</v>
      </c>
      <c r="CI11" s="58">
        <v>0.98</v>
      </c>
      <c r="CJ11" s="24">
        <f t="shared" si="21"/>
        <v>1.0000496548984559</v>
      </c>
      <c r="CK11" s="25" t="s">
        <v>3910</v>
      </c>
      <c r="CL11" s="696">
        <v>2578</v>
      </c>
      <c r="CM11" s="696">
        <v>2722</v>
      </c>
      <c r="CN11" s="560">
        <f t="shared" si="22"/>
        <v>0.9470977222630419</v>
      </c>
      <c r="CO11" s="58">
        <v>0.98</v>
      </c>
      <c r="CP11" s="24">
        <f t="shared" si="23"/>
        <v>0.96642624720718562</v>
      </c>
      <c r="CQ11" s="25" t="s">
        <v>3911</v>
      </c>
      <c r="CR11" s="1913">
        <f>+X11+AD11+AJ11+AP11+AV11+BB11+BH11+BN11+BT11+BZ11+CF11+CL11</f>
        <v>31574</v>
      </c>
      <c r="CS11" s="1913">
        <f>+Y11++AE11+AK11+AQ11++AW11++BC11+BI11+BO11+BU11+CA11+CG11+CM11</f>
        <v>31941</v>
      </c>
      <c r="CT11" s="560">
        <f t="shared" si="24"/>
        <v>0.98851006543314235</v>
      </c>
      <c r="CU11" s="58">
        <v>0.98</v>
      </c>
      <c r="CV11" s="861">
        <f t="shared" si="25"/>
        <v>1.0086837402379003</v>
      </c>
      <c r="CW11" s="1914" t="s">
        <v>3912</v>
      </c>
    </row>
    <row r="12" spans="1:104" ht="129" customHeight="1">
      <c r="B12" s="8" t="s">
        <v>73</v>
      </c>
      <c r="C12" s="9"/>
      <c r="D12" s="13" t="s">
        <v>3913</v>
      </c>
      <c r="E12" s="13" t="s">
        <v>3914</v>
      </c>
      <c r="F12" s="8" t="s">
        <v>3915</v>
      </c>
      <c r="G12" s="8" t="s">
        <v>53</v>
      </c>
      <c r="H12" s="13" t="s">
        <v>3916</v>
      </c>
      <c r="I12" s="8" t="s">
        <v>3917</v>
      </c>
      <c r="J12" s="8" t="s">
        <v>54</v>
      </c>
      <c r="K12" s="12">
        <v>0.95</v>
      </c>
      <c r="L12" s="12">
        <v>0.95</v>
      </c>
      <c r="M12" s="12">
        <v>0.95</v>
      </c>
      <c r="N12" s="12">
        <v>0.95</v>
      </c>
      <c r="O12" s="12">
        <v>0.95</v>
      </c>
      <c r="P12" s="12">
        <v>0.95</v>
      </c>
      <c r="Q12" s="12">
        <v>0.95</v>
      </c>
      <c r="R12" s="12">
        <v>0.95</v>
      </c>
      <c r="S12" s="12">
        <v>0.95</v>
      </c>
      <c r="T12" s="12">
        <v>0.95</v>
      </c>
      <c r="U12" s="12">
        <v>0.95</v>
      </c>
      <c r="V12" s="12">
        <v>0.95</v>
      </c>
      <c r="W12" s="75" t="s">
        <v>3847</v>
      </c>
      <c r="X12" s="696">
        <v>57</v>
      </c>
      <c r="Y12" s="696">
        <v>121</v>
      </c>
      <c r="Z12" s="560">
        <f t="shared" si="0"/>
        <v>0.47107438016528924</v>
      </c>
      <c r="AA12" s="58">
        <v>0.95</v>
      </c>
      <c r="AB12" s="861">
        <f t="shared" si="1"/>
        <v>0.49586776859504134</v>
      </c>
      <c r="AC12" s="25" t="s">
        <v>3918</v>
      </c>
      <c r="AD12" s="696">
        <v>688</v>
      </c>
      <c r="AE12" s="696">
        <v>692</v>
      </c>
      <c r="AF12" s="560">
        <f t="shared" si="2"/>
        <v>0.9942196531791907</v>
      </c>
      <c r="AG12" s="58">
        <v>0.95</v>
      </c>
      <c r="AH12" s="861">
        <f t="shared" si="3"/>
        <v>1.0465470033465165</v>
      </c>
      <c r="AI12" s="25" t="s">
        <v>3919</v>
      </c>
      <c r="AJ12" s="696">
        <v>1729</v>
      </c>
      <c r="AK12" s="696">
        <v>1737</v>
      </c>
      <c r="AL12" s="560">
        <f t="shared" si="4"/>
        <v>0.99539435808865862</v>
      </c>
      <c r="AM12" s="58">
        <v>0.95</v>
      </c>
      <c r="AN12" s="861">
        <f t="shared" si="5"/>
        <v>1.047783534830167</v>
      </c>
      <c r="AO12" s="25" t="s">
        <v>3920</v>
      </c>
      <c r="AP12" s="696">
        <v>2043</v>
      </c>
      <c r="AQ12" s="696">
        <v>2060</v>
      </c>
      <c r="AR12" s="560">
        <f t="shared" si="6"/>
        <v>0.99174757281553394</v>
      </c>
      <c r="AS12" s="58">
        <v>0.95</v>
      </c>
      <c r="AT12" s="861">
        <f t="shared" si="7"/>
        <v>1.0439448134900358</v>
      </c>
      <c r="AU12" s="25" t="s">
        <v>3921</v>
      </c>
      <c r="AV12" s="696">
        <v>3979</v>
      </c>
      <c r="AW12" s="696">
        <v>4063</v>
      </c>
      <c r="AX12" s="560">
        <f t="shared" si="8"/>
        <v>0.97932562146197388</v>
      </c>
      <c r="AY12" s="58">
        <v>0.95</v>
      </c>
      <c r="AZ12" s="861">
        <f t="shared" si="9"/>
        <v>1.0308690752231304</v>
      </c>
      <c r="BA12" s="25" t="s">
        <v>3922</v>
      </c>
      <c r="BB12" s="696">
        <v>2360</v>
      </c>
      <c r="BC12" s="696">
        <v>2370</v>
      </c>
      <c r="BD12" s="560">
        <f t="shared" si="10"/>
        <v>0.99578059071729963</v>
      </c>
      <c r="BE12" s="58">
        <v>0.95</v>
      </c>
      <c r="BF12" s="861">
        <f t="shared" si="11"/>
        <v>1.0481900954918943</v>
      </c>
      <c r="BG12" s="25" t="s">
        <v>3923</v>
      </c>
      <c r="BH12" s="696">
        <v>583</v>
      </c>
      <c r="BI12" s="696">
        <v>622</v>
      </c>
      <c r="BJ12" s="560">
        <f t="shared" si="12"/>
        <v>0.93729903536977488</v>
      </c>
      <c r="BK12" s="58">
        <v>0.95</v>
      </c>
      <c r="BL12" s="861">
        <f t="shared" si="13"/>
        <v>0.98663056354713152</v>
      </c>
      <c r="BM12" s="25" t="s">
        <v>3924</v>
      </c>
      <c r="BN12" s="696">
        <v>630</v>
      </c>
      <c r="BO12" s="696">
        <v>630</v>
      </c>
      <c r="BP12" s="22">
        <f t="shared" si="14"/>
        <v>1</v>
      </c>
      <c r="BQ12" s="58">
        <v>0.95</v>
      </c>
      <c r="BR12" s="24">
        <f t="shared" si="15"/>
        <v>1.0526315789473684</v>
      </c>
      <c r="BS12" s="25" t="s">
        <v>3925</v>
      </c>
      <c r="BT12" s="696">
        <v>349</v>
      </c>
      <c r="BU12" s="696">
        <v>357</v>
      </c>
      <c r="BV12" s="560">
        <f t="shared" si="16"/>
        <v>0.97759103641456579</v>
      </c>
      <c r="BW12" s="58">
        <v>0.95</v>
      </c>
      <c r="BX12" s="861">
        <f t="shared" si="17"/>
        <v>1.0290431962258588</v>
      </c>
      <c r="BY12" s="25" t="s">
        <v>3926</v>
      </c>
      <c r="BZ12" s="696">
        <v>237</v>
      </c>
      <c r="CA12" s="696">
        <v>270</v>
      </c>
      <c r="CB12" s="560">
        <f t="shared" si="18"/>
        <v>0.87777777777777777</v>
      </c>
      <c r="CC12" s="58">
        <v>0.95</v>
      </c>
      <c r="CD12" s="24">
        <f t="shared" si="19"/>
        <v>0.92397660818713456</v>
      </c>
      <c r="CE12" s="25" t="s">
        <v>3927</v>
      </c>
      <c r="CF12" s="696">
        <v>287</v>
      </c>
      <c r="CG12" s="696">
        <v>292</v>
      </c>
      <c r="CH12" s="560">
        <f t="shared" si="20"/>
        <v>0.98287671232876717</v>
      </c>
      <c r="CI12" s="58">
        <v>0.95</v>
      </c>
      <c r="CJ12" s="861">
        <f t="shared" si="21"/>
        <v>1.0346070656092285</v>
      </c>
      <c r="CK12" s="25" t="s">
        <v>3928</v>
      </c>
      <c r="CL12" s="696">
        <v>422</v>
      </c>
      <c r="CM12" s="696">
        <v>433</v>
      </c>
      <c r="CN12" s="560">
        <f t="shared" si="22"/>
        <v>0.97459584295612012</v>
      </c>
      <c r="CO12" s="58">
        <v>0.95</v>
      </c>
      <c r="CP12" s="861">
        <f t="shared" si="23"/>
        <v>1.0258903610064423</v>
      </c>
      <c r="CQ12" s="25" t="s">
        <v>3929</v>
      </c>
      <c r="CR12" s="564">
        <f>+X12+AD12+AJ12+AP12+AV12+BB12+BN12+BT12+BZ12+CF12+CL12</f>
        <v>12781</v>
      </c>
      <c r="CS12" s="564">
        <f>+Y12++AE12+AK12+AQ12++AW12++BC12+BI12+BO12+BU12+CA12+CG12+CM12</f>
        <v>13647</v>
      </c>
      <c r="CT12" s="560">
        <f t="shared" si="24"/>
        <v>0.93654282992599103</v>
      </c>
      <c r="CU12" s="58">
        <v>0.95</v>
      </c>
      <c r="CV12" s="861">
        <f t="shared" si="25"/>
        <v>0.98583455781683271</v>
      </c>
      <c r="CW12" s="215" t="s">
        <v>3930</v>
      </c>
      <c r="CZ12" s="1917"/>
    </row>
    <row r="13" spans="1:104" ht="139.5" customHeight="1">
      <c r="B13" s="8" t="s">
        <v>73</v>
      </c>
      <c r="C13" s="9"/>
      <c r="D13" s="13" t="s">
        <v>3931</v>
      </c>
      <c r="E13" s="13" t="s">
        <v>3932</v>
      </c>
      <c r="F13" s="8" t="s">
        <v>3933</v>
      </c>
      <c r="G13" s="8" t="s">
        <v>53</v>
      </c>
      <c r="H13" s="13" t="s">
        <v>3934</v>
      </c>
      <c r="I13" s="8" t="s">
        <v>3935</v>
      </c>
      <c r="J13" s="8" t="s">
        <v>54</v>
      </c>
      <c r="K13" s="12">
        <v>1</v>
      </c>
      <c r="L13" s="12">
        <v>1</v>
      </c>
      <c r="M13" s="12">
        <v>1</v>
      </c>
      <c r="N13" s="12">
        <v>1</v>
      </c>
      <c r="O13" s="12">
        <v>1</v>
      </c>
      <c r="P13" s="12">
        <v>1</v>
      </c>
      <c r="Q13" s="12">
        <v>1</v>
      </c>
      <c r="R13" s="12">
        <v>1</v>
      </c>
      <c r="S13" s="12">
        <v>1</v>
      </c>
      <c r="T13" s="12">
        <v>1</v>
      </c>
      <c r="U13" s="12">
        <v>1</v>
      </c>
      <c r="V13" s="12">
        <v>1</v>
      </c>
      <c r="W13" s="75" t="s">
        <v>3847</v>
      </c>
      <c r="X13" s="696">
        <v>54</v>
      </c>
      <c r="Y13" s="696">
        <v>54</v>
      </c>
      <c r="Z13" s="560">
        <f t="shared" si="0"/>
        <v>1</v>
      </c>
      <c r="AA13" s="58">
        <v>1</v>
      </c>
      <c r="AB13" s="861">
        <f t="shared" si="1"/>
        <v>1</v>
      </c>
      <c r="AC13" s="25" t="s">
        <v>3936</v>
      </c>
      <c r="AD13" s="696">
        <v>68</v>
      </c>
      <c r="AE13" s="696">
        <v>68</v>
      </c>
      <c r="AF13" s="22">
        <f t="shared" si="2"/>
        <v>1</v>
      </c>
      <c r="AG13" s="58">
        <v>1</v>
      </c>
      <c r="AH13" s="861">
        <f t="shared" si="3"/>
        <v>1</v>
      </c>
      <c r="AI13" s="25" t="s">
        <v>3937</v>
      </c>
      <c r="AJ13" s="696">
        <v>56</v>
      </c>
      <c r="AK13" s="696">
        <v>64</v>
      </c>
      <c r="AL13" s="560">
        <f t="shared" si="4"/>
        <v>0.875</v>
      </c>
      <c r="AM13" s="58">
        <v>1</v>
      </c>
      <c r="AN13" s="861">
        <f t="shared" si="5"/>
        <v>0.875</v>
      </c>
      <c r="AO13" s="25" t="s">
        <v>3938</v>
      </c>
      <c r="AP13" s="696">
        <v>74</v>
      </c>
      <c r="AQ13" s="696">
        <v>81</v>
      </c>
      <c r="AR13" s="560">
        <f t="shared" si="6"/>
        <v>0.9135802469135802</v>
      </c>
      <c r="AS13" s="58">
        <v>1</v>
      </c>
      <c r="AT13" s="861">
        <f t="shared" si="7"/>
        <v>0.9135802469135802</v>
      </c>
      <c r="AU13" s="25" t="s">
        <v>3939</v>
      </c>
      <c r="AV13" s="696">
        <v>109</v>
      </c>
      <c r="AW13" s="696">
        <v>109</v>
      </c>
      <c r="AX13" s="560">
        <f t="shared" si="8"/>
        <v>1</v>
      </c>
      <c r="AY13" s="58">
        <v>1</v>
      </c>
      <c r="AZ13" s="861">
        <f t="shared" si="9"/>
        <v>1</v>
      </c>
      <c r="BA13" s="25" t="s">
        <v>3940</v>
      </c>
      <c r="BB13" s="696">
        <v>160</v>
      </c>
      <c r="BC13" s="696">
        <v>160</v>
      </c>
      <c r="BD13" s="750">
        <f t="shared" si="10"/>
        <v>1</v>
      </c>
      <c r="BE13" s="58">
        <v>1</v>
      </c>
      <c r="BF13" s="861">
        <f t="shared" si="11"/>
        <v>1</v>
      </c>
      <c r="BG13" s="25" t="s">
        <v>3941</v>
      </c>
      <c r="BH13" s="696">
        <v>237</v>
      </c>
      <c r="BI13" s="696">
        <v>237</v>
      </c>
      <c r="BJ13" s="750">
        <f t="shared" si="12"/>
        <v>1</v>
      </c>
      <c r="BK13" s="58">
        <v>1</v>
      </c>
      <c r="BL13" s="861">
        <f t="shared" si="13"/>
        <v>1</v>
      </c>
      <c r="BM13" s="25" t="s">
        <v>3942</v>
      </c>
      <c r="BN13" s="696">
        <v>216</v>
      </c>
      <c r="BO13" s="696">
        <v>221</v>
      </c>
      <c r="BP13" s="560">
        <f t="shared" si="14"/>
        <v>0.9773755656108597</v>
      </c>
      <c r="BQ13" s="58">
        <v>1</v>
      </c>
      <c r="BR13" s="861">
        <f t="shared" si="15"/>
        <v>0.9773755656108597</v>
      </c>
      <c r="BS13" s="25" t="s">
        <v>3943</v>
      </c>
      <c r="BT13" s="696">
        <v>258</v>
      </c>
      <c r="BU13" s="696">
        <v>273</v>
      </c>
      <c r="BV13" s="560">
        <f t="shared" si="16"/>
        <v>0.94505494505494503</v>
      </c>
      <c r="BW13" s="58">
        <v>1</v>
      </c>
      <c r="BX13" s="861">
        <f t="shared" si="17"/>
        <v>0.94505494505494503</v>
      </c>
      <c r="BY13" s="25" t="s">
        <v>3944</v>
      </c>
      <c r="BZ13" s="696">
        <v>313</v>
      </c>
      <c r="CA13" s="696">
        <v>313</v>
      </c>
      <c r="CB13" s="560">
        <f t="shared" si="18"/>
        <v>1</v>
      </c>
      <c r="CC13" s="58">
        <v>1</v>
      </c>
      <c r="CD13" s="861">
        <f t="shared" si="19"/>
        <v>1</v>
      </c>
      <c r="CE13" s="25" t="s">
        <v>3945</v>
      </c>
      <c r="CF13" s="696">
        <v>313</v>
      </c>
      <c r="CG13" s="696">
        <v>313</v>
      </c>
      <c r="CH13" s="22">
        <f t="shared" si="20"/>
        <v>1</v>
      </c>
      <c r="CI13" s="58">
        <v>1</v>
      </c>
      <c r="CJ13" s="861">
        <f t="shared" si="21"/>
        <v>1</v>
      </c>
      <c r="CK13" s="25" t="s">
        <v>3946</v>
      </c>
      <c r="CL13" s="696">
        <v>434</v>
      </c>
      <c r="CM13" s="696">
        <v>434</v>
      </c>
      <c r="CN13" s="560">
        <f t="shared" si="22"/>
        <v>1</v>
      </c>
      <c r="CO13" s="58">
        <v>1</v>
      </c>
      <c r="CP13" s="861">
        <f t="shared" si="23"/>
        <v>1</v>
      </c>
      <c r="CQ13" s="25" t="s">
        <v>3947</v>
      </c>
      <c r="CR13" s="564">
        <f>+X13+AD13+AJ13+AP13+AV13+BB13+BH13+BN13+BT13+BZ13+CF13+CL13</f>
        <v>2292</v>
      </c>
      <c r="CS13" s="564">
        <f>+Y13++AE13+AK13+AQ13++AW13++BC13+BI13++BO13+BU13+CA13+CG13+CM13</f>
        <v>2327</v>
      </c>
      <c r="CT13" s="560">
        <f t="shared" si="24"/>
        <v>0.98495917490330898</v>
      </c>
      <c r="CU13" s="1918">
        <v>1</v>
      </c>
      <c r="CV13" s="861">
        <f t="shared" si="25"/>
        <v>0.98495917490330898</v>
      </c>
      <c r="CW13" s="215" t="s">
        <v>3948</v>
      </c>
    </row>
    <row r="14" spans="1:104" ht="62.25" customHeight="1">
      <c r="B14" s="8" t="s">
        <v>73</v>
      </c>
      <c r="C14" s="9"/>
      <c r="D14" s="13" t="s">
        <v>3949</v>
      </c>
      <c r="E14" s="13" t="s">
        <v>3950</v>
      </c>
      <c r="F14" s="790" t="s">
        <v>3951</v>
      </c>
      <c r="G14" s="8" t="s">
        <v>53</v>
      </c>
      <c r="H14" s="789" t="s">
        <v>3952</v>
      </c>
      <c r="I14" s="8" t="s">
        <v>3953</v>
      </c>
      <c r="J14" s="8" t="s">
        <v>54</v>
      </c>
      <c r="K14" s="12">
        <v>1</v>
      </c>
      <c r="L14" s="12">
        <v>1</v>
      </c>
      <c r="M14" s="12">
        <v>1</v>
      </c>
      <c r="N14" s="12">
        <v>1</v>
      </c>
      <c r="O14" s="12">
        <v>1</v>
      </c>
      <c r="P14" s="12">
        <v>1</v>
      </c>
      <c r="Q14" s="12">
        <v>1</v>
      </c>
      <c r="R14" s="12">
        <v>1</v>
      </c>
      <c r="S14" s="12">
        <v>1</v>
      </c>
      <c r="T14" s="12">
        <v>1</v>
      </c>
      <c r="U14" s="12">
        <v>1</v>
      </c>
      <c r="V14" s="12">
        <v>1</v>
      </c>
      <c r="W14" s="75" t="s">
        <v>3847</v>
      </c>
      <c r="X14" s="653">
        <v>4.55</v>
      </c>
      <c r="Y14" s="653">
        <v>4.04</v>
      </c>
      <c r="Z14" s="560">
        <f t="shared" si="0"/>
        <v>1.1262376237623761</v>
      </c>
      <c r="AA14" s="58">
        <v>1</v>
      </c>
      <c r="AB14" s="861">
        <f t="shared" si="1"/>
        <v>1.1262376237623761</v>
      </c>
      <c r="AC14" s="25" t="s">
        <v>3954</v>
      </c>
      <c r="AD14" s="653">
        <v>4.55</v>
      </c>
      <c r="AE14" s="653">
        <v>4.03</v>
      </c>
      <c r="AF14" s="560">
        <f t="shared" si="2"/>
        <v>1.129032258064516</v>
      </c>
      <c r="AG14" s="58">
        <v>1</v>
      </c>
      <c r="AH14" s="861">
        <f t="shared" si="3"/>
        <v>1.129032258064516</v>
      </c>
      <c r="AI14" s="25" t="s">
        <v>3955</v>
      </c>
      <c r="AJ14" s="653">
        <v>4.49</v>
      </c>
      <c r="AK14" s="653">
        <v>3.97</v>
      </c>
      <c r="AL14" s="560">
        <f t="shared" si="4"/>
        <v>1.1309823677581865</v>
      </c>
      <c r="AM14" s="58">
        <v>1</v>
      </c>
      <c r="AN14" s="861">
        <f t="shared" si="5"/>
        <v>1.1309823677581865</v>
      </c>
      <c r="AO14" s="25" t="s">
        <v>3956</v>
      </c>
      <c r="AP14" s="653">
        <v>4.46</v>
      </c>
      <c r="AQ14" s="653">
        <v>3.95</v>
      </c>
      <c r="AR14" s="560">
        <f t="shared" si="6"/>
        <v>1.1291139240506329</v>
      </c>
      <c r="AS14" s="58">
        <v>1</v>
      </c>
      <c r="AT14" s="861">
        <f t="shared" si="7"/>
        <v>1.1291139240506329</v>
      </c>
      <c r="AU14" s="25" t="s">
        <v>3957</v>
      </c>
      <c r="AV14" s="653">
        <v>4.49</v>
      </c>
      <c r="AW14" s="653">
        <v>3.81</v>
      </c>
      <c r="AX14" s="560">
        <f t="shared" si="8"/>
        <v>1.178477690288714</v>
      </c>
      <c r="AY14" s="58">
        <v>1</v>
      </c>
      <c r="AZ14" s="861">
        <f t="shared" si="9"/>
        <v>1.178477690288714</v>
      </c>
      <c r="BA14" s="25" t="s">
        <v>3958</v>
      </c>
      <c r="BB14" s="653">
        <v>4.38</v>
      </c>
      <c r="BC14" s="653">
        <v>3.83</v>
      </c>
      <c r="BD14" s="560">
        <f t="shared" si="10"/>
        <v>1.1436031331592689</v>
      </c>
      <c r="BE14" s="58">
        <v>1</v>
      </c>
      <c r="BF14" s="861">
        <f t="shared" si="11"/>
        <v>1.1436031331592689</v>
      </c>
      <c r="BG14" s="25" t="s">
        <v>3959</v>
      </c>
      <c r="BH14" s="653">
        <v>4.76</v>
      </c>
      <c r="BI14" s="653">
        <v>4.0599999999999996</v>
      </c>
      <c r="BJ14" s="560">
        <f>IF(BI14=0," ",BH14/BI14)</f>
        <v>1.1724137931034484</v>
      </c>
      <c r="BK14" s="58">
        <v>1</v>
      </c>
      <c r="BL14" s="861">
        <f t="shared" si="13"/>
        <v>1.1724137931034484</v>
      </c>
      <c r="BM14" s="25" t="s">
        <v>3960</v>
      </c>
      <c r="BN14" s="653">
        <v>4.79</v>
      </c>
      <c r="BO14" s="653">
        <v>4.0199999999999996</v>
      </c>
      <c r="BP14" s="560">
        <f t="shared" si="14"/>
        <v>1.191542288557214</v>
      </c>
      <c r="BQ14" s="58">
        <v>1</v>
      </c>
      <c r="BR14" s="861">
        <f t="shared" si="15"/>
        <v>1.191542288557214</v>
      </c>
      <c r="BS14" s="25" t="s">
        <v>3961</v>
      </c>
      <c r="BT14" s="653">
        <v>4.6100000000000003</v>
      </c>
      <c r="BU14" s="653">
        <v>4.18</v>
      </c>
      <c r="BV14" s="560">
        <f>IF(BU14=0," ",BT14/BU14)</f>
        <v>1.1028708133971294</v>
      </c>
      <c r="BW14" s="58">
        <v>1</v>
      </c>
      <c r="BX14" s="861">
        <f t="shared" si="17"/>
        <v>1.1028708133971294</v>
      </c>
      <c r="BY14" s="25" t="s">
        <v>3962</v>
      </c>
      <c r="BZ14" s="653">
        <v>4.72</v>
      </c>
      <c r="CA14" s="653">
        <v>4.28</v>
      </c>
      <c r="CB14" s="560">
        <f t="shared" si="18"/>
        <v>1.1028037383177569</v>
      </c>
      <c r="CC14" s="58">
        <v>1</v>
      </c>
      <c r="CD14" s="861">
        <f t="shared" si="19"/>
        <v>1.1028037383177569</v>
      </c>
      <c r="CE14" s="25" t="s">
        <v>3963</v>
      </c>
      <c r="CF14" s="653">
        <v>4.79</v>
      </c>
      <c r="CG14" s="653">
        <v>4.37</v>
      </c>
      <c r="CH14" s="560">
        <f t="shared" si="20"/>
        <v>1.0961098398169336</v>
      </c>
      <c r="CI14" s="58">
        <v>1</v>
      </c>
      <c r="CJ14" s="861">
        <f t="shared" si="21"/>
        <v>1.0961098398169336</v>
      </c>
      <c r="CK14" s="25" t="s">
        <v>3964</v>
      </c>
      <c r="CL14" s="653">
        <v>4.8499999999999996</v>
      </c>
      <c r="CM14" s="653">
        <v>4.37</v>
      </c>
      <c r="CN14" s="560">
        <f t="shared" si="22"/>
        <v>1.1098398169336383</v>
      </c>
      <c r="CO14" s="58">
        <v>1</v>
      </c>
      <c r="CP14" s="861">
        <f t="shared" si="23"/>
        <v>1.1098398169336383</v>
      </c>
      <c r="CQ14" s="25" t="s">
        <v>3965</v>
      </c>
      <c r="CR14" s="556">
        <f>(+X14+AD14+AJ14+AP14+AV14+BB14+BH14+BN14+BT14+BZ14+CF14+CL14)/12</f>
        <v>4.62</v>
      </c>
      <c r="CS14" s="556">
        <f>(+Y14++AE14+AK14+AQ14++AW14++BC14+BI14+BO14+BU14+CA14+CG14+CM14)/12</f>
        <v>4.0758333333333328</v>
      </c>
      <c r="CT14" s="560">
        <f t="shared" si="24"/>
        <v>1.1335105295440606</v>
      </c>
      <c r="CU14" s="58">
        <v>1</v>
      </c>
      <c r="CV14" s="861">
        <f t="shared" si="25"/>
        <v>1.1335105295440606</v>
      </c>
      <c r="CW14" s="215" t="s">
        <v>3966</v>
      </c>
    </row>
    <row r="15" spans="1:104" ht="14.25" customHeight="1">
      <c r="B15" s="33"/>
      <c r="C15" s="34"/>
      <c r="D15" s="35"/>
      <c r="E15" s="35"/>
      <c r="F15" s="36"/>
      <c r="G15" s="36"/>
      <c r="H15" s="1919" t="s">
        <v>49</v>
      </c>
      <c r="I15" s="36"/>
      <c r="J15" s="36"/>
      <c r="K15" s="37"/>
      <c r="L15" s="37"/>
      <c r="M15" s="38"/>
      <c r="N15" s="37"/>
      <c r="O15" s="37"/>
      <c r="P15" s="39"/>
      <c r="Q15" s="39"/>
      <c r="R15" s="39"/>
      <c r="S15" s="39"/>
      <c r="T15" s="39"/>
      <c r="U15" s="39"/>
      <c r="V15" s="39"/>
      <c r="W15" s="36"/>
      <c r="X15" s="709"/>
      <c r="Y15" s="709"/>
      <c r="Z15" s="22"/>
      <c r="AA15" s="24"/>
      <c r="AB15" s="24"/>
      <c r="AC15" s="1203"/>
      <c r="AD15" s="1203"/>
      <c r="AE15" s="709"/>
      <c r="AF15" s="709"/>
      <c r="AG15" s="22"/>
      <c r="AH15" s="24"/>
      <c r="AI15" s="24"/>
      <c r="AJ15" s="1203"/>
      <c r="AK15" s="709"/>
      <c r="AL15" s="709"/>
      <c r="AM15" s="22"/>
      <c r="AN15" s="24"/>
      <c r="AO15" s="24"/>
      <c r="AP15" s="709"/>
      <c r="AQ15" s="709"/>
      <c r="AR15" s="22"/>
      <c r="AS15" s="24"/>
      <c r="AT15" s="24"/>
      <c r="AU15" s="710"/>
      <c r="AV15" s="1203"/>
      <c r="AW15" s="709"/>
      <c r="AX15" s="709"/>
      <c r="AY15" s="22"/>
      <c r="AZ15" s="24"/>
      <c r="BA15" s="24"/>
      <c r="BB15" s="709"/>
      <c r="BC15" s="709"/>
      <c r="BD15" s="22"/>
      <c r="BE15" s="24"/>
      <c r="BF15" s="24"/>
      <c r="BG15" s="710"/>
      <c r="BH15" s="1203"/>
      <c r="BI15" s="709"/>
      <c r="BJ15" s="709"/>
      <c r="BK15" s="22"/>
      <c r="BL15" s="24"/>
      <c r="BM15" s="24"/>
      <c r="BN15" s="709"/>
      <c r="BO15" s="709"/>
      <c r="BP15" s="22"/>
      <c r="BQ15" s="24"/>
      <c r="BR15" s="24"/>
      <c r="BS15" s="710"/>
      <c r="BT15" s="1203"/>
      <c r="BU15" s="709"/>
      <c r="BV15" s="709"/>
      <c r="BW15" s="22"/>
      <c r="BX15" s="24"/>
      <c r="BY15" s="24"/>
      <c r="BZ15" s="709"/>
      <c r="CA15" s="709"/>
      <c r="CB15" s="22"/>
      <c r="CC15" s="24"/>
      <c r="CD15" s="24"/>
      <c r="CE15" s="710"/>
      <c r="CF15" s="1203"/>
      <c r="CG15" s="709"/>
      <c r="CH15" s="709"/>
      <c r="CI15" s="22"/>
      <c r="CJ15" s="24"/>
      <c r="CK15" s="24"/>
      <c r="CL15" s="709"/>
      <c r="CM15" s="709"/>
      <c r="CN15" s="22"/>
      <c r="CO15" s="24"/>
      <c r="CP15" s="24"/>
      <c r="CQ15" s="710"/>
      <c r="CR15" s="1203"/>
      <c r="CS15" s="709"/>
      <c r="CT15" s="709"/>
      <c r="CU15" s="22"/>
      <c r="CV15" s="24"/>
      <c r="CW15" s="24"/>
    </row>
    <row r="16" spans="1:104" s="210" customFormat="1" ht="72.75" customHeight="1">
      <c r="B16" s="790" t="s">
        <v>155</v>
      </c>
      <c r="C16" s="790" t="s">
        <v>156</v>
      </c>
      <c r="D16" s="789" t="s">
        <v>3967</v>
      </c>
      <c r="E16" s="789" t="s">
        <v>158</v>
      </c>
      <c r="F16" s="790" t="s">
        <v>251</v>
      </c>
      <c r="G16" s="790" t="s">
        <v>53</v>
      </c>
      <c r="H16" s="789" t="s">
        <v>160</v>
      </c>
      <c r="I16" s="790" t="s">
        <v>161</v>
      </c>
      <c r="J16" s="790" t="s">
        <v>54</v>
      </c>
      <c r="K16" s="1224"/>
      <c r="L16" s="1224"/>
      <c r="M16" s="1220"/>
      <c r="N16" s="1220">
        <v>1</v>
      </c>
      <c r="O16" s="1224"/>
      <c r="P16" s="1220">
        <v>1</v>
      </c>
      <c r="Q16" s="1225"/>
      <c r="R16" s="1225"/>
      <c r="S16" s="1220">
        <v>1</v>
      </c>
      <c r="T16" s="1225"/>
      <c r="U16" s="1225"/>
      <c r="V16" s="1220">
        <v>1</v>
      </c>
      <c r="W16" s="1137" t="s">
        <v>79</v>
      </c>
      <c r="X16" s="623"/>
      <c r="Y16" s="623"/>
      <c r="Z16" s="157" t="str">
        <f>IF(Y16=0," ",X16/Y16)</f>
        <v xml:space="preserve"> </v>
      </c>
      <c r="AA16" s="728"/>
      <c r="AB16" s="728" t="str">
        <f>IF(Y16=0," ",Z16/AA16)</f>
        <v xml:space="preserve"> </v>
      </c>
      <c r="AC16" s="215"/>
      <c r="AD16" s="623"/>
      <c r="AE16" s="623"/>
      <c r="AF16" s="157" t="str">
        <f>IF(AE16=0," ",AD16/AE16)</f>
        <v xml:space="preserve"> </v>
      </c>
      <c r="AG16" s="728"/>
      <c r="AH16" s="728" t="str">
        <f>IF(AE16=0," ",AF16/AG16)</f>
        <v xml:space="preserve"> </v>
      </c>
      <c r="AI16" s="215"/>
      <c r="AJ16" s="623"/>
      <c r="AK16" s="623"/>
      <c r="AL16" s="157" t="str">
        <f>IF(AK16=0," ",AJ16/AK16)</f>
        <v xml:space="preserve"> </v>
      </c>
      <c r="AM16" s="728"/>
      <c r="AN16" s="728" t="str">
        <f>IF(AK16=0," ",AL16/AM16)</f>
        <v xml:space="preserve"> </v>
      </c>
      <c r="AO16" s="215"/>
      <c r="AP16" s="623"/>
      <c r="AQ16" s="623"/>
      <c r="AR16" s="157" t="str">
        <f>IF(AQ16=0," ",AP16/AQ16)</f>
        <v xml:space="preserve"> </v>
      </c>
      <c r="AS16" s="728"/>
      <c r="AT16" s="728" t="str">
        <f>IF(AQ16=0," ",AR16/AS16)</f>
        <v xml:space="preserve"> </v>
      </c>
      <c r="AU16" s="215" t="s">
        <v>3968</v>
      </c>
      <c r="AV16" s="623"/>
      <c r="AW16" s="623"/>
      <c r="AX16" s="157" t="str">
        <f>IF(AW16=0," ",AV16/AW16)</f>
        <v xml:space="preserve"> </v>
      </c>
      <c r="AY16" s="728"/>
      <c r="AZ16" s="728" t="str">
        <f>IF(AW16=0," ",AX16/AY16)</f>
        <v xml:space="preserve"> </v>
      </c>
      <c r="BA16" s="215"/>
      <c r="BB16" s="623"/>
      <c r="BC16" s="623"/>
      <c r="BD16" s="157" t="str">
        <f>IF(BC16=0," ",BB16/BC16)</f>
        <v xml:space="preserve"> </v>
      </c>
      <c r="BE16" s="728"/>
      <c r="BF16" s="728" t="str">
        <f>IF(BC16=0," ",BD16/BE16)</f>
        <v xml:space="preserve"> </v>
      </c>
      <c r="BG16" s="215" t="s">
        <v>3969</v>
      </c>
      <c r="BH16" s="623"/>
      <c r="BI16" s="623"/>
      <c r="BJ16" s="157" t="str">
        <f>IF(BI16=0," ",BH16/BI16)</f>
        <v xml:space="preserve"> </v>
      </c>
      <c r="BK16" s="728"/>
      <c r="BL16" s="728" t="str">
        <f>IF(BI16=0," ",BJ16/BK16)</f>
        <v xml:space="preserve"> </v>
      </c>
      <c r="BM16" s="215"/>
      <c r="BN16" s="623"/>
      <c r="BO16" s="623"/>
      <c r="BP16" s="157" t="str">
        <f>IF(BO16=0," ",BN16/BO16)</f>
        <v xml:space="preserve"> </v>
      </c>
      <c r="BQ16" s="728"/>
      <c r="BR16" s="728" t="str">
        <f>IF(BO16=0," ",BP16/BQ16)</f>
        <v xml:space="preserve"> </v>
      </c>
      <c r="BS16" s="215"/>
      <c r="BT16" s="623">
        <v>4</v>
      </c>
      <c r="BU16" s="623">
        <v>17</v>
      </c>
      <c r="BV16" s="22">
        <f>IF(BU16=0," ",BT16/BU16)</f>
        <v>0.23529411764705882</v>
      </c>
      <c r="BW16" s="58">
        <v>1</v>
      </c>
      <c r="BX16" s="24">
        <f>IF(BU16=0," ",BV16/BW16)</f>
        <v>0.23529411764705882</v>
      </c>
      <c r="BY16" s="25" t="s">
        <v>3970</v>
      </c>
      <c r="BZ16" s="623"/>
      <c r="CA16" s="623"/>
      <c r="CB16" s="157" t="str">
        <f>IF(CA16=0," ",BZ16/CA16)</f>
        <v xml:space="preserve"> </v>
      </c>
      <c r="CC16" s="728"/>
      <c r="CD16" s="728" t="str">
        <f>IF(CA16=0," ",CB16/CC16)</f>
        <v xml:space="preserve"> </v>
      </c>
      <c r="CE16" s="215"/>
      <c r="CF16" s="623"/>
      <c r="CG16" s="623"/>
      <c r="CH16" s="157" t="str">
        <f>IF(CG16=0," ",CF16/CG16)</f>
        <v xml:space="preserve"> </v>
      </c>
      <c r="CI16" s="728"/>
      <c r="CJ16" s="728" t="str">
        <f>IF(CG16=0," ",CH16/CI16)</f>
        <v xml:space="preserve"> </v>
      </c>
      <c r="CK16" s="215"/>
      <c r="CL16" s="117">
        <v>11</v>
      </c>
      <c r="CM16" s="117">
        <v>12</v>
      </c>
      <c r="CN16" s="1920">
        <f>IF(CM16=0," ",CL16/CM16)</f>
        <v>0.91666666666666663</v>
      </c>
      <c r="CO16" s="728">
        <v>1</v>
      </c>
      <c r="CP16" s="728">
        <f>IF(CM16=0," ",CN16/CO16)</f>
        <v>0.91666666666666663</v>
      </c>
      <c r="CQ16" s="215" t="s">
        <v>3705</v>
      </c>
      <c r="CR16" s="1921">
        <v>12</v>
      </c>
      <c r="CS16" s="1921">
        <v>13</v>
      </c>
      <c r="CT16" s="157">
        <f>IF(CS16=0," ",CR16/CS16)</f>
        <v>0.92307692307692313</v>
      </c>
      <c r="CU16" s="728">
        <v>1</v>
      </c>
      <c r="CV16" s="728">
        <f>IF(CS16=0," ",CT16/CU16)</f>
        <v>0.92307692307692313</v>
      </c>
      <c r="CW16" s="215" t="s">
        <v>3705</v>
      </c>
    </row>
    <row r="17" spans="2:101" s="210" customFormat="1" ht="81.75" customHeight="1">
      <c r="B17" s="790" t="s">
        <v>55</v>
      </c>
      <c r="C17" s="790" t="s">
        <v>89</v>
      </c>
      <c r="D17" s="790" t="s">
        <v>56</v>
      </c>
      <c r="E17" s="790" t="s">
        <v>57</v>
      </c>
      <c r="F17" s="847" t="s">
        <v>58</v>
      </c>
      <c r="G17" s="790" t="s">
        <v>53</v>
      </c>
      <c r="H17" s="847" t="s">
        <v>59</v>
      </c>
      <c r="I17" s="790" t="s">
        <v>60</v>
      </c>
      <c r="J17" s="790" t="s">
        <v>54</v>
      </c>
      <c r="K17" s="1224"/>
      <c r="L17" s="1224"/>
      <c r="M17" s="1220">
        <v>1</v>
      </c>
      <c r="N17" s="1224"/>
      <c r="O17" s="1224"/>
      <c r="P17" s="1220">
        <v>1</v>
      </c>
      <c r="Q17" s="1220"/>
      <c r="R17" s="1224"/>
      <c r="S17" s="1220">
        <v>1</v>
      </c>
      <c r="T17" s="1220"/>
      <c r="U17" s="1224"/>
      <c r="V17" s="1220">
        <v>1</v>
      </c>
      <c r="W17" s="790" t="s">
        <v>79</v>
      </c>
      <c r="X17" s="623"/>
      <c r="Y17" s="623"/>
      <c r="Z17" s="157" t="str">
        <f>IF(Y17=0," ",X17/Y17)</f>
        <v xml:space="preserve"> </v>
      </c>
      <c r="AA17" s="728"/>
      <c r="AB17" s="728" t="str">
        <f>IF(Y17=0," ",Z17/AA17)</f>
        <v xml:space="preserve"> </v>
      </c>
      <c r="AC17" s="215"/>
      <c r="AD17" s="623"/>
      <c r="AE17" s="623"/>
      <c r="AF17" s="157" t="str">
        <f>IF(AE17=0," ",AD17/AE17)</f>
        <v xml:space="preserve"> </v>
      </c>
      <c r="AG17" s="728"/>
      <c r="AH17" s="728" t="str">
        <f>IF(AE17=0," ",AF17/AG17)</f>
        <v xml:space="preserve"> </v>
      </c>
      <c r="AI17" s="215"/>
      <c r="AJ17" s="21" t="s">
        <v>1108</v>
      </c>
      <c r="AK17" s="21">
        <v>0</v>
      </c>
      <c r="AL17" s="1922" t="str">
        <f>IF(AK17=0," ",AJ17/AK17)</f>
        <v xml:space="preserve"> </v>
      </c>
      <c r="AM17" s="23">
        <v>1</v>
      </c>
      <c r="AN17" s="1332" t="str">
        <f>IF(AK17=0," ",AL17/AM17)</f>
        <v xml:space="preserve"> </v>
      </c>
      <c r="AO17" s="215" t="s">
        <v>1281</v>
      </c>
      <c r="AP17" s="623"/>
      <c r="AQ17" s="623"/>
      <c r="AR17" s="157" t="str">
        <f>IF(AQ17=0," ",AP17/AQ17)</f>
        <v xml:space="preserve"> </v>
      </c>
      <c r="AS17" s="728"/>
      <c r="AT17" s="728" t="str">
        <f>IF(AQ17=0," ",AR17/AS17)</f>
        <v xml:space="preserve"> </v>
      </c>
      <c r="AU17" s="215"/>
      <c r="AV17" s="623"/>
      <c r="AW17" s="623"/>
      <c r="AX17" s="157" t="str">
        <f>IF(AW17=0," ",AV17/AW17)</f>
        <v xml:space="preserve"> </v>
      </c>
      <c r="AY17" s="728"/>
      <c r="AZ17" s="728" t="str">
        <f>IF(AW17=0," ",AX17/AY17)</f>
        <v xml:space="preserve"> </v>
      </c>
      <c r="BA17" s="215"/>
      <c r="BB17" s="21" t="s">
        <v>1108</v>
      </c>
      <c r="BC17" s="568">
        <v>0</v>
      </c>
      <c r="BD17" s="22" t="s">
        <v>332</v>
      </c>
      <c r="BE17" s="23">
        <v>1</v>
      </c>
      <c r="BF17" s="24" t="s">
        <v>332</v>
      </c>
      <c r="BG17" s="215" t="s">
        <v>1281</v>
      </c>
      <c r="BH17" s="623"/>
      <c r="BI17" s="623"/>
      <c r="BJ17" s="157" t="str">
        <f>IF(BI17=0," ",BH17/BI17)</f>
        <v xml:space="preserve"> </v>
      </c>
      <c r="BK17" s="728"/>
      <c r="BL17" s="728" t="str">
        <f>IF(BI17=0," ",BJ17/BK17)</f>
        <v xml:space="preserve"> </v>
      </c>
      <c r="BM17" s="215"/>
      <c r="BN17" s="623"/>
      <c r="BO17" s="623"/>
      <c r="BP17" s="157" t="str">
        <f>IF(BO17=0," ",BN17/BO17)</f>
        <v xml:space="preserve"> </v>
      </c>
      <c r="BQ17" s="728"/>
      <c r="BR17" s="728" t="str">
        <f>IF(BO17=0," ",BP17/BQ17)</f>
        <v xml:space="preserve"> </v>
      </c>
      <c r="BS17" s="215"/>
      <c r="BT17" s="623">
        <v>0</v>
      </c>
      <c r="BU17" s="117">
        <v>100</v>
      </c>
      <c r="BV17" s="157">
        <f>IF(BU17=0," ",BT17/BU17)</f>
        <v>0</v>
      </c>
      <c r="BW17" s="728">
        <v>1</v>
      </c>
      <c r="BX17" s="728">
        <f>IF(BU17=0," ",BV17/BW17)</f>
        <v>0</v>
      </c>
      <c r="BY17" s="215"/>
      <c r="BZ17" s="623"/>
      <c r="CA17" s="623"/>
      <c r="CB17" s="157" t="str">
        <f>IF(CA17=0," ",BZ17/CA17)</f>
        <v xml:space="preserve"> </v>
      </c>
      <c r="CC17" s="728"/>
      <c r="CD17" s="728" t="str">
        <f>IF(CA17=0," ",CB17/CC17)</f>
        <v xml:space="preserve"> </v>
      </c>
      <c r="CE17" s="215"/>
      <c r="CF17" s="623"/>
      <c r="CG17" s="623"/>
      <c r="CH17" s="157" t="str">
        <f>IF(CG17=0," ",CF17/CG17)</f>
        <v xml:space="preserve"> </v>
      </c>
      <c r="CI17" s="728"/>
      <c r="CJ17" s="728" t="str">
        <f>IF(CG17=0," ",CH17/CI17)</f>
        <v xml:space="preserve"> </v>
      </c>
      <c r="CK17" s="25"/>
      <c r="CL17" s="1923" t="str">
        <f>'[30]Consolidado Resultados'!C13</f>
        <v>100 %</v>
      </c>
      <c r="CM17" s="1924">
        <v>1</v>
      </c>
      <c r="CN17" s="1925">
        <f>IF(CM17=0," ",CL17/CM17)</f>
        <v>1</v>
      </c>
      <c r="CO17" s="1926">
        <v>1</v>
      </c>
      <c r="CP17" s="1927">
        <f>IF(CM17=0," ",CN17/CO17)</f>
        <v>1</v>
      </c>
      <c r="CQ17" s="1928" t="s">
        <v>326</v>
      </c>
      <c r="CR17" s="1929">
        <f>AVERAGE(AJ17,BB17,BT17,CL17)</f>
        <v>0</v>
      </c>
      <c r="CS17" s="1930">
        <v>100</v>
      </c>
      <c r="CT17" s="1925">
        <f>IF(CS17=0," ",CR17/CS17)</f>
        <v>0</v>
      </c>
      <c r="CU17" s="1926">
        <v>1</v>
      </c>
      <c r="CV17" s="1927">
        <f>IF(CS17=0," ",CT17/CU17)</f>
        <v>0</v>
      </c>
      <c r="CW17" s="1928" t="s">
        <v>327</v>
      </c>
    </row>
    <row r="18" spans="2:101" s="210" customFormat="1" ht="91.5" customHeight="1">
      <c r="B18" s="790" t="s">
        <v>55</v>
      </c>
      <c r="C18" s="790" t="s">
        <v>3708</v>
      </c>
      <c r="D18" s="790" t="s">
        <v>61</v>
      </c>
      <c r="E18" s="790" t="s">
        <v>57</v>
      </c>
      <c r="F18" s="847" t="s">
        <v>62</v>
      </c>
      <c r="G18" s="790" t="s">
        <v>53</v>
      </c>
      <c r="H18" s="790" t="s">
        <v>63</v>
      </c>
      <c r="I18" s="790" t="s">
        <v>64</v>
      </c>
      <c r="J18" s="790" t="s">
        <v>54</v>
      </c>
      <c r="K18" s="737"/>
      <c r="L18" s="1931">
        <v>1</v>
      </c>
      <c r="M18" s="1931"/>
      <c r="N18" s="1931">
        <v>1</v>
      </c>
      <c r="O18" s="1932"/>
      <c r="P18" s="1220">
        <v>1</v>
      </c>
      <c r="Q18" s="1933"/>
      <c r="R18" s="1220">
        <v>1</v>
      </c>
      <c r="S18" s="1933"/>
      <c r="T18" s="1220">
        <v>1</v>
      </c>
      <c r="U18" s="1934"/>
      <c r="V18" s="1220">
        <v>1</v>
      </c>
      <c r="W18" s="53" t="s">
        <v>79</v>
      </c>
      <c r="X18" s="623"/>
      <c r="Y18" s="623"/>
      <c r="Z18" s="157" t="str">
        <f>IF(Y18=0," ",X18/Y18)</f>
        <v xml:space="preserve"> </v>
      </c>
      <c r="AA18" s="728"/>
      <c r="AB18" s="728" t="str">
        <f>IF(Y18=0," ",Z18/AA18)</f>
        <v xml:space="preserve"> </v>
      </c>
      <c r="AC18" s="215"/>
      <c r="AD18" s="1875"/>
      <c r="AE18" s="21"/>
      <c r="AF18" s="796" t="str">
        <f>IF(AE18=0," ",AD18/AE18)</f>
        <v xml:space="preserve"> </v>
      </c>
      <c r="AG18" s="1876"/>
      <c r="AH18" s="1935" t="str">
        <f>IF(AE18=0," ",AF18/AG18)</f>
        <v xml:space="preserve"> </v>
      </c>
      <c r="AI18" s="695" t="s">
        <v>3971</v>
      </c>
      <c r="AJ18" s="623"/>
      <c r="AK18" s="623"/>
      <c r="AL18" s="157" t="str">
        <f>IF(AK18=0," ",AJ18/AK18)</f>
        <v xml:space="preserve"> </v>
      </c>
      <c r="AM18" s="728"/>
      <c r="AN18" s="728" t="str">
        <f>IF(AK18=0," ",AL18/AM18)</f>
        <v xml:space="preserve"> </v>
      </c>
      <c r="AO18" s="215"/>
      <c r="AP18" s="21"/>
      <c r="AQ18" s="21"/>
      <c r="AR18" s="157" t="str">
        <f>IF(AQ18=0," ",AP18/AQ18)</f>
        <v xml:space="preserve"> </v>
      </c>
      <c r="AS18" s="797"/>
      <c r="AT18" s="728" t="str">
        <f>IF(AQ18=0," ",AR18/AS18)</f>
        <v xml:space="preserve"> </v>
      </c>
      <c r="AU18" s="241" t="s">
        <v>3971</v>
      </c>
      <c r="AV18" s="623"/>
      <c r="AW18" s="623"/>
      <c r="AX18" s="157" t="str">
        <f>IF(AW18=0," ",AV18/AW18)</f>
        <v xml:space="preserve"> </v>
      </c>
      <c r="AY18" s="728"/>
      <c r="AZ18" s="728" t="str">
        <f>IF(AW18=0," ",AX18/AY18)</f>
        <v xml:space="preserve"> </v>
      </c>
      <c r="BA18" s="215"/>
      <c r="BB18" s="623"/>
      <c r="BC18" s="623"/>
      <c r="BD18" s="157" t="str">
        <f>IF(BC18=0," ",BB18/BC18)</f>
        <v xml:space="preserve"> </v>
      </c>
      <c r="BE18" s="728"/>
      <c r="BF18" s="728" t="str">
        <f>IF(BC18=0," ",BD18/BE18)</f>
        <v xml:space="preserve"> </v>
      </c>
      <c r="BG18" s="215" t="s">
        <v>3971</v>
      </c>
      <c r="BH18" s="623"/>
      <c r="BI18" s="623"/>
      <c r="BJ18" s="157" t="str">
        <f>IF(BI18=0," ",BH18/BI18)</f>
        <v xml:space="preserve"> </v>
      </c>
      <c r="BK18" s="728"/>
      <c r="BL18" s="728" t="str">
        <f>IF(BI18=0," ",BJ18/BK18)</f>
        <v xml:space="preserve"> </v>
      </c>
      <c r="BM18" s="215"/>
      <c r="BN18" s="623"/>
      <c r="BO18" s="623"/>
      <c r="BP18" s="157"/>
      <c r="BQ18" s="728"/>
      <c r="BR18" s="728" t="str">
        <f>IF(BO18=0," ",BP18/BQ18)</f>
        <v xml:space="preserve"> </v>
      </c>
      <c r="BS18" s="215" t="s">
        <v>3971</v>
      </c>
      <c r="BT18" s="623"/>
      <c r="BU18" s="623"/>
      <c r="BV18" s="157" t="str">
        <f>IF(BU18=0," ",BT18/BU18)</f>
        <v xml:space="preserve"> </v>
      </c>
      <c r="BW18" s="728"/>
      <c r="BX18" s="728" t="str">
        <f>IF(BU18=0," ",BV18/BW18)</f>
        <v xml:space="preserve"> </v>
      </c>
      <c r="BY18" s="215"/>
      <c r="BZ18" s="623"/>
      <c r="CA18" s="623"/>
      <c r="CB18" s="157" t="str">
        <f>IF(CA18=0," ",BZ18/CA18)</f>
        <v xml:space="preserve"> </v>
      </c>
      <c r="CC18" s="728"/>
      <c r="CD18" s="728" t="str">
        <f>IF(CA18=0," ",CB18/CC18)</f>
        <v xml:space="preserve"> </v>
      </c>
      <c r="CE18" s="215" t="s">
        <v>3971</v>
      </c>
      <c r="CF18" s="623"/>
      <c r="CG18" s="623"/>
      <c r="CH18" s="157" t="str">
        <f>IF(CG18=0," ",CF18/CG18)</f>
        <v xml:space="preserve"> </v>
      </c>
      <c r="CI18" s="728"/>
      <c r="CJ18" s="728" t="str">
        <f>IF(CG18=0," ",CH18/CI18)</f>
        <v xml:space="preserve"> </v>
      </c>
      <c r="CK18" s="215"/>
      <c r="CL18" s="1936" t="s">
        <v>325</v>
      </c>
      <c r="CM18" s="1937"/>
      <c r="CN18" s="1938" t="str">
        <f>IF(CM18=0," ",CL18/CM18)</f>
        <v xml:space="preserve"> </v>
      </c>
      <c r="CO18" s="1939" t="s">
        <v>325</v>
      </c>
      <c r="CP18" s="1940" t="str">
        <f>IF(CM18=0," ",CN18/CO18)</f>
        <v xml:space="preserve"> </v>
      </c>
      <c r="CQ18" s="1941" t="s">
        <v>162</v>
      </c>
      <c r="CR18" s="1930"/>
      <c r="CS18" s="1930"/>
      <c r="CT18" s="1925" t="str">
        <f>IF(CS18=0," ",CR18/CS18)</f>
        <v xml:space="preserve"> </v>
      </c>
      <c r="CU18" s="1926"/>
      <c r="CV18" s="1942" t="str">
        <f>IF((SUM(AH18,AT18,BF18,BR18,CD18,CP18)&gt;0),(SUM(AH18,AT18,BF18,BR18,CD18,CP18)/COUNT(AH18,AT18,BF18,BR18,CD18,CP18)),("NO APLICA EVALUACIÓN DEL INDICADOR EN LA VIGENCIA 2014"))</f>
        <v>NO APLICA EVALUACIÓN DEL INDICADOR EN LA VIGENCIA 2014</v>
      </c>
      <c r="CW18" s="1943"/>
    </row>
    <row r="19" spans="2:101" s="210" customFormat="1" ht="100.5" customHeight="1">
      <c r="B19" s="790" t="s">
        <v>81</v>
      </c>
      <c r="C19" s="790" t="s">
        <v>92</v>
      </c>
      <c r="D19" s="789" t="s">
        <v>83</v>
      </c>
      <c r="E19" s="790" t="s">
        <v>84</v>
      </c>
      <c r="F19" s="847" t="s">
        <v>1322</v>
      </c>
      <c r="G19" s="790" t="s">
        <v>66</v>
      </c>
      <c r="H19" s="790" t="s">
        <v>1323</v>
      </c>
      <c r="I19" s="790" t="s">
        <v>85</v>
      </c>
      <c r="J19" s="790" t="s">
        <v>54</v>
      </c>
      <c r="K19" s="1220"/>
      <c r="L19" s="1220"/>
      <c r="M19" s="1220">
        <v>1</v>
      </c>
      <c r="N19" s="1220"/>
      <c r="O19" s="1220"/>
      <c r="P19" s="1220">
        <v>1</v>
      </c>
      <c r="Q19" s="1220"/>
      <c r="R19" s="1220"/>
      <c r="S19" s="1220">
        <v>1</v>
      </c>
      <c r="T19" s="1220"/>
      <c r="U19" s="1220"/>
      <c r="V19" s="1220">
        <v>1</v>
      </c>
      <c r="W19" s="1137" t="s">
        <v>79</v>
      </c>
      <c r="X19" s="623"/>
      <c r="Y19" s="623"/>
      <c r="Z19" s="157"/>
      <c r="AA19" s="728"/>
      <c r="AB19" s="728"/>
      <c r="AC19" s="215"/>
      <c r="AD19" s="623"/>
      <c r="AE19" s="623"/>
      <c r="AF19" s="157" t="str">
        <f>IF(AE19=0," ",AD19/AE19)</f>
        <v xml:space="preserve"> </v>
      </c>
      <c r="AG19" s="728"/>
      <c r="AH19" s="728" t="str">
        <f>IF(AE19=0," ",AF19/AG19)</f>
        <v xml:space="preserve"> </v>
      </c>
      <c r="AI19" s="215"/>
      <c r="AJ19" s="1205">
        <v>14</v>
      </c>
      <c r="AK19" s="1205">
        <v>14</v>
      </c>
      <c r="AL19" s="560">
        <f>IF(AK19=0," ",AJ19/AK19)</f>
        <v>1</v>
      </c>
      <c r="AM19" s="568">
        <v>1</v>
      </c>
      <c r="AN19" s="861">
        <f>IF(AK19=0," ",AL19/AM19)</f>
        <v>1</v>
      </c>
      <c r="AO19" s="695" t="s">
        <v>1871</v>
      </c>
      <c r="AP19" s="623"/>
      <c r="AQ19" s="623"/>
      <c r="AR19" s="157" t="str">
        <f>IF(AQ19=0," ",AP19/AQ19)</f>
        <v xml:space="preserve"> </v>
      </c>
      <c r="AS19" s="728"/>
      <c r="AT19" s="728" t="str">
        <f>IF(AQ19=0," ",AR19/AS19)</f>
        <v xml:space="preserve"> </v>
      </c>
      <c r="AU19" s="215"/>
      <c r="AV19" s="623"/>
      <c r="AW19" s="623"/>
      <c r="AX19" s="157" t="str">
        <f>IF(AW19=0," ",AV19/AW19)</f>
        <v xml:space="preserve"> </v>
      </c>
      <c r="AY19" s="728"/>
      <c r="AZ19" s="728" t="str">
        <f>IF(AW19=0," ",AX19/AY19)</f>
        <v xml:space="preserve"> </v>
      </c>
      <c r="BA19" s="215"/>
      <c r="BB19" s="117">
        <v>14</v>
      </c>
      <c r="BC19" s="117">
        <v>14</v>
      </c>
      <c r="BD19" s="157">
        <f>IF(BC19=0," ",BB19/BC19)</f>
        <v>1</v>
      </c>
      <c r="BE19" s="728">
        <v>1</v>
      </c>
      <c r="BF19" s="728">
        <f>IF(BC19=0," ",BD19/BE19)</f>
        <v>1</v>
      </c>
      <c r="BG19" s="215" t="s">
        <v>3972</v>
      </c>
      <c r="BH19" s="623"/>
      <c r="BI19" s="623"/>
      <c r="BJ19" s="157" t="str">
        <f>IF(BI19=0," ",BH19/BI19)</f>
        <v xml:space="preserve"> </v>
      </c>
      <c r="BK19" s="728"/>
      <c r="BL19" s="728" t="str">
        <f>IF(BI19=0," ",BJ19/BK19)</f>
        <v xml:space="preserve"> </v>
      </c>
      <c r="BM19" s="215"/>
      <c r="BN19" s="623"/>
      <c r="BO19" s="623"/>
      <c r="BP19" s="157" t="str">
        <f>IF(BO19=0," ",BN19/BO19)</f>
        <v xml:space="preserve"> </v>
      </c>
      <c r="BQ19" s="728"/>
      <c r="BR19" s="728" t="str">
        <f>IF(BO19=0," ",BP19/BQ19)</f>
        <v xml:space="preserve"> </v>
      </c>
      <c r="BS19" s="215"/>
      <c r="BT19" s="315">
        <v>19</v>
      </c>
      <c r="BU19" s="1205">
        <v>19</v>
      </c>
      <c r="BV19" s="157">
        <f>IF(BU19=0," ",BT19/BU19)</f>
        <v>1</v>
      </c>
      <c r="BW19" s="728">
        <v>1</v>
      </c>
      <c r="BX19" s="728">
        <f>IF(BU19=0," ",BV19/BW19)</f>
        <v>1</v>
      </c>
      <c r="BY19" s="220" t="s">
        <v>3973</v>
      </c>
      <c r="BZ19" s="623"/>
      <c r="CA19" s="623"/>
      <c r="CB19" s="157" t="str">
        <f>IF(CA19=0," ",BZ19/CA19)</f>
        <v xml:space="preserve"> </v>
      </c>
      <c r="CC19" s="728"/>
      <c r="CD19" s="728" t="str">
        <f>IF(CA19=0," ",CB19/CC19)</f>
        <v xml:space="preserve"> </v>
      </c>
      <c r="CE19" s="215"/>
      <c r="CF19" s="623"/>
      <c r="CG19" s="623"/>
      <c r="CH19" s="157" t="str">
        <f>IF(CG19=0," ",CF19/CG19)</f>
        <v xml:space="preserve"> </v>
      </c>
      <c r="CI19" s="728"/>
      <c r="CJ19" s="728" t="str">
        <f>IF(CG19=0," ",CH19/CI19)</f>
        <v xml:space="preserve"> </v>
      </c>
      <c r="CK19" s="215"/>
      <c r="CL19" s="117">
        <v>22</v>
      </c>
      <c r="CM19" s="117">
        <v>22</v>
      </c>
      <c r="CN19" s="157">
        <f>IF(CM19=0," ",CL19/CM19)</f>
        <v>1</v>
      </c>
      <c r="CO19" s="728">
        <v>1</v>
      </c>
      <c r="CP19" s="728">
        <f>IF(CM19=0," ",CN19/CO19)</f>
        <v>1</v>
      </c>
      <c r="CQ19" s="1103" t="s">
        <v>3973</v>
      </c>
      <c r="CR19" s="1944">
        <v>1</v>
      </c>
      <c r="CS19" s="1944">
        <v>1</v>
      </c>
      <c r="CT19" s="560">
        <f>IF(CS19=0," ",CR19/CS19)</f>
        <v>1</v>
      </c>
      <c r="CU19" s="58">
        <v>1</v>
      </c>
      <c r="CV19" s="861">
        <f>IF(CS19=0," ",CT19/CU19)</f>
        <v>1</v>
      </c>
      <c r="CW19" s="101" t="s">
        <v>1456</v>
      </c>
    </row>
    <row r="20" spans="2:101" s="210" customFormat="1" ht="48.75" customHeight="1">
      <c r="B20" s="1945"/>
      <c r="C20" s="53"/>
      <c r="D20" s="1946"/>
      <c r="E20" s="53"/>
      <c r="F20" s="1947"/>
      <c r="G20" s="53"/>
      <c r="H20" s="53"/>
      <c r="I20" s="53"/>
      <c r="J20" s="53"/>
      <c r="K20" s="1948"/>
      <c r="L20" s="1948"/>
      <c r="M20" s="1948"/>
      <c r="N20" s="1948"/>
      <c r="O20" s="1948"/>
      <c r="P20" s="1948"/>
      <c r="Q20" s="1948"/>
      <c r="R20" s="1948"/>
      <c r="S20" s="1948"/>
      <c r="T20" s="1948"/>
      <c r="U20" s="1948"/>
      <c r="V20" s="1948"/>
      <c r="W20" s="53"/>
      <c r="X20" s="1949"/>
      <c r="Y20" s="1949"/>
      <c r="Z20" s="1841"/>
      <c r="AA20" s="1842"/>
      <c r="AB20" s="1842"/>
      <c r="AC20" s="52"/>
      <c r="AD20" s="1949"/>
      <c r="AE20" s="1949"/>
      <c r="AF20" s="1841"/>
      <c r="AG20" s="1842"/>
      <c r="AH20" s="1842"/>
      <c r="AI20" s="52"/>
      <c r="AJ20" s="1949"/>
      <c r="AK20" s="1949"/>
      <c r="AL20" s="1841"/>
      <c r="AM20" s="1842"/>
      <c r="AN20" s="1842"/>
      <c r="AO20" s="52"/>
      <c r="AP20" s="1949"/>
      <c r="AQ20" s="1949"/>
      <c r="AR20" s="1841"/>
      <c r="AS20" s="1842"/>
      <c r="AT20" s="1842"/>
      <c r="AU20" s="52"/>
      <c r="AV20" s="1949"/>
      <c r="AW20" s="1949"/>
      <c r="AX20" s="1841"/>
      <c r="AY20" s="1842"/>
      <c r="AZ20" s="1842"/>
      <c r="BA20" s="52"/>
      <c r="BB20" s="1949"/>
      <c r="BC20" s="1949"/>
      <c r="BD20" s="1841"/>
      <c r="BE20" s="1842"/>
      <c r="BF20" s="1842"/>
      <c r="BG20" s="52"/>
      <c r="BH20" s="1949"/>
      <c r="BI20" s="1949"/>
      <c r="BJ20" s="1841"/>
      <c r="BK20" s="1842"/>
      <c r="BL20" s="1842"/>
      <c r="BM20" s="52"/>
      <c r="BN20" s="1949"/>
      <c r="BO20" s="1949"/>
      <c r="BP20" s="1841"/>
      <c r="BQ20" s="1842"/>
      <c r="BR20" s="1842"/>
      <c r="BS20" s="52"/>
      <c r="BT20" s="1949"/>
      <c r="BU20" s="1949"/>
      <c r="BV20" s="1841"/>
      <c r="BW20" s="1842"/>
      <c r="BX20" s="1842"/>
      <c r="BY20" s="52"/>
      <c r="BZ20" s="1949"/>
      <c r="CA20" s="1949"/>
      <c r="CB20" s="1841"/>
      <c r="CC20" s="1842"/>
      <c r="CD20" s="1842"/>
      <c r="CE20" s="52"/>
      <c r="CF20" s="1949"/>
      <c r="CG20" s="1949"/>
      <c r="CH20" s="1841"/>
      <c r="CI20" s="1842"/>
      <c r="CJ20" s="1842"/>
      <c r="CK20" s="52"/>
      <c r="CL20" s="1949"/>
      <c r="CM20" s="1949"/>
      <c r="CN20" s="1841"/>
      <c r="CO20" s="1842"/>
      <c r="CP20" s="1842"/>
      <c r="CQ20" s="52"/>
      <c r="CR20" s="1949"/>
      <c r="CS20" s="1949"/>
      <c r="CT20" s="1841"/>
      <c r="CU20" s="1842"/>
      <c r="CV20" s="1842"/>
      <c r="CW20" s="52"/>
    </row>
    <row r="21" spans="2:101" ht="15.75" customHeight="1">
      <c r="B21" s="1972" t="s">
        <v>17</v>
      </c>
      <c r="C21" s="1972"/>
      <c r="D21" s="1972"/>
      <c r="E21" s="1972"/>
      <c r="F21" s="5"/>
      <c r="G21" s="5"/>
      <c r="H21" s="5"/>
      <c r="I21" s="5"/>
      <c r="J21" s="5"/>
      <c r="K21" s="6"/>
      <c r="L21" s="6"/>
      <c r="M21" s="6"/>
      <c r="N21" s="6"/>
      <c r="O21" s="6"/>
      <c r="P21" s="6"/>
      <c r="Q21" s="6"/>
      <c r="R21" s="6"/>
      <c r="S21" s="6"/>
      <c r="T21" s="6"/>
      <c r="U21" s="6"/>
      <c r="V21" s="6"/>
      <c r="W21" s="1972"/>
      <c r="X21" s="1972"/>
      <c r="Y21" s="1972"/>
      <c r="Z21" s="1972"/>
      <c r="AA21" s="5"/>
      <c r="AB21" s="5"/>
      <c r="AC21" s="5"/>
      <c r="AD21" s="1972"/>
      <c r="AE21" s="1972"/>
      <c r="AF21" s="1972"/>
      <c r="AG21" s="1972"/>
      <c r="AH21" s="5"/>
      <c r="AI21" s="5"/>
      <c r="AJ21" s="1972"/>
      <c r="AK21" s="1972"/>
      <c r="AL21" s="1972"/>
      <c r="AM21" s="1972"/>
      <c r="AP21" s="1972"/>
      <c r="AQ21" s="1972"/>
      <c r="AR21" s="1972"/>
      <c r="AS21" s="1972"/>
      <c r="AT21" s="5"/>
      <c r="AU21" s="5"/>
      <c r="AV21" s="1972"/>
      <c r="AW21" s="1972"/>
      <c r="AX21" s="1972"/>
      <c r="AY21" s="1972"/>
    </row>
    <row r="22" spans="2:101" ht="15.75" customHeight="1">
      <c r="B22" s="125"/>
      <c r="C22" s="125"/>
      <c r="D22" s="125"/>
      <c r="E22" s="125"/>
      <c r="F22" s="5"/>
      <c r="G22" s="5"/>
      <c r="H22" s="5"/>
      <c r="I22" s="5"/>
      <c r="J22" s="5"/>
      <c r="K22" s="6"/>
      <c r="L22" s="6"/>
      <c r="M22" s="6"/>
      <c r="N22" s="6"/>
      <c r="O22" s="6"/>
      <c r="P22" s="6"/>
      <c r="Q22" s="6"/>
      <c r="R22" s="6"/>
      <c r="S22" s="6"/>
      <c r="T22" s="6"/>
      <c r="U22" s="6"/>
      <c r="V22" s="6"/>
      <c r="W22" s="125"/>
      <c r="X22" s="125"/>
      <c r="Y22" s="125"/>
      <c r="Z22" s="125"/>
      <c r="AA22" s="5"/>
      <c r="AB22" s="5"/>
      <c r="AC22" s="5"/>
      <c r="AD22" s="125"/>
      <c r="AE22" s="125"/>
      <c r="AF22" s="125"/>
      <c r="AG22" s="125"/>
      <c r="AH22" s="5"/>
      <c r="AI22" s="5"/>
      <c r="AJ22" s="5"/>
      <c r="AP22" s="125"/>
      <c r="AQ22" s="125"/>
      <c r="AR22" s="125"/>
      <c r="AS22" s="125"/>
      <c r="AT22" s="5"/>
      <c r="AU22" s="5"/>
      <c r="AV22" s="5"/>
    </row>
    <row r="23" spans="2:101" ht="15.75" customHeight="1">
      <c r="B23" s="125"/>
      <c r="C23" s="125"/>
      <c r="D23" s="125"/>
      <c r="E23" s="125"/>
      <c r="F23" s="5"/>
      <c r="G23" s="5"/>
      <c r="H23" s="5"/>
      <c r="I23" s="5"/>
      <c r="J23" s="5"/>
      <c r="K23" s="6"/>
      <c r="L23" s="6"/>
      <c r="M23" s="6"/>
      <c r="N23" s="6"/>
      <c r="O23" s="6"/>
      <c r="P23" s="6"/>
      <c r="Q23" s="6"/>
      <c r="R23" s="6"/>
      <c r="S23" s="6"/>
      <c r="T23" s="6"/>
      <c r="U23" s="6"/>
      <c r="V23" s="6"/>
      <c r="W23" s="125"/>
      <c r="X23" s="125"/>
      <c r="Y23" s="125"/>
      <c r="Z23" s="125"/>
      <c r="AA23" s="5"/>
      <c r="AB23" s="5"/>
      <c r="AC23" s="5"/>
      <c r="AD23" s="125"/>
      <c r="AE23" s="125"/>
      <c r="AF23" s="125"/>
      <c r="AG23" s="125"/>
      <c r="AH23" s="5"/>
      <c r="AI23" s="5"/>
      <c r="AJ23" s="5"/>
      <c r="AP23" s="125"/>
      <c r="AQ23" s="125"/>
      <c r="AR23" s="125"/>
      <c r="AS23" s="125"/>
      <c r="AT23" s="5"/>
      <c r="AU23" s="5"/>
      <c r="AV23" s="5"/>
    </row>
    <row r="24" spans="2:101">
      <c r="X24" s="2"/>
      <c r="AE24" s="2"/>
      <c r="AQ24" s="2"/>
    </row>
    <row r="25" spans="2:101" ht="12.75" customHeight="1">
      <c r="E25" s="1971"/>
      <c r="F25" s="1971"/>
      <c r="G25" s="1971"/>
      <c r="H25" s="1971"/>
      <c r="K25" s="15" t="s">
        <v>28</v>
      </c>
      <c r="X25" s="2"/>
      <c r="Z25" s="2392"/>
      <c r="AA25" s="2392"/>
      <c r="AB25" s="2392"/>
      <c r="AC25" s="2392"/>
      <c r="AE25" s="2"/>
      <c r="AG25" s="2392"/>
      <c r="AH25" s="2392"/>
      <c r="AI25" s="2392"/>
      <c r="AJ25" s="2392"/>
      <c r="AQ25" s="2"/>
      <c r="AS25" s="2392"/>
      <c r="AT25" s="2392"/>
      <c r="AU25" s="2392"/>
      <c r="AV25" s="2392"/>
    </row>
    <row r="26" spans="2:101" ht="12.75" customHeight="1">
      <c r="E26" s="2711" t="s">
        <v>3974</v>
      </c>
      <c r="F26" s="2711"/>
      <c r="G26" s="2711"/>
      <c r="H26" s="2711"/>
      <c r="X26" s="2"/>
      <c r="Z26" s="1972"/>
      <c r="AA26" s="1972"/>
      <c r="AB26" s="1972"/>
      <c r="AC26" s="1972"/>
      <c r="AE26" s="2"/>
      <c r="AG26" s="1972"/>
      <c r="AH26" s="1972"/>
      <c r="AI26" s="1972"/>
      <c r="AJ26" s="1972"/>
      <c r="AL26" s="1972"/>
      <c r="AM26" s="1972"/>
      <c r="AN26" s="1972"/>
      <c r="AO26" s="1972"/>
      <c r="AQ26" s="2"/>
      <c r="AS26" s="1972"/>
      <c r="AT26" s="1972"/>
      <c r="AU26" s="1972"/>
      <c r="AV26" s="1972"/>
      <c r="AX26" s="1972"/>
      <c r="AY26" s="1972"/>
      <c r="AZ26" s="1972"/>
      <c r="BA26" s="1972"/>
    </row>
    <row r="27" spans="2:101" ht="26.25" customHeight="1">
      <c r="E27" s="1974" t="s">
        <v>3975</v>
      </c>
      <c r="F27" s="1974"/>
      <c r="G27" s="1974"/>
      <c r="H27" s="1974"/>
      <c r="X27" s="2"/>
      <c r="Z27" s="1974"/>
      <c r="AA27" s="1974"/>
      <c r="AB27" s="1974"/>
      <c r="AC27" s="1974"/>
      <c r="AE27" s="2"/>
      <c r="AG27" s="1974"/>
      <c r="AH27" s="1974"/>
      <c r="AI27" s="1974"/>
      <c r="AJ27" s="1974"/>
      <c r="AL27" s="1974"/>
      <c r="AM27" s="1974"/>
      <c r="AN27" s="1974"/>
      <c r="AO27" s="1974"/>
      <c r="AQ27" s="2"/>
      <c r="AS27" s="1974"/>
      <c r="AT27" s="1974"/>
      <c r="AU27" s="1974"/>
      <c r="AV27" s="1974"/>
      <c r="AX27" s="1974"/>
      <c r="AY27" s="1974"/>
      <c r="AZ27" s="1974"/>
      <c r="BA27" s="1974"/>
    </row>
    <row r="28" spans="2:101">
      <c r="C28" s="15"/>
      <c r="E28" s="128"/>
      <c r="F28" s="128"/>
      <c r="G28" s="128"/>
      <c r="H28" s="128"/>
    </row>
    <row r="29" spans="2:101" ht="19.5" customHeight="1">
      <c r="C29" s="15"/>
    </row>
    <row r="30" spans="2:101" ht="12.75" customHeight="1">
      <c r="C30" s="15"/>
    </row>
    <row r="31" spans="2:101" ht="12.75" customHeight="1">
      <c r="C31" s="15"/>
    </row>
  </sheetData>
  <mergeCells count="67">
    <mergeCell ref="B1:N1"/>
    <mergeCell ref="O1:R1"/>
    <mergeCell ref="S1:V2"/>
    <mergeCell ref="A2:B2"/>
    <mergeCell ref="D2:N2"/>
    <mergeCell ref="O2:R2"/>
    <mergeCell ref="C4:J4"/>
    <mergeCell ref="K4:M4"/>
    <mergeCell ref="N4:V4"/>
    <mergeCell ref="X4:AC4"/>
    <mergeCell ref="AD4:AI4"/>
    <mergeCell ref="AJ4:AO4"/>
    <mergeCell ref="AP4:AU4"/>
    <mergeCell ref="AV4:BA4"/>
    <mergeCell ref="BB4:BG4"/>
    <mergeCell ref="BH4:BM4"/>
    <mergeCell ref="BN4:BS4"/>
    <mergeCell ref="BT4:BY4"/>
    <mergeCell ref="BZ4:CE4"/>
    <mergeCell ref="CF4:CK4"/>
    <mergeCell ref="CL4:CQ4"/>
    <mergeCell ref="CR4:CW4"/>
    <mergeCell ref="B6:B7"/>
    <mergeCell ref="C6:C7"/>
    <mergeCell ref="D6:D7"/>
    <mergeCell ref="E6:E7"/>
    <mergeCell ref="F6:F7"/>
    <mergeCell ref="G6:G7"/>
    <mergeCell ref="H6:H7"/>
    <mergeCell ref="I6:I7"/>
    <mergeCell ref="J6:J7"/>
    <mergeCell ref="K6:V6"/>
    <mergeCell ref="X6:AC6"/>
    <mergeCell ref="AD6:AI6"/>
    <mergeCell ref="AJ6:AO6"/>
    <mergeCell ref="AP6:AU6"/>
    <mergeCell ref="AV6:BA6"/>
    <mergeCell ref="BB6:BG6"/>
    <mergeCell ref="BH6:BM6"/>
    <mergeCell ref="BN6:BS6"/>
    <mergeCell ref="BT6:BY6"/>
    <mergeCell ref="BZ6:CE6"/>
    <mergeCell ref="CF6:CK6"/>
    <mergeCell ref="CL6:CQ6"/>
    <mergeCell ref="CR6:CW6"/>
    <mergeCell ref="B21:E21"/>
    <mergeCell ref="W21:Z21"/>
    <mergeCell ref="AD21:AG21"/>
    <mergeCell ref="AJ21:AM21"/>
    <mergeCell ref="AP21:AS21"/>
    <mergeCell ref="AV21:AY21"/>
    <mergeCell ref="E25:H25"/>
    <mergeCell ref="Z25:AC25"/>
    <mergeCell ref="AG25:AJ25"/>
    <mergeCell ref="AS25:AV25"/>
    <mergeCell ref="E26:H26"/>
    <mergeCell ref="Z26:AC26"/>
    <mergeCell ref="AG26:AJ26"/>
    <mergeCell ref="AL26:AO26"/>
    <mergeCell ref="AS26:AV26"/>
    <mergeCell ref="AX26:BA26"/>
    <mergeCell ref="E27:H27"/>
    <mergeCell ref="Z27:AC27"/>
    <mergeCell ref="AG27:AJ27"/>
    <mergeCell ref="AL27:AO27"/>
    <mergeCell ref="AS27:AV27"/>
    <mergeCell ref="AX27:BA27"/>
  </mergeCells>
  <conditionalFormatting sqref="AB16:AB20 AH16:AH17 AN16 AT16:AT17 AZ16:AZ20 BF16 BL16:BL20 BR16:BR20 BX17:BX18 CD16:CD20 CJ16:CJ20 CP16 CV16 AN18 AH19:AH20 AT19:AT20 AN20 BF18:BF20 CV20 BX20 CP19:CP20">
    <cfRule type="colorScale" priority="126">
      <colorScale>
        <cfvo type="num" val="0.69"/>
        <cfvo type="num" val="0.8"/>
        <cfvo type="num" val="0.9"/>
        <color rgb="FFF8696B"/>
        <color rgb="FFFFEB84"/>
        <color rgb="FF63BE7B"/>
      </colorScale>
    </cfRule>
  </conditionalFormatting>
  <conditionalFormatting sqref="AH11">
    <cfRule type="colorScale" priority="125">
      <colorScale>
        <cfvo type="num" val="0.69"/>
        <cfvo type="num" val="0.8"/>
        <cfvo type="num" val="0.9"/>
        <color rgb="FFF8696B"/>
        <color rgb="FFFFEB84"/>
        <color rgb="FF63BE7B"/>
      </colorScale>
    </cfRule>
  </conditionalFormatting>
  <conditionalFormatting sqref="AN11">
    <cfRule type="colorScale" priority="124">
      <colorScale>
        <cfvo type="num" val="0.69"/>
        <cfvo type="num" val="0.8"/>
        <cfvo type="num" val="0.9"/>
        <color rgb="FFF8696B"/>
        <color rgb="FFFFEB84"/>
        <color rgb="FF63BE7B"/>
      </colorScale>
    </cfRule>
  </conditionalFormatting>
  <conditionalFormatting sqref="AT11">
    <cfRule type="colorScale" priority="123">
      <colorScale>
        <cfvo type="num" val="0.69"/>
        <cfvo type="num" val="0.8"/>
        <cfvo type="num" val="0.9"/>
        <color rgb="FFF8696B"/>
        <color rgb="FFFFEB84"/>
        <color rgb="FF63BE7B"/>
      </colorScale>
    </cfRule>
  </conditionalFormatting>
  <conditionalFormatting sqref="AZ11">
    <cfRule type="colorScale" priority="122">
      <colorScale>
        <cfvo type="num" val="0.69"/>
        <cfvo type="num" val="0.8"/>
        <cfvo type="num" val="0.9"/>
        <color rgb="FFF8696B"/>
        <color rgb="FFFFEB84"/>
        <color rgb="FF63BE7B"/>
      </colorScale>
    </cfRule>
  </conditionalFormatting>
  <conditionalFormatting sqref="BF11">
    <cfRule type="colorScale" priority="121">
      <colorScale>
        <cfvo type="num" val="0.69"/>
        <cfvo type="num" val="0.8"/>
        <cfvo type="num" val="0.9"/>
        <color rgb="FFF8696B"/>
        <color rgb="FFFFEB84"/>
        <color rgb="FF63BE7B"/>
      </colorScale>
    </cfRule>
  </conditionalFormatting>
  <conditionalFormatting sqref="BL11">
    <cfRule type="colorScale" priority="120">
      <colorScale>
        <cfvo type="num" val="0.69"/>
        <cfvo type="num" val="0.8"/>
        <cfvo type="num" val="0.9"/>
        <color rgb="FFF8696B"/>
        <color rgb="FFFFEB84"/>
        <color rgb="FF63BE7B"/>
      </colorScale>
    </cfRule>
  </conditionalFormatting>
  <conditionalFormatting sqref="BR11">
    <cfRule type="colorScale" priority="119">
      <colorScale>
        <cfvo type="num" val="0.69"/>
        <cfvo type="num" val="0.8"/>
        <cfvo type="num" val="0.9"/>
        <color rgb="FFF8696B"/>
        <color rgb="FFFFEB84"/>
        <color rgb="FF63BE7B"/>
      </colorScale>
    </cfRule>
  </conditionalFormatting>
  <conditionalFormatting sqref="BX11">
    <cfRule type="colorScale" priority="118">
      <colorScale>
        <cfvo type="num" val="0.69"/>
        <cfvo type="num" val="0.8"/>
        <cfvo type="num" val="0.9"/>
        <color rgb="FFF8696B"/>
        <color rgb="FFFFEB84"/>
        <color rgb="FF63BE7B"/>
      </colorScale>
    </cfRule>
  </conditionalFormatting>
  <conditionalFormatting sqref="CD11">
    <cfRule type="colorScale" priority="117">
      <colorScale>
        <cfvo type="num" val="0.69"/>
        <cfvo type="num" val="0.8"/>
        <cfvo type="num" val="0.9"/>
        <color rgb="FFF8696B"/>
        <color rgb="FFFFEB84"/>
        <color rgb="FF63BE7B"/>
      </colorScale>
    </cfRule>
  </conditionalFormatting>
  <conditionalFormatting sqref="CJ11">
    <cfRule type="colorScale" priority="116">
      <colorScale>
        <cfvo type="num" val="0.69"/>
        <cfvo type="num" val="0.8"/>
        <cfvo type="num" val="0.9"/>
        <color rgb="FFF8696B"/>
        <color rgb="FFFFEB84"/>
        <color rgb="FF63BE7B"/>
      </colorScale>
    </cfRule>
  </conditionalFormatting>
  <conditionalFormatting sqref="CP11">
    <cfRule type="colorScale" priority="115">
      <colorScale>
        <cfvo type="num" val="0.69"/>
        <cfvo type="num" val="0.8"/>
        <cfvo type="num" val="0.9"/>
        <color rgb="FFF8696B"/>
        <color rgb="FFFFEB84"/>
        <color rgb="FF63BE7B"/>
      </colorScale>
    </cfRule>
  </conditionalFormatting>
  <conditionalFormatting sqref="CV11">
    <cfRule type="colorScale" priority="114">
      <colorScale>
        <cfvo type="num" val="0.69"/>
        <cfvo type="num" val="0.8"/>
        <cfvo type="num" val="0.9"/>
        <color rgb="FFF8696B"/>
        <color rgb="FFFFEB84"/>
        <color rgb="FF63BE7B"/>
      </colorScale>
    </cfRule>
  </conditionalFormatting>
  <conditionalFormatting sqref="AH12">
    <cfRule type="colorScale" priority="113">
      <colorScale>
        <cfvo type="num" val="0.69"/>
        <cfvo type="num" val="0.8"/>
        <cfvo type="num" val="0.9"/>
        <color rgb="FFF8696B"/>
        <color rgb="FFFFEB84"/>
        <color rgb="FF63BE7B"/>
      </colorScale>
    </cfRule>
  </conditionalFormatting>
  <conditionalFormatting sqref="AN12">
    <cfRule type="colorScale" priority="112">
      <colorScale>
        <cfvo type="num" val="0.69"/>
        <cfvo type="num" val="0.8"/>
        <cfvo type="num" val="0.9"/>
        <color rgb="FFF8696B"/>
        <color rgb="FFFFEB84"/>
        <color rgb="FF63BE7B"/>
      </colorScale>
    </cfRule>
  </conditionalFormatting>
  <conditionalFormatting sqref="AT12">
    <cfRule type="colorScale" priority="111">
      <colorScale>
        <cfvo type="num" val="0.69"/>
        <cfvo type="num" val="0.8"/>
        <cfvo type="num" val="0.9"/>
        <color rgb="FFF8696B"/>
        <color rgb="FFFFEB84"/>
        <color rgb="FF63BE7B"/>
      </colorScale>
    </cfRule>
  </conditionalFormatting>
  <conditionalFormatting sqref="AZ12">
    <cfRule type="colorScale" priority="110">
      <colorScale>
        <cfvo type="num" val="0.69"/>
        <cfvo type="num" val="0.8"/>
        <cfvo type="num" val="0.9"/>
        <color rgb="FFF8696B"/>
        <color rgb="FFFFEB84"/>
        <color rgb="FF63BE7B"/>
      </colorScale>
    </cfRule>
  </conditionalFormatting>
  <conditionalFormatting sqref="BF12">
    <cfRule type="colorScale" priority="109">
      <colorScale>
        <cfvo type="num" val="0.69"/>
        <cfvo type="num" val="0.8"/>
        <cfvo type="num" val="0.9"/>
        <color rgb="FFF8696B"/>
        <color rgb="FFFFEB84"/>
        <color rgb="FF63BE7B"/>
      </colorScale>
    </cfRule>
  </conditionalFormatting>
  <conditionalFormatting sqref="BL12">
    <cfRule type="colorScale" priority="108">
      <colorScale>
        <cfvo type="num" val="0.69"/>
        <cfvo type="num" val="0.8"/>
        <cfvo type="num" val="0.9"/>
        <color rgb="FFF8696B"/>
        <color rgb="FFFFEB84"/>
        <color rgb="FF63BE7B"/>
      </colorScale>
    </cfRule>
  </conditionalFormatting>
  <conditionalFormatting sqref="BR12">
    <cfRule type="colorScale" priority="107">
      <colorScale>
        <cfvo type="num" val="0.69"/>
        <cfvo type="num" val="0.8"/>
        <cfvo type="num" val="0.9"/>
        <color rgb="FFF8696B"/>
        <color rgb="FFFFEB84"/>
        <color rgb="FF63BE7B"/>
      </colorScale>
    </cfRule>
  </conditionalFormatting>
  <conditionalFormatting sqref="BX12">
    <cfRule type="colorScale" priority="106">
      <colorScale>
        <cfvo type="num" val="0.69"/>
        <cfvo type="num" val="0.8"/>
        <cfvo type="num" val="0.9"/>
        <color rgb="FFF8696B"/>
        <color rgb="FFFFEB84"/>
        <color rgb="FF63BE7B"/>
      </colorScale>
    </cfRule>
  </conditionalFormatting>
  <conditionalFormatting sqref="CD12">
    <cfRule type="colorScale" priority="105">
      <colorScale>
        <cfvo type="num" val="0.69"/>
        <cfvo type="num" val="0.8"/>
        <cfvo type="num" val="0.9"/>
        <color rgb="FFF8696B"/>
        <color rgb="FFFFEB84"/>
        <color rgb="FF63BE7B"/>
      </colorScale>
    </cfRule>
  </conditionalFormatting>
  <conditionalFormatting sqref="CJ12">
    <cfRule type="colorScale" priority="104">
      <colorScale>
        <cfvo type="num" val="0.69"/>
        <cfvo type="num" val="0.8"/>
        <cfvo type="num" val="0.9"/>
        <color rgb="FFF8696B"/>
        <color rgb="FFFFEB84"/>
        <color rgb="FF63BE7B"/>
      </colorScale>
    </cfRule>
  </conditionalFormatting>
  <conditionalFormatting sqref="CP12">
    <cfRule type="colorScale" priority="103">
      <colorScale>
        <cfvo type="num" val="0.69"/>
        <cfvo type="num" val="0.8"/>
        <cfvo type="num" val="0.9"/>
        <color rgb="FFF8696B"/>
        <color rgb="FFFFEB84"/>
        <color rgb="FF63BE7B"/>
      </colorScale>
    </cfRule>
  </conditionalFormatting>
  <conditionalFormatting sqref="CV12">
    <cfRule type="colorScale" priority="102">
      <colorScale>
        <cfvo type="num" val="0.69"/>
        <cfvo type="num" val="0.8"/>
        <cfvo type="num" val="0.9"/>
        <color rgb="FFF8696B"/>
        <color rgb="FFFFEB84"/>
        <color rgb="FF63BE7B"/>
      </colorScale>
    </cfRule>
  </conditionalFormatting>
  <conditionalFormatting sqref="AB15">
    <cfRule type="colorScale" priority="101">
      <colorScale>
        <cfvo type="num" val="0.69"/>
        <cfvo type="num" val="0.8"/>
        <cfvo type="num" val="0.9"/>
        <color rgb="FFF8696B"/>
        <color rgb="FFFFEB84"/>
        <color rgb="FF63BE7B"/>
      </colorScale>
    </cfRule>
  </conditionalFormatting>
  <conditionalFormatting sqref="AT15">
    <cfRule type="colorScale" priority="100">
      <colorScale>
        <cfvo type="num" val="0.69"/>
        <cfvo type="num" val="0.8"/>
        <cfvo type="num" val="0.9"/>
        <color rgb="FFF8696B"/>
        <color rgb="FFFFEB84"/>
        <color rgb="FF63BE7B"/>
      </colorScale>
    </cfRule>
  </conditionalFormatting>
  <conditionalFormatting sqref="BF15">
    <cfRule type="colorScale" priority="99">
      <colorScale>
        <cfvo type="num" val="0.69"/>
        <cfvo type="num" val="0.8"/>
        <cfvo type="num" val="0.9"/>
        <color rgb="FFF8696B"/>
        <color rgb="FFFFEB84"/>
        <color rgb="FF63BE7B"/>
      </colorScale>
    </cfRule>
  </conditionalFormatting>
  <conditionalFormatting sqref="BR15">
    <cfRule type="colorScale" priority="98">
      <colorScale>
        <cfvo type="num" val="0.69"/>
        <cfvo type="num" val="0.8"/>
        <cfvo type="num" val="0.9"/>
        <color rgb="FFF8696B"/>
        <color rgb="FFFFEB84"/>
        <color rgb="FF63BE7B"/>
      </colorScale>
    </cfRule>
  </conditionalFormatting>
  <conditionalFormatting sqref="CD15">
    <cfRule type="colorScale" priority="97">
      <colorScale>
        <cfvo type="num" val="0.69"/>
        <cfvo type="num" val="0.8"/>
        <cfvo type="num" val="0.9"/>
        <color rgb="FFF8696B"/>
        <color rgb="FFFFEB84"/>
        <color rgb="FF63BE7B"/>
      </colorScale>
    </cfRule>
  </conditionalFormatting>
  <conditionalFormatting sqref="CP15">
    <cfRule type="colorScale" priority="96">
      <colorScale>
        <cfvo type="num" val="0.69"/>
        <cfvo type="num" val="0.8"/>
        <cfvo type="num" val="0.9"/>
        <color rgb="FFF8696B"/>
        <color rgb="FFFFEB84"/>
        <color rgb="FF63BE7B"/>
      </colorScale>
    </cfRule>
  </conditionalFormatting>
  <conditionalFormatting sqref="AI15">
    <cfRule type="colorScale" priority="95">
      <colorScale>
        <cfvo type="num" val="0.69"/>
        <cfvo type="num" val="0.8"/>
        <cfvo type="num" val="0.9"/>
        <color rgb="FFF8696B"/>
        <color rgb="FFFFEB84"/>
        <color rgb="FF63BE7B"/>
      </colorScale>
    </cfRule>
  </conditionalFormatting>
  <conditionalFormatting sqref="AO15">
    <cfRule type="colorScale" priority="94">
      <colorScale>
        <cfvo type="num" val="0.69"/>
        <cfvo type="num" val="0.8"/>
        <cfvo type="num" val="0.9"/>
        <color rgb="FFF8696B"/>
        <color rgb="FFFFEB84"/>
        <color rgb="FF63BE7B"/>
      </colorScale>
    </cfRule>
  </conditionalFormatting>
  <conditionalFormatting sqref="BA15">
    <cfRule type="colorScale" priority="93">
      <colorScale>
        <cfvo type="num" val="0.69"/>
        <cfvo type="num" val="0.8"/>
        <cfvo type="num" val="0.9"/>
        <color rgb="FFF8696B"/>
        <color rgb="FFFFEB84"/>
        <color rgb="FF63BE7B"/>
      </colorScale>
    </cfRule>
  </conditionalFormatting>
  <conditionalFormatting sqref="BM15">
    <cfRule type="colorScale" priority="92">
      <colorScale>
        <cfvo type="num" val="0.69"/>
        <cfvo type="num" val="0.8"/>
        <cfvo type="num" val="0.9"/>
        <color rgb="FFF8696B"/>
        <color rgb="FFFFEB84"/>
        <color rgb="FF63BE7B"/>
      </colorScale>
    </cfRule>
  </conditionalFormatting>
  <conditionalFormatting sqref="BY15">
    <cfRule type="colorScale" priority="91">
      <colorScale>
        <cfvo type="num" val="0.69"/>
        <cfvo type="num" val="0.8"/>
        <cfvo type="num" val="0.9"/>
        <color rgb="FFF8696B"/>
        <color rgb="FFFFEB84"/>
        <color rgb="FF63BE7B"/>
      </colorScale>
    </cfRule>
  </conditionalFormatting>
  <conditionalFormatting sqref="CK15">
    <cfRule type="colorScale" priority="90">
      <colorScale>
        <cfvo type="num" val="0.69"/>
        <cfvo type="num" val="0.8"/>
        <cfvo type="num" val="0.9"/>
        <color rgb="FFF8696B"/>
        <color rgb="FFFFEB84"/>
        <color rgb="FF63BE7B"/>
      </colorScale>
    </cfRule>
  </conditionalFormatting>
  <conditionalFormatting sqref="CW15">
    <cfRule type="colorScale" priority="89">
      <colorScale>
        <cfvo type="num" val="0.69"/>
        <cfvo type="num" val="0.8"/>
        <cfvo type="num" val="0.9"/>
        <color rgb="FFF8696B"/>
        <color rgb="FFFFEB84"/>
        <color rgb="FF63BE7B"/>
      </colorScale>
    </cfRule>
  </conditionalFormatting>
  <conditionalFormatting sqref="AB8">
    <cfRule type="colorScale" priority="88">
      <colorScale>
        <cfvo type="num" val="0.69"/>
        <cfvo type="num" val="0.8"/>
        <cfvo type="num" val="0.9"/>
        <color rgb="FFF8696B"/>
        <color rgb="FFFFEB84"/>
        <color rgb="FF63BE7B"/>
      </colorScale>
    </cfRule>
  </conditionalFormatting>
  <conditionalFormatting sqref="AH8">
    <cfRule type="colorScale" priority="87">
      <colorScale>
        <cfvo type="num" val="0.69"/>
        <cfvo type="num" val="0.8"/>
        <cfvo type="num" val="0.9"/>
        <color rgb="FFF8696B"/>
        <color rgb="FFFFEB84"/>
        <color rgb="FF63BE7B"/>
      </colorScale>
    </cfRule>
  </conditionalFormatting>
  <conditionalFormatting sqref="AN8">
    <cfRule type="colorScale" priority="86">
      <colorScale>
        <cfvo type="num" val="0.69"/>
        <cfvo type="num" val="0.8"/>
        <cfvo type="num" val="0.9"/>
        <color rgb="FFF8696B"/>
        <color rgb="FFFFEB84"/>
        <color rgb="FF63BE7B"/>
      </colorScale>
    </cfRule>
  </conditionalFormatting>
  <conditionalFormatting sqref="AT8">
    <cfRule type="colorScale" priority="85">
      <colorScale>
        <cfvo type="num" val="0.69"/>
        <cfvo type="num" val="0.8"/>
        <cfvo type="num" val="0.9"/>
        <color rgb="FFF8696B"/>
        <color rgb="FFFFEB84"/>
        <color rgb="FF63BE7B"/>
      </colorScale>
    </cfRule>
  </conditionalFormatting>
  <conditionalFormatting sqref="AZ8">
    <cfRule type="colorScale" priority="84">
      <colorScale>
        <cfvo type="num" val="0.69"/>
        <cfvo type="num" val="0.8"/>
        <cfvo type="num" val="0.9"/>
        <color rgb="FFF8696B"/>
        <color rgb="FFFFEB84"/>
        <color rgb="FF63BE7B"/>
      </colorScale>
    </cfRule>
  </conditionalFormatting>
  <conditionalFormatting sqref="BF8">
    <cfRule type="colorScale" priority="83">
      <colorScale>
        <cfvo type="num" val="0.69"/>
        <cfvo type="num" val="0.8"/>
        <cfvo type="num" val="0.9"/>
        <color rgb="FFF8696B"/>
        <color rgb="FFFFEB84"/>
        <color rgb="FF63BE7B"/>
      </colorScale>
    </cfRule>
  </conditionalFormatting>
  <conditionalFormatting sqref="BL8">
    <cfRule type="colorScale" priority="82">
      <colorScale>
        <cfvo type="num" val="0.69"/>
        <cfvo type="num" val="0.8"/>
        <cfvo type="num" val="0.9"/>
        <color rgb="FFF8696B"/>
        <color rgb="FFFFEB84"/>
        <color rgb="FF63BE7B"/>
      </colorScale>
    </cfRule>
  </conditionalFormatting>
  <conditionalFormatting sqref="BR8">
    <cfRule type="colorScale" priority="81">
      <colorScale>
        <cfvo type="num" val="0.69"/>
        <cfvo type="num" val="0.8"/>
        <cfvo type="num" val="0.9"/>
        <color rgb="FFF8696B"/>
        <color rgb="FFFFEB84"/>
        <color rgb="FF63BE7B"/>
      </colorScale>
    </cfRule>
  </conditionalFormatting>
  <conditionalFormatting sqref="BX8">
    <cfRule type="colorScale" priority="80">
      <colorScale>
        <cfvo type="num" val="0.69"/>
        <cfvo type="num" val="0.8"/>
        <cfvo type="num" val="0.9"/>
        <color rgb="FFF8696B"/>
        <color rgb="FFFFEB84"/>
        <color rgb="FF63BE7B"/>
      </colorScale>
    </cfRule>
  </conditionalFormatting>
  <conditionalFormatting sqref="CD8">
    <cfRule type="colorScale" priority="79">
      <colorScale>
        <cfvo type="num" val="0.69"/>
        <cfvo type="num" val="0.8"/>
        <cfvo type="num" val="0.9"/>
        <color rgb="FFF8696B"/>
        <color rgb="FFFFEB84"/>
        <color rgb="FF63BE7B"/>
      </colorScale>
    </cfRule>
  </conditionalFormatting>
  <conditionalFormatting sqref="CJ8">
    <cfRule type="colorScale" priority="78">
      <colorScale>
        <cfvo type="num" val="0.69"/>
        <cfvo type="num" val="0.8"/>
        <cfvo type="num" val="0.9"/>
        <color rgb="FFF8696B"/>
        <color rgb="FFFFEB84"/>
        <color rgb="FF63BE7B"/>
      </colorScale>
    </cfRule>
  </conditionalFormatting>
  <conditionalFormatting sqref="CP8">
    <cfRule type="colorScale" priority="77">
      <colorScale>
        <cfvo type="num" val="0.69"/>
        <cfvo type="num" val="0.8"/>
        <cfvo type="num" val="0.9"/>
        <color rgb="FFF8696B"/>
        <color rgb="FFFFEB84"/>
        <color rgb="FF63BE7B"/>
      </colorScale>
    </cfRule>
  </conditionalFormatting>
  <conditionalFormatting sqref="CV8">
    <cfRule type="colorScale" priority="76">
      <colorScale>
        <cfvo type="num" val="0.69"/>
        <cfvo type="num" val="0.8"/>
        <cfvo type="num" val="0.9"/>
        <color rgb="FFF8696B"/>
        <color rgb="FFFFEB84"/>
        <color rgb="FF63BE7B"/>
      </colorScale>
    </cfRule>
  </conditionalFormatting>
  <conditionalFormatting sqref="AH9">
    <cfRule type="colorScale" priority="75">
      <colorScale>
        <cfvo type="num" val="0.69"/>
        <cfvo type="num" val="0.8"/>
        <cfvo type="num" val="0.9"/>
        <color rgb="FFF8696B"/>
        <color rgb="FFFFEB84"/>
        <color rgb="FF63BE7B"/>
      </colorScale>
    </cfRule>
  </conditionalFormatting>
  <conditionalFormatting sqref="AN9">
    <cfRule type="colorScale" priority="74">
      <colorScale>
        <cfvo type="num" val="0.69"/>
        <cfvo type="num" val="0.8"/>
        <cfvo type="num" val="0.9"/>
        <color rgb="FFF8696B"/>
        <color rgb="FFFFEB84"/>
        <color rgb="FF63BE7B"/>
      </colorScale>
    </cfRule>
  </conditionalFormatting>
  <conditionalFormatting sqref="AT9">
    <cfRule type="colorScale" priority="73">
      <colorScale>
        <cfvo type="num" val="0.69"/>
        <cfvo type="num" val="0.8"/>
        <cfvo type="num" val="0.9"/>
        <color rgb="FFF8696B"/>
        <color rgb="FFFFEB84"/>
        <color rgb="FF63BE7B"/>
      </colorScale>
    </cfRule>
  </conditionalFormatting>
  <conditionalFormatting sqref="AZ9">
    <cfRule type="colorScale" priority="72">
      <colorScale>
        <cfvo type="num" val="0.69"/>
        <cfvo type="num" val="0.8"/>
        <cfvo type="num" val="0.9"/>
        <color rgb="FFF8696B"/>
        <color rgb="FFFFEB84"/>
        <color rgb="FF63BE7B"/>
      </colorScale>
    </cfRule>
  </conditionalFormatting>
  <conditionalFormatting sqref="BF9">
    <cfRule type="colorScale" priority="71">
      <colorScale>
        <cfvo type="num" val="0.69"/>
        <cfvo type="num" val="0.8"/>
        <cfvo type="num" val="0.9"/>
        <color rgb="FFF8696B"/>
        <color rgb="FFFFEB84"/>
        <color rgb="FF63BE7B"/>
      </colorScale>
    </cfRule>
  </conditionalFormatting>
  <conditionalFormatting sqref="BL9">
    <cfRule type="colorScale" priority="70">
      <colorScale>
        <cfvo type="num" val="0.69"/>
        <cfvo type="num" val="0.8"/>
        <cfvo type="num" val="0.9"/>
        <color rgb="FFF8696B"/>
        <color rgb="FFFFEB84"/>
        <color rgb="FF63BE7B"/>
      </colorScale>
    </cfRule>
  </conditionalFormatting>
  <conditionalFormatting sqref="BR9">
    <cfRule type="colorScale" priority="69">
      <colorScale>
        <cfvo type="num" val="0.69"/>
        <cfvo type="num" val="0.8"/>
        <cfvo type="num" val="0.9"/>
        <color rgb="FFF8696B"/>
        <color rgb="FFFFEB84"/>
        <color rgb="FF63BE7B"/>
      </colorScale>
    </cfRule>
  </conditionalFormatting>
  <conditionalFormatting sqref="BX9">
    <cfRule type="colorScale" priority="68">
      <colorScale>
        <cfvo type="num" val="0.69"/>
        <cfvo type="num" val="0.8"/>
        <cfvo type="num" val="0.9"/>
        <color rgb="FFF8696B"/>
        <color rgb="FFFFEB84"/>
        <color rgb="FF63BE7B"/>
      </colorScale>
    </cfRule>
  </conditionalFormatting>
  <conditionalFormatting sqref="CD9">
    <cfRule type="colorScale" priority="67">
      <colorScale>
        <cfvo type="num" val="0.69"/>
        <cfvo type="num" val="0.8"/>
        <cfvo type="num" val="0.9"/>
        <color rgb="FFF8696B"/>
        <color rgb="FFFFEB84"/>
        <color rgb="FF63BE7B"/>
      </colorScale>
    </cfRule>
  </conditionalFormatting>
  <conditionalFormatting sqref="CJ9">
    <cfRule type="colorScale" priority="66">
      <colorScale>
        <cfvo type="num" val="0.69"/>
        <cfvo type="num" val="0.8"/>
        <cfvo type="num" val="0.9"/>
        <color rgb="FFF8696B"/>
        <color rgb="FFFFEB84"/>
        <color rgb="FF63BE7B"/>
      </colorScale>
    </cfRule>
  </conditionalFormatting>
  <conditionalFormatting sqref="CP9">
    <cfRule type="colorScale" priority="65">
      <colorScale>
        <cfvo type="num" val="0.69"/>
        <cfvo type="num" val="0.8"/>
        <cfvo type="num" val="0.9"/>
        <color rgb="FFF8696B"/>
        <color rgb="FFFFEB84"/>
        <color rgb="FF63BE7B"/>
      </colorScale>
    </cfRule>
  </conditionalFormatting>
  <conditionalFormatting sqref="CV9">
    <cfRule type="colorScale" priority="64">
      <colorScale>
        <cfvo type="num" val="0.69"/>
        <cfvo type="num" val="0.8"/>
        <cfvo type="num" val="0.9"/>
        <color rgb="FFF8696B"/>
        <color rgb="FFFFEB84"/>
        <color rgb="FF63BE7B"/>
      </colorScale>
    </cfRule>
  </conditionalFormatting>
  <conditionalFormatting sqref="AH10">
    <cfRule type="colorScale" priority="63">
      <colorScale>
        <cfvo type="num" val="0.69"/>
        <cfvo type="num" val="0.8"/>
        <cfvo type="num" val="0.9"/>
        <color rgb="FFF8696B"/>
        <color rgb="FFFFEB84"/>
        <color rgb="FF63BE7B"/>
      </colorScale>
    </cfRule>
  </conditionalFormatting>
  <conditionalFormatting sqref="AN10">
    <cfRule type="colorScale" priority="62">
      <colorScale>
        <cfvo type="num" val="0.69"/>
        <cfvo type="num" val="0.8"/>
        <cfvo type="num" val="0.9"/>
        <color rgb="FFF8696B"/>
        <color rgb="FFFFEB84"/>
        <color rgb="FF63BE7B"/>
      </colorScale>
    </cfRule>
  </conditionalFormatting>
  <conditionalFormatting sqref="AT10">
    <cfRule type="colorScale" priority="61">
      <colorScale>
        <cfvo type="num" val="0.69"/>
        <cfvo type="num" val="0.8"/>
        <cfvo type="num" val="0.9"/>
        <color rgb="FFF8696B"/>
        <color rgb="FFFFEB84"/>
        <color rgb="FF63BE7B"/>
      </colorScale>
    </cfRule>
  </conditionalFormatting>
  <conditionalFormatting sqref="AZ10">
    <cfRule type="colorScale" priority="60">
      <colorScale>
        <cfvo type="num" val="0.69"/>
        <cfvo type="num" val="0.8"/>
        <cfvo type="num" val="0.9"/>
        <color rgb="FFF8696B"/>
        <color rgb="FFFFEB84"/>
        <color rgb="FF63BE7B"/>
      </colorScale>
    </cfRule>
  </conditionalFormatting>
  <conditionalFormatting sqref="BF10">
    <cfRule type="colorScale" priority="59">
      <colorScale>
        <cfvo type="num" val="0.69"/>
        <cfvo type="num" val="0.8"/>
        <cfvo type="num" val="0.9"/>
        <color rgb="FFF8696B"/>
        <color rgb="FFFFEB84"/>
        <color rgb="FF63BE7B"/>
      </colorScale>
    </cfRule>
  </conditionalFormatting>
  <conditionalFormatting sqref="BL10">
    <cfRule type="colorScale" priority="58">
      <colorScale>
        <cfvo type="num" val="0.69"/>
        <cfvo type="num" val="0.8"/>
        <cfvo type="num" val="0.9"/>
        <color rgb="FFF8696B"/>
        <color rgb="FFFFEB84"/>
        <color rgb="FF63BE7B"/>
      </colorScale>
    </cfRule>
  </conditionalFormatting>
  <conditionalFormatting sqref="BR10">
    <cfRule type="colorScale" priority="57">
      <colorScale>
        <cfvo type="num" val="0.69"/>
        <cfvo type="num" val="0.8"/>
        <cfvo type="num" val="0.9"/>
        <color rgb="FFF8696B"/>
        <color rgb="FFFFEB84"/>
        <color rgb="FF63BE7B"/>
      </colorScale>
    </cfRule>
  </conditionalFormatting>
  <conditionalFormatting sqref="BX10">
    <cfRule type="colorScale" priority="56">
      <colorScale>
        <cfvo type="num" val="0.69"/>
        <cfvo type="num" val="0.8"/>
        <cfvo type="num" val="0.9"/>
        <color rgb="FFF8696B"/>
        <color rgb="FFFFEB84"/>
        <color rgb="FF63BE7B"/>
      </colorScale>
    </cfRule>
  </conditionalFormatting>
  <conditionalFormatting sqref="CD10">
    <cfRule type="colorScale" priority="55">
      <colorScale>
        <cfvo type="num" val="0.69"/>
        <cfvo type="num" val="0.8"/>
        <cfvo type="num" val="0.9"/>
        <color rgb="FFF8696B"/>
        <color rgb="FFFFEB84"/>
        <color rgb="FF63BE7B"/>
      </colorScale>
    </cfRule>
  </conditionalFormatting>
  <conditionalFormatting sqref="CJ10">
    <cfRule type="colorScale" priority="54">
      <colorScale>
        <cfvo type="num" val="0.69"/>
        <cfvo type="num" val="0.8"/>
        <cfvo type="num" val="0.9"/>
        <color rgb="FFF8696B"/>
        <color rgb="FFFFEB84"/>
        <color rgb="FF63BE7B"/>
      </colorScale>
    </cfRule>
  </conditionalFormatting>
  <conditionalFormatting sqref="CP10">
    <cfRule type="colorScale" priority="53">
      <colorScale>
        <cfvo type="num" val="0.69"/>
        <cfvo type="num" val="0.8"/>
        <cfvo type="num" val="0.9"/>
        <color rgb="FFF8696B"/>
        <color rgb="FFFFEB84"/>
        <color rgb="FF63BE7B"/>
      </colorScale>
    </cfRule>
  </conditionalFormatting>
  <conditionalFormatting sqref="CV10">
    <cfRule type="colorScale" priority="52">
      <colorScale>
        <cfvo type="num" val="0.69"/>
        <cfvo type="num" val="0.8"/>
        <cfvo type="num" val="0.9"/>
        <color rgb="FFF8696B"/>
        <color rgb="FFFFEB84"/>
        <color rgb="FF63BE7B"/>
      </colorScale>
    </cfRule>
  </conditionalFormatting>
  <conditionalFormatting sqref="AB9">
    <cfRule type="colorScale" priority="51">
      <colorScale>
        <cfvo type="num" val="0.69"/>
        <cfvo type="num" val="0.8"/>
        <cfvo type="num" val="0.9"/>
        <color rgb="FFF8696B"/>
        <color rgb="FFFFEB84"/>
        <color rgb="FF63BE7B"/>
      </colorScale>
    </cfRule>
  </conditionalFormatting>
  <conditionalFormatting sqref="AB10">
    <cfRule type="colorScale" priority="50">
      <colorScale>
        <cfvo type="num" val="0.69"/>
        <cfvo type="num" val="0.8"/>
        <cfvo type="num" val="0.9"/>
        <color rgb="FFF8696B"/>
        <color rgb="FFFFEB84"/>
        <color rgb="FF63BE7B"/>
      </colorScale>
    </cfRule>
  </conditionalFormatting>
  <conditionalFormatting sqref="AB11">
    <cfRule type="colorScale" priority="49">
      <colorScale>
        <cfvo type="num" val="0.69"/>
        <cfvo type="num" val="0.8"/>
        <cfvo type="num" val="0.9"/>
        <color rgb="FFF8696B"/>
        <color rgb="FFFFEB84"/>
        <color rgb="FF63BE7B"/>
      </colorScale>
    </cfRule>
  </conditionalFormatting>
  <conditionalFormatting sqref="AB12">
    <cfRule type="colorScale" priority="48">
      <colorScale>
        <cfvo type="num" val="0.69"/>
        <cfvo type="num" val="0.8"/>
        <cfvo type="num" val="0.9"/>
        <color rgb="FFF8696B"/>
        <color rgb="FFFFEB84"/>
        <color rgb="FF63BE7B"/>
      </colorScale>
    </cfRule>
  </conditionalFormatting>
  <conditionalFormatting sqref="AB13">
    <cfRule type="colorScale" priority="47">
      <colorScale>
        <cfvo type="num" val="0.69"/>
        <cfvo type="num" val="0.8"/>
        <cfvo type="num" val="0.9"/>
        <color rgb="FFF8696B"/>
        <color rgb="FFFFEB84"/>
        <color rgb="FF63BE7B"/>
      </colorScale>
    </cfRule>
  </conditionalFormatting>
  <conditionalFormatting sqref="AH13">
    <cfRule type="colorScale" priority="46">
      <colorScale>
        <cfvo type="num" val="0.69"/>
        <cfvo type="num" val="0.8"/>
        <cfvo type="num" val="0.9"/>
        <color rgb="FFF8696B"/>
        <color rgb="FFFFEB84"/>
        <color rgb="FF63BE7B"/>
      </colorScale>
    </cfRule>
  </conditionalFormatting>
  <conditionalFormatting sqref="AN13">
    <cfRule type="colorScale" priority="45">
      <colorScale>
        <cfvo type="num" val="0.69"/>
        <cfvo type="num" val="0.8"/>
        <cfvo type="num" val="0.9"/>
        <color rgb="FFF8696B"/>
        <color rgb="FFFFEB84"/>
        <color rgb="FF63BE7B"/>
      </colorScale>
    </cfRule>
  </conditionalFormatting>
  <conditionalFormatting sqref="AT13">
    <cfRule type="colorScale" priority="44">
      <colorScale>
        <cfvo type="num" val="0.69"/>
        <cfvo type="num" val="0.8"/>
        <cfvo type="num" val="0.9"/>
        <color rgb="FFF8696B"/>
        <color rgb="FFFFEB84"/>
        <color rgb="FF63BE7B"/>
      </colorScale>
    </cfRule>
  </conditionalFormatting>
  <conditionalFormatting sqref="AB14">
    <cfRule type="colorScale" priority="43">
      <colorScale>
        <cfvo type="num" val="0.69"/>
        <cfvo type="num" val="0.8"/>
        <cfvo type="num" val="0.9"/>
        <color rgb="FFF8696B"/>
        <color rgb="FFFFEB84"/>
        <color rgb="FF63BE7B"/>
      </colorScale>
    </cfRule>
  </conditionalFormatting>
  <conditionalFormatting sqref="AH14">
    <cfRule type="colorScale" priority="42">
      <colorScale>
        <cfvo type="num" val="0.69"/>
        <cfvo type="num" val="0.8"/>
        <cfvo type="num" val="0.9"/>
        <color rgb="FFF8696B"/>
        <color rgb="FFFFEB84"/>
        <color rgb="FF63BE7B"/>
      </colorScale>
    </cfRule>
  </conditionalFormatting>
  <conditionalFormatting sqref="AN14">
    <cfRule type="colorScale" priority="41">
      <colorScale>
        <cfvo type="num" val="0.69"/>
        <cfvo type="num" val="0.8"/>
        <cfvo type="num" val="0.9"/>
        <color rgb="FFF8696B"/>
        <color rgb="FFFFEB84"/>
        <color rgb="FF63BE7B"/>
      </colorScale>
    </cfRule>
  </conditionalFormatting>
  <conditionalFormatting sqref="AT14">
    <cfRule type="colorScale" priority="40">
      <colorScale>
        <cfvo type="num" val="0.69"/>
        <cfvo type="num" val="0.8"/>
        <cfvo type="num" val="0.9"/>
        <color rgb="FFF8696B"/>
        <color rgb="FFFFEB84"/>
        <color rgb="FF63BE7B"/>
      </colorScale>
    </cfRule>
  </conditionalFormatting>
  <conditionalFormatting sqref="AN17">
    <cfRule type="colorScale" priority="39">
      <colorScale>
        <cfvo type="num" val="0.69"/>
        <cfvo type="num" val="0.8"/>
        <cfvo type="num" val="0.9"/>
        <color rgb="FFF8696B"/>
        <color rgb="FFFFEB84"/>
        <color rgb="FF63BE7B"/>
      </colorScale>
    </cfRule>
  </conditionalFormatting>
  <conditionalFormatting sqref="AH18">
    <cfRule type="colorScale" priority="38">
      <colorScale>
        <cfvo type="num" val="0.69"/>
        <cfvo type="num" val="0.8"/>
        <cfvo type="num" val="0.9"/>
        <color rgb="FFF8696B"/>
        <color rgb="FFFFEB84"/>
        <color rgb="FF63BE7B"/>
      </colorScale>
    </cfRule>
  </conditionalFormatting>
  <conditionalFormatting sqref="AH18">
    <cfRule type="colorScale" priority="37">
      <colorScale>
        <cfvo type="num" val="0.69"/>
        <cfvo type="num" val="0.8"/>
        <cfvo type="num" val="0.9"/>
        <color rgb="FFF8696B"/>
        <color rgb="FFFFEB84"/>
        <color rgb="FF63BE7B"/>
      </colorScale>
    </cfRule>
  </conditionalFormatting>
  <conditionalFormatting sqref="AH18">
    <cfRule type="colorScale" priority="36">
      <colorScale>
        <cfvo type="num" val="0.69"/>
        <cfvo type="num" val="0.8"/>
        <cfvo type="num" val="0.9"/>
        <color rgb="FFF8696B"/>
        <color rgb="FFFFEB84"/>
        <color rgb="FF63BE7B"/>
      </colorScale>
    </cfRule>
  </conditionalFormatting>
  <conditionalFormatting sqref="AH18">
    <cfRule type="colorScale" priority="35">
      <colorScale>
        <cfvo type="num" val="0.69"/>
        <cfvo type="num" val="0.8"/>
        <cfvo type="num" val="0.9"/>
        <color rgb="FFF8696B"/>
        <color rgb="FFFFEB84"/>
        <color rgb="FF63BE7B"/>
      </colorScale>
    </cfRule>
  </conditionalFormatting>
  <conditionalFormatting sqref="AH18">
    <cfRule type="colorScale" priority="34">
      <colorScale>
        <cfvo type="num" val="0.69"/>
        <cfvo type="num" val="0.8"/>
        <cfvo type="num" val="0.9"/>
        <color rgb="FFF8696B"/>
        <color rgb="FFFFEB84"/>
        <color rgb="FF63BE7B"/>
      </colorScale>
    </cfRule>
  </conditionalFormatting>
  <conditionalFormatting sqref="AT18">
    <cfRule type="colorScale" priority="33">
      <colorScale>
        <cfvo type="num" val="0.69"/>
        <cfvo type="num" val="0.8"/>
        <cfvo type="num" val="0.9"/>
        <color rgb="FFF8696B"/>
        <color rgb="FFFFEB84"/>
        <color rgb="FF63BE7B"/>
      </colorScale>
    </cfRule>
  </conditionalFormatting>
  <conditionalFormatting sqref="AT18">
    <cfRule type="colorScale" priority="32">
      <colorScale>
        <cfvo type="num" val="0.69"/>
        <cfvo type="num" val="0.8"/>
        <cfvo type="num" val="0.9"/>
        <color rgb="FFF8696B"/>
        <color rgb="FFFFEB84"/>
        <color rgb="FF63BE7B"/>
      </colorScale>
    </cfRule>
  </conditionalFormatting>
  <conditionalFormatting sqref="AN19">
    <cfRule type="colorScale" priority="31">
      <colorScale>
        <cfvo type="num" val="0.69"/>
        <cfvo type="num" val="0.8"/>
        <cfvo type="num" val="0.9"/>
        <color rgb="FFF8696B"/>
        <color rgb="FFFFEB84"/>
        <color rgb="FF63BE7B"/>
      </colorScale>
    </cfRule>
  </conditionalFormatting>
  <conditionalFormatting sqref="AZ13">
    <cfRule type="colorScale" priority="30">
      <colorScale>
        <cfvo type="num" val="0.69"/>
        <cfvo type="num" val="0.8"/>
        <cfvo type="num" val="0.9"/>
        <color rgb="FFF8696B"/>
        <color rgb="FFFFEB84"/>
        <color rgb="FF63BE7B"/>
      </colorScale>
    </cfRule>
  </conditionalFormatting>
  <conditionalFormatting sqref="AZ14">
    <cfRule type="colorScale" priority="29">
      <colorScale>
        <cfvo type="num" val="0.69"/>
        <cfvo type="num" val="0.8"/>
        <cfvo type="num" val="0.9"/>
        <color rgb="FFF8696B"/>
        <color rgb="FFFFEB84"/>
        <color rgb="FF63BE7B"/>
      </colorScale>
    </cfRule>
  </conditionalFormatting>
  <conditionalFormatting sqref="BF13">
    <cfRule type="colorScale" priority="28">
      <colorScale>
        <cfvo type="num" val="0.69"/>
        <cfvo type="num" val="0.8"/>
        <cfvo type="num" val="0.9"/>
        <color rgb="FFF8696B"/>
        <color rgb="FFFFEB84"/>
        <color rgb="FF63BE7B"/>
      </colorScale>
    </cfRule>
  </conditionalFormatting>
  <conditionalFormatting sqref="BF14">
    <cfRule type="colorScale" priority="27">
      <colorScale>
        <cfvo type="num" val="0.69"/>
        <cfvo type="num" val="0.8"/>
        <cfvo type="num" val="0.9"/>
        <color rgb="FFF8696B"/>
        <color rgb="FFFFEB84"/>
        <color rgb="FF63BE7B"/>
      </colorScale>
    </cfRule>
  </conditionalFormatting>
  <conditionalFormatting sqref="BF17">
    <cfRule type="colorScale" priority="26">
      <colorScale>
        <cfvo type="num" val="0.69"/>
        <cfvo type="num" val="0.8"/>
        <cfvo type="num" val="0.9"/>
        <color rgb="FFF8696B"/>
        <color rgb="FFFFEB84"/>
        <color rgb="FF63BE7B"/>
      </colorScale>
    </cfRule>
  </conditionalFormatting>
  <conditionalFormatting sqref="BF17">
    <cfRule type="colorScale" priority="25">
      <colorScale>
        <cfvo type="num" val="0.69"/>
        <cfvo type="num" val="0.8"/>
        <cfvo type="num" val="0.9"/>
        <color rgb="FFF8696B"/>
        <color rgb="FFFFEB84"/>
        <color rgb="FF63BE7B"/>
      </colorScale>
    </cfRule>
  </conditionalFormatting>
  <conditionalFormatting sqref="CV13">
    <cfRule type="colorScale" priority="24">
      <colorScale>
        <cfvo type="num" val="0.69"/>
        <cfvo type="num" val="0.8"/>
        <cfvo type="num" val="0.9"/>
        <color rgb="FFF8696B"/>
        <color rgb="FFFFEB84"/>
        <color rgb="FF63BE7B"/>
      </colorScale>
    </cfRule>
  </conditionalFormatting>
  <conditionalFormatting sqref="CV14">
    <cfRule type="colorScale" priority="23">
      <colorScale>
        <cfvo type="num" val="0.69"/>
        <cfvo type="num" val="0.8"/>
        <cfvo type="num" val="0.9"/>
        <color rgb="FFF8696B"/>
        <color rgb="FFFFEB84"/>
        <color rgb="FF63BE7B"/>
      </colorScale>
    </cfRule>
  </conditionalFormatting>
  <conditionalFormatting sqref="CV19">
    <cfRule type="colorScale" priority="22">
      <colorScale>
        <cfvo type="num" val="0.69"/>
        <cfvo type="num" val="0.8"/>
        <cfvo type="num" val="0.9"/>
        <color rgb="FFF8696B"/>
        <color rgb="FFFFEB84"/>
        <color rgb="FF63BE7B"/>
      </colorScale>
    </cfRule>
  </conditionalFormatting>
  <conditionalFormatting sqref="BL13">
    <cfRule type="colorScale" priority="21">
      <colorScale>
        <cfvo type="num" val="0.69"/>
        <cfvo type="num" val="0.8"/>
        <cfvo type="num" val="0.9"/>
        <color rgb="FFF8696B"/>
        <color rgb="FFFFEB84"/>
        <color rgb="FF63BE7B"/>
      </colorScale>
    </cfRule>
  </conditionalFormatting>
  <conditionalFormatting sqref="BL14">
    <cfRule type="colorScale" priority="20">
      <colorScale>
        <cfvo type="num" val="0.69"/>
        <cfvo type="num" val="0.8"/>
        <cfvo type="num" val="0.9"/>
        <color rgb="FFF8696B"/>
        <color rgb="FFFFEB84"/>
        <color rgb="FF63BE7B"/>
      </colorScale>
    </cfRule>
  </conditionalFormatting>
  <conditionalFormatting sqref="BR13">
    <cfRule type="colorScale" priority="19">
      <colorScale>
        <cfvo type="num" val="0.69"/>
        <cfvo type="num" val="0.8"/>
        <cfvo type="num" val="0.9"/>
        <color rgb="FFF8696B"/>
        <color rgb="FFFFEB84"/>
        <color rgb="FF63BE7B"/>
      </colorScale>
    </cfRule>
  </conditionalFormatting>
  <conditionalFormatting sqref="BR14">
    <cfRule type="colorScale" priority="18">
      <colorScale>
        <cfvo type="num" val="0.69"/>
        <cfvo type="num" val="0.8"/>
        <cfvo type="num" val="0.9"/>
        <color rgb="FFF8696B"/>
        <color rgb="FFFFEB84"/>
        <color rgb="FF63BE7B"/>
      </colorScale>
    </cfRule>
  </conditionalFormatting>
  <conditionalFormatting sqref="BX13">
    <cfRule type="colorScale" priority="17">
      <colorScale>
        <cfvo type="num" val="0.69"/>
        <cfvo type="num" val="0.8"/>
        <cfvo type="num" val="0.9"/>
        <color rgb="FFF8696B"/>
        <color rgb="FFFFEB84"/>
        <color rgb="FF63BE7B"/>
      </colorScale>
    </cfRule>
  </conditionalFormatting>
  <conditionalFormatting sqref="BX14">
    <cfRule type="colorScale" priority="16">
      <colorScale>
        <cfvo type="num" val="0.69"/>
        <cfvo type="num" val="0.8"/>
        <cfvo type="num" val="0.9"/>
        <color rgb="FFF8696B"/>
        <color rgb="FFFFEB84"/>
        <color rgb="FF63BE7B"/>
      </colorScale>
    </cfRule>
  </conditionalFormatting>
  <conditionalFormatting sqref="BX16">
    <cfRule type="colorScale" priority="15">
      <colorScale>
        <cfvo type="num" val="0.69"/>
        <cfvo type="num" val="0.8"/>
        <cfvo type="num" val="0.9"/>
        <color rgb="FFF8696B"/>
        <color rgb="FFFFEB84"/>
        <color rgb="FF63BE7B"/>
      </colorScale>
    </cfRule>
  </conditionalFormatting>
  <conditionalFormatting sqref="BX19">
    <cfRule type="colorScale" priority="14">
      <colorScale>
        <cfvo type="num" val="0.69"/>
        <cfvo type="num" val="0.8"/>
        <cfvo type="num" val="0.9"/>
        <color rgb="FFF8696B"/>
        <color rgb="FFFFEB84"/>
        <color rgb="FF63BE7B"/>
      </colorScale>
    </cfRule>
  </conditionalFormatting>
  <conditionalFormatting sqref="CD13">
    <cfRule type="colorScale" priority="13">
      <colorScale>
        <cfvo type="num" val="0.69"/>
        <cfvo type="num" val="0.8"/>
        <cfvo type="num" val="0.9"/>
        <color rgb="FFF8696B"/>
        <color rgb="FFFFEB84"/>
        <color rgb="FF63BE7B"/>
      </colorScale>
    </cfRule>
  </conditionalFormatting>
  <conditionalFormatting sqref="CD14">
    <cfRule type="colorScale" priority="12">
      <colorScale>
        <cfvo type="num" val="0.69"/>
        <cfvo type="num" val="0.8"/>
        <cfvo type="num" val="0.9"/>
        <color rgb="FFF8696B"/>
        <color rgb="FFFFEB84"/>
        <color rgb="FF63BE7B"/>
      </colorScale>
    </cfRule>
  </conditionalFormatting>
  <conditionalFormatting sqref="CJ13">
    <cfRule type="colorScale" priority="11">
      <colorScale>
        <cfvo type="num" val="0.69"/>
        <cfvo type="num" val="0.8"/>
        <cfvo type="num" val="0.9"/>
        <color rgb="FFF8696B"/>
        <color rgb="FFFFEB84"/>
        <color rgb="FF63BE7B"/>
      </colorScale>
    </cfRule>
  </conditionalFormatting>
  <conditionalFormatting sqref="CJ14">
    <cfRule type="colorScale" priority="10">
      <colorScale>
        <cfvo type="num" val="0.69"/>
        <cfvo type="num" val="0.8"/>
        <cfvo type="num" val="0.9"/>
        <color rgb="FFF8696B"/>
        <color rgb="FFFFEB84"/>
        <color rgb="FF63BE7B"/>
      </colorScale>
    </cfRule>
  </conditionalFormatting>
  <conditionalFormatting sqref="CP13">
    <cfRule type="colorScale" priority="9">
      <colorScale>
        <cfvo type="num" val="0.69"/>
        <cfvo type="num" val="0.8"/>
        <cfvo type="num" val="0.9"/>
        <color rgb="FFF8696B"/>
        <color rgb="FFFFEB84"/>
        <color rgb="FF63BE7B"/>
      </colorScale>
    </cfRule>
  </conditionalFormatting>
  <conditionalFormatting sqref="CP14">
    <cfRule type="colorScale" priority="8">
      <colorScale>
        <cfvo type="num" val="0.69"/>
        <cfvo type="num" val="0.8"/>
        <cfvo type="num" val="0.9"/>
        <color rgb="FFF8696B"/>
        <color rgb="FFFFEB84"/>
        <color rgb="FF63BE7B"/>
      </colorScale>
    </cfRule>
  </conditionalFormatting>
  <conditionalFormatting sqref="CP18">
    <cfRule type="colorScale" priority="7">
      <colorScale>
        <cfvo type="num" val="0.69"/>
        <cfvo type="num" val="0.8"/>
        <cfvo type="num" val="0.9"/>
        <color rgb="FFF8696B"/>
        <color rgb="FFFFEB84"/>
        <color rgb="FF63BE7B"/>
      </colorScale>
    </cfRule>
  </conditionalFormatting>
  <conditionalFormatting sqref="CP18">
    <cfRule type="colorScale" priority="6">
      <colorScale>
        <cfvo type="num" val="0.69"/>
        <cfvo type="num" val="0.8"/>
        <cfvo type="num" val="0.9"/>
        <color rgb="FFF8696B"/>
        <color rgb="FFFFEB84"/>
        <color rgb="FF63BE7B"/>
      </colorScale>
    </cfRule>
  </conditionalFormatting>
  <conditionalFormatting sqref="CP18">
    <cfRule type="colorScale" priority="5">
      <colorScale>
        <cfvo type="num" val="0.69"/>
        <cfvo type="num" val="0.8"/>
        <cfvo type="num" val="0.9"/>
        <color rgb="FFF8696B"/>
        <color rgb="FFFFEB84"/>
        <color rgb="FF63BE7B"/>
      </colorScale>
    </cfRule>
  </conditionalFormatting>
  <conditionalFormatting sqref="CV18">
    <cfRule type="colorScale" priority="4">
      <colorScale>
        <cfvo type="num" val="0.69"/>
        <cfvo type="num" val="0.8"/>
        <cfvo type="num" val="0.9"/>
        <color rgb="FFF8696B"/>
        <color rgb="FFFFEB84"/>
        <color rgb="FF63BE7B"/>
      </colorScale>
    </cfRule>
  </conditionalFormatting>
  <conditionalFormatting sqref="CP17">
    <cfRule type="colorScale" priority="3">
      <colorScale>
        <cfvo type="num" val="0.69"/>
        <cfvo type="num" val="0.8"/>
        <cfvo type="num" val="0.9"/>
        <color rgb="FFF8696B"/>
        <color rgb="FFFFEB84"/>
        <color rgb="FF63BE7B"/>
      </colorScale>
    </cfRule>
  </conditionalFormatting>
  <conditionalFormatting sqref="CP17">
    <cfRule type="colorScale" priority="2">
      <colorScale>
        <cfvo type="num" val="0.69"/>
        <cfvo type="num" val="0.8"/>
        <cfvo type="num" val="0.9"/>
        <color rgb="FFF8696B"/>
        <color rgb="FFFFEB84"/>
        <color rgb="FF63BE7B"/>
      </colorScale>
    </cfRule>
  </conditionalFormatting>
  <conditionalFormatting sqref="CV17">
    <cfRule type="colorScale" priority="1">
      <colorScale>
        <cfvo type="num" val="0.69"/>
        <cfvo type="num" val="0.8"/>
        <cfvo type="num" val="0.9"/>
        <color rgb="FFF8696B"/>
        <color rgb="FFFFEB84"/>
        <color rgb="FF63BE7B"/>
      </colorScale>
    </cfRule>
  </conditionalFormatting>
  <printOptions horizontalCentered="1"/>
  <pageMargins left="0.19685039370078741" right="0.19685039370078741" top="0.39370078740157483" bottom="0.39370078740157483" header="0.31496062992125984" footer="0.31496062992125984"/>
  <pageSetup paperSize="5" scale="76" fitToHeight="4" orientation="landscape" r:id="rId1"/>
  <headerFooter alignWithMargins="0"/>
  <rowBreaks count="1" manualBreakCount="1">
    <brk id="14" max="100" man="1"/>
  </rowBreaks>
  <colBreaks count="13" manualBreakCount="13">
    <brk id="22" max="30" man="1"/>
    <brk id="29" max="27" man="1"/>
    <brk id="35" max="27" man="1"/>
    <brk id="41" max="27" man="1"/>
    <brk id="47" max="27" man="1"/>
    <brk id="53" max="27" man="1"/>
    <brk id="59" max="27" man="1"/>
    <brk id="65" max="27" man="1"/>
    <brk id="71" max="27" man="1"/>
    <brk id="77" max="27" man="1"/>
    <brk id="83" max="27" man="1"/>
    <brk id="89" max="27" man="1"/>
    <brk id="95" max="27"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DC126"/>
  <sheetViews>
    <sheetView showGridLines="0" view="pageBreakPreview" zoomScale="70" zoomScaleNormal="70" zoomScaleSheetLayoutView="70" zoomScalePageLayoutView="55" workbookViewId="0">
      <selection activeCell="D6" sqref="D6:D7"/>
    </sheetView>
  </sheetViews>
  <sheetFormatPr baseColWidth="10" defaultRowHeight="12.75"/>
  <cols>
    <col min="1" max="1" width="1.140625" style="126" customWidth="1"/>
    <col min="2" max="2" width="24.7109375" style="126" hidden="1" customWidth="1"/>
    <col min="3" max="3" width="6.42578125" style="121" hidden="1" customWidth="1"/>
    <col min="4" max="4" width="22.7109375" style="126" customWidth="1"/>
    <col min="5" max="5" width="11" style="126" customWidth="1"/>
    <col min="6" max="6" width="21.140625" style="126" customWidth="1"/>
    <col min="7" max="7" width="8.28515625" style="126" customWidth="1"/>
    <col min="8" max="8" width="25.140625" style="126" customWidth="1"/>
    <col min="9" max="9" width="17.7109375" style="126" customWidth="1"/>
    <col min="10" max="10" width="9.28515625" style="126" customWidth="1"/>
    <col min="11" max="17" width="5.7109375" style="126" customWidth="1"/>
    <col min="18" max="18" width="5.28515625" style="126" customWidth="1"/>
    <col min="19" max="20" width="5.7109375" style="126" customWidth="1"/>
    <col min="21" max="21" width="8.140625" style="210" customWidth="1"/>
    <col min="22" max="22" width="10.5703125" style="210" customWidth="1"/>
    <col min="23" max="23" width="11.140625" style="126" customWidth="1"/>
    <col min="24" max="24" width="15" style="126" customWidth="1"/>
    <col min="25" max="25" width="9.28515625" style="126" customWidth="1"/>
    <col min="26" max="26" width="11" style="126" customWidth="1"/>
    <col min="27" max="28" width="8.140625" style="126" customWidth="1"/>
    <col min="29" max="29" width="14" style="126" customWidth="1"/>
    <col min="30" max="30" width="20.85546875" style="126" customWidth="1"/>
    <col min="31" max="31" width="9.28515625" style="126" customWidth="1"/>
    <col min="32" max="32" width="11" style="126" customWidth="1"/>
    <col min="33" max="33" width="9" style="126" customWidth="1"/>
    <col min="34" max="34" width="8.140625" style="126" customWidth="1"/>
    <col min="35" max="35" width="11.5703125" style="126" customWidth="1"/>
    <col min="36" max="36" width="26" style="126" customWidth="1"/>
    <col min="37" max="37" width="9.28515625" style="126" customWidth="1"/>
    <col min="38" max="38" width="11" style="126" customWidth="1"/>
    <col min="39" max="40" width="8.140625" style="126" customWidth="1"/>
    <col min="41" max="41" width="11.5703125" style="126" customWidth="1"/>
    <col min="42" max="42" width="36" style="126" customWidth="1"/>
    <col min="43" max="43" width="15.28515625" style="126" customWidth="1"/>
    <col min="44" max="44" width="14.7109375" style="126" customWidth="1"/>
    <col min="45" max="46" width="8.140625" style="126" customWidth="1"/>
    <col min="47" max="47" width="11.5703125" style="126" customWidth="1"/>
    <col min="48" max="48" width="39.42578125" style="126" customWidth="1"/>
    <col min="49" max="49" width="13" style="126" customWidth="1"/>
    <col min="50" max="50" width="11" style="126" customWidth="1"/>
    <col min="51" max="52" width="8.140625" style="126" customWidth="1"/>
    <col min="53" max="53" width="11.5703125" style="126" customWidth="1"/>
    <col min="54" max="54" width="31.140625" style="126" customWidth="1"/>
    <col min="55" max="55" width="9.28515625" style="126" customWidth="1"/>
    <col min="56" max="56" width="11" style="126" customWidth="1"/>
    <col min="57" max="57" width="10.28515625" style="126" customWidth="1"/>
    <col min="58" max="58" width="10.85546875" style="126" customWidth="1"/>
    <col min="59" max="59" width="11.5703125" style="292" customWidth="1"/>
    <col min="60" max="60" width="43.42578125" style="292" customWidth="1"/>
    <col min="61" max="61" width="41.85546875" style="292" customWidth="1"/>
    <col min="62" max="62" width="13.85546875" style="126" customWidth="1"/>
    <col min="63" max="63" width="16.42578125" style="126" customWidth="1"/>
    <col min="64" max="65" width="8.140625" style="126" customWidth="1"/>
    <col min="66" max="66" width="11.5703125" style="126" customWidth="1"/>
    <col min="67" max="67" width="35.5703125" style="126" customWidth="1"/>
    <col min="68" max="68" width="12.140625" style="126" customWidth="1"/>
    <col min="69" max="69" width="11.7109375" style="126" customWidth="1"/>
    <col min="70" max="71" width="8.140625" style="126" customWidth="1"/>
    <col min="72" max="72" width="11.5703125" style="126" customWidth="1"/>
    <col min="73" max="73" width="34.7109375" style="126" customWidth="1"/>
    <col min="74" max="74" width="9.28515625" style="126" customWidth="1"/>
    <col min="75" max="75" width="8.85546875" style="126" customWidth="1"/>
    <col min="76" max="76" width="8.140625" style="126" customWidth="1"/>
    <col min="77" max="77" width="7.5703125" style="126" customWidth="1"/>
    <col min="78" max="78" width="7.7109375" style="126" customWidth="1"/>
    <col min="79" max="79" width="49.28515625" style="126" customWidth="1"/>
    <col min="80" max="80" width="9.140625" style="126" customWidth="1"/>
    <col min="81" max="81" width="11" style="126" customWidth="1"/>
    <col min="82" max="82" width="9.5703125" style="126" customWidth="1"/>
    <col min="83" max="83" width="8.140625" style="126" customWidth="1"/>
    <col min="84" max="84" width="10.42578125" style="126" customWidth="1"/>
    <col min="85" max="85" width="46.5703125" style="126" customWidth="1"/>
    <col min="86" max="86" width="11.28515625" style="126" customWidth="1"/>
    <col min="87" max="87" width="12.7109375" style="126" customWidth="1"/>
    <col min="88" max="89" width="8.140625" style="126" customWidth="1"/>
    <col min="90" max="90" width="11.5703125" style="292" customWidth="1"/>
    <col min="91" max="91" width="38.28515625" style="126" customWidth="1"/>
    <col min="92" max="92" width="9.28515625" style="126" customWidth="1"/>
    <col min="93" max="93" width="11" style="126" customWidth="1"/>
    <col min="94" max="94" width="11" style="292" customWidth="1"/>
    <col min="95" max="95" width="12.140625" style="126" customWidth="1"/>
    <col min="96" max="96" width="11.5703125" style="126" customWidth="1"/>
    <col min="97" max="97" width="57.28515625" style="126" customWidth="1"/>
    <col min="98" max="98" width="13.5703125" style="126" customWidth="1"/>
    <col min="99" max="99" width="13" style="126" customWidth="1"/>
    <col min="100" max="100" width="13.140625" style="126" customWidth="1"/>
    <col min="101" max="101" width="14" style="292" customWidth="1"/>
    <col min="102" max="102" width="12.85546875" style="126" customWidth="1"/>
    <col min="103" max="103" width="59.42578125" style="126" customWidth="1"/>
    <col min="104" max="114" width="0" style="126" hidden="1" customWidth="1"/>
    <col min="115" max="16384" width="11.42578125" style="126"/>
  </cols>
  <sheetData>
    <row r="1" spans="1:103" s="286" customFormat="1" ht="24.75" customHeight="1">
      <c r="A1" s="284"/>
      <c r="B1" s="2073" t="s">
        <v>22</v>
      </c>
      <c r="C1" s="2074"/>
      <c r="D1" s="2074"/>
      <c r="E1" s="2074"/>
      <c r="F1" s="2074"/>
      <c r="G1" s="2074"/>
      <c r="H1" s="2074"/>
      <c r="I1" s="2074"/>
      <c r="J1" s="2075"/>
      <c r="K1" s="285"/>
      <c r="L1" s="285"/>
      <c r="M1" s="285"/>
      <c r="N1" s="285"/>
      <c r="O1" s="2076"/>
      <c r="P1" s="2077"/>
      <c r="Q1" s="2077"/>
      <c r="R1" s="2077"/>
      <c r="S1" s="2078"/>
      <c r="T1" s="2078"/>
      <c r="U1" s="2078"/>
      <c r="V1" s="2078"/>
      <c r="BG1" s="287"/>
      <c r="BH1" s="287"/>
      <c r="BI1" s="287"/>
      <c r="CL1" s="287"/>
      <c r="CP1" s="288"/>
      <c r="CW1" s="287"/>
    </row>
    <row r="2" spans="1:103" s="289" customFormat="1" ht="22.5" customHeight="1">
      <c r="B2" s="177" t="s">
        <v>409</v>
      </c>
      <c r="C2" s="2079" t="s">
        <v>50</v>
      </c>
      <c r="D2" s="2080"/>
      <c r="E2" s="2080"/>
      <c r="F2" s="2080"/>
      <c r="G2" s="2080"/>
      <c r="H2" s="2080"/>
      <c r="I2" s="2080"/>
      <c r="J2" s="2081"/>
      <c r="K2" s="290"/>
      <c r="L2" s="290"/>
      <c r="M2" s="290"/>
      <c r="N2" s="291"/>
      <c r="O2" s="2081" t="s">
        <v>48</v>
      </c>
      <c r="P2" s="2082"/>
      <c r="Q2" s="2082"/>
      <c r="R2" s="2082"/>
      <c r="S2" s="2078"/>
      <c r="T2" s="2078"/>
      <c r="U2" s="2078"/>
      <c r="V2" s="2078"/>
      <c r="BG2" s="288"/>
      <c r="BH2" s="288"/>
      <c r="BI2" s="288"/>
      <c r="CL2" s="288"/>
      <c r="CP2" s="288"/>
      <c r="CW2" s="288"/>
    </row>
    <row r="3" spans="1:103" ht="5.25" customHeight="1"/>
    <row r="4" spans="1:103" ht="19.5" customHeight="1">
      <c r="B4" s="293" t="s">
        <v>18</v>
      </c>
      <c r="C4" s="2082" t="s">
        <v>410</v>
      </c>
      <c r="D4" s="2082"/>
      <c r="E4" s="2082"/>
      <c r="F4" s="2082"/>
      <c r="G4" s="2082"/>
      <c r="H4" s="2082"/>
      <c r="I4" s="2082"/>
      <c r="J4" s="2082"/>
      <c r="K4" s="2083" t="s">
        <v>21</v>
      </c>
      <c r="L4" s="2083"/>
      <c r="M4" s="2083"/>
      <c r="N4" s="2084">
        <v>2014</v>
      </c>
      <c r="O4" s="2085"/>
      <c r="P4" s="2085"/>
      <c r="Q4" s="2085"/>
      <c r="R4" s="2085"/>
      <c r="S4" s="2085"/>
      <c r="T4" s="2085"/>
      <c r="U4" s="2085"/>
      <c r="V4" s="2086"/>
      <c r="W4" s="129"/>
      <c r="X4" s="129"/>
      <c r="Y4" s="2087" t="s">
        <v>29</v>
      </c>
      <c r="Z4" s="2087"/>
      <c r="AA4" s="2087"/>
      <c r="AB4" s="2087"/>
      <c r="AC4" s="2087"/>
      <c r="AD4" s="2088"/>
      <c r="AE4" s="2089" t="s">
        <v>29</v>
      </c>
      <c r="AF4" s="2087"/>
      <c r="AG4" s="2087"/>
      <c r="AH4" s="2087"/>
      <c r="AI4" s="2087"/>
      <c r="AJ4" s="2088"/>
      <c r="AK4" s="2089" t="s">
        <v>29</v>
      </c>
      <c r="AL4" s="2087"/>
      <c r="AM4" s="2087"/>
      <c r="AN4" s="2087"/>
      <c r="AO4" s="2087"/>
      <c r="AP4" s="2088"/>
      <c r="AQ4" s="2089" t="s">
        <v>29</v>
      </c>
      <c r="AR4" s="2087"/>
      <c r="AS4" s="2087"/>
      <c r="AT4" s="2087"/>
      <c r="AU4" s="2087"/>
      <c r="AV4" s="2088"/>
      <c r="AW4" s="2089" t="s">
        <v>29</v>
      </c>
      <c r="AX4" s="2087"/>
      <c r="AY4" s="2087"/>
      <c r="AZ4" s="2087"/>
      <c r="BA4" s="2087"/>
      <c r="BB4" s="2088"/>
      <c r="BC4" s="2089" t="s">
        <v>29</v>
      </c>
      <c r="BD4" s="2087"/>
      <c r="BE4" s="2087"/>
      <c r="BF4" s="2087"/>
      <c r="BG4" s="2087"/>
      <c r="BH4" s="2088"/>
      <c r="BI4" s="294"/>
      <c r="BJ4" s="2089" t="s">
        <v>29</v>
      </c>
      <c r="BK4" s="2087"/>
      <c r="BL4" s="2087"/>
      <c r="BM4" s="2087"/>
      <c r="BN4" s="2087"/>
      <c r="BO4" s="2088"/>
      <c r="BP4" s="2089" t="s">
        <v>29</v>
      </c>
      <c r="BQ4" s="2087"/>
      <c r="BR4" s="2087"/>
      <c r="BS4" s="2087"/>
      <c r="BT4" s="2087"/>
      <c r="BU4" s="2088"/>
      <c r="BV4" s="2089" t="s">
        <v>29</v>
      </c>
      <c r="BW4" s="2087"/>
      <c r="BX4" s="2087"/>
      <c r="BY4" s="2087"/>
      <c r="BZ4" s="2087"/>
      <c r="CA4" s="2088"/>
      <c r="CB4" s="2089" t="s">
        <v>29</v>
      </c>
      <c r="CC4" s="2087"/>
      <c r="CD4" s="2087"/>
      <c r="CE4" s="2087"/>
      <c r="CF4" s="2087"/>
      <c r="CG4" s="2088"/>
      <c r="CH4" s="2089" t="s">
        <v>29</v>
      </c>
      <c r="CI4" s="2087"/>
      <c r="CJ4" s="2087"/>
      <c r="CK4" s="2087"/>
      <c r="CL4" s="2087"/>
      <c r="CM4" s="2088"/>
      <c r="CN4" s="2089" t="s">
        <v>29</v>
      </c>
      <c r="CO4" s="2087"/>
      <c r="CP4" s="2087"/>
      <c r="CQ4" s="2087"/>
      <c r="CR4" s="2087"/>
      <c r="CS4" s="2088"/>
      <c r="CT4" s="2090" t="s">
        <v>30</v>
      </c>
      <c r="CU4" s="2090"/>
      <c r="CV4" s="2090"/>
      <c r="CW4" s="2090"/>
      <c r="CX4" s="2090"/>
      <c r="CY4" s="2090"/>
    </row>
    <row r="5" spans="1:103" ht="17.45" customHeight="1">
      <c r="A5" s="129"/>
      <c r="B5" s="129"/>
      <c r="C5" s="295"/>
      <c r="D5" s="129"/>
      <c r="E5" s="129"/>
      <c r="F5" s="129"/>
      <c r="G5" s="129"/>
      <c r="H5" s="129"/>
      <c r="I5" s="129"/>
      <c r="J5" s="129"/>
      <c r="K5" s="129"/>
      <c r="L5" s="129"/>
      <c r="M5" s="129"/>
      <c r="N5" s="129"/>
      <c r="O5" s="129"/>
      <c r="P5" s="129"/>
      <c r="Q5" s="129"/>
      <c r="R5" s="129"/>
      <c r="S5" s="129"/>
      <c r="T5" s="129"/>
      <c r="U5" s="54"/>
      <c r="V5" s="54"/>
      <c r="W5" s="129"/>
      <c r="X5" s="129"/>
    </row>
    <row r="6" spans="1:103" s="121" customFormat="1" ht="28.5" customHeight="1">
      <c r="A6" s="296"/>
      <c r="B6" s="2091" t="s">
        <v>26</v>
      </c>
      <c r="C6" s="2091" t="s">
        <v>10</v>
      </c>
      <c r="D6" s="2092" t="s">
        <v>23</v>
      </c>
      <c r="E6" s="2092" t="s">
        <v>19</v>
      </c>
      <c r="F6" s="2092" t="s">
        <v>11</v>
      </c>
      <c r="G6" s="2092" t="s">
        <v>15</v>
      </c>
      <c r="H6" s="2092" t="s">
        <v>12</v>
      </c>
      <c r="I6" s="2092" t="s">
        <v>20</v>
      </c>
      <c r="J6" s="2092" t="s">
        <v>16</v>
      </c>
      <c r="K6" s="2092" t="s">
        <v>24</v>
      </c>
      <c r="L6" s="2092"/>
      <c r="M6" s="2092"/>
      <c r="N6" s="2092"/>
      <c r="O6" s="2092"/>
      <c r="P6" s="2092"/>
      <c r="Q6" s="2092"/>
      <c r="R6" s="2092"/>
      <c r="S6" s="2092"/>
      <c r="T6" s="2092"/>
      <c r="U6" s="2092"/>
      <c r="V6" s="2092"/>
      <c r="W6" s="298"/>
      <c r="X6" s="298"/>
      <c r="Y6" s="2094" t="s">
        <v>37</v>
      </c>
      <c r="Z6" s="2095"/>
      <c r="AA6" s="2095"/>
      <c r="AB6" s="2095"/>
      <c r="AC6" s="2095"/>
      <c r="AD6" s="2095"/>
      <c r="AE6" s="2094" t="s">
        <v>38</v>
      </c>
      <c r="AF6" s="2095"/>
      <c r="AG6" s="2095"/>
      <c r="AH6" s="2095"/>
      <c r="AI6" s="2095"/>
      <c r="AJ6" s="2095"/>
      <c r="AK6" s="2094" t="s">
        <v>39</v>
      </c>
      <c r="AL6" s="2095"/>
      <c r="AM6" s="2095"/>
      <c r="AN6" s="2095"/>
      <c r="AO6" s="2095"/>
      <c r="AP6" s="2095"/>
      <c r="AQ6" s="2094" t="s">
        <v>40</v>
      </c>
      <c r="AR6" s="2095"/>
      <c r="AS6" s="2095"/>
      <c r="AT6" s="2095"/>
      <c r="AU6" s="2095"/>
      <c r="AV6" s="2095"/>
      <c r="AW6" s="2094" t="s">
        <v>41</v>
      </c>
      <c r="AX6" s="2095"/>
      <c r="AY6" s="2095"/>
      <c r="AZ6" s="2095"/>
      <c r="BA6" s="2095"/>
      <c r="BB6" s="2095"/>
      <c r="BC6" s="2094" t="s">
        <v>42</v>
      </c>
      <c r="BD6" s="2095"/>
      <c r="BE6" s="2095"/>
      <c r="BF6" s="2095"/>
      <c r="BG6" s="2095"/>
      <c r="BH6" s="2095"/>
      <c r="BI6" s="299"/>
      <c r="BJ6" s="2094" t="s">
        <v>43</v>
      </c>
      <c r="BK6" s="2095"/>
      <c r="BL6" s="2095"/>
      <c r="BM6" s="2095"/>
      <c r="BN6" s="2095"/>
      <c r="BO6" s="2095"/>
      <c r="BP6" s="2094" t="s">
        <v>44</v>
      </c>
      <c r="BQ6" s="2095"/>
      <c r="BR6" s="2095"/>
      <c r="BS6" s="2095"/>
      <c r="BT6" s="2095"/>
      <c r="BU6" s="2095"/>
      <c r="BV6" s="2094" t="s">
        <v>45</v>
      </c>
      <c r="BW6" s="2095"/>
      <c r="BX6" s="2095"/>
      <c r="BY6" s="2095"/>
      <c r="BZ6" s="2095"/>
      <c r="CA6" s="2095"/>
      <c r="CB6" s="2094" t="s">
        <v>46</v>
      </c>
      <c r="CC6" s="2095"/>
      <c r="CD6" s="2095"/>
      <c r="CE6" s="2095"/>
      <c r="CF6" s="2095"/>
      <c r="CG6" s="2095"/>
      <c r="CH6" s="2094" t="s">
        <v>47</v>
      </c>
      <c r="CI6" s="2095"/>
      <c r="CJ6" s="2095"/>
      <c r="CK6" s="2095"/>
      <c r="CL6" s="2095"/>
      <c r="CM6" s="2095"/>
      <c r="CN6" s="2096" t="s">
        <v>87</v>
      </c>
      <c r="CO6" s="2095"/>
      <c r="CP6" s="2095"/>
      <c r="CQ6" s="2095"/>
      <c r="CR6" s="2095"/>
      <c r="CS6" s="2095"/>
      <c r="CT6" s="2094" t="s">
        <v>411</v>
      </c>
      <c r="CU6" s="2095"/>
      <c r="CV6" s="2095"/>
      <c r="CW6" s="2095"/>
      <c r="CX6" s="2095"/>
      <c r="CY6" s="2095"/>
    </row>
    <row r="7" spans="1:103" s="121" customFormat="1" ht="30.75" customHeight="1">
      <c r="A7" s="296"/>
      <c r="B7" s="2091"/>
      <c r="C7" s="2091"/>
      <c r="D7" s="2092"/>
      <c r="E7" s="2092"/>
      <c r="F7" s="2092"/>
      <c r="G7" s="2092"/>
      <c r="H7" s="2093"/>
      <c r="I7" s="2092"/>
      <c r="J7" s="2092"/>
      <c r="K7" s="1950" t="s">
        <v>13</v>
      </c>
      <c r="L7" s="1950" t="s">
        <v>0</v>
      </c>
      <c r="M7" s="1950" t="s">
        <v>1</v>
      </c>
      <c r="N7" s="1950" t="s">
        <v>14</v>
      </c>
      <c r="O7" s="1950" t="s">
        <v>2</v>
      </c>
      <c r="P7" s="1950" t="s">
        <v>3</v>
      </c>
      <c r="Q7" s="1950" t="s">
        <v>4</v>
      </c>
      <c r="R7" s="1950" t="s">
        <v>5</v>
      </c>
      <c r="S7" s="1950" t="s">
        <v>6</v>
      </c>
      <c r="T7" s="1950" t="s">
        <v>7</v>
      </c>
      <c r="U7" s="1950" t="s">
        <v>8</v>
      </c>
      <c r="V7" s="1950" t="s">
        <v>9</v>
      </c>
      <c r="W7" s="301" t="s">
        <v>412</v>
      </c>
      <c r="X7" s="301" t="s">
        <v>413</v>
      </c>
      <c r="Y7" s="98" t="s">
        <v>31</v>
      </c>
      <c r="Z7" s="98" t="s">
        <v>32</v>
      </c>
      <c r="AA7" s="299" t="s">
        <v>33</v>
      </c>
      <c r="AB7" s="98" t="s">
        <v>34</v>
      </c>
      <c r="AC7" s="302" t="s">
        <v>414</v>
      </c>
      <c r="AD7" s="299" t="s">
        <v>36</v>
      </c>
      <c r="AE7" s="98" t="s">
        <v>31</v>
      </c>
      <c r="AF7" s="98" t="s">
        <v>32</v>
      </c>
      <c r="AG7" s="299" t="s">
        <v>33</v>
      </c>
      <c r="AH7" s="98" t="s">
        <v>34</v>
      </c>
      <c r="AI7" s="302" t="s">
        <v>414</v>
      </c>
      <c r="AJ7" s="299" t="s">
        <v>36</v>
      </c>
      <c r="AK7" s="98" t="s">
        <v>31</v>
      </c>
      <c r="AL7" s="98" t="s">
        <v>32</v>
      </c>
      <c r="AM7" s="299" t="s">
        <v>33</v>
      </c>
      <c r="AN7" s="98" t="s">
        <v>34</v>
      </c>
      <c r="AO7" s="302" t="s">
        <v>414</v>
      </c>
      <c r="AP7" s="299" t="s">
        <v>36</v>
      </c>
      <c r="AQ7" s="98" t="s">
        <v>31</v>
      </c>
      <c r="AR7" s="98" t="s">
        <v>32</v>
      </c>
      <c r="AS7" s="299" t="s">
        <v>33</v>
      </c>
      <c r="AT7" s="98" t="s">
        <v>34</v>
      </c>
      <c r="AU7" s="302" t="s">
        <v>414</v>
      </c>
      <c r="AV7" s="299" t="s">
        <v>36</v>
      </c>
      <c r="AW7" s="98" t="s">
        <v>31</v>
      </c>
      <c r="AX7" s="98" t="s">
        <v>32</v>
      </c>
      <c r="AY7" s="299" t="s">
        <v>33</v>
      </c>
      <c r="AZ7" s="98" t="s">
        <v>34</v>
      </c>
      <c r="BA7" s="302" t="s">
        <v>414</v>
      </c>
      <c r="BB7" s="299" t="s">
        <v>36</v>
      </c>
      <c r="BC7" s="98" t="s">
        <v>31</v>
      </c>
      <c r="BD7" s="98" t="s">
        <v>32</v>
      </c>
      <c r="BE7" s="299" t="s">
        <v>33</v>
      </c>
      <c r="BF7" s="98" t="s">
        <v>34</v>
      </c>
      <c r="BG7" s="302" t="s">
        <v>414</v>
      </c>
      <c r="BH7" s="299" t="s">
        <v>36</v>
      </c>
      <c r="BI7" s="299" t="s">
        <v>415</v>
      </c>
      <c r="BJ7" s="98" t="s">
        <v>31</v>
      </c>
      <c r="BK7" s="98" t="s">
        <v>32</v>
      </c>
      <c r="BL7" s="299" t="s">
        <v>33</v>
      </c>
      <c r="BM7" s="98" t="s">
        <v>34</v>
      </c>
      <c r="BN7" s="302" t="s">
        <v>414</v>
      </c>
      <c r="BO7" s="299" t="s">
        <v>36</v>
      </c>
      <c r="BP7" s="98" t="s">
        <v>31</v>
      </c>
      <c r="BQ7" s="98" t="s">
        <v>32</v>
      </c>
      <c r="BR7" s="299" t="s">
        <v>33</v>
      </c>
      <c r="BS7" s="98" t="s">
        <v>34</v>
      </c>
      <c r="BT7" s="302" t="s">
        <v>414</v>
      </c>
      <c r="BU7" s="299" t="s">
        <v>36</v>
      </c>
      <c r="BV7" s="98" t="s">
        <v>31</v>
      </c>
      <c r="BW7" s="98" t="s">
        <v>32</v>
      </c>
      <c r="BX7" s="299" t="s">
        <v>33</v>
      </c>
      <c r="BY7" s="98" t="s">
        <v>34</v>
      </c>
      <c r="BZ7" s="302" t="s">
        <v>414</v>
      </c>
      <c r="CA7" s="299" t="s">
        <v>36</v>
      </c>
      <c r="CB7" s="98" t="s">
        <v>31</v>
      </c>
      <c r="CC7" s="98" t="s">
        <v>32</v>
      </c>
      <c r="CD7" s="299" t="s">
        <v>33</v>
      </c>
      <c r="CE7" s="98" t="s">
        <v>34</v>
      </c>
      <c r="CF7" s="302" t="s">
        <v>414</v>
      </c>
      <c r="CG7" s="299" t="s">
        <v>36</v>
      </c>
      <c r="CH7" s="98" t="s">
        <v>31</v>
      </c>
      <c r="CI7" s="98" t="s">
        <v>32</v>
      </c>
      <c r="CJ7" s="299" t="s">
        <v>33</v>
      </c>
      <c r="CK7" s="98" t="s">
        <v>34</v>
      </c>
      <c r="CL7" s="302" t="s">
        <v>414</v>
      </c>
      <c r="CM7" s="299" t="s">
        <v>36</v>
      </c>
      <c r="CN7" s="303" t="s">
        <v>31</v>
      </c>
      <c r="CO7" s="98" t="s">
        <v>32</v>
      </c>
      <c r="CP7" s="299" t="s">
        <v>33</v>
      </c>
      <c r="CQ7" s="98" t="s">
        <v>34</v>
      </c>
      <c r="CR7" s="302" t="s">
        <v>414</v>
      </c>
      <c r="CS7" s="299" t="s">
        <v>36</v>
      </c>
      <c r="CT7" s="98" t="s">
        <v>31</v>
      </c>
      <c r="CU7" s="98" t="s">
        <v>32</v>
      </c>
      <c r="CV7" s="299" t="s">
        <v>33</v>
      </c>
      <c r="CW7" s="98" t="s">
        <v>34</v>
      </c>
      <c r="CX7" s="302" t="s">
        <v>414</v>
      </c>
      <c r="CY7" s="299" t="s">
        <v>36</v>
      </c>
    </row>
    <row r="8" spans="1:103" s="121" customFormat="1" ht="35.1" customHeight="1">
      <c r="A8" s="296"/>
      <c r="B8" s="2097" t="s">
        <v>416</v>
      </c>
      <c r="C8" s="2098">
        <v>1</v>
      </c>
      <c r="D8" s="2097" t="s">
        <v>417</v>
      </c>
      <c r="E8" s="2097" t="s">
        <v>418</v>
      </c>
      <c r="F8" s="2099" t="s">
        <v>419</v>
      </c>
      <c r="G8" s="2100" t="s">
        <v>53</v>
      </c>
      <c r="H8" s="2099" t="s">
        <v>420</v>
      </c>
      <c r="I8" s="2099" t="s">
        <v>421</v>
      </c>
      <c r="J8" s="13" t="s">
        <v>54</v>
      </c>
      <c r="K8" s="307">
        <f>+K10/$X10</f>
        <v>0.3</v>
      </c>
      <c r="L8" s="307">
        <f>+L10/$X10</f>
        <v>0.3</v>
      </c>
      <c r="M8" s="307">
        <f t="shared" ref="M8:V8" si="0">+M10/$X10</f>
        <v>0.3</v>
      </c>
      <c r="N8" s="308">
        <f t="shared" si="0"/>
        <v>0</v>
      </c>
      <c r="O8" s="308">
        <f t="shared" si="0"/>
        <v>0</v>
      </c>
      <c r="P8" s="308">
        <f t="shared" si="0"/>
        <v>0</v>
      </c>
      <c r="Q8" s="308">
        <f t="shared" si="0"/>
        <v>0</v>
      </c>
      <c r="R8" s="308">
        <f t="shared" si="0"/>
        <v>0</v>
      </c>
      <c r="S8" s="308">
        <f>+S10/$X10</f>
        <v>0</v>
      </c>
      <c r="T8" s="307">
        <f>+T10/$X10</f>
        <v>0.1</v>
      </c>
      <c r="U8" s="308">
        <f t="shared" si="0"/>
        <v>0</v>
      </c>
      <c r="V8" s="308">
        <f t="shared" si="0"/>
        <v>0</v>
      </c>
      <c r="W8" s="301"/>
      <c r="X8" s="13"/>
      <c r="Y8" s="309">
        <v>0.33</v>
      </c>
      <c r="Z8" s="309">
        <v>1</v>
      </c>
      <c r="AA8" s="309">
        <f>IF(Z8=0," ",Y8/Z8)</f>
        <v>0.33</v>
      </c>
      <c r="AB8" s="309">
        <v>0.33</v>
      </c>
      <c r="AC8" s="309">
        <f>IF(Z8=0," ",AA8/AB8)</f>
        <v>1</v>
      </c>
      <c r="AD8" s="2101" t="s">
        <v>422</v>
      </c>
      <c r="AE8" s="307">
        <f>+L8</f>
        <v>0.3</v>
      </c>
      <c r="AF8" s="309">
        <v>1</v>
      </c>
      <c r="AG8" s="309">
        <f t="shared" ref="AG8:AG61" si="1">IF(AF8=0," ",AE8/AF8)</f>
        <v>0.3</v>
      </c>
      <c r="AH8" s="307">
        <f>+AG8</f>
        <v>0.3</v>
      </c>
      <c r="AI8" s="309">
        <f>IF(AF8=0," ",AG8/AH8)</f>
        <v>1</v>
      </c>
      <c r="AJ8" s="2101" t="s">
        <v>422</v>
      </c>
      <c r="AK8" s="309">
        <f>+M8</f>
        <v>0.3</v>
      </c>
      <c r="AL8" s="309">
        <v>1</v>
      </c>
      <c r="AM8" s="309">
        <f t="shared" ref="AM8:AM61" si="2">IF(AL8=0," ",AK8/AL8)</f>
        <v>0.3</v>
      </c>
      <c r="AN8" s="309">
        <f>+AK8</f>
        <v>0.3</v>
      </c>
      <c r="AO8" s="309">
        <f>IF(AL8=0," ",AM8/AN8)</f>
        <v>1</v>
      </c>
      <c r="AP8" s="2101" t="s">
        <v>422</v>
      </c>
      <c r="AQ8" s="310" t="s">
        <v>423</v>
      </c>
      <c r="AR8" s="310" t="s">
        <v>423</v>
      </c>
      <c r="AS8" s="98"/>
      <c r="AT8" s="98"/>
      <c r="AU8" s="98" t="s">
        <v>423</v>
      </c>
      <c r="AV8" s="2101" t="s">
        <v>424</v>
      </c>
      <c r="AW8" s="310" t="s">
        <v>325</v>
      </c>
      <c r="AX8" s="310" t="s">
        <v>325</v>
      </c>
      <c r="AY8" s="310"/>
      <c r="AZ8" s="310"/>
      <c r="BA8" s="310" t="s">
        <v>325</v>
      </c>
      <c r="BB8" s="2101" t="s">
        <v>422</v>
      </c>
      <c r="BC8" s="311" t="s">
        <v>325</v>
      </c>
      <c r="BD8" s="311" t="s">
        <v>325</v>
      </c>
      <c r="BE8" s="311"/>
      <c r="BF8" s="311" t="s">
        <v>325</v>
      </c>
      <c r="BG8" s="312" t="s">
        <v>325</v>
      </c>
      <c r="BH8" s="2101" t="s">
        <v>425</v>
      </c>
      <c r="BI8" s="310"/>
      <c r="BJ8" s="313" t="s">
        <v>325</v>
      </c>
      <c r="BK8" s="313" t="s">
        <v>325</v>
      </c>
      <c r="BL8" s="313"/>
      <c r="BM8" s="313" t="s">
        <v>325</v>
      </c>
      <c r="BN8" s="313" t="s">
        <v>325</v>
      </c>
      <c r="BO8" s="2101" t="s">
        <v>426</v>
      </c>
      <c r="BP8" s="313" t="s">
        <v>325</v>
      </c>
      <c r="BQ8" s="313" t="s">
        <v>325</v>
      </c>
      <c r="BR8" s="313"/>
      <c r="BS8" s="313" t="s">
        <v>325</v>
      </c>
      <c r="BT8" s="313" t="s">
        <v>325</v>
      </c>
      <c r="BU8" s="2101" t="s">
        <v>426</v>
      </c>
      <c r="BV8" s="313" t="s">
        <v>325</v>
      </c>
      <c r="BW8" s="313" t="s">
        <v>325</v>
      </c>
      <c r="BX8" s="313"/>
      <c r="BY8" s="313" t="s">
        <v>325</v>
      </c>
      <c r="BZ8" s="313" t="s">
        <v>325</v>
      </c>
      <c r="CA8" s="2101" t="s">
        <v>426</v>
      </c>
      <c r="CB8" s="314">
        <v>1</v>
      </c>
      <c r="CC8" s="314">
        <v>0.1</v>
      </c>
      <c r="CD8" s="314">
        <v>0.1</v>
      </c>
      <c r="CE8" s="314">
        <v>0.1</v>
      </c>
      <c r="CF8" s="2102">
        <f>IF(CC8=0," ",CD8/CE8)</f>
        <v>1</v>
      </c>
      <c r="CG8" s="2103" t="s">
        <v>427</v>
      </c>
      <c r="CH8" s="310" t="s">
        <v>325</v>
      </c>
      <c r="CI8" s="310" t="s">
        <v>325</v>
      </c>
      <c r="CJ8" s="310">
        <v>0</v>
      </c>
      <c r="CK8" s="310"/>
      <c r="CL8" s="58" t="s">
        <v>325</v>
      </c>
      <c r="CM8" s="2101" t="s">
        <v>428</v>
      </c>
      <c r="CN8" s="316" t="s">
        <v>325</v>
      </c>
      <c r="CO8" s="316" t="s">
        <v>325</v>
      </c>
      <c r="CP8" s="316"/>
      <c r="CQ8" s="316" t="s">
        <v>325</v>
      </c>
      <c r="CR8" s="316" t="s">
        <v>325</v>
      </c>
      <c r="CS8" s="2104" t="s">
        <v>429</v>
      </c>
      <c r="CT8" s="309">
        <v>1</v>
      </c>
      <c r="CU8" s="309">
        <v>1</v>
      </c>
      <c r="CV8" s="309">
        <v>1</v>
      </c>
      <c r="CW8" s="309">
        <v>1</v>
      </c>
      <c r="CX8" s="58">
        <f>IF(CU8=0," ",CV8/CW8)</f>
        <v>1</v>
      </c>
      <c r="CY8" s="2104" t="s">
        <v>430</v>
      </c>
    </row>
    <row r="9" spans="1:103" s="121" customFormat="1" ht="70.5" hidden="1" customHeight="1">
      <c r="A9" s="296"/>
      <c r="B9" s="2097"/>
      <c r="C9" s="2098"/>
      <c r="D9" s="2097"/>
      <c r="E9" s="2097"/>
      <c r="F9" s="2099"/>
      <c r="G9" s="2100"/>
      <c r="H9" s="2099"/>
      <c r="I9" s="2099"/>
      <c r="J9" s="13"/>
      <c r="K9" s="307" t="s">
        <v>431</v>
      </c>
      <c r="L9" s="307" t="s">
        <v>432</v>
      </c>
      <c r="M9" s="307" t="s">
        <v>433</v>
      </c>
      <c r="N9" s="308"/>
      <c r="O9" s="308"/>
      <c r="P9" s="308"/>
      <c r="Q9" s="308"/>
      <c r="R9" s="308"/>
      <c r="S9" s="308"/>
      <c r="T9" s="307" t="s">
        <v>434</v>
      </c>
      <c r="U9" s="308"/>
      <c r="V9" s="308"/>
      <c r="W9" s="301"/>
      <c r="X9" s="13"/>
      <c r="Y9" s="310"/>
      <c r="Z9" s="309">
        <v>1</v>
      </c>
      <c r="AA9" s="309">
        <f>IF(Z9=0," ",Y9/Z9)</f>
        <v>0</v>
      </c>
      <c r="AB9" s="310"/>
      <c r="AC9" s="309" t="e">
        <f>IF(Z9=0," ",AA9/AB9)</f>
        <v>#DIV/0!</v>
      </c>
      <c r="AD9" s="2101"/>
      <c r="AE9" s="310"/>
      <c r="AF9" s="309">
        <v>1</v>
      </c>
      <c r="AG9" s="309">
        <f t="shared" si="1"/>
        <v>0</v>
      </c>
      <c r="AH9" s="310"/>
      <c r="AI9" s="309" t="e">
        <f t="shared" ref="AI9:AI68" si="3">IF(AF9=0," ",AG9/AH9)</f>
        <v>#DIV/0!</v>
      </c>
      <c r="AJ9" s="2101"/>
      <c r="AK9" s="310"/>
      <c r="AL9" s="309">
        <v>1</v>
      </c>
      <c r="AM9" s="309">
        <f t="shared" si="2"/>
        <v>0</v>
      </c>
      <c r="AN9" s="310"/>
      <c r="AO9" s="309" t="e">
        <f t="shared" ref="AO9:AO61" si="4">IF(AL9=0," ",AM9/AN9)</f>
        <v>#DIV/0!</v>
      </c>
      <c r="AP9" s="2101"/>
      <c r="AQ9" s="310" t="s">
        <v>423</v>
      </c>
      <c r="AR9" s="310" t="s">
        <v>423</v>
      </c>
      <c r="AS9" s="98"/>
      <c r="AT9" s="98"/>
      <c r="AU9" s="98" t="s">
        <v>423</v>
      </c>
      <c r="AV9" s="2101"/>
      <c r="AW9" s="310" t="s">
        <v>325</v>
      </c>
      <c r="AX9" s="310" t="s">
        <v>325</v>
      </c>
      <c r="AY9" s="310"/>
      <c r="AZ9" s="310"/>
      <c r="BA9" s="310" t="s">
        <v>325</v>
      </c>
      <c r="BB9" s="2101"/>
      <c r="BC9" s="311"/>
      <c r="BD9" s="311" t="s">
        <v>325</v>
      </c>
      <c r="BE9" s="311"/>
      <c r="BF9" s="311" t="s">
        <v>325</v>
      </c>
      <c r="BG9" s="312" t="s">
        <v>325</v>
      </c>
      <c r="BH9" s="2101"/>
      <c r="BI9" s="310"/>
      <c r="BJ9" s="313"/>
      <c r="BK9" s="313" t="s">
        <v>325</v>
      </c>
      <c r="BL9" s="313"/>
      <c r="BM9" s="313" t="s">
        <v>325</v>
      </c>
      <c r="BN9" s="313" t="s">
        <v>325</v>
      </c>
      <c r="BO9" s="2101"/>
      <c r="BP9" s="313"/>
      <c r="BQ9" s="313" t="s">
        <v>325</v>
      </c>
      <c r="BR9" s="313"/>
      <c r="BS9" s="313" t="s">
        <v>325</v>
      </c>
      <c r="BT9" s="313" t="s">
        <v>325</v>
      </c>
      <c r="BU9" s="2101"/>
      <c r="BV9" s="313"/>
      <c r="BW9" s="313" t="s">
        <v>325</v>
      </c>
      <c r="BX9" s="313"/>
      <c r="BY9" s="313" t="s">
        <v>325</v>
      </c>
      <c r="BZ9" s="313" t="s">
        <v>325</v>
      </c>
      <c r="CA9" s="2101"/>
      <c r="CB9" s="318"/>
      <c r="CC9" s="318"/>
      <c r="CD9" s="318"/>
      <c r="CE9" s="318"/>
      <c r="CF9" s="2102"/>
      <c r="CG9" s="2103"/>
      <c r="CH9" s="310"/>
      <c r="CI9" s="310"/>
      <c r="CJ9" s="310"/>
      <c r="CK9" s="310"/>
      <c r="CL9" s="58" t="str">
        <f t="shared" ref="CL9:CL61" si="5">IF(CI9=0," ",CJ9/CK9)</f>
        <v xml:space="preserve"> </v>
      </c>
      <c r="CM9" s="2101"/>
      <c r="CN9" s="316" t="s">
        <v>325</v>
      </c>
      <c r="CO9" s="316" t="s">
        <v>325</v>
      </c>
      <c r="CP9" s="316"/>
      <c r="CQ9" s="316" t="s">
        <v>325</v>
      </c>
      <c r="CR9" s="316" t="s">
        <v>325</v>
      </c>
      <c r="CS9" s="2105"/>
      <c r="CT9" s="310"/>
      <c r="CU9" s="310"/>
      <c r="CV9" s="319">
        <f t="shared" ref="CV9:CV68" si="6">+CP9+AA9+AG9+AM9+AS9+AY9+BE9+BL9+BR9+BX9+CD9+CJ9</f>
        <v>0</v>
      </c>
      <c r="CW9" s="320">
        <f t="shared" ref="CW9:CW65" si="7">+X9</f>
        <v>0</v>
      </c>
      <c r="CX9" s="321"/>
      <c r="CY9" s="2105"/>
    </row>
    <row r="10" spans="1:103" s="121" customFormat="1" ht="19.5" customHeight="1">
      <c r="A10" s="296"/>
      <c r="B10" s="2097"/>
      <c r="C10" s="2098"/>
      <c r="D10" s="2097"/>
      <c r="E10" s="2097"/>
      <c r="F10" s="2099"/>
      <c r="G10" s="2100"/>
      <c r="H10" s="2099"/>
      <c r="I10" s="2099"/>
      <c r="J10" s="13" t="s">
        <v>435</v>
      </c>
      <c r="K10" s="322">
        <v>3</v>
      </c>
      <c r="L10" s="322">
        <v>3</v>
      </c>
      <c r="M10" s="322">
        <v>3</v>
      </c>
      <c r="N10" s="323">
        <v>0</v>
      </c>
      <c r="O10" s="323">
        <v>0</v>
      </c>
      <c r="P10" s="323">
        <v>0</v>
      </c>
      <c r="Q10" s="323">
        <v>0</v>
      </c>
      <c r="R10" s="323">
        <v>0</v>
      </c>
      <c r="S10" s="323">
        <v>0</v>
      </c>
      <c r="T10" s="322">
        <v>1</v>
      </c>
      <c r="U10" s="323">
        <v>0</v>
      </c>
      <c r="V10" s="323">
        <v>0</v>
      </c>
      <c r="W10" s="301"/>
      <c r="X10" s="324">
        <f>+SUM(K10:V10)</f>
        <v>10</v>
      </c>
      <c r="Y10" s="313">
        <v>3</v>
      </c>
      <c r="Z10" s="309">
        <v>1</v>
      </c>
      <c r="AA10" s="313">
        <f>IF(Z10=0," ",Y10/Z10)</f>
        <v>3</v>
      </c>
      <c r="AB10" s="313">
        <v>3</v>
      </c>
      <c r="AC10" s="309">
        <f>IF(Z10=0," ",AA10/AB10)</f>
        <v>1</v>
      </c>
      <c r="AD10" s="2101"/>
      <c r="AE10" s="310">
        <v>3</v>
      </c>
      <c r="AF10" s="309">
        <v>1</v>
      </c>
      <c r="AG10" s="325">
        <f t="shared" si="1"/>
        <v>3</v>
      </c>
      <c r="AH10" s="310">
        <v>3</v>
      </c>
      <c r="AI10" s="309">
        <f t="shared" si="3"/>
        <v>1</v>
      </c>
      <c r="AJ10" s="2101"/>
      <c r="AK10" s="310">
        <v>3</v>
      </c>
      <c r="AL10" s="309">
        <v>1</v>
      </c>
      <c r="AM10" s="310">
        <f t="shared" si="2"/>
        <v>3</v>
      </c>
      <c r="AN10" s="310">
        <v>3</v>
      </c>
      <c r="AO10" s="309">
        <f t="shared" si="4"/>
        <v>1</v>
      </c>
      <c r="AP10" s="2101"/>
      <c r="AQ10" s="310" t="s">
        <v>423</v>
      </c>
      <c r="AR10" s="310" t="s">
        <v>423</v>
      </c>
      <c r="AS10" s="98"/>
      <c r="AT10" s="98"/>
      <c r="AU10" s="98" t="s">
        <v>423</v>
      </c>
      <c r="AV10" s="2101"/>
      <c r="AW10" s="310" t="s">
        <v>325</v>
      </c>
      <c r="AX10" s="310" t="s">
        <v>325</v>
      </c>
      <c r="AY10" s="310"/>
      <c r="AZ10" s="310"/>
      <c r="BA10" s="310" t="s">
        <v>325</v>
      </c>
      <c r="BB10" s="2101"/>
      <c r="BC10" s="311" t="s">
        <v>325</v>
      </c>
      <c r="BD10" s="311" t="s">
        <v>325</v>
      </c>
      <c r="BE10" s="311"/>
      <c r="BF10" s="311" t="s">
        <v>325</v>
      </c>
      <c r="BG10" s="312" t="s">
        <v>325</v>
      </c>
      <c r="BH10" s="2101"/>
      <c r="BI10" s="310"/>
      <c r="BJ10" s="313" t="s">
        <v>325</v>
      </c>
      <c r="BK10" s="313" t="s">
        <v>325</v>
      </c>
      <c r="BL10" s="313"/>
      <c r="BM10" s="313" t="s">
        <v>325</v>
      </c>
      <c r="BN10" s="313" t="s">
        <v>325</v>
      </c>
      <c r="BO10" s="2101"/>
      <c r="BP10" s="313" t="s">
        <v>325</v>
      </c>
      <c r="BQ10" s="313" t="s">
        <v>325</v>
      </c>
      <c r="BR10" s="313"/>
      <c r="BS10" s="313" t="s">
        <v>325</v>
      </c>
      <c r="BT10" s="313" t="s">
        <v>325</v>
      </c>
      <c r="BU10" s="2101"/>
      <c r="BV10" s="313" t="s">
        <v>325</v>
      </c>
      <c r="BW10" s="313" t="s">
        <v>325</v>
      </c>
      <c r="BX10" s="313"/>
      <c r="BY10" s="313" t="s">
        <v>325</v>
      </c>
      <c r="BZ10" s="313" t="s">
        <v>325</v>
      </c>
      <c r="CA10" s="2101"/>
      <c r="CB10" s="318">
        <v>10</v>
      </c>
      <c r="CC10" s="318">
        <v>1</v>
      </c>
      <c r="CD10" s="318">
        <v>1</v>
      </c>
      <c r="CE10" s="318">
        <v>1</v>
      </c>
      <c r="CF10" s="2102"/>
      <c r="CG10" s="2103"/>
      <c r="CH10" s="310" t="s">
        <v>325</v>
      </c>
      <c r="CI10" s="310" t="s">
        <v>325</v>
      </c>
      <c r="CJ10" s="310">
        <v>0</v>
      </c>
      <c r="CK10" s="310"/>
      <c r="CL10" s="58" t="s">
        <v>325</v>
      </c>
      <c r="CM10" s="2101"/>
      <c r="CN10" s="316" t="s">
        <v>325</v>
      </c>
      <c r="CO10" s="316" t="s">
        <v>325</v>
      </c>
      <c r="CP10" s="316"/>
      <c r="CQ10" s="316" t="s">
        <v>325</v>
      </c>
      <c r="CR10" s="316" t="s">
        <v>325</v>
      </c>
      <c r="CS10" s="2106"/>
      <c r="CT10" s="310">
        <v>10</v>
      </c>
      <c r="CU10" s="310">
        <v>10</v>
      </c>
      <c r="CV10" s="310">
        <f>+CP10+AA10+AG10+AM10+AS10+AY10+BE10+BL10+BR10+BX10+CD10+CJ10</f>
        <v>10</v>
      </c>
      <c r="CW10" s="310">
        <f t="shared" si="7"/>
        <v>10</v>
      </c>
      <c r="CX10" s="58">
        <f>IF(CU10=0," ",CV10/CW10)</f>
        <v>1</v>
      </c>
      <c r="CY10" s="2106"/>
    </row>
    <row r="11" spans="1:103" s="121" customFormat="1" ht="35.25" customHeight="1">
      <c r="A11" s="296"/>
      <c r="B11" s="2097" t="s">
        <v>416</v>
      </c>
      <c r="C11" s="2098">
        <v>2</v>
      </c>
      <c r="D11" s="2097" t="s">
        <v>436</v>
      </c>
      <c r="E11" s="2097" t="s">
        <v>418</v>
      </c>
      <c r="F11" s="2099" t="s">
        <v>419</v>
      </c>
      <c r="G11" s="2100" t="s">
        <v>53</v>
      </c>
      <c r="H11" s="2099" t="s">
        <v>420</v>
      </c>
      <c r="I11" s="2099" t="s">
        <v>437</v>
      </c>
      <c r="J11" s="13" t="s">
        <v>54</v>
      </c>
      <c r="K11" s="326">
        <f>+K13/(SUM($L13:$W13))</f>
        <v>0</v>
      </c>
      <c r="L11" s="326">
        <f>+L13/(SUM($L13:$W13))+K11</f>
        <v>0</v>
      </c>
      <c r="M11" s="326">
        <f>+M13/(SUM($L13:$W13))+L11</f>
        <v>0</v>
      </c>
      <c r="N11" s="326">
        <f>+N13/(SUM($L13:$W13))+M11</f>
        <v>0</v>
      </c>
      <c r="O11" s="326">
        <f>+O13/(SUM($L13:$W13))+N11</f>
        <v>0</v>
      </c>
      <c r="P11" s="327"/>
      <c r="Q11" s="326">
        <f>+Q13/(SUM($L13:$W13))+P11</f>
        <v>0</v>
      </c>
      <c r="R11" s="307"/>
      <c r="S11" s="307"/>
      <c r="T11" s="307">
        <f>+T13/$X13</f>
        <v>9.0909090909090912E-2</v>
      </c>
      <c r="U11" s="307">
        <f>+U13/$X13</f>
        <v>0.54545454545454541</v>
      </c>
      <c r="V11" s="307">
        <f>+V13/$X13</f>
        <v>0.27272727272727271</v>
      </c>
      <c r="W11" s="301"/>
      <c r="X11" s="324"/>
      <c r="Y11" s="310" t="s">
        <v>423</v>
      </c>
      <c r="Z11" s="310" t="s">
        <v>423</v>
      </c>
      <c r="AA11" s="310"/>
      <c r="AB11" s="310" t="s">
        <v>423</v>
      </c>
      <c r="AC11" s="310" t="s">
        <v>423</v>
      </c>
      <c r="AD11" s="2101" t="s">
        <v>424</v>
      </c>
      <c r="AE11" s="310" t="s">
        <v>423</v>
      </c>
      <c r="AF11" s="310" t="s">
        <v>423</v>
      </c>
      <c r="AG11" s="310"/>
      <c r="AH11" s="310" t="s">
        <v>423</v>
      </c>
      <c r="AI11" s="310" t="s">
        <v>423</v>
      </c>
      <c r="AJ11" s="2101" t="s">
        <v>424</v>
      </c>
      <c r="AK11" s="310" t="s">
        <v>423</v>
      </c>
      <c r="AL11" s="310" t="s">
        <v>423</v>
      </c>
      <c r="AM11" s="310"/>
      <c r="AN11" s="310" t="s">
        <v>423</v>
      </c>
      <c r="AO11" s="310" t="s">
        <v>423</v>
      </c>
      <c r="AP11" s="310" t="s">
        <v>424</v>
      </c>
      <c r="AQ11" s="310" t="s">
        <v>423</v>
      </c>
      <c r="AR11" s="310" t="s">
        <v>423</v>
      </c>
      <c r="AS11" s="98"/>
      <c r="AT11" s="98"/>
      <c r="AU11" s="98" t="s">
        <v>423</v>
      </c>
      <c r="AV11" s="310" t="s">
        <v>424</v>
      </c>
      <c r="AW11" s="310" t="s">
        <v>325</v>
      </c>
      <c r="AX11" s="310" t="s">
        <v>325</v>
      </c>
      <c r="AY11" s="310"/>
      <c r="AZ11" s="310"/>
      <c r="BA11" s="310" t="s">
        <v>325</v>
      </c>
      <c r="BB11" s="2101" t="s">
        <v>438</v>
      </c>
      <c r="BC11" s="311" t="s">
        <v>325</v>
      </c>
      <c r="BD11" s="311" t="s">
        <v>325</v>
      </c>
      <c r="BE11" s="311"/>
      <c r="BF11" s="311" t="s">
        <v>325</v>
      </c>
      <c r="BG11" s="312" t="s">
        <v>325</v>
      </c>
      <c r="BH11" s="2101" t="s">
        <v>425</v>
      </c>
      <c r="BI11" s="310"/>
      <c r="BJ11" s="313" t="s">
        <v>325</v>
      </c>
      <c r="BK11" s="313" t="s">
        <v>325</v>
      </c>
      <c r="BL11" s="313"/>
      <c r="BM11" s="313" t="s">
        <v>325</v>
      </c>
      <c r="BN11" s="313" t="s">
        <v>325</v>
      </c>
      <c r="BO11" s="2101" t="s">
        <v>426</v>
      </c>
      <c r="BP11" s="328">
        <v>1</v>
      </c>
      <c r="BQ11" s="309">
        <v>0</v>
      </c>
      <c r="BR11" s="313"/>
      <c r="BS11" s="328">
        <v>0.3</v>
      </c>
      <c r="BT11" s="309">
        <v>0</v>
      </c>
      <c r="BU11" s="2101" t="s">
        <v>439</v>
      </c>
      <c r="BV11" s="313" t="s">
        <v>325</v>
      </c>
      <c r="BW11" s="313" t="s">
        <v>325</v>
      </c>
      <c r="BX11" s="313"/>
      <c r="BY11" s="313" t="s">
        <v>325</v>
      </c>
      <c r="BZ11" s="313" t="s">
        <v>325</v>
      </c>
      <c r="CA11" s="2101" t="s">
        <v>440</v>
      </c>
      <c r="CB11" s="314">
        <v>1</v>
      </c>
      <c r="CC11" s="314">
        <v>9.0999999999999998E-2</v>
      </c>
      <c r="CD11" s="314">
        <v>9.0999999999999998E-2</v>
      </c>
      <c r="CE11" s="314">
        <v>9.0999999999999998E-2</v>
      </c>
      <c r="CF11" s="2102">
        <f>IF(CC11=0," ",CD11/CE11)</f>
        <v>1</v>
      </c>
      <c r="CG11" s="2103" t="s">
        <v>441</v>
      </c>
      <c r="CH11" s="329">
        <v>1</v>
      </c>
      <c r="CI11" s="330">
        <v>0.54500000000000004</v>
      </c>
      <c r="CJ11" s="330">
        <v>0.54500000000000004</v>
      </c>
      <c r="CK11" s="330">
        <v>0.54500000000000004</v>
      </c>
      <c r="CL11" s="58">
        <f t="shared" si="5"/>
        <v>1</v>
      </c>
      <c r="CM11" s="2101" t="s">
        <v>442</v>
      </c>
      <c r="CN11" s="316">
        <v>1</v>
      </c>
      <c r="CO11" s="331">
        <v>1</v>
      </c>
      <c r="CP11" s="331">
        <v>0.27300000000000002</v>
      </c>
      <c r="CQ11" s="331">
        <v>0.27300000000000002</v>
      </c>
      <c r="CR11" s="58">
        <f>IF(CO11=0," ",CP11/CQ11)</f>
        <v>1</v>
      </c>
      <c r="CS11" s="2107" t="s">
        <v>443</v>
      </c>
      <c r="CT11" s="309">
        <v>1</v>
      </c>
      <c r="CU11" s="309">
        <v>1</v>
      </c>
      <c r="CV11" s="309">
        <v>1</v>
      </c>
      <c r="CW11" s="309">
        <v>1</v>
      </c>
      <c r="CX11" s="58">
        <f>IF(CU11=0," ",CV11/CW11)</f>
        <v>1</v>
      </c>
      <c r="CY11" s="2104" t="s">
        <v>430</v>
      </c>
    </row>
    <row r="12" spans="1:103" s="121" customFormat="1" ht="60" hidden="1" customHeight="1">
      <c r="A12" s="296"/>
      <c r="B12" s="2097"/>
      <c r="C12" s="2098"/>
      <c r="D12" s="2097"/>
      <c r="E12" s="2097"/>
      <c r="F12" s="2099"/>
      <c r="G12" s="2100"/>
      <c r="H12" s="2099"/>
      <c r="I12" s="2099"/>
      <c r="J12" s="13"/>
      <c r="K12" s="322"/>
      <c r="L12" s="322"/>
      <c r="M12" s="322"/>
      <c r="N12" s="322"/>
      <c r="O12" s="322"/>
      <c r="P12" s="322"/>
      <c r="Q12" s="322"/>
      <c r="R12" s="322"/>
      <c r="S12" s="322"/>
      <c r="T12" s="322" t="s">
        <v>444</v>
      </c>
      <c r="U12" s="322" t="s">
        <v>445</v>
      </c>
      <c r="V12" s="322" t="s">
        <v>446</v>
      </c>
      <c r="W12" s="301"/>
      <c r="X12" s="324"/>
      <c r="Y12" s="310" t="s">
        <v>423</v>
      </c>
      <c r="Z12" s="310" t="s">
        <v>423</v>
      </c>
      <c r="AA12" s="310"/>
      <c r="AB12" s="310" t="s">
        <v>423</v>
      </c>
      <c r="AC12" s="310" t="s">
        <v>423</v>
      </c>
      <c r="AD12" s="2101"/>
      <c r="AE12" s="310" t="s">
        <v>423</v>
      </c>
      <c r="AF12" s="310" t="s">
        <v>423</v>
      </c>
      <c r="AG12" s="310"/>
      <c r="AH12" s="310" t="s">
        <v>423</v>
      </c>
      <c r="AI12" s="310" t="s">
        <v>423</v>
      </c>
      <c r="AJ12" s="2101"/>
      <c r="AK12" s="310" t="s">
        <v>423</v>
      </c>
      <c r="AL12" s="310" t="s">
        <v>423</v>
      </c>
      <c r="AM12" s="310"/>
      <c r="AN12" s="310" t="s">
        <v>423</v>
      </c>
      <c r="AO12" s="310" t="s">
        <v>423</v>
      </c>
      <c r="AP12" s="310"/>
      <c r="AQ12" s="310" t="s">
        <v>423</v>
      </c>
      <c r="AR12" s="310" t="s">
        <v>423</v>
      </c>
      <c r="AS12" s="98"/>
      <c r="AT12" s="98"/>
      <c r="AU12" s="98" t="s">
        <v>423</v>
      </c>
      <c r="AV12" s="310"/>
      <c r="AW12" s="310" t="s">
        <v>325</v>
      </c>
      <c r="AX12" s="310" t="s">
        <v>325</v>
      </c>
      <c r="AY12" s="310"/>
      <c r="AZ12" s="310"/>
      <c r="BA12" s="310" t="s">
        <v>325</v>
      </c>
      <c r="BB12" s="2101"/>
      <c r="BC12" s="311" t="s">
        <v>325</v>
      </c>
      <c r="BD12" s="311" t="s">
        <v>325</v>
      </c>
      <c r="BE12" s="311"/>
      <c r="BF12" s="311" t="s">
        <v>325</v>
      </c>
      <c r="BG12" s="312" t="s">
        <v>325</v>
      </c>
      <c r="BH12" s="2101"/>
      <c r="BI12" s="310"/>
      <c r="BJ12" s="313" t="s">
        <v>325</v>
      </c>
      <c r="BK12" s="313" t="s">
        <v>325</v>
      </c>
      <c r="BL12" s="313"/>
      <c r="BM12" s="313" t="s">
        <v>325</v>
      </c>
      <c r="BN12" s="313" t="s">
        <v>325</v>
      </c>
      <c r="BO12" s="2101"/>
      <c r="BP12" s="313"/>
      <c r="BQ12" s="309"/>
      <c r="BR12" s="313" t="str">
        <f>IF(BQ12=0," ",BP12/BQ12)</f>
        <v xml:space="preserve"> </v>
      </c>
      <c r="BS12" s="313"/>
      <c r="BT12" s="309" t="str">
        <f>IF(BQ12=0," ",BR12/BS12)</f>
        <v xml:space="preserve"> </v>
      </c>
      <c r="BU12" s="2101"/>
      <c r="BV12" s="313" t="s">
        <v>325</v>
      </c>
      <c r="BW12" s="313" t="s">
        <v>325</v>
      </c>
      <c r="BX12" s="313"/>
      <c r="BY12" s="313" t="s">
        <v>325</v>
      </c>
      <c r="BZ12" s="313" t="s">
        <v>325</v>
      </c>
      <c r="CA12" s="2101"/>
      <c r="CB12" s="318"/>
      <c r="CC12" s="318"/>
      <c r="CD12" s="318"/>
      <c r="CE12" s="318"/>
      <c r="CF12" s="2102"/>
      <c r="CG12" s="2103"/>
      <c r="CH12" s="332"/>
      <c r="CI12" s="332"/>
      <c r="CJ12" s="332"/>
      <c r="CK12" s="332"/>
      <c r="CL12" s="58" t="str">
        <f t="shared" si="5"/>
        <v xml:space="preserve"> </v>
      </c>
      <c r="CM12" s="2101"/>
      <c r="CN12" s="316"/>
      <c r="CO12" s="331"/>
      <c r="CP12" s="331"/>
      <c r="CQ12" s="331"/>
      <c r="CR12" s="58" t="str">
        <f>IF(CO12=0," ",CP12/CQ12)</f>
        <v xml:space="preserve"> </v>
      </c>
      <c r="CS12" s="2108"/>
      <c r="CT12" s="310"/>
      <c r="CU12" s="310"/>
      <c r="CV12" s="319" t="e">
        <f>+CP12+AA12+AG12+AM12+AS12+AY12+BE12+BL12+BR12+BX12+CD12+CJ12</f>
        <v>#VALUE!</v>
      </c>
      <c r="CW12" s="320">
        <f>+X12</f>
        <v>0</v>
      </c>
      <c r="CX12" s="321"/>
      <c r="CY12" s="2105"/>
    </row>
    <row r="13" spans="1:103" s="121" customFormat="1" ht="34.5" customHeight="1">
      <c r="A13" s="296"/>
      <c r="B13" s="2097"/>
      <c r="C13" s="2098"/>
      <c r="D13" s="2097"/>
      <c r="E13" s="2097"/>
      <c r="F13" s="2099"/>
      <c r="G13" s="2100"/>
      <c r="H13" s="2099"/>
      <c r="I13" s="2099"/>
      <c r="J13" s="13" t="s">
        <v>435</v>
      </c>
      <c r="K13" s="322"/>
      <c r="L13" s="322"/>
      <c r="M13" s="322"/>
      <c r="N13" s="322"/>
      <c r="O13" s="322"/>
      <c r="P13" s="322"/>
      <c r="Q13" s="322"/>
      <c r="R13" s="310"/>
      <c r="S13" s="310"/>
      <c r="T13" s="310">
        <v>1</v>
      </c>
      <c r="U13" s="310">
        <v>6</v>
      </c>
      <c r="V13" s="310">
        <v>3</v>
      </c>
      <c r="W13" s="301"/>
      <c r="X13" s="324">
        <v>11</v>
      </c>
      <c r="Y13" s="310" t="s">
        <v>423</v>
      </c>
      <c r="Z13" s="310" t="s">
        <v>423</v>
      </c>
      <c r="AA13" s="310"/>
      <c r="AB13" s="310" t="s">
        <v>423</v>
      </c>
      <c r="AC13" s="310" t="s">
        <v>423</v>
      </c>
      <c r="AD13" s="2101"/>
      <c r="AE13" s="310" t="s">
        <v>423</v>
      </c>
      <c r="AF13" s="310" t="s">
        <v>423</v>
      </c>
      <c r="AG13" s="310"/>
      <c r="AH13" s="310" t="s">
        <v>423</v>
      </c>
      <c r="AI13" s="310" t="s">
        <v>423</v>
      </c>
      <c r="AJ13" s="2101"/>
      <c r="AK13" s="310" t="s">
        <v>423</v>
      </c>
      <c r="AL13" s="310" t="s">
        <v>423</v>
      </c>
      <c r="AM13" s="310"/>
      <c r="AN13" s="310" t="s">
        <v>423</v>
      </c>
      <c r="AO13" s="310" t="s">
        <v>423</v>
      </c>
      <c r="AP13" s="310"/>
      <c r="AQ13" s="310" t="s">
        <v>423</v>
      </c>
      <c r="AR13" s="310" t="s">
        <v>423</v>
      </c>
      <c r="AS13" s="98"/>
      <c r="AT13" s="98"/>
      <c r="AU13" s="98" t="s">
        <v>423</v>
      </c>
      <c r="AV13" s="310"/>
      <c r="AW13" s="310" t="s">
        <v>325</v>
      </c>
      <c r="AX13" s="310" t="s">
        <v>325</v>
      </c>
      <c r="AY13" s="310"/>
      <c r="AZ13" s="310"/>
      <c r="BA13" s="310" t="s">
        <v>325</v>
      </c>
      <c r="BB13" s="2101"/>
      <c r="BC13" s="311" t="s">
        <v>325</v>
      </c>
      <c r="BD13" s="311" t="s">
        <v>325</v>
      </c>
      <c r="BE13" s="311"/>
      <c r="BF13" s="311" t="s">
        <v>325</v>
      </c>
      <c r="BG13" s="312" t="s">
        <v>325</v>
      </c>
      <c r="BH13" s="2101"/>
      <c r="BI13" s="310"/>
      <c r="BJ13" s="313" t="s">
        <v>325</v>
      </c>
      <c r="BK13" s="313" t="s">
        <v>325</v>
      </c>
      <c r="BL13" s="313"/>
      <c r="BM13" s="313" t="s">
        <v>325</v>
      </c>
      <c r="BN13" s="313" t="s">
        <v>325</v>
      </c>
      <c r="BO13" s="2101"/>
      <c r="BP13" s="313">
        <v>3</v>
      </c>
      <c r="BQ13" s="313">
        <v>0</v>
      </c>
      <c r="BR13" s="313"/>
      <c r="BS13" s="313">
        <v>3</v>
      </c>
      <c r="BT13" s="309">
        <v>0</v>
      </c>
      <c r="BU13" s="2101"/>
      <c r="BV13" s="313" t="s">
        <v>325</v>
      </c>
      <c r="BW13" s="313" t="s">
        <v>325</v>
      </c>
      <c r="BX13" s="313"/>
      <c r="BY13" s="313" t="s">
        <v>325</v>
      </c>
      <c r="BZ13" s="313" t="s">
        <v>325</v>
      </c>
      <c r="CA13" s="2101"/>
      <c r="CB13" s="318">
        <v>11</v>
      </c>
      <c r="CC13" s="318">
        <v>1</v>
      </c>
      <c r="CD13" s="318">
        <v>1</v>
      </c>
      <c r="CE13" s="318">
        <v>1</v>
      </c>
      <c r="CF13" s="2102"/>
      <c r="CG13" s="2103"/>
      <c r="CH13" s="332">
        <v>11</v>
      </c>
      <c r="CI13" s="332">
        <v>1</v>
      </c>
      <c r="CJ13" s="332">
        <v>6</v>
      </c>
      <c r="CK13" s="332">
        <v>6</v>
      </c>
      <c r="CL13" s="58">
        <f t="shared" si="5"/>
        <v>1</v>
      </c>
      <c r="CM13" s="2101"/>
      <c r="CN13" s="313">
        <v>10</v>
      </c>
      <c r="CO13" s="313">
        <v>10</v>
      </c>
      <c r="CP13" s="313">
        <v>3</v>
      </c>
      <c r="CQ13" s="313">
        <v>3</v>
      </c>
      <c r="CR13" s="58">
        <f>IF(CO13=0," ",CP13/CQ13)</f>
        <v>1</v>
      </c>
      <c r="CS13" s="2109"/>
      <c r="CT13" s="310">
        <v>10</v>
      </c>
      <c r="CU13" s="310">
        <v>10</v>
      </c>
      <c r="CV13" s="310">
        <f>+CP13+AA13+AG13+AM13+AS13+AY13+BE13+BL13+BR13+BX13+CD13+CJ13</f>
        <v>10</v>
      </c>
      <c r="CW13" s="310">
        <v>10</v>
      </c>
      <c r="CX13" s="58">
        <f>IF(CU13=0," ",CV13/CW13)</f>
        <v>1</v>
      </c>
      <c r="CY13" s="2106"/>
    </row>
    <row r="14" spans="1:103" s="121" customFormat="1" ht="35.1" customHeight="1">
      <c r="A14" s="296"/>
      <c r="B14" s="2097" t="s">
        <v>416</v>
      </c>
      <c r="C14" s="2098">
        <v>3</v>
      </c>
      <c r="D14" s="2097" t="s">
        <v>447</v>
      </c>
      <c r="E14" s="2097" t="s">
        <v>448</v>
      </c>
      <c r="F14" s="2099" t="s">
        <v>449</v>
      </c>
      <c r="G14" s="2100" t="s">
        <v>53</v>
      </c>
      <c r="H14" s="2099" t="s">
        <v>450</v>
      </c>
      <c r="I14" s="2099" t="s">
        <v>451</v>
      </c>
      <c r="J14" s="13" t="s">
        <v>54</v>
      </c>
      <c r="K14" s="308">
        <f t="shared" ref="K14:T14" si="8">+K16/$X16</f>
        <v>0</v>
      </c>
      <c r="L14" s="307">
        <f t="shared" si="8"/>
        <v>0.2857142857142857</v>
      </c>
      <c r="M14" s="307">
        <f t="shared" si="8"/>
        <v>0.14285714285714285</v>
      </c>
      <c r="N14" s="307">
        <f t="shared" si="8"/>
        <v>0.14285714285714285</v>
      </c>
      <c r="O14" s="307">
        <f t="shared" si="8"/>
        <v>7.1428571428571425E-2</v>
      </c>
      <c r="P14" s="307">
        <f t="shared" si="8"/>
        <v>7.1428571428571425E-2</v>
      </c>
      <c r="Q14" s="307">
        <f t="shared" si="8"/>
        <v>7.1428571428571425E-2</v>
      </c>
      <c r="R14" s="307">
        <f t="shared" si="8"/>
        <v>7.1428571428571425E-2</v>
      </c>
      <c r="S14" s="308">
        <f>+S16/$X16+R14</f>
        <v>7.1428571428571425E-2</v>
      </c>
      <c r="T14" s="307">
        <f t="shared" si="8"/>
        <v>0.14285714285714285</v>
      </c>
      <c r="U14" s="307"/>
      <c r="V14" s="308">
        <f>+V16/$X16+U14</f>
        <v>0</v>
      </c>
      <c r="W14" s="301"/>
      <c r="X14" s="324"/>
      <c r="Y14" s="310" t="s">
        <v>423</v>
      </c>
      <c r="Z14" s="310" t="s">
        <v>423</v>
      </c>
      <c r="AA14" s="310"/>
      <c r="AB14" s="310" t="s">
        <v>423</v>
      </c>
      <c r="AC14" s="310" t="s">
        <v>423</v>
      </c>
      <c r="AD14" s="2101" t="s">
        <v>424</v>
      </c>
      <c r="AE14" s="309">
        <v>0.26700000000000002</v>
      </c>
      <c r="AF14" s="309">
        <v>1</v>
      </c>
      <c r="AG14" s="309">
        <f t="shared" si="1"/>
        <v>0.26700000000000002</v>
      </c>
      <c r="AH14" s="334">
        <v>0.26700000000000002</v>
      </c>
      <c r="AI14" s="309">
        <f t="shared" si="3"/>
        <v>1</v>
      </c>
      <c r="AJ14" s="2101" t="s">
        <v>422</v>
      </c>
      <c r="AK14" s="316">
        <f>0.267/4+AE14</f>
        <v>0.33374999999999999</v>
      </c>
      <c r="AL14" s="309">
        <v>1</v>
      </c>
      <c r="AM14" s="309">
        <f t="shared" si="2"/>
        <v>0.33374999999999999</v>
      </c>
      <c r="AN14" s="309">
        <v>0.4</v>
      </c>
      <c r="AO14" s="309">
        <f t="shared" si="4"/>
        <v>0.83437499999999998</v>
      </c>
      <c r="AP14" s="2101" t="s">
        <v>452</v>
      </c>
      <c r="AQ14" s="316">
        <f>0.267/4+AK14</f>
        <v>0.40049999999999997</v>
      </c>
      <c r="AR14" s="309">
        <v>1</v>
      </c>
      <c r="AS14" s="100">
        <f t="shared" ref="AS14:AS61" si="9">IF(AR14=0," ",AQ14/AR14)</f>
        <v>0.40049999999999997</v>
      </c>
      <c r="AT14" s="100">
        <v>0.53300000000000003</v>
      </c>
      <c r="AU14" s="100">
        <f t="shared" ref="AU14:AU61" si="10">IF(AR14=0," ",AS14/AT14)</f>
        <v>0.75140712945590982</v>
      </c>
      <c r="AV14" s="2101" t="s">
        <v>453</v>
      </c>
      <c r="AW14" s="330">
        <v>6.7000000000000004E-2</v>
      </c>
      <c r="AX14" s="335">
        <v>1</v>
      </c>
      <c r="AY14" s="309">
        <f>IF(AX14=0," ",AW14/AX14)</f>
        <v>6.7000000000000004E-2</v>
      </c>
      <c r="AZ14" s="335">
        <v>6.7000000000000004E-2</v>
      </c>
      <c r="BA14" s="309">
        <f t="shared" ref="BA14:BA68" si="11">IF(AX14=0," ",AY14/AZ14)</f>
        <v>1</v>
      </c>
      <c r="BB14" s="2101" t="s">
        <v>454</v>
      </c>
      <c r="BC14" s="311">
        <f>+BF14*2</f>
        <v>0.14285714285714285</v>
      </c>
      <c r="BD14" s="336">
        <v>1</v>
      </c>
      <c r="BE14" s="100">
        <f t="shared" ref="BE14:BE69" si="12">IF(BD14=0," ",BC14/BD14)</f>
        <v>0.14285714285714285</v>
      </c>
      <c r="BF14" s="311">
        <f t="shared" ref="BF14:BF65" si="13">+P14</f>
        <v>7.1428571428571425E-2</v>
      </c>
      <c r="BG14" s="309">
        <f>IF(BD14=0," ",BE14/BF14)</f>
        <v>2</v>
      </c>
      <c r="BH14" s="2101" t="s">
        <v>455</v>
      </c>
      <c r="BI14" s="310" t="s">
        <v>456</v>
      </c>
      <c r="BJ14" s="307">
        <v>6.7000000000000004E-2</v>
      </c>
      <c r="BK14" s="307">
        <v>1</v>
      </c>
      <c r="BL14" s="313">
        <f>IF(BK14=0," ",BJ14/BK14)</f>
        <v>6.7000000000000004E-2</v>
      </c>
      <c r="BM14" s="307">
        <v>6.7000000000000004E-2</v>
      </c>
      <c r="BN14" s="309">
        <f t="shared" ref="BN14:BN69" si="14">IF(BK14=0," ",BL14/BM14)</f>
        <v>1</v>
      </c>
      <c r="BO14" s="2101" t="s">
        <v>457</v>
      </c>
      <c r="BP14" s="328">
        <v>1</v>
      </c>
      <c r="BQ14" s="309">
        <v>6.7000000000000004E-2</v>
      </c>
      <c r="BR14" s="337">
        <v>6.7000000000000004E-2</v>
      </c>
      <c r="BS14" s="337">
        <v>6.7000000000000004E-2</v>
      </c>
      <c r="BT14" s="309">
        <f>IF(BQ14=0," ",BR14/BS14)</f>
        <v>1</v>
      </c>
      <c r="BU14" s="2101" t="s">
        <v>458</v>
      </c>
      <c r="BV14" s="313" t="s">
        <v>325</v>
      </c>
      <c r="BW14" s="313" t="s">
        <v>325</v>
      </c>
      <c r="BX14" s="313"/>
      <c r="BY14" s="313" t="s">
        <v>325</v>
      </c>
      <c r="BZ14" s="313" t="s">
        <v>325</v>
      </c>
      <c r="CA14" s="2101" t="s">
        <v>426</v>
      </c>
      <c r="CB14" s="314">
        <v>1</v>
      </c>
      <c r="CC14" s="314">
        <v>0.13300000000000001</v>
      </c>
      <c r="CD14" s="314">
        <f>+CC14</f>
        <v>0.13300000000000001</v>
      </c>
      <c r="CE14" s="314">
        <f>+CD14</f>
        <v>0.13300000000000001</v>
      </c>
      <c r="CF14" s="2102">
        <f>IF(CC14=0," ",CD14/CE14)</f>
        <v>1</v>
      </c>
      <c r="CG14" s="2103" t="s">
        <v>459</v>
      </c>
      <c r="CH14" s="310" t="s">
        <v>325</v>
      </c>
      <c r="CI14" s="310" t="s">
        <v>325</v>
      </c>
      <c r="CJ14" s="310">
        <v>0</v>
      </c>
      <c r="CK14" s="310"/>
      <c r="CL14" s="58" t="s">
        <v>325</v>
      </c>
      <c r="CM14" s="2101" t="s">
        <v>460</v>
      </c>
      <c r="CN14" s="316" t="s">
        <v>325</v>
      </c>
      <c r="CO14" s="316" t="s">
        <v>325</v>
      </c>
      <c r="CP14" s="316"/>
      <c r="CQ14" s="316" t="s">
        <v>325</v>
      </c>
      <c r="CR14" s="316" t="s">
        <v>325</v>
      </c>
      <c r="CS14" s="2104" t="s">
        <v>461</v>
      </c>
      <c r="CT14" s="309">
        <f>100%-7.1%</f>
        <v>0.92900000000000005</v>
      </c>
      <c r="CU14" s="309">
        <v>1</v>
      </c>
      <c r="CV14" s="309">
        <f>+CT14</f>
        <v>0.92900000000000005</v>
      </c>
      <c r="CW14" s="309">
        <f>+CU14</f>
        <v>1</v>
      </c>
      <c r="CX14" s="58">
        <f>IF(CU14=0," ",CV14/CW14)</f>
        <v>0.92900000000000005</v>
      </c>
      <c r="CY14" s="2104" t="s">
        <v>462</v>
      </c>
    </row>
    <row r="15" spans="1:103" s="121" customFormat="1" ht="35.1" hidden="1" customHeight="1">
      <c r="A15" s="296"/>
      <c r="B15" s="2097"/>
      <c r="C15" s="2098"/>
      <c r="D15" s="2097"/>
      <c r="E15" s="2097"/>
      <c r="F15" s="2099"/>
      <c r="G15" s="2100"/>
      <c r="H15" s="2099"/>
      <c r="I15" s="2099"/>
      <c r="J15" s="13"/>
      <c r="K15" s="307"/>
      <c r="L15" s="307" t="s">
        <v>463</v>
      </c>
      <c r="M15" s="307" t="s">
        <v>464</v>
      </c>
      <c r="N15" s="307" t="s">
        <v>465</v>
      </c>
      <c r="O15" s="307" t="s">
        <v>466</v>
      </c>
      <c r="P15" s="307" t="s">
        <v>467</v>
      </c>
      <c r="Q15" s="307" t="s">
        <v>468</v>
      </c>
      <c r="R15" s="307" t="s">
        <v>469</v>
      </c>
      <c r="S15" s="307"/>
      <c r="T15" s="307" t="s">
        <v>470</v>
      </c>
      <c r="U15" s="307"/>
      <c r="V15" s="307"/>
      <c r="W15" s="301"/>
      <c r="X15" s="324"/>
      <c r="Y15" s="310" t="s">
        <v>423</v>
      </c>
      <c r="Z15" s="310" t="s">
        <v>423</v>
      </c>
      <c r="AA15" s="310"/>
      <c r="AB15" s="310" t="s">
        <v>423</v>
      </c>
      <c r="AC15" s="310" t="s">
        <v>423</v>
      </c>
      <c r="AD15" s="2101"/>
      <c r="AE15" s="310"/>
      <c r="AF15" s="309">
        <v>1</v>
      </c>
      <c r="AG15" s="309">
        <f t="shared" si="1"/>
        <v>0</v>
      </c>
      <c r="AH15" s="310"/>
      <c r="AI15" s="309" t="e">
        <f t="shared" si="3"/>
        <v>#DIV/0!</v>
      </c>
      <c r="AJ15" s="2101"/>
      <c r="AK15" s="310"/>
      <c r="AL15" s="309">
        <v>1</v>
      </c>
      <c r="AM15" s="309">
        <f t="shared" si="2"/>
        <v>0</v>
      </c>
      <c r="AN15" s="13"/>
      <c r="AO15" s="309" t="e">
        <f>IF(AL15=0," ",AM15/AP14)</f>
        <v>#VALUE!</v>
      </c>
      <c r="AP15" s="2101"/>
      <c r="AQ15" s="310"/>
      <c r="AR15" s="309">
        <v>1</v>
      </c>
      <c r="AS15" s="309">
        <f t="shared" si="9"/>
        <v>0</v>
      </c>
      <c r="AT15" s="13"/>
      <c r="AU15" s="309" t="e">
        <f>IF(AR15=0," ",AS15/AV14)</f>
        <v>#VALUE!</v>
      </c>
      <c r="AV15" s="2101"/>
      <c r="AW15" s="338"/>
      <c r="AX15" s="338"/>
      <c r="AY15" s="309" t="str">
        <f>IF(AX15=0," ",AW15/AX15)</f>
        <v xml:space="preserve"> </v>
      </c>
      <c r="AZ15" s="338"/>
      <c r="BA15" s="309" t="str">
        <f t="shared" si="11"/>
        <v xml:space="preserve"> </v>
      </c>
      <c r="BB15" s="2101"/>
      <c r="BC15" s="311"/>
      <c r="BD15" s="336">
        <v>1</v>
      </c>
      <c r="BE15" s="100">
        <f t="shared" si="12"/>
        <v>0</v>
      </c>
      <c r="BF15" s="311" t="str">
        <f t="shared" si="13"/>
        <v>Cll 45</v>
      </c>
      <c r="BG15" s="309" t="e">
        <f t="shared" ref="BG15:BG74" si="15">IF(BD15=0," ",BE15/BF15)</f>
        <v>#VALUE!</v>
      </c>
      <c r="BH15" s="2101"/>
      <c r="BI15" s="310"/>
      <c r="BJ15" s="313"/>
      <c r="BK15" s="309"/>
      <c r="BL15" s="313" t="str">
        <f>IF(BK15=0," ",BJ15/BK15)</f>
        <v xml:space="preserve"> </v>
      </c>
      <c r="BM15" s="313"/>
      <c r="BN15" s="309" t="str">
        <f t="shared" si="14"/>
        <v xml:space="preserve"> </v>
      </c>
      <c r="BO15" s="2101"/>
      <c r="BP15" s="313"/>
      <c r="BQ15" s="309"/>
      <c r="BR15" s="313"/>
      <c r="BS15" s="313"/>
      <c r="BT15" s="309" t="str">
        <f>IF(BQ15=0," ",BR15/BS15)</f>
        <v xml:space="preserve"> </v>
      </c>
      <c r="BU15" s="2101"/>
      <c r="BV15" s="313"/>
      <c r="BW15" s="313" t="s">
        <v>325</v>
      </c>
      <c r="BX15" s="313"/>
      <c r="BY15" s="313" t="s">
        <v>325</v>
      </c>
      <c r="BZ15" s="313" t="s">
        <v>325</v>
      </c>
      <c r="CA15" s="2101"/>
      <c r="CB15" s="318"/>
      <c r="CC15" s="318"/>
      <c r="CD15" s="318"/>
      <c r="CE15" s="318"/>
      <c r="CF15" s="2102"/>
      <c r="CG15" s="2103"/>
      <c r="CH15" s="310"/>
      <c r="CI15" s="310"/>
      <c r="CJ15" s="310"/>
      <c r="CK15" s="310"/>
      <c r="CL15" s="58" t="s">
        <v>325</v>
      </c>
      <c r="CM15" s="2101"/>
      <c r="CN15" s="316"/>
      <c r="CO15" s="316"/>
      <c r="CP15" s="316"/>
      <c r="CQ15" s="316"/>
      <c r="CR15" s="316"/>
      <c r="CS15" s="2105"/>
      <c r="CT15" s="310"/>
      <c r="CU15" s="310"/>
      <c r="CV15" s="319"/>
      <c r="CW15" s="320">
        <f t="shared" si="7"/>
        <v>0</v>
      </c>
      <c r="CX15" s="321"/>
      <c r="CY15" s="2105"/>
    </row>
    <row r="16" spans="1:103" s="121" customFormat="1" ht="25.5" customHeight="1">
      <c r="A16" s="296"/>
      <c r="B16" s="2097"/>
      <c r="C16" s="2098"/>
      <c r="D16" s="2097"/>
      <c r="E16" s="2097"/>
      <c r="F16" s="2099"/>
      <c r="G16" s="2100"/>
      <c r="H16" s="2099"/>
      <c r="I16" s="2099"/>
      <c r="J16" s="13" t="s">
        <v>435</v>
      </c>
      <c r="K16" s="322"/>
      <c r="L16" s="322">
        <f>3+1</f>
        <v>4</v>
      </c>
      <c r="M16" s="322">
        <f>1+1</f>
        <v>2</v>
      </c>
      <c r="N16" s="322">
        <v>2</v>
      </c>
      <c r="O16" s="322">
        <v>1</v>
      </c>
      <c r="P16" s="322">
        <v>1</v>
      </c>
      <c r="Q16" s="322">
        <v>1</v>
      </c>
      <c r="R16" s="322">
        <v>1</v>
      </c>
      <c r="S16" s="322"/>
      <c r="T16" s="322">
        <v>2</v>
      </c>
      <c r="U16" s="322"/>
      <c r="V16" s="322"/>
      <c r="W16" s="301"/>
      <c r="X16" s="324">
        <f>+SUM(K16:V16)</f>
        <v>14</v>
      </c>
      <c r="Y16" s="310" t="s">
        <v>423</v>
      </c>
      <c r="Z16" s="310" t="s">
        <v>423</v>
      </c>
      <c r="AA16" s="310"/>
      <c r="AB16" s="310" t="s">
        <v>423</v>
      </c>
      <c r="AC16" s="310" t="s">
        <v>423</v>
      </c>
      <c r="AD16" s="2101"/>
      <c r="AE16" s="310">
        <v>4</v>
      </c>
      <c r="AF16" s="309">
        <v>1</v>
      </c>
      <c r="AG16" s="339">
        <f t="shared" si="1"/>
        <v>4</v>
      </c>
      <c r="AH16" s="310">
        <v>4</v>
      </c>
      <c r="AI16" s="309">
        <f t="shared" si="3"/>
        <v>1</v>
      </c>
      <c r="AJ16" s="2101"/>
      <c r="AK16" s="310">
        <v>1</v>
      </c>
      <c r="AL16" s="309">
        <v>1</v>
      </c>
      <c r="AM16" s="310">
        <f t="shared" si="2"/>
        <v>1</v>
      </c>
      <c r="AN16" s="310">
        <v>2</v>
      </c>
      <c r="AO16" s="309">
        <f t="shared" si="4"/>
        <v>0.5</v>
      </c>
      <c r="AP16" s="2101"/>
      <c r="AQ16" s="310">
        <v>1</v>
      </c>
      <c r="AR16" s="309">
        <v>1</v>
      </c>
      <c r="AS16" s="310">
        <f t="shared" si="9"/>
        <v>1</v>
      </c>
      <c r="AT16" s="310">
        <v>2</v>
      </c>
      <c r="AU16" s="309">
        <f t="shared" si="10"/>
        <v>0.5</v>
      </c>
      <c r="AV16" s="2101"/>
      <c r="AW16" s="338">
        <v>1</v>
      </c>
      <c r="AX16" s="338">
        <v>1</v>
      </c>
      <c r="AY16" s="309">
        <f>IF(AX16=0," ",AW16/AX16)</f>
        <v>1</v>
      </c>
      <c r="AZ16" s="338">
        <v>1</v>
      </c>
      <c r="BA16" s="309">
        <f t="shared" si="11"/>
        <v>1</v>
      </c>
      <c r="BB16" s="2101"/>
      <c r="BC16" s="340">
        <v>2</v>
      </c>
      <c r="BD16" s="336">
        <v>1</v>
      </c>
      <c r="BE16" s="100">
        <f t="shared" si="12"/>
        <v>2</v>
      </c>
      <c r="BF16" s="311">
        <f t="shared" si="13"/>
        <v>1</v>
      </c>
      <c r="BG16" s="309">
        <f>IF(BD16=0," ",BE16/BF16)</f>
        <v>2</v>
      </c>
      <c r="BH16" s="2101"/>
      <c r="BI16" s="310"/>
      <c r="BJ16" s="313">
        <v>1</v>
      </c>
      <c r="BK16" s="309">
        <v>1</v>
      </c>
      <c r="BL16" s="313">
        <f>IF(BK16=0," ",BJ16/BK16)</f>
        <v>1</v>
      </c>
      <c r="BM16" s="313">
        <v>1</v>
      </c>
      <c r="BN16" s="309">
        <f t="shared" si="14"/>
        <v>1</v>
      </c>
      <c r="BO16" s="2101"/>
      <c r="BP16" s="313">
        <v>15</v>
      </c>
      <c r="BQ16" s="313">
        <v>15</v>
      </c>
      <c r="BR16" s="313">
        <f>IF(BQ16=0," ",BP16/BQ16)</f>
        <v>1</v>
      </c>
      <c r="BS16" s="313">
        <v>1</v>
      </c>
      <c r="BT16" s="309">
        <f>IF(BQ16=0," ",BR16/BS16)</f>
        <v>1</v>
      </c>
      <c r="BU16" s="2101"/>
      <c r="BV16" s="313" t="s">
        <v>325</v>
      </c>
      <c r="BW16" s="313" t="s">
        <v>325</v>
      </c>
      <c r="BX16" s="313"/>
      <c r="BY16" s="313" t="s">
        <v>325</v>
      </c>
      <c r="BZ16" s="313" t="s">
        <v>325</v>
      </c>
      <c r="CA16" s="2101"/>
      <c r="CB16" s="318">
        <v>15</v>
      </c>
      <c r="CC16" s="318">
        <v>2</v>
      </c>
      <c r="CD16" s="318">
        <v>2</v>
      </c>
      <c r="CE16" s="318">
        <v>2</v>
      </c>
      <c r="CF16" s="2102"/>
      <c r="CG16" s="2103"/>
      <c r="CH16" s="310" t="s">
        <v>325</v>
      </c>
      <c r="CI16" s="310" t="s">
        <v>325</v>
      </c>
      <c r="CJ16" s="310">
        <v>0</v>
      </c>
      <c r="CK16" s="310"/>
      <c r="CL16" s="58" t="s">
        <v>325</v>
      </c>
      <c r="CM16" s="2101"/>
      <c r="CN16" s="316" t="s">
        <v>325</v>
      </c>
      <c r="CO16" s="316" t="s">
        <v>325</v>
      </c>
      <c r="CP16" s="316"/>
      <c r="CQ16" s="316" t="s">
        <v>325</v>
      </c>
      <c r="CR16" s="316" t="s">
        <v>325</v>
      </c>
      <c r="CS16" s="2106"/>
      <c r="CT16" s="310">
        <v>13</v>
      </c>
      <c r="CU16" s="310">
        <v>14</v>
      </c>
      <c r="CV16" s="310">
        <f t="shared" si="6"/>
        <v>13</v>
      </c>
      <c r="CW16" s="310">
        <f t="shared" si="7"/>
        <v>14</v>
      </c>
      <c r="CX16" s="58">
        <f>IF(CU16=0," ",CV16/CW16)</f>
        <v>0.9285714285714286</v>
      </c>
      <c r="CY16" s="2106"/>
    </row>
    <row r="17" spans="1:103" s="121" customFormat="1" ht="23.25" customHeight="1">
      <c r="A17" s="296"/>
      <c r="B17" s="2097" t="s">
        <v>416</v>
      </c>
      <c r="C17" s="2098">
        <v>4</v>
      </c>
      <c r="D17" s="2097" t="s">
        <v>471</v>
      </c>
      <c r="E17" s="2097" t="s">
        <v>472</v>
      </c>
      <c r="F17" s="2099" t="s">
        <v>473</v>
      </c>
      <c r="G17" s="2100" t="s">
        <v>53</v>
      </c>
      <c r="H17" s="2099" t="s">
        <v>474</v>
      </c>
      <c r="I17" s="2099" t="s">
        <v>475</v>
      </c>
      <c r="J17" s="13" t="s">
        <v>54</v>
      </c>
      <c r="K17" s="308">
        <f>+K19/$X19</f>
        <v>0</v>
      </c>
      <c r="L17" s="307">
        <f>+L19/$X19</f>
        <v>0.1111111111111111</v>
      </c>
      <c r="M17" s="307">
        <f>+M19/$X19</f>
        <v>0.1111111111111111</v>
      </c>
      <c r="N17" s="307">
        <f>+N19/$X19</f>
        <v>0.1111111111111111</v>
      </c>
      <c r="O17" s="308">
        <f>+O19/$X19+N17</f>
        <v>0.1111111111111111</v>
      </c>
      <c r="P17" s="307">
        <f>+P19/$X19</f>
        <v>0.33333333333333331</v>
      </c>
      <c r="Q17" s="308">
        <f>+Q19/$X19+P17</f>
        <v>0.33333333333333331</v>
      </c>
      <c r="R17" s="307">
        <f>+R19/$X19</f>
        <v>0.22222222222222221</v>
      </c>
      <c r="S17" s="307"/>
      <c r="T17" s="308">
        <f>+T19/$X19+S17</f>
        <v>0</v>
      </c>
      <c r="U17" s="307">
        <f>+U19/$X19</f>
        <v>0.1111111111111111</v>
      </c>
      <c r="V17" s="307"/>
      <c r="W17" s="301"/>
      <c r="X17" s="324"/>
      <c r="Y17" s="310" t="s">
        <v>423</v>
      </c>
      <c r="Z17" s="310" t="s">
        <v>423</v>
      </c>
      <c r="AA17" s="310"/>
      <c r="AB17" s="310" t="s">
        <v>423</v>
      </c>
      <c r="AC17" s="310" t="s">
        <v>423</v>
      </c>
      <c r="AD17" s="2101" t="s">
        <v>424</v>
      </c>
      <c r="AE17" s="334">
        <v>9.0999999999999998E-2</v>
      </c>
      <c r="AF17" s="309">
        <v>1</v>
      </c>
      <c r="AG17" s="309">
        <f t="shared" si="1"/>
        <v>9.0999999999999998E-2</v>
      </c>
      <c r="AH17" s="334">
        <v>9.0999999999999998E-2</v>
      </c>
      <c r="AI17" s="309">
        <f t="shared" si="3"/>
        <v>1</v>
      </c>
      <c r="AJ17" s="2101" t="s">
        <v>422</v>
      </c>
      <c r="AK17" s="334">
        <v>0.182</v>
      </c>
      <c r="AL17" s="309">
        <v>1</v>
      </c>
      <c r="AM17" s="334">
        <f t="shared" si="2"/>
        <v>0.182</v>
      </c>
      <c r="AN17" s="334">
        <v>0.182</v>
      </c>
      <c r="AO17" s="309">
        <f t="shared" si="4"/>
        <v>1</v>
      </c>
      <c r="AP17" s="2101" t="s">
        <v>422</v>
      </c>
      <c r="AQ17" s="334">
        <v>0.27300000000000002</v>
      </c>
      <c r="AR17" s="309">
        <v>1</v>
      </c>
      <c r="AS17" s="334">
        <f t="shared" si="9"/>
        <v>0.27300000000000002</v>
      </c>
      <c r="AT17" s="334">
        <v>0.27300000000000002</v>
      </c>
      <c r="AU17" s="309">
        <f t="shared" si="10"/>
        <v>1</v>
      </c>
      <c r="AV17" s="2101" t="s">
        <v>422</v>
      </c>
      <c r="AW17" s="310" t="s">
        <v>325</v>
      </c>
      <c r="AX17" s="310" t="s">
        <v>325</v>
      </c>
      <c r="AY17" s="310"/>
      <c r="AZ17" s="310" t="s">
        <v>325</v>
      </c>
      <c r="BA17" s="310" t="s">
        <v>325</v>
      </c>
      <c r="BB17" s="2101" t="s">
        <v>476</v>
      </c>
      <c r="BC17" s="311">
        <f>+BF17*0.666666666666667</f>
        <v>0.22222222222222221</v>
      </c>
      <c r="BD17" s="336">
        <v>1</v>
      </c>
      <c r="BE17" s="100">
        <f t="shared" si="12"/>
        <v>0.22222222222222221</v>
      </c>
      <c r="BF17" s="311">
        <f t="shared" si="13"/>
        <v>0.33333333333333331</v>
      </c>
      <c r="BG17" s="309">
        <f t="shared" si="15"/>
        <v>0.66666666666666663</v>
      </c>
      <c r="BH17" s="2101" t="s">
        <v>477</v>
      </c>
      <c r="BI17" s="310" t="s">
        <v>456</v>
      </c>
      <c r="BJ17" s="313" t="s">
        <v>325</v>
      </c>
      <c r="BK17" s="313" t="s">
        <v>325</v>
      </c>
      <c r="BL17" s="313"/>
      <c r="BM17" s="313" t="s">
        <v>325</v>
      </c>
      <c r="BN17" s="313" t="s">
        <v>325</v>
      </c>
      <c r="BO17" s="2101" t="s">
        <v>426</v>
      </c>
      <c r="BP17" s="328">
        <v>1</v>
      </c>
      <c r="BQ17" s="309">
        <v>0</v>
      </c>
      <c r="BR17" s="337">
        <v>0</v>
      </c>
      <c r="BS17" s="337">
        <v>0</v>
      </c>
      <c r="BT17" s="309">
        <v>0</v>
      </c>
      <c r="BU17" s="2101" t="s">
        <v>478</v>
      </c>
      <c r="BV17" s="309">
        <v>0.1</v>
      </c>
      <c r="BW17" s="309">
        <v>0</v>
      </c>
      <c r="BX17" s="309">
        <v>0.1</v>
      </c>
      <c r="BY17" s="309">
        <v>0</v>
      </c>
      <c r="BZ17" s="309" t="str">
        <f>IF(BW17=0," ",BX17/BY17)</f>
        <v xml:space="preserve"> </v>
      </c>
      <c r="CA17" s="2101" t="s">
        <v>479</v>
      </c>
      <c r="CB17" s="314">
        <v>1</v>
      </c>
      <c r="CC17" s="314">
        <v>9.0999999999999998E-2</v>
      </c>
      <c r="CD17" s="314">
        <v>9.0999999999999998E-2</v>
      </c>
      <c r="CE17" s="314">
        <v>9.0999999999999998E-2</v>
      </c>
      <c r="CF17" s="2102">
        <v>1</v>
      </c>
      <c r="CG17" s="2103" t="s">
        <v>480</v>
      </c>
      <c r="CH17" s="309">
        <v>1</v>
      </c>
      <c r="CI17" s="309">
        <v>0.111</v>
      </c>
      <c r="CJ17" s="309">
        <v>0.222</v>
      </c>
      <c r="CK17" s="309">
        <v>0.111</v>
      </c>
      <c r="CL17" s="58">
        <f t="shared" si="5"/>
        <v>2</v>
      </c>
      <c r="CM17" s="2101" t="s">
        <v>481</v>
      </c>
      <c r="CN17" s="316" t="s">
        <v>325</v>
      </c>
      <c r="CO17" s="316" t="s">
        <v>325</v>
      </c>
      <c r="CP17" s="316"/>
      <c r="CQ17" s="316" t="s">
        <v>325</v>
      </c>
      <c r="CR17" s="316" t="s">
        <v>325</v>
      </c>
      <c r="CS17" s="2104" t="s">
        <v>429</v>
      </c>
      <c r="CT17" s="309">
        <v>1</v>
      </c>
      <c r="CU17" s="309">
        <v>1</v>
      </c>
      <c r="CV17" s="309">
        <v>1</v>
      </c>
      <c r="CW17" s="309">
        <v>1</v>
      </c>
      <c r="CX17" s="58">
        <f>IF(CU17=0," ",CV17/CW17)</f>
        <v>1</v>
      </c>
      <c r="CY17" s="2104" t="s">
        <v>430</v>
      </c>
    </row>
    <row r="18" spans="1:103" s="121" customFormat="1" ht="35.1" customHeight="1">
      <c r="A18" s="296"/>
      <c r="B18" s="2097"/>
      <c r="C18" s="2098"/>
      <c r="D18" s="2097"/>
      <c r="E18" s="2097"/>
      <c r="F18" s="2099"/>
      <c r="G18" s="2100"/>
      <c r="H18" s="2099"/>
      <c r="I18" s="2099"/>
      <c r="J18" s="13"/>
      <c r="K18" s="307"/>
      <c r="L18" s="307" t="s">
        <v>482</v>
      </c>
      <c r="M18" s="307" t="s">
        <v>483</v>
      </c>
      <c r="N18" s="307" t="s">
        <v>484</v>
      </c>
      <c r="O18" s="307"/>
      <c r="P18" s="307" t="s">
        <v>485</v>
      </c>
      <c r="Q18" s="307"/>
      <c r="R18" s="307" t="s">
        <v>486</v>
      </c>
      <c r="S18" s="307"/>
      <c r="T18" s="307"/>
      <c r="U18" s="307" t="s">
        <v>487</v>
      </c>
      <c r="V18" s="307"/>
      <c r="W18" s="301"/>
      <c r="X18" s="324"/>
      <c r="Y18" s="310" t="s">
        <v>423</v>
      </c>
      <c r="Z18" s="310" t="s">
        <v>423</v>
      </c>
      <c r="AA18" s="310"/>
      <c r="AB18" s="310" t="s">
        <v>423</v>
      </c>
      <c r="AC18" s="310" t="s">
        <v>423</v>
      </c>
      <c r="AD18" s="2101"/>
      <c r="AE18" s="310"/>
      <c r="AF18" s="309"/>
      <c r="AG18" s="309"/>
      <c r="AH18" s="310"/>
      <c r="AI18" s="309" t="str">
        <f t="shared" si="3"/>
        <v xml:space="preserve"> </v>
      </c>
      <c r="AJ18" s="2101"/>
      <c r="AK18" s="310"/>
      <c r="AL18" s="309"/>
      <c r="AM18" s="309"/>
      <c r="AN18" s="310"/>
      <c r="AO18" s="309"/>
      <c r="AP18" s="2101"/>
      <c r="AQ18" s="310"/>
      <c r="AR18" s="309"/>
      <c r="AS18" s="309"/>
      <c r="AT18" s="310"/>
      <c r="AU18" s="309"/>
      <c r="AV18" s="2101"/>
      <c r="AW18" s="310" t="s">
        <v>325</v>
      </c>
      <c r="AX18" s="310" t="s">
        <v>325</v>
      </c>
      <c r="AY18" s="310"/>
      <c r="AZ18" s="310" t="s">
        <v>325</v>
      </c>
      <c r="BA18" s="310" t="s">
        <v>325</v>
      </c>
      <c r="BB18" s="2101"/>
      <c r="BC18" s="311"/>
      <c r="BD18" s="336">
        <v>1</v>
      </c>
      <c r="BE18" s="100">
        <f t="shared" si="12"/>
        <v>0</v>
      </c>
      <c r="BF18" s="311" t="str">
        <f t="shared" si="13"/>
        <v>868-2013
kfw
limas</v>
      </c>
      <c r="BG18" s="309" t="e">
        <f t="shared" si="15"/>
        <v>#VALUE!</v>
      </c>
      <c r="BH18" s="2101"/>
      <c r="BI18" s="310"/>
      <c r="BJ18" s="313" t="s">
        <v>325</v>
      </c>
      <c r="BK18" s="313" t="s">
        <v>325</v>
      </c>
      <c r="BL18" s="313"/>
      <c r="BM18" s="313" t="s">
        <v>325</v>
      </c>
      <c r="BN18" s="313" t="s">
        <v>325</v>
      </c>
      <c r="BO18" s="2101"/>
      <c r="BP18" s="313"/>
      <c r="BQ18" s="309"/>
      <c r="BR18" s="313"/>
      <c r="BS18" s="313"/>
      <c r="BT18" s="309"/>
      <c r="BU18" s="2101"/>
      <c r="BV18" s="341"/>
      <c r="BW18" s="342"/>
      <c r="BX18" s="309" t="str">
        <f>IF(BW18=0," ",BV18/BW18)</f>
        <v xml:space="preserve"> </v>
      </c>
      <c r="BY18" s="309"/>
      <c r="BZ18" s="309" t="str">
        <f>IF(BW18=0," ",BX18/BY18)</f>
        <v xml:space="preserve"> </v>
      </c>
      <c r="CA18" s="2101"/>
      <c r="CB18" s="318"/>
      <c r="CC18" s="318"/>
      <c r="CD18" s="318"/>
      <c r="CE18" s="318"/>
      <c r="CF18" s="2102"/>
      <c r="CG18" s="2103"/>
      <c r="CH18" s="310"/>
      <c r="CI18" s="310"/>
      <c r="CJ18" s="310"/>
      <c r="CK18" s="310"/>
      <c r="CL18" s="58" t="str">
        <f t="shared" si="5"/>
        <v xml:space="preserve"> </v>
      </c>
      <c r="CM18" s="2101"/>
      <c r="CN18" s="316" t="s">
        <v>325</v>
      </c>
      <c r="CO18" s="316" t="s">
        <v>325</v>
      </c>
      <c r="CP18" s="316"/>
      <c r="CQ18" s="316" t="s">
        <v>325</v>
      </c>
      <c r="CR18" s="316" t="s">
        <v>325</v>
      </c>
      <c r="CS18" s="2105"/>
      <c r="CT18" s="309">
        <v>1</v>
      </c>
      <c r="CU18" s="309">
        <v>1</v>
      </c>
      <c r="CV18" s="309">
        <v>1</v>
      </c>
      <c r="CW18" s="309">
        <v>1</v>
      </c>
      <c r="CX18" s="58">
        <f t="shared" ref="CX18:CX25" si="16">IF(CU18=0," ",CV18/CW18)</f>
        <v>1</v>
      </c>
      <c r="CY18" s="2105"/>
    </row>
    <row r="19" spans="1:103" s="121" customFormat="1" ht="29.25" customHeight="1">
      <c r="A19" s="296"/>
      <c r="B19" s="2097"/>
      <c r="C19" s="2098"/>
      <c r="D19" s="2097"/>
      <c r="E19" s="2097"/>
      <c r="F19" s="2099"/>
      <c r="G19" s="2100"/>
      <c r="H19" s="2099"/>
      <c r="I19" s="2099"/>
      <c r="J19" s="13" t="s">
        <v>435</v>
      </c>
      <c r="K19" s="322"/>
      <c r="L19" s="322">
        <v>1</v>
      </c>
      <c r="M19" s="322">
        <v>1</v>
      </c>
      <c r="N19" s="322">
        <v>1</v>
      </c>
      <c r="O19" s="322"/>
      <c r="P19" s="322">
        <v>3</v>
      </c>
      <c r="Q19" s="322"/>
      <c r="R19" s="322">
        <v>2</v>
      </c>
      <c r="S19" s="322"/>
      <c r="T19" s="322"/>
      <c r="U19" s="322">
        <v>1</v>
      </c>
      <c r="V19" s="322"/>
      <c r="W19" s="301"/>
      <c r="X19" s="324">
        <f>+SUM(K19:V19)</f>
        <v>9</v>
      </c>
      <c r="Y19" s="310" t="s">
        <v>423</v>
      </c>
      <c r="Z19" s="310" t="s">
        <v>423</v>
      </c>
      <c r="AA19" s="310"/>
      <c r="AB19" s="310" t="s">
        <v>423</v>
      </c>
      <c r="AC19" s="310" t="s">
        <v>423</v>
      </c>
      <c r="AD19" s="2101"/>
      <c r="AE19" s="310">
        <v>1</v>
      </c>
      <c r="AF19" s="309">
        <v>1</v>
      </c>
      <c r="AG19" s="339">
        <f t="shared" si="1"/>
        <v>1</v>
      </c>
      <c r="AH19" s="310">
        <v>1</v>
      </c>
      <c r="AI19" s="309">
        <f t="shared" si="3"/>
        <v>1</v>
      </c>
      <c r="AJ19" s="2101"/>
      <c r="AK19" s="310">
        <v>1</v>
      </c>
      <c r="AL19" s="309">
        <v>1</v>
      </c>
      <c r="AM19" s="310">
        <f t="shared" si="2"/>
        <v>1</v>
      </c>
      <c r="AN19" s="310">
        <v>1</v>
      </c>
      <c r="AO19" s="309">
        <f t="shared" si="4"/>
        <v>1</v>
      </c>
      <c r="AP19" s="2101"/>
      <c r="AQ19" s="310">
        <v>1</v>
      </c>
      <c r="AR19" s="309">
        <v>1</v>
      </c>
      <c r="AS19" s="310">
        <f t="shared" si="9"/>
        <v>1</v>
      </c>
      <c r="AT19" s="310">
        <v>1</v>
      </c>
      <c r="AU19" s="309">
        <f t="shared" si="10"/>
        <v>1</v>
      </c>
      <c r="AV19" s="2101"/>
      <c r="AW19" s="310" t="s">
        <v>325</v>
      </c>
      <c r="AX19" s="310" t="s">
        <v>325</v>
      </c>
      <c r="AY19" s="310"/>
      <c r="AZ19" s="310" t="s">
        <v>325</v>
      </c>
      <c r="BA19" s="310" t="s">
        <v>325</v>
      </c>
      <c r="BB19" s="2101"/>
      <c r="BC19" s="340">
        <v>2</v>
      </c>
      <c r="BD19" s="336">
        <v>1</v>
      </c>
      <c r="BE19" s="100">
        <f t="shared" si="12"/>
        <v>2</v>
      </c>
      <c r="BF19" s="340">
        <f t="shared" si="13"/>
        <v>3</v>
      </c>
      <c r="BG19" s="309">
        <f t="shared" si="15"/>
        <v>0.66666666666666663</v>
      </c>
      <c r="BH19" s="2101"/>
      <c r="BI19" s="310"/>
      <c r="BJ19" s="313" t="s">
        <v>325</v>
      </c>
      <c r="BK19" s="313" t="s">
        <v>325</v>
      </c>
      <c r="BL19" s="313"/>
      <c r="BM19" s="313" t="s">
        <v>325</v>
      </c>
      <c r="BN19" s="313" t="s">
        <v>325</v>
      </c>
      <c r="BO19" s="2101"/>
      <c r="BP19" s="313">
        <v>10</v>
      </c>
      <c r="BQ19" s="313">
        <v>0</v>
      </c>
      <c r="BR19" s="313"/>
      <c r="BS19" s="313">
        <v>2</v>
      </c>
      <c r="BT19" s="309">
        <v>0</v>
      </c>
      <c r="BU19" s="2101"/>
      <c r="BV19" s="341">
        <v>1</v>
      </c>
      <c r="BW19" s="342">
        <v>0</v>
      </c>
      <c r="BX19" s="313">
        <v>1</v>
      </c>
      <c r="BY19" s="309">
        <v>0</v>
      </c>
      <c r="BZ19" s="309" t="str">
        <f>IF(BW19=0," ",BX19/BY19)</f>
        <v xml:space="preserve"> </v>
      </c>
      <c r="CA19" s="2101"/>
      <c r="CB19" s="318">
        <v>11</v>
      </c>
      <c r="CC19" s="318">
        <v>1</v>
      </c>
      <c r="CD19" s="318">
        <v>1</v>
      </c>
      <c r="CE19" s="318">
        <v>1</v>
      </c>
      <c r="CF19" s="2102"/>
      <c r="CG19" s="2103"/>
      <c r="CH19" s="310">
        <v>9</v>
      </c>
      <c r="CI19" s="310">
        <v>1</v>
      </c>
      <c r="CJ19" s="310">
        <v>2</v>
      </c>
      <c r="CK19" s="310">
        <v>1</v>
      </c>
      <c r="CL19" s="58">
        <f t="shared" si="5"/>
        <v>2</v>
      </c>
      <c r="CM19" s="2101"/>
      <c r="CN19" s="316" t="s">
        <v>325</v>
      </c>
      <c r="CO19" s="316" t="s">
        <v>325</v>
      </c>
      <c r="CP19" s="316"/>
      <c r="CQ19" s="316" t="s">
        <v>325</v>
      </c>
      <c r="CR19" s="316" t="s">
        <v>325</v>
      </c>
      <c r="CS19" s="2106"/>
      <c r="CT19" s="310">
        <v>9</v>
      </c>
      <c r="CU19" s="310">
        <v>9</v>
      </c>
      <c r="CV19" s="319">
        <f t="shared" si="6"/>
        <v>9</v>
      </c>
      <c r="CW19" s="320">
        <f t="shared" si="7"/>
        <v>9</v>
      </c>
      <c r="CX19" s="58">
        <f t="shared" si="16"/>
        <v>1</v>
      </c>
      <c r="CY19" s="2106"/>
    </row>
    <row r="20" spans="1:103" s="121" customFormat="1" ht="28.5" customHeight="1">
      <c r="A20" s="296"/>
      <c r="B20" s="2097" t="s">
        <v>416</v>
      </c>
      <c r="C20" s="2098">
        <v>5</v>
      </c>
      <c r="D20" s="2097" t="s">
        <v>488</v>
      </c>
      <c r="E20" s="2097" t="s">
        <v>489</v>
      </c>
      <c r="F20" s="2099" t="s">
        <v>490</v>
      </c>
      <c r="G20" s="2100" t="s">
        <v>53</v>
      </c>
      <c r="H20" s="2099" t="s">
        <v>491</v>
      </c>
      <c r="I20" s="2099" t="s">
        <v>492</v>
      </c>
      <c r="J20" s="13" t="s">
        <v>54</v>
      </c>
      <c r="K20" s="308">
        <f>+K22/$X22</f>
        <v>0</v>
      </c>
      <c r="L20" s="308">
        <f>+L22/$X22+K20</f>
        <v>0</v>
      </c>
      <c r="M20" s="308">
        <f>+M22/$X22+L20</f>
        <v>0</v>
      </c>
      <c r="N20" s="307">
        <f>+N22/$X22</f>
        <v>0.1</v>
      </c>
      <c r="O20" s="307">
        <f>+O22/$X22</f>
        <v>0.2</v>
      </c>
      <c r="P20" s="307">
        <f>+P22/$X22</f>
        <v>0.1</v>
      </c>
      <c r="Q20" s="307">
        <f>+Q22/$X22</f>
        <v>0.3</v>
      </c>
      <c r="R20" s="308">
        <f>+R22/$X22+Q20</f>
        <v>0.3</v>
      </c>
      <c r="S20" s="307">
        <f>+S22/$X22</f>
        <v>0.2</v>
      </c>
      <c r="T20" s="307">
        <f>+T22/$X22</f>
        <v>0.1</v>
      </c>
      <c r="U20" s="308">
        <f>+U22/$X22</f>
        <v>0</v>
      </c>
      <c r="V20" s="308">
        <f>+V22/$X22+U20</f>
        <v>0</v>
      </c>
      <c r="W20" s="301"/>
      <c r="X20" s="324"/>
      <c r="Y20" s="310" t="s">
        <v>423</v>
      </c>
      <c r="Z20" s="310" t="s">
        <v>423</v>
      </c>
      <c r="AA20" s="310"/>
      <c r="AB20" s="310" t="s">
        <v>423</v>
      </c>
      <c r="AC20" s="310" t="s">
        <v>423</v>
      </c>
      <c r="AD20" s="2101" t="s">
        <v>424</v>
      </c>
      <c r="AE20" s="310" t="s">
        <v>423</v>
      </c>
      <c r="AF20" s="310" t="s">
        <v>423</v>
      </c>
      <c r="AG20" s="310"/>
      <c r="AH20" s="310" t="s">
        <v>423</v>
      </c>
      <c r="AI20" s="310" t="s">
        <v>423</v>
      </c>
      <c r="AJ20" s="2101" t="s">
        <v>424</v>
      </c>
      <c r="AK20" s="310" t="s">
        <v>423</v>
      </c>
      <c r="AL20" s="310" t="s">
        <v>423</v>
      </c>
      <c r="AM20" s="310"/>
      <c r="AN20" s="310" t="s">
        <v>423</v>
      </c>
      <c r="AO20" s="310" t="s">
        <v>423</v>
      </c>
      <c r="AP20" s="2101" t="s">
        <v>424</v>
      </c>
      <c r="AQ20" s="310">
        <v>0</v>
      </c>
      <c r="AR20" s="309">
        <v>1</v>
      </c>
      <c r="AS20" s="310">
        <f t="shared" si="9"/>
        <v>0</v>
      </c>
      <c r="AT20" s="334">
        <v>9.0999999999999998E-2</v>
      </c>
      <c r="AU20" s="309">
        <f t="shared" si="10"/>
        <v>0</v>
      </c>
      <c r="AV20" s="2101" t="s">
        <v>493</v>
      </c>
      <c r="AW20" s="338">
        <v>0</v>
      </c>
      <c r="AX20" s="343">
        <v>0.182</v>
      </c>
      <c r="AY20" s="309">
        <f>IF(AX20=0," ",AW20/AX20)</f>
        <v>0</v>
      </c>
      <c r="AZ20" s="343">
        <v>0.182</v>
      </c>
      <c r="BA20" s="309">
        <f>IF(AX20=0," ",AY20/AZ20)</f>
        <v>0</v>
      </c>
      <c r="BB20" s="2101" t="s">
        <v>494</v>
      </c>
      <c r="BC20" s="311">
        <v>9.0999999999999998E-2</v>
      </c>
      <c r="BD20" s="336">
        <v>1</v>
      </c>
      <c r="BE20" s="100">
        <f t="shared" si="12"/>
        <v>9.0999999999999998E-2</v>
      </c>
      <c r="BF20" s="311">
        <f t="shared" si="13"/>
        <v>0.1</v>
      </c>
      <c r="BG20" s="309">
        <f t="shared" si="15"/>
        <v>0.90999999999999992</v>
      </c>
      <c r="BH20" s="2101" t="s">
        <v>495</v>
      </c>
      <c r="BI20" s="310" t="s">
        <v>496</v>
      </c>
      <c r="BJ20" s="313">
        <v>1</v>
      </c>
      <c r="BK20" s="309">
        <v>1</v>
      </c>
      <c r="BL20" s="313">
        <f>IF(BK20=0," ",BJ20/BK20)</f>
        <v>1</v>
      </c>
      <c r="BM20" s="313">
        <v>3</v>
      </c>
      <c r="BN20" s="309">
        <f t="shared" si="14"/>
        <v>0.33333333333333331</v>
      </c>
      <c r="BO20" s="2101" t="s">
        <v>497</v>
      </c>
      <c r="BP20" s="313" t="s">
        <v>325</v>
      </c>
      <c r="BQ20" s="313" t="s">
        <v>325</v>
      </c>
      <c r="BR20" s="313"/>
      <c r="BS20" s="313" t="s">
        <v>325</v>
      </c>
      <c r="BT20" s="313" t="s">
        <v>325</v>
      </c>
      <c r="BU20" s="2101" t="s">
        <v>426</v>
      </c>
      <c r="BV20" s="309">
        <v>1</v>
      </c>
      <c r="BW20" s="309">
        <v>0.2</v>
      </c>
      <c r="BX20" s="309">
        <v>0.1</v>
      </c>
      <c r="BY20" s="309">
        <v>0.2</v>
      </c>
      <c r="BZ20" s="309">
        <f t="shared" ref="BZ20:BZ69" si="17">IF(BW20=0," ",BX20/BY20)</f>
        <v>0.5</v>
      </c>
      <c r="CA20" s="2101" t="s">
        <v>498</v>
      </c>
      <c r="CB20" s="314">
        <v>1</v>
      </c>
      <c r="CC20" s="314">
        <v>0.1</v>
      </c>
      <c r="CD20" s="314">
        <v>0.4</v>
      </c>
      <c r="CE20" s="314">
        <v>0.1</v>
      </c>
      <c r="CF20" s="2102">
        <f>IF(CC20=0," ",CD20/CE20)</f>
        <v>4</v>
      </c>
      <c r="CG20" s="2103" t="s">
        <v>499</v>
      </c>
      <c r="CH20" s="310">
        <v>100</v>
      </c>
      <c r="CI20" s="310">
        <v>0</v>
      </c>
      <c r="CJ20" s="316">
        <v>0.1</v>
      </c>
      <c r="CK20" s="310">
        <v>0</v>
      </c>
      <c r="CL20" s="58">
        <v>1</v>
      </c>
      <c r="CM20" s="2101" t="s">
        <v>500</v>
      </c>
      <c r="CN20" s="316">
        <v>1</v>
      </c>
      <c r="CO20" s="316">
        <v>1</v>
      </c>
      <c r="CP20" s="316">
        <v>0.1</v>
      </c>
      <c r="CQ20" s="316">
        <v>0</v>
      </c>
      <c r="CR20" s="58">
        <v>1</v>
      </c>
      <c r="CS20" s="2104" t="s">
        <v>501</v>
      </c>
      <c r="CT20" s="309">
        <v>1</v>
      </c>
      <c r="CU20" s="309">
        <v>1</v>
      </c>
      <c r="CV20" s="309">
        <v>1</v>
      </c>
      <c r="CW20" s="309">
        <v>1</v>
      </c>
      <c r="CX20" s="58">
        <f>IF(CU20=0," ",CV20/CW20)</f>
        <v>1</v>
      </c>
      <c r="CY20" s="2104" t="s">
        <v>430</v>
      </c>
    </row>
    <row r="21" spans="1:103" s="121" customFormat="1" ht="36.75" hidden="1" customHeight="1">
      <c r="A21" s="296"/>
      <c r="B21" s="2097"/>
      <c r="C21" s="2098"/>
      <c r="D21" s="2097"/>
      <c r="E21" s="2097"/>
      <c r="F21" s="2099"/>
      <c r="G21" s="2100"/>
      <c r="H21" s="2099"/>
      <c r="I21" s="2099"/>
      <c r="J21" s="13"/>
      <c r="K21" s="307"/>
      <c r="L21" s="307"/>
      <c r="M21" s="307"/>
      <c r="N21" s="307" t="s">
        <v>502</v>
      </c>
      <c r="O21" s="307" t="s">
        <v>503</v>
      </c>
      <c r="P21" s="307" t="s">
        <v>504</v>
      </c>
      <c r="Q21" s="307" t="s">
        <v>505</v>
      </c>
      <c r="R21" s="307"/>
      <c r="S21" s="307" t="s">
        <v>506</v>
      </c>
      <c r="T21" s="307" t="s">
        <v>482</v>
      </c>
      <c r="U21" s="307"/>
      <c r="V21" s="307"/>
      <c r="W21" s="301"/>
      <c r="X21" s="324"/>
      <c r="Y21" s="310" t="s">
        <v>423</v>
      </c>
      <c r="Z21" s="310" t="s">
        <v>423</v>
      </c>
      <c r="AA21" s="310"/>
      <c r="AB21" s="310" t="s">
        <v>423</v>
      </c>
      <c r="AC21" s="310" t="s">
        <v>423</v>
      </c>
      <c r="AD21" s="2101"/>
      <c r="AE21" s="310" t="s">
        <v>423</v>
      </c>
      <c r="AF21" s="310" t="s">
        <v>423</v>
      </c>
      <c r="AG21" s="310"/>
      <c r="AH21" s="310" t="s">
        <v>423</v>
      </c>
      <c r="AI21" s="310" t="s">
        <v>423</v>
      </c>
      <c r="AJ21" s="2101"/>
      <c r="AK21" s="310" t="s">
        <v>423</v>
      </c>
      <c r="AL21" s="310" t="s">
        <v>423</v>
      </c>
      <c r="AM21" s="310"/>
      <c r="AN21" s="310" t="s">
        <v>423</v>
      </c>
      <c r="AO21" s="310" t="s">
        <v>423</v>
      </c>
      <c r="AP21" s="2101"/>
      <c r="AQ21" s="310"/>
      <c r="AR21" s="309">
        <v>1</v>
      </c>
      <c r="AS21" s="310">
        <f t="shared" si="9"/>
        <v>0</v>
      </c>
      <c r="AT21" s="310" t="s">
        <v>493</v>
      </c>
      <c r="AU21" s="309" t="e">
        <f t="shared" si="10"/>
        <v>#VALUE!</v>
      </c>
      <c r="AV21" s="2101"/>
      <c r="AW21" s="338"/>
      <c r="AX21" s="338"/>
      <c r="AY21" s="309" t="str">
        <f>IF(AX21=0," ",AW21/AX21)</f>
        <v xml:space="preserve"> </v>
      </c>
      <c r="AZ21" s="338"/>
      <c r="BA21" s="309" t="str">
        <f>IF(AX21=0," ",AY21/AZ21)</f>
        <v xml:space="preserve"> </v>
      </c>
      <c r="BB21" s="2101"/>
      <c r="BC21" s="311"/>
      <c r="BD21" s="336">
        <v>1</v>
      </c>
      <c r="BE21" s="100">
        <f t="shared" si="12"/>
        <v>0</v>
      </c>
      <c r="BF21" s="311" t="str">
        <f t="shared" si="13"/>
        <v>tramonti</v>
      </c>
      <c r="BG21" s="309" t="e">
        <f t="shared" si="15"/>
        <v>#VALUE!</v>
      </c>
      <c r="BH21" s="2101"/>
      <c r="BI21" s="310"/>
      <c r="BJ21" s="313"/>
      <c r="BK21" s="309"/>
      <c r="BL21" s="313" t="str">
        <f>IF(BK21=0," ",BJ21/BK21)</f>
        <v xml:space="preserve"> </v>
      </c>
      <c r="BM21" s="313"/>
      <c r="BN21" s="309" t="str">
        <f t="shared" si="14"/>
        <v xml:space="preserve"> </v>
      </c>
      <c r="BO21" s="2101"/>
      <c r="BP21" s="313"/>
      <c r="BQ21" s="313" t="s">
        <v>325</v>
      </c>
      <c r="BR21" s="313"/>
      <c r="BS21" s="313" t="s">
        <v>325</v>
      </c>
      <c r="BT21" s="313" t="s">
        <v>325</v>
      </c>
      <c r="BU21" s="2101"/>
      <c r="BV21" s="341"/>
      <c r="BW21" s="342"/>
      <c r="BX21" s="100" t="str">
        <f>IF(BW21=0," ",BV21/BW21)</f>
        <v xml:space="preserve"> </v>
      </c>
      <c r="BY21" s="309"/>
      <c r="BZ21" s="309" t="str">
        <f t="shared" si="17"/>
        <v xml:space="preserve"> </v>
      </c>
      <c r="CA21" s="2101"/>
      <c r="CB21" s="318"/>
      <c r="CC21" s="318"/>
      <c r="CD21" s="318"/>
      <c r="CE21" s="318"/>
      <c r="CF21" s="2102"/>
      <c r="CG21" s="2103"/>
      <c r="CH21" s="310"/>
      <c r="CI21" s="310"/>
      <c r="CJ21" s="310"/>
      <c r="CK21" s="310"/>
      <c r="CL21" s="58" t="str">
        <f t="shared" si="5"/>
        <v xml:space="preserve"> </v>
      </c>
      <c r="CM21" s="2101"/>
      <c r="CN21" s="316" t="s">
        <v>325</v>
      </c>
      <c r="CO21" s="316" t="s">
        <v>325</v>
      </c>
      <c r="CP21" s="316"/>
      <c r="CQ21" s="316" t="s">
        <v>325</v>
      </c>
      <c r="CR21" s="58" t="s">
        <v>325</v>
      </c>
      <c r="CS21" s="2105"/>
      <c r="CT21" s="310"/>
      <c r="CU21" s="310"/>
      <c r="CV21" s="319"/>
      <c r="CW21" s="320"/>
      <c r="CX21" s="58" t="str">
        <f t="shared" si="16"/>
        <v xml:space="preserve"> </v>
      </c>
      <c r="CY21" s="2105"/>
    </row>
    <row r="22" spans="1:103" s="121" customFormat="1" ht="47.25" customHeight="1">
      <c r="A22" s="296"/>
      <c r="B22" s="2097"/>
      <c r="C22" s="2098"/>
      <c r="D22" s="2097"/>
      <c r="E22" s="2097"/>
      <c r="F22" s="2099"/>
      <c r="G22" s="2100"/>
      <c r="H22" s="2099"/>
      <c r="I22" s="2099"/>
      <c r="J22" s="13" t="s">
        <v>435</v>
      </c>
      <c r="K22" s="322"/>
      <c r="L22" s="322"/>
      <c r="M22" s="322"/>
      <c r="N22" s="322">
        <v>1</v>
      </c>
      <c r="O22" s="322">
        <v>2</v>
      </c>
      <c r="P22" s="322">
        <v>1</v>
      </c>
      <c r="Q22" s="322">
        <v>3</v>
      </c>
      <c r="R22" s="322"/>
      <c r="S22" s="322">
        <v>2</v>
      </c>
      <c r="T22" s="322">
        <v>1</v>
      </c>
      <c r="U22" s="322"/>
      <c r="V22" s="322"/>
      <c r="W22" s="301"/>
      <c r="X22" s="324">
        <f>+SUM(K22:V22)</f>
        <v>10</v>
      </c>
      <c r="Y22" s="310" t="s">
        <v>423</v>
      </c>
      <c r="Z22" s="310" t="s">
        <v>423</v>
      </c>
      <c r="AA22" s="310"/>
      <c r="AB22" s="310" t="s">
        <v>423</v>
      </c>
      <c r="AC22" s="310" t="s">
        <v>423</v>
      </c>
      <c r="AD22" s="2101"/>
      <c r="AE22" s="310" t="s">
        <v>423</v>
      </c>
      <c r="AF22" s="310" t="s">
        <v>423</v>
      </c>
      <c r="AG22" s="310"/>
      <c r="AH22" s="310" t="s">
        <v>423</v>
      </c>
      <c r="AI22" s="310" t="s">
        <v>423</v>
      </c>
      <c r="AJ22" s="2101"/>
      <c r="AK22" s="310" t="s">
        <v>423</v>
      </c>
      <c r="AL22" s="310" t="s">
        <v>423</v>
      </c>
      <c r="AM22" s="310"/>
      <c r="AN22" s="310" t="s">
        <v>423</v>
      </c>
      <c r="AO22" s="310" t="s">
        <v>423</v>
      </c>
      <c r="AP22" s="2101"/>
      <c r="AQ22" s="310">
        <v>0</v>
      </c>
      <c r="AR22" s="309">
        <v>1</v>
      </c>
      <c r="AS22" s="310">
        <f t="shared" si="9"/>
        <v>0</v>
      </c>
      <c r="AT22" s="313">
        <v>1</v>
      </c>
      <c r="AU22" s="309">
        <f t="shared" si="10"/>
        <v>0</v>
      </c>
      <c r="AV22" s="2101"/>
      <c r="AW22" s="338">
        <v>0</v>
      </c>
      <c r="AX22" s="338">
        <v>2</v>
      </c>
      <c r="AY22" s="309">
        <f>IF(AX22=0," ",AW22/AX22)</f>
        <v>0</v>
      </c>
      <c r="AZ22" s="338">
        <v>2</v>
      </c>
      <c r="BA22" s="309">
        <f>IF(AX22=0," ",AY22/AZ22)</f>
        <v>0</v>
      </c>
      <c r="BB22" s="2101"/>
      <c r="BC22" s="340">
        <v>1</v>
      </c>
      <c r="BD22" s="336">
        <v>1</v>
      </c>
      <c r="BE22" s="100">
        <f t="shared" si="12"/>
        <v>1</v>
      </c>
      <c r="BF22" s="311">
        <f t="shared" si="13"/>
        <v>1</v>
      </c>
      <c r="BG22" s="309">
        <f t="shared" si="15"/>
        <v>1</v>
      </c>
      <c r="BH22" s="2101"/>
      <c r="BI22" s="310"/>
      <c r="BJ22" s="313">
        <v>1</v>
      </c>
      <c r="BK22" s="313">
        <v>1</v>
      </c>
      <c r="BL22" s="313">
        <f>IF(BK22=0," ",BJ22/BK22)</f>
        <v>1</v>
      </c>
      <c r="BM22" s="313">
        <v>3</v>
      </c>
      <c r="BN22" s="309">
        <f t="shared" si="14"/>
        <v>0.33333333333333331</v>
      </c>
      <c r="BO22" s="2101"/>
      <c r="BP22" s="313" t="s">
        <v>325</v>
      </c>
      <c r="BQ22" s="313" t="s">
        <v>325</v>
      </c>
      <c r="BR22" s="313"/>
      <c r="BS22" s="313" t="s">
        <v>325</v>
      </c>
      <c r="BT22" s="313" t="s">
        <v>325</v>
      </c>
      <c r="BU22" s="2101"/>
      <c r="BV22" s="313">
        <v>10</v>
      </c>
      <c r="BW22" s="313">
        <v>2</v>
      </c>
      <c r="BX22" s="313">
        <v>1</v>
      </c>
      <c r="BY22" s="313">
        <v>2</v>
      </c>
      <c r="BZ22" s="309">
        <f t="shared" si="17"/>
        <v>0.5</v>
      </c>
      <c r="CA22" s="2101"/>
      <c r="CB22" s="318">
        <v>10</v>
      </c>
      <c r="CC22" s="318">
        <v>1</v>
      </c>
      <c r="CD22" s="318">
        <v>4</v>
      </c>
      <c r="CE22" s="318">
        <v>1</v>
      </c>
      <c r="CF22" s="2102"/>
      <c r="CG22" s="2103"/>
      <c r="CH22" s="310">
        <v>10</v>
      </c>
      <c r="CI22" s="310">
        <v>0</v>
      </c>
      <c r="CJ22" s="310">
        <v>1</v>
      </c>
      <c r="CK22" s="310">
        <v>0</v>
      </c>
      <c r="CL22" s="58">
        <v>1</v>
      </c>
      <c r="CM22" s="2101"/>
      <c r="CN22" s="313">
        <v>10</v>
      </c>
      <c r="CO22" s="313">
        <v>10</v>
      </c>
      <c r="CP22" s="313">
        <v>1</v>
      </c>
      <c r="CQ22" s="313">
        <v>0</v>
      </c>
      <c r="CR22" s="58">
        <v>1</v>
      </c>
      <c r="CS22" s="2106"/>
      <c r="CT22" s="310">
        <v>10</v>
      </c>
      <c r="CU22" s="310">
        <v>10</v>
      </c>
      <c r="CV22" s="319">
        <v>10</v>
      </c>
      <c r="CW22" s="320">
        <f t="shared" si="7"/>
        <v>10</v>
      </c>
      <c r="CX22" s="58">
        <f t="shared" si="16"/>
        <v>1</v>
      </c>
      <c r="CY22" s="2106"/>
    </row>
    <row r="23" spans="1:103" s="121" customFormat="1" ht="35.1" customHeight="1">
      <c r="A23" s="296"/>
      <c r="B23" s="2097" t="s">
        <v>416</v>
      </c>
      <c r="C23" s="2098">
        <v>6</v>
      </c>
      <c r="D23" s="2097" t="s">
        <v>507</v>
      </c>
      <c r="E23" s="2097" t="s">
        <v>508</v>
      </c>
      <c r="F23" s="2099" t="s">
        <v>509</v>
      </c>
      <c r="G23" s="2100" t="s">
        <v>53</v>
      </c>
      <c r="H23" s="2099" t="s">
        <v>510</v>
      </c>
      <c r="I23" s="2099" t="s">
        <v>511</v>
      </c>
      <c r="J23" s="13" t="s">
        <v>512</v>
      </c>
      <c r="K23" s="308">
        <f>+K25/$X25</f>
        <v>0</v>
      </c>
      <c r="L23" s="308">
        <f>+L25/$X25+K23</f>
        <v>0</v>
      </c>
      <c r="M23" s="308">
        <f>+M25/$X25+L23</f>
        <v>0</v>
      </c>
      <c r="N23" s="307">
        <f t="shared" ref="N23:T23" si="18">+N25/$X25</f>
        <v>0.33333333333333331</v>
      </c>
      <c r="O23" s="308">
        <f t="shared" si="18"/>
        <v>0</v>
      </c>
      <c r="P23" s="307">
        <f t="shared" si="18"/>
        <v>0.33333333333333331</v>
      </c>
      <c r="Q23" s="308">
        <f t="shared" si="18"/>
        <v>0</v>
      </c>
      <c r="R23" s="308">
        <f t="shared" si="18"/>
        <v>0</v>
      </c>
      <c r="S23" s="308">
        <f t="shared" si="18"/>
        <v>0</v>
      </c>
      <c r="T23" s="307">
        <f t="shared" si="18"/>
        <v>0.33333333333333331</v>
      </c>
      <c r="U23" s="307"/>
      <c r="V23" s="308">
        <f>+V25/$X25+U23</f>
        <v>0</v>
      </c>
      <c r="W23" s="301"/>
      <c r="X23" s="324"/>
      <c r="Y23" s="310" t="s">
        <v>423</v>
      </c>
      <c r="Z23" s="310" t="s">
        <v>423</v>
      </c>
      <c r="AA23" s="310"/>
      <c r="AB23" s="310" t="s">
        <v>423</v>
      </c>
      <c r="AC23" s="310" t="s">
        <v>423</v>
      </c>
      <c r="AD23" s="2101" t="s">
        <v>424</v>
      </c>
      <c r="AE23" s="310" t="s">
        <v>423</v>
      </c>
      <c r="AF23" s="310" t="s">
        <v>423</v>
      </c>
      <c r="AG23" s="310"/>
      <c r="AH23" s="310" t="s">
        <v>423</v>
      </c>
      <c r="AI23" s="310" t="s">
        <v>423</v>
      </c>
      <c r="AJ23" s="2101" t="s">
        <v>424</v>
      </c>
      <c r="AK23" s="310" t="s">
        <v>423</v>
      </c>
      <c r="AL23" s="310" t="s">
        <v>423</v>
      </c>
      <c r="AM23" s="310"/>
      <c r="AN23" s="310" t="s">
        <v>423</v>
      </c>
      <c r="AO23" s="310" t="s">
        <v>423</v>
      </c>
      <c r="AP23" s="2101" t="s">
        <v>424</v>
      </c>
      <c r="AQ23" s="310">
        <v>0</v>
      </c>
      <c r="AR23" s="309">
        <v>1</v>
      </c>
      <c r="AS23" s="310">
        <f t="shared" si="9"/>
        <v>0</v>
      </c>
      <c r="AT23" s="309">
        <v>0.25</v>
      </c>
      <c r="AU23" s="309">
        <f t="shared" si="10"/>
        <v>0</v>
      </c>
      <c r="AV23" s="2101" t="s">
        <v>513</v>
      </c>
      <c r="AW23" s="310" t="s">
        <v>325</v>
      </c>
      <c r="AX23" s="310" t="s">
        <v>325</v>
      </c>
      <c r="AY23" s="310"/>
      <c r="AZ23" s="310" t="s">
        <v>325</v>
      </c>
      <c r="BA23" s="310" t="s">
        <v>325</v>
      </c>
      <c r="BB23" s="2101" t="s">
        <v>476</v>
      </c>
      <c r="BC23" s="311">
        <v>0.25</v>
      </c>
      <c r="BD23" s="336">
        <v>1</v>
      </c>
      <c r="BE23" s="100">
        <f t="shared" si="12"/>
        <v>0.25</v>
      </c>
      <c r="BF23" s="311">
        <f t="shared" si="13"/>
        <v>0.33333333333333331</v>
      </c>
      <c r="BG23" s="309">
        <f t="shared" si="15"/>
        <v>0.75</v>
      </c>
      <c r="BH23" s="2101" t="s">
        <v>514</v>
      </c>
      <c r="BI23" s="310" t="s">
        <v>496</v>
      </c>
      <c r="BJ23" s="313" t="s">
        <v>325</v>
      </c>
      <c r="BK23" s="313" t="s">
        <v>325</v>
      </c>
      <c r="BL23" s="313"/>
      <c r="BM23" s="313" t="s">
        <v>325</v>
      </c>
      <c r="BN23" s="313" t="s">
        <v>325</v>
      </c>
      <c r="BO23" s="2101" t="s">
        <v>426</v>
      </c>
      <c r="BP23" s="313" t="s">
        <v>325</v>
      </c>
      <c r="BQ23" s="313" t="s">
        <v>325</v>
      </c>
      <c r="BR23" s="313"/>
      <c r="BS23" s="313" t="s">
        <v>325</v>
      </c>
      <c r="BT23" s="313" t="s">
        <v>325</v>
      </c>
      <c r="BU23" s="2101" t="s">
        <v>426</v>
      </c>
      <c r="BV23" s="313" t="s">
        <v>325</v>
      </c>
      <c r="BW23" s="313" t="s">
        <v>325</v>
      </c>
      <c r="BX23" s="313"/>
      <c r="BY23" s="313" t="s">
        <v>325</v>
      </c>
      <c r="BZ23" s="313" t="s">
        <v>325</v>
      </c>
      <c r="CA23" s="2101" t="s">
        <v>426</v>
      </c>
      <c r="CB23" s="314">
        <v>1</v>
      </c>
      <c r="CC23" s="314">
        <v>0.1</v>
      </c>
      <c r="CD23" s="314">
        <v>0.1</v>
      </c>
      <c r="CE23" s="314">
        <v>0.1</v>
      </c>
      <c r="CF23" s="2102">
        <f>IF(CC23=0," ",CD23/CE23)</f>
        <v>1</v>
      </c>
      <c r="CG23" s="2103" t="s">
        <v>515</v>
      </c>
      <c r="CH23" s="310" t="s">
        <v>325</v>
      </c>
      <c r="CI23" s="310" t="s">
        <v>325</v>
      </c>
      <c r="CJ23" s="310">
        <v>0</v>
      </c>
      <c r="CK23" s="310"/>
      <c r="CL23" s="58" t="s">
        <v>325</v>
      </c>
      <c r="CM23" s="2101" t="s">
        <v>460</v>
      </c>
      <c r="CN23" s="316">
        <v>1</v>
      </c>
      <c r="CO23" s="331">
        <v>1</v>
      </c>
      <c r="CP23" s="331">
        <v>0.66</v>
      </c>
      <c r="CQ23" s="331">
        <v>0</v>
      </c>
      <c r="CR23" s="58">
        <v>1</v>
      </c>
      <c r="CS23" s="2107" t="s">
        <v>516</v>
      </c>
      <c r="CT23" s="309">
        <v>1</v>
      </c>
      <c r="CU23" s="309">
        <v>1</v>
      </c>
      <c r="CV23" s="309">
        <v>1</v>
      </c>
      <c r="CW23" s="309">
        <v>1</v>
      </c>
      <c r="CX23" s="58">
        <f t="shared" si="16"/>
        <v>1</v>
      </c>
      <c r="CY23" s="2104" t="s">
        <v>430</v>
      </c>
    </row>
    <row r="24" spans="1:103" s="121" customFormat="1" ht="35.1" hidden="1" customHeight="1">
      <c r="A24" s="296"/>
      <c r="B24" s="2097"/>
      <c r="C24" s="2098"/>
      <c r="D24" s="2097"/>
      <c r="E24" s="2097"/>
      <c r="F24" s="2099"/>
      <c r="G24" s="2100"/>
      <c r="H24" s="2099"/>
      <c r="I24" s="2099"/>
      <c r="J24" s="13"/>
      <c r="K24" s="7"/>
      <c r="L24" s="344"/>
      <c r="M24" s="344"/>
      <c r="N24" s="344" t="s">
        <v>517</v>
      </c>
      <c r="O24" s="344"/>
      <c r="P24" s="345" t="s">
        <v>518</v>
      </c>
      <c r="Q24" s="305"/>
      <c r="R24" s="345"/>
      <c r="S24" s="345"/>
      <c r="T24" s="345" t="s">
        <v>519</v>
      </c>
      <c r="U24" s="345"/>
      <c r="V24" s="345"/>
      <c r="W24" s="301"/>
      <c r="X24" s="324"/>
      <c r="Y24" s="310" t="s">
        <v>423</v>
      </c>
      <c r="Z24" s="310" t="s">
        <v>423</v>
      </c>
      <c r="AA24" s="310"/>
      <c r="AB24" s="310" t="s">
        <v>423</v>
      </c>
      <c r="AC24" s="310" t="s">
        <v>423</v>
      </c>
      <c r="AD24" s="2101"/>
      <c r="AE24" s="310" t="s">
        <v>423</v>
      </c>
      <c r="AF24" s="310" t="s">
        <v>423</v>
      </c>
      <c r="AG24" s="310"/>
      <c r="AH24" s="310" t="s">
        <v>423</v>
      </c>
      <c r="AI24" s="310" t="s">
        <v>423</v>
      </c>
      <c r="AJ24" s="2101"/>
      <c r="AK24" s="310" t="s">
        <v>423</v>
      </c>
      <c r="AL24" s="310" t="s">
        <v>423</v>
      </c>
      <c r="AM24" s="310"/>
      <c r="AN24" s="310" t="s">
        <v>423</v>
      </c>
      <c r="AO24" s="310" t="s">
        <v>423</v>
      </c>
      <c r="AP24" s="2101"/>
      <c r="AQ24" s="310"/>
      <c r="AR24" s="309">
        <v>1</v>
      </c>
      <c r="AS24" s="310">
        <f t="shared" si="9"/>
        <v>0</v>
      </c>
      <c r="AT24" s="310" t="s">
        <v>520</v>
      </c>
      <c r="AU24" s="309" t="e">
        <f t="shared" si="10"/>
        <v>#VALUE!</v>
      </c>
      <c r="AV24" s="2101"/>
      <c r="AW24" s="310" t="s">
        <v>325</v>
      </c>
      <c r="AX24" s="310" t="s">
        <v>325</v>
      </c>
      <c r="AY24" s="310"/>
      <c r="AZ24" s="310" t="s">
        <v>325</v>
      </c>
      <c r="BA24" s="310" t="s">
        <v>325</v>
      </c>
      <c r="BB24" s="2101"/>
      <c r="BC24" s="311"/>
      <c r="BD24" s="336">
        <v>1</v>
      </c>
      <c r="BE24" s="100">
        <f t="shared" si="12"/>
        <v>0</v>
      </c>
      <c r="BF24" s="311" t="str">
        <f t="shared" si="13"/>
        <v>IDU-19-2012</v>
      </c>
      <c r="BG24" s="309" t="e">
        <f t="shared" si="15"/>
        <v>#VALUE!</v>
      </c>
      <c r="BH24" s="2101"/>
      <c r="BI24" s="310"/>
      <c r="BJ24" s="313" t="s">
        <v>325</v>
      </c>
      <c r="BK24" s="313" t="s">
        <v>325</v>
      </c>
      <c r="BL24" s="313"/>
      <c r="BM24" s="313" t="s">
        <v>325</v>
      </c>
      <c r="BN24" s="313" t="s">
        <v>325</v>
      </c>
      <c r="BO24" s="2101"/>
      <c r="BP24" s="313"/>
      <c r="BQ24" s="313" t="s">
        <v>325</v>
      </c>
      <c r="BR24" s="313"/>
      <c r="BS24" s="313" t="s">
        <v>325</v>
      </c>
      <c r="BT24" s="313" t="s">
        <v>325</v>
      </c>
      <c r="BU24" s="2101"/>
      <c r="BV24" s="313"/>
      <c r="BW24" s="313" t="s">
        <v>325</v>
      </c>
      <c r="BX24" s="313"/>
      <c r="BY24" s="313" t="s">
        <v>325</v>
      </c>
      <c r="BZ24" s="313" t="s">
        <v>325</v>
      </c>
      <c r="CA24" s="2101"/>
      <c r="CB24" s="318"/>
      <c r="CC24" s="318"/>
      <c r="CD24" s="318"/>
      <c r="CE24" s="318"/>
      <c r="CF24" s="2102"/>
      <c r="CG24" s="2103"/>
      <c r="CH24" s="310" t="s">
        <v>325</v>
      </c>
      <c r="CI24" s="310" t="s">
        <v>325</v>
      </c>
      <c r="CJ24" s="310">
        <v>0</v>
      </c>
      <c r="CK24" s="310"/>
      <c r="CL24" s="58" t="s">
        <v>325</v>
      </c>
      <c r="CM24" s="2101"/>
      <c r="CN24" s="316"/>
      <c r="CO24" s="331"/>
      <c r="CP24" s="331"/>
      <c r="CQ24" s="331"/>
      <c r="CR24" s="58" t="str">
        <f>IF(CO24=0," ",CP24/CQ24)</f>
        <v xml:space="preserve"> </v>
      </c>
      <c r="CS24" s="2108"/>
      <c r="CT24" s="310"/>
      <c r="CU24" s="310"/>
      <c r="CV24" s="319">
        <f t="shared" si="6"/>
        <v>0</v>
      </c>
      <c r="CW24" s="320">
        <f t="shared" si="7"/>
        <v>0</v>
      </c>
      <c r="CX24" s="58" t="str">
        <f t="shared" si="16"/>
        <v xml:space="preserve"> </v>
      </c>
      <c r="CY24" s="2105"/>
    </row>
    <row r="25" spans="1:103" s="121" customFormat="1" ht="27.75" customHeight="1">
      <c r="A25" s="296"/>
      <c r="B25" s="2097"/>
      <c r="C25" s="2098"/>
      <c r="D25" s="2097"/>
      <c r="E25" s="2097"/>
      <c r="F25" s="2099"/>
      <c r="G25" s="2100"/>
      <c r="H25" s="2099"/>
      <c r="I25" s="2099"/>
      <c r="J25" s="13" t="s">
        <v>435</v>
      </c>
      <c r="K25" s="7"/>
      <c r="L25" s="7"/>
      <c r="M25" s="346"/>
      <c r="N25" s="346">
        <v>1</v>
      </c>
      <c r="O25" s="346"/>
      <c r="P25" s="346">
        <v>1</v>
      </c>
      <c r="Q25" s="7"/>
      <c r="R25" s="346"/>
      <c r="S25" s="346"/>
      <c r="T25" s="346">
        <v>1</v>
      </c>
      <c r="U25" s="346"/>
      <c r="V25" s="7"/>
      <c r="W25" s="301"/>
      <c r="X25" s="324">
        <f>+SUM(K25:V25)</f>
        <v>3</v>
      </c>
      <c r="Y25" s="310" t="s">
        <v>423</v>
      </c>
      <c r="Z25" s="310" t="s">
        <v>423</v>
      </c>
      <c r="AA25" s="310"/>
      <c r="AB25" s="310" t="s">
        <v>423</v>
      </c>
      <c r="AC25" s="310" t="s">
        <v>423</v>
      </c>
      <c r="AD25" s="2101"/>
      <c r="AE25" s="310" t="s">
        <v>423</v>
      </c>
      <c r="AF25" s="310" t="s">
        <v>423</v>
      </c>
      <c r="AG25" s="310"/>
      <c r="AH25" s="310" t="s">
        <v>423</v>
      </c>
      <c r="AI25" s="310" t="s">
        <v>423</v>
      </c>
      <c r="AJ25" s="2101"/>
      <c r="AK25" s="310" t="s">
        <v>423</v>
      </c>
      <c r="AL25" s="310" t="s">
        <v>423</v>
      </c>
      <c r="AM25" s="310"/>
      <c r="AN25" s="310" t="s">
        <v>423</v>
      </c>
      <c r="AO25" s="310" t="s">
        <v>423</v>
      </c>
      <c r="AP25" s="2101"/>
      <c r="AQ25" s="310">
        <v>0</v>
      </c>
      <c r="AR25" s="309">
        <v>1</v>
      </c>
      <c r="AS25" s="310">
        <f t="shared" si="9"/>
        <v>0</v>
      </c>
      <c r="AT25" s="310">
        <v>1</v>
      </c>
      <c r="AU25" s="309">
        <f t="shared" si="10"/>
        <v>0</v>
      </c>
      <c r="AV25" s="2101"/>
      <c r="AW25" s="310" t="s">
        <v>325</v>
      </c>
      <c r="AX25" s="310" t="s">
        <v>325</v>
      </c>
      <c r="AY25" s="310"/>
      <c r="AZ25" s="310" t="s">
        <v>325</v>
      </c>
      <c r="BA25" s="310" t="s">
        <v>325</v>
      </c>
      <c r="BB25" s="2101"/>
      <c r="BC25" s="340">
        <v>1</v>
      </c>
      <c r="BD25" s="336">
        <v>1</v>
      </c>
      <c r="BE25" s="100">
        <f t="shared" si="12"/>
        <v>1</v>
      </c>
      <c r="BF25" s="311">
        <f t="shared" si="13"/>
        <v>1</v>
      </c>
      <c r="BG25" s="309">
        <f t="shared" si="15"/>
        <v>1</v>
      </c>
      <c r="BH25" s="2101"/>
      <c r="BI25" s="310"/>
      <c r="BJ25" s="313" t="s">
        <v>325</v>
      </c>
      <c r="BK25" s="313" t="s">
        <v>325</v>
      </c>
      <c r="BL25" s="313"/>
      <c r="BM25" s="313" t="s">
        <v>325</v>
      </c>
      <c r="BN25" s="313" t="s">
        <v>325</v>
      </c>
      <c r="BO25" s="2101"/>
      <c r="BP25" s="313" t="s">
        <v>325</v>
      </c>
      <c r="BQ25" s="313" t="s">
        <v>325</v>
      </c>
      <c r="BR25" s="313"/>
      <c r="BS25" s="313" t="s">
        <v>325</v>
      </c>
      <c r="BT25" s="313" t="s">
        <v>325</v>
      </c>
      <c r="BU25" s="2101"/>
      <c r="BV25" s="313" t="s">
        <v>325</v>
      </c>
      <c r="BW25" s="313" t="s">
        <v>325</v>
      </c>
      <c r="BX25" s="313"/>
      <c r="BY25" s="313" t="s">
        <v>325</v>
      </c>
      <c r="BZ25" s="313" t="s">
        <v>325</v>
      </c>
      <c r="CA25" s="2101"/>
      <c r="CB25" s="318">
        <v>4</v>
      </c>
      <c r="CC25" s="318">
        <v>1</v>
      </c>
      <c r="CD25" s="318">
        <v>1</v>
      </c>
      <c r="CE25" s="318">
        <v>1</v>
      </c>
      <c r="CF25" s="2102"/>
      <c r="CG25" s="2103"/>
      <c r="CH25" s="310" t="s">
        <v>325</v>
      </c>
      <c r="CI25" s="310" t="s">
        <v>325</v>
      </c>
      <c r="CJ25" s="310">
        <v>0</v>
      </c>
      <c r="CK25" s="310"/>
      <c r="CL25" s="58" t="s">
        <v>325</v>
      </c>
      <c r="CM25" s="2101"/>
      <c r="CN25" s="313">
        <v>3</v>
      </c>
      <c r="CO25" s="313">
        <v>3</v>
      </c>
      <c r="CP25" s="313">
        <v>1</v>
      </c>
      <c r="CQ25" s="313">
        <v>0</v>
      </c>
      <c r="CR25" s="58">
        <v>1</v>
      </c>
      <c r="CS25" s="2109"/>
      <c r="CT25" s="310">
        <v>3</v>
      </c>
      <c r="CU25" s="310">
        <v>3</v>
      </c>
      <c r="CV25" s="320">
        <v>3</v>
      </c>
      <c r="CW25" s="320">
        <f t="shared" si="7"/>
        <v>3</v>
      </c>
      <c r="CX25" s="58">
        <f t="shared" si="16"/>
        <v>1</v>
      </c>
      <c r="CY25" s="2106"/>
    </row>
    <row r="26" spans="1:103" s="121" customFormat="1" ht="29.25" customHeight="1">
      <c r="A26" s="296"/>
      <c r="B26" s="2110" t="s">
        <v>521</v>
      </c>
      <c r="C26" s="2111">
        <v>7</v>
      </c>
      <c r="D26" s="2097" t="s">
        <v>522</v>
      </c>
      <c r="E26" s="2097" t="s">
        <v>523</v>
      </c>
      <c r="F26" s="2097" t="s">
        <v>524</v>
      </c>
      <c r="G26" s="2112" t="s">
        <v>53</v>
      </c>
      <c r="H26" s="2097" t="s">
        <v>525</v>
      </c>
      <c r="I26" s="2097" t="s">
        <v>526</v>
      </c>
      <c r="J26" s="13" t="s">
        <v>512</v>
      </c>
      <c r="K26" s="308">
        <f>+K28/$X28</f>
        <v>0</v>
      </c>
      <c r="L26" s="308">
        <f t="shared" ref="L26:V26" si="19">+L28/$X28+K26</f>
        <v>0</v>
      </c>
      <c r="M26" s="308">
        <f t="shared" si="19"/>
        <v>0</v>
      </c>
      <c r="N26" s="308">
        <f t="shared" si="19"/>
        <v>0</v>
      </c>
      <c r="O26" s="308">
        <f t="shared" si="19"/>
        <v>0</v>
      </c>
      <c r="P26" s="307">
        <f t="shared" ref="P26:U26" si="20">+P28/$X28</f>
        <v>0.2</v>
      </c>
      <c r="Q26" s="308">
        <f t="shared" si="20"/>
        <v>0</v>
      </c>
      <c r="R26" s="307">
        <f t="shared" si="20"/>
        <v>0.2</v>
      </c>
      <c r="S26" s="307">
        <f t="shared" si="20"/>
        <v>0.2</v>
      </c>
      <c r="T26" s="307">
        <f t="shared" si="20"/>
        <v>0.2</v>
      </c>
      <c r="U26" s="307">
        <f t="shared" si="20"/>
        <v>0.2</v>
      </c>
      <c r="V26" s="308">
        <f t="shared" si="19"/>
        <v>0.2</v>
      </c>
      <c r="W26" s="301"/>
      <c r="X26" s="324"/>
      <c r="Y26" s="310" t="s">
        <v>423</v>
      </c>
      <c r="Z26" s="310" t="s">
        <v>423</v>
      </c>
      <c r="AA26" s="310"/>
      <c r="AB26" s="310" t="s">
        <v>423</v>
      </c>
      <c r="AC26" s="310" t="s">
        <v>423</v>
      </c>
      <c r="AD26" s="2101" t="s">
        <v>424</v>
      </c>
      <c r="AE26" s="310" t="s">
        <v>423</v>
      </c>
      <c r="AF26" s="310" t="s">
        <v>423</v>
      </c>
      <c r="AG26" s="310"/>
      <c r="AH26" s="310" t="s">
        <v>423</v>
      </c>
      <c r="AI26" s="310" t="s">
        <v>423</v>
      </c>
      <c r="AJ26" s="2101" t="s">
        <v>424</v>
      </c>
      <c r="AK26" s="310" t="s">
        <v>423</v>
      </c>
      <c r="AL26" s="310" t="s">
        <v>423</v>
      </c>
      <c r="AM26" s="310"/>
      <c r="AN26" s="310" t="s">
        <v>423</v>
      </c>
      <c r="AO26" s="310" t="s">
        <v>423</v>
      </c>
      <c r="AP26" s="2101" t="s">
        <v>424</v>
      </c>
      <c r="AQ26" s="310" t="s">
        <v>423</v>
      </c>
      <c r="AR26" s="310" t="s">
        <v>423</v>
      </c>
      <c r="AS26" s="310"/>
      <c r="AT26" s="310" t="s">
        <v>423</v>
      </c>
      <c r="AU26" s="310" t="s">
        <v>423</v>
      </c>
      <c r="AV26" s="2101" t="s">
        <v>424</v>
      </c>
      <c r="AW26" s="310" t="s">
        <v>325</v>
      </c>
      <c r="AX26" s="310" t="s">
        <v>325</v>
      </c>
      <c r="AY26" s="310"/>
      <c r="AZ26" s="310" t="s">
        <v>325</v>
      </c>
      <c r="BA26" s="310" t="s">
        <v>325</v>
      </c>
      <c r="BB26" s="2101" t="s">
        <v>476</v>
      </c>
      <c r="BC26" s="311">
        <f>+BF26</f>
        <v>0.2</v>
      </c>
      <c r="BD26" s="336">
        <v>1</v>
      </c>
      <c r="BE26" s="100">
        <f t="shared" si="12"/>
        <v>0.2</v>
      </c>
      <c r="BF26" s="311">
        <f t="shared" si="13"/>
        <v>0.2</v>
      </c>
      <c r="BG26" s="309">
        <f t="shared" si="15"/>
        <v>1</v>
      </c>
      <c r="BH26" s="2113" t="s">
        <v>527</v>
      </c>
      <c r="BI26" s="350" t="s">
        <v>496</v>
      </c>
      <c r="BJ26" s="313" t="s">
        <v>325</v>
      </c>
      <c r="BK26" s="313" t="s">
        <v>325</v>
      </c>
      <c r="BL26" s="313"/>
      <c r="BM26" s="313" t="s">
        <v>325</v>
      </c>
      <c r="BN26" s="313" t="s">
        <v>325</v>
      </c>
      <c r="BO26" s="2101" t="s">
        <v>426</v>
      </c>
      <c r="BP26" s="328">
        <v>1</v>
      </c>
      <c r="BQ26" s="309">
        <v>0.16700000000000001</v>
      </c>
      <c r="BR26" s="337">
        <v>0.16700000000000001</v>
      </c>
      <c r="BS26" s="337">
        <v>0.16700000000000001</v>
      </c>
      <c r="BT26" s="309">
        <f>IF(BQ26=0," ",BR26/BS26)</f>
        <v>1</v>
      </c>
      <c r="BU26" s="2101" t="s">
        <v>528</v>
      </c>
      <c r="BV26" s="309">
        <v>1</v>
      </c>
      <c r="BW26" s="334">
        <v>0.16700000000000001</v>
      </c>
      <c r="BX26" s="309">
        <v>0</v>
      </c>
      <c r="BY26" s="334">
        <v>0.16700000000000001</v>
      </c>
      <c r="BZ26" s="309">
        <f t="shared" si="17"/>
        <v>0</v>
      </c>
      <c r="CA26" s="2101" t="s">
        <v>529</v>
      </c>
      <c r="CB26" s="314">
        <v>1</v>
      </c>
      <c r="CC26" s="314">
        <v>0.16700000000000001</v>
      </c>
      <c r="CD26" s="314">
        <v>0</v>
      </c>
      <c r="CE26" s="314">
        <v>0.16700000000000001</v>
      </c>
      <c r="CF26" s="2102">
        <f>IF(CC26=0," ",CD26/CE26)</f>
        <v>0</v>
      </c>
      <c r="CG26" s="2103" t="s">
        <v>530</v>
      </c>
      <c r="CH26" s="329">
        <v>1</v>
      </c>
      <c r="CI26" s="329">
        <v>0.2</v>
      </c>
      <c r="CJ26" s="329">
        <v>0.4</v>
      </c>
      <c r="CK26" s="329">
        <v>0.2</v>
      </c>
      <c r="CL26" s="58">
        <f t="shared" si="5"/>
        <v>2</v>
      </c>
      <c r="CM26" s="2101" t="s">
        <v>531</v>
      </c>
      <c r="CN26" s="316">
        <v>1</v>
      </c>
      <c r="CO26" s="316">
        <v>1</v>
      </c>
      <c r="CP26" s="316">
        <v>0.2</v>
      </c>
      <c r="CQ26" s="316">
        <v>0</v>
      </c>
      <c r="CR26" s="58">
        <v>1</v>
      </c>
      <c r="CS26" s="2104" t="s">
        <v>532</v>
      </c>
      <c r="CT26" s="309">
        <v>1</v>
      </c>
      <c r="CU26" s="309">
        <v>1</v>
      </c>
      <c r="CV26" s="309">
        <v>1</v>
      </c>
      <c r="CW26" s="309">
        <v>1</v>
      </c>
      <c r="CX26" s="58">
        <f>IF(CU26=0," ",CV26/CW26)</f>
        <v>1</v>
      </c>
      <c r="CY26" s="2104" t="s">
        <v>430</v>
      </c>
    </row>
    <row r="27" spans="1:103" s="121" customFormat="1" ht="40.5" hidden="1" customHeight="1">
      <c r="A27" s="296"/>
      <c r="B27" s="2110"/>
      <c r="C27" s="2111"/>
      <c r="D27" s="2097"/>
      <c r="E27" s="2097"/>
      <c r="F27" s="2097"/>
      <c r="G27" s="2112"/>
      <c r="H27" s="2097"/>
      <c r="I27" s="2097"/>
      <c r="J27" s="13"/>
      <c r="K27" s="307"/>
      <c r="L27" s="307"/>
      <c r="M27" s="307"/>
      <c r="N27" s="307"/>
      <c r="O27" s="307"/>
      <c r="P27" s="307" t="s">
        <v>504</v>
      </c>
      <c r="Q27" s="307"/>
      <c r="R27" s="307" t="s">
        <v>533</v>
      </c>
      <c r="S27" s="322" t="s">
        <v>534</v>
      </c>
      <c r="T27" s="307" t="s">
        <v>535</v>
      </c>
      <c r="U27" s="307" t="s">
        <v>536</v>
      </c>
      <c r="V27" s="307"/>
      <c r="W27" s="301"/>
      <c r="X27" s="324"/>
      <c r="Y27" s="310" t="s">
        <v>423</v>
      </c>
      <c r="Z27" s="310" t="s">
        <v>423</v>
      </c>
      <c r="AA27" s="310"/>
      <c r="AB27" s="310" t="s">
        <v>423</v>
      </c>
      <c r="AC27" s="310" t="s">
        <v>423</v>
      </c>
      <c r="AD27" s="2101"/>
      <c r="AE27" s="310" t="s">
        <v>423</v>
      </c>
      <c r="AF27" s="310" t="s">
        <v>423</v>
      </c>
      <c r="AG27" s="310"/>
      <c r="AH27" s="310" t="s">
        <v>423</v>
      </c>
      <c r="AI27" s="310" t="s">
        <v>423</v>
      </c>
      <c r="AJ27" s="2101"/>
      <c r="AK27" s="310" t="s">
        <v>423</v>
      </c>
      <c r="AL27" s="310" t="s">
        <v>423</v>
      </c>
      <c r="AM27" s="310"/>
      <c r="AN27" s="310" t="s">
        <v>423</v>
      </c>
      <c r="AO27" s="310" t="s">
        <v>423</v>
      </c>
      <c r="AP27" s="2101"/>
      <c r="AQ27" s="310" t="s">
        <v>423</v>
      </c>
      <c r="AR27" s="310" t="s">
        <v>423</v>
      </c>
      <c r="AS27" s="310"/>
      <c r="AT27" s="310" t="s">
        <v>423</v>
      </c>
      <c r="AU27" s="310" t="s">
        <v>423</v>
      </c>
      <c r="AV27" s="2101"/>
      <c r="AW27" s="310" t="s">
        <v>325</v>
      </c>
      <c r="AX27" s="310" t="s">
        <v>325</v>
      </c>
      <c r="AY27" s="310"/>
      <c r="AZ27" s="310" t="s">
        <v>325</v>
      </c>
      <c r="BA27" s="310" t="s">
        <v>325</v>
      </c>
      <c r="BB27" s="2101"/>
      <c r="BC27" s="311"/>
      <c r="BD27" s="336">
        <v>1</v>
      </c>
      <c r="BE27" s="100">
        <f t="shared" si="12"/>
        <v>0</v>
      </c>
      <c r="BF27" s="311" t="str">
        <f t="shared" si="13"/>
        <v>tramonti</v>
      </c>
      <c r="BG27" s="309" t="e">
        <f t="shared" si="15"/>
        <v>#VALUE!</v>
      </c>
      <c r="BH27" s="2113"/>
      <c r="BI27" s="350"/>
      <c r="BJ27" s="313" t="s">
        <v>325</v>
      </c>
      <c r="BK27" s="313" t="s">
        <v>325</v>
      </c>
      <c r="BL27" s="313"/>
      <c r="BM27" s="313" t="s">
        <v>325</v>
      </c>
      <c r="BN27" s="313" t="s">
        <v>325</v>
      </c>
      <c r="BO27" s="2101"/>
      <c r="BP27" s="313"/>
      <c r="BQ27" s="309"/>
      <c r="BR27" s="313"/>
      <c r="BS27" s="313"/>
      <c r="BT27" s="309"/>
      <c r="BU27" s="2101"/>
      <c r="BV27" s="313"/>
      <c r="BW27" s="313"/>
      <c r="BX27" s="313"/>
      <c r="BY27" s="313"/>
      <c r="BZ27" s="309" t="str">
        <f t="shared" si="17"/>
        <v xml:space="preserve"> </v>
      </c>
      <c r="CA27" s="2101"/>
      <c r="CB27" s="318"/>
      <c r="CC27" s="318"/>
      <c r="CD27" s="318"/>
      <c r="CE27" s="318"/>
      <c r="CF27" s="2102"/>
      <c r="CG27" s="2103"/>
      <c r="CH27" s="332"/>
      <c r="CI27" s="332"/>
      <c r="CJ27" s="332"/>
      <c r="CK27" s="332"/>
      <c r="CL27" s="58" t="str">
        <f t="shared" si="5"/>
        <v xml:space="preserve"> </v>
      </c>
      <c r="CM27" s="2101"/>
      <c r="CN27" s="316" t="s">
        <v>325</v>
      </c>
      <c r="CO27" s="316" t="s">
        <v>325</v>
      </c>
      <c r="CP27" s="316"/>
      <c r="CQ27" s="316" t="s">
        <v>325</v>
      </c>
      <c r="CR27" s="58" t="s">
        <v>325</v>
      </c>
      <c r="CS27" s="2105"/>
      <c r="CT27" s="310"/>
      <c r="CU27" s="310"/>
      <c r="CV27" s="319">
        <f t="shared" si="6"/>
        <v>0</v>
      </c>
      <c r="CW27" s="320">
        <f t="shared" si="7"/>
        <v>0</v>
      </c>
      <c r="CX27" s="321"/>
      <c r="CY27" s="2105"/>
    </row>
    <row r="28" spans="1:103" s="121" customFormat="1" ht="36" customHeight="1">
      <c r="A28" s="296"/>
      <c r="B28" s="2110"/>
      <c r="C28" s="2111"/>
      <c r="D28" s="2097"/>
      <c r="E28" s="2097"/>
      <c r="F28" s="2097"/>
      <c r="G28" s="2112"/>
      <c r="H28" s="2097"/>
      <c r="I28" s="2097"/>
      <c r="J28" s="13" t="s">
        <v>435</v>
      </c>
      <c r="K28" s="7"/>
      <c r="L28" s="7"/>
      <c r="M28" s="12"/>
      <c r="N28" s="7"/>
      <c r="O28" s="7"/>
      <c r="P28" s="351">
        <v>1</v>
      </c>
      <c r="Q28" s="351"/>
      <c r="R28" s="351">
        <v>1</v>
      </c>
      <c r="S28" s="351">
        <v>1</v>
      </c>
      <c r="T28" s="351">
        <v>1</v>
      </c>
      <c r="U28" s="351">
        <v>1</v>
      </c>
      <c r="V28" s="7"/>
      <c r="W28" s="301"/>
      <c r="X28" s="324">
        <f>+SUM(K28:V28)</f>
        <v>5</v>
      </c>
      <c r="Y28" s="310" t="s">
        <v>423</v>
      </c>
      <c r="Z28" s="310" t="s">
        <v>423</v>
      </c>
      <c r="AA28" s="310"/>
      <c r="AB28" s="310" t="s">
        <v>423</v>
      </c>
      <c r="AC28" s="310" t="s">
        <v>423</v>
      </c>
      <c r="AD28" s="2101"/>
      <c r="AE28" s="310" t="s">
        <v>423</v>
      </c>
      <c r="AF28" s="310" t="s">
        <v>423</v>
      </c>
      <c r="AG28" s="310"/>
      <c r="AH28" s="310" t="s">
        <v>423</v>
      </c>
      <c r="AI28" s="310" t="s">
        <v>423</v>
      </c>
      <c r="AJ28" s="2101"/>
      <c r="AK28" s="310" t="s">
        <v>423</v>
      </c>
      <c r="AL28" s="310" t="s">
        <v>423</v>
      </c>
      <c r="AM28" s="310"/>
      <c r="AN28" s="310" t="s">
        <v>423</v>
      </c>
      <c r="AO28" s="310" t="s">
        <v>423</v>
      </c>
      <c r="AP28" s="2101"/>
      <c r="AQ28" s="310" t="s">
        <v>423</v>
      </c>
      <c r="AR28" s="310" t="s">
        <v>423</v>
      </c>
      <c r="AS28" s="310"/>
      <c r="AT28" s="310" t="s">
        <v>423</v>
      </c>
      <c r="AU28" s="310" t="s">
        <v>423</v>
      </c>
      <c r="AV28" s="2101"/>
      <c r="AW28" s="310" t="s">
        <v>325</v>
      </c>
      <c r="AX28" s="310" t="s">
        <v>325</v>
      </c>
      <c r="AY28" s="310"/>
      <c r="AZ28" s="310" t="s">
        <v>325</v>
      </c>
      <c r="BA28" s="310" t="s">
        <v>325</v>
      </c>
      <c r="BB28" s="2101"/>
      <c r="BC28" s="340">
        <v>1</v>
      </c>
      <c r="BD28" s="336">
        <v>1</v>
      </c>
      <c r="BE28" s="100">
        <f t="shared" si="12"/>
        <v>1</v>
      </c>
      <c r="BF28" s="340">
        <f t="shared" si="13"/>
        <v>1</v>
      </c>
      <c r="BG28" s="309">
        <f t="shared" si="15"/>
        <v>1</v>
      </c>
      <c r="BH28" s="2113"/>
      <c r="BI28" s="350"/>
      <c r="BJ28" s="313" t="s">
        <v>325</v>
      </c>
      <c r="BK28" s="313" t="s">
        <v>325</v>
      </c>
      <c r="BL28" s="313"/>
      <c r="BM28" s="313" t="s">
        <v>325</v>
      </c>
      <c r="BN28" s="313" t="s">
        <v>325</v>
      </c>
      <c r="BO28" s="2101"/>
      <c r="BP28" s="313">
        <v>6</v>
      </c>
      <c r="BQ28" s="313">
        <v>1</v>
      </c>
      <c r="BR28" s="313">
        <v>1</v>
      </c>
      <c r="BS28" s="313">
        <v>1</v>
      </c>
      <c r="BT28" s="309">
        <f>IF(BQ28=0," ",BR28/BS28)</f>
        <v>1</v>
      </c>
      <c r="BU28" s="2101"/>
      <c r="BV28" s="313">
        <v>6</v>
      </c>
      <c r="BW28" s="313">
        <v>1</v>
      </c>
      <c r="BX28" s="313">
        <v>0</v>
      </c>
      <c r="BY28" s="313">
        <v>1</v>
      </c>
      <c r="BZ28" s="309">
        <f t="shared" si="17"/>
        <v>0</v>
      </c>
      <c r="CA28" s="2101"/>
      <c r="CB28" s="318">
        <v>6</v>
      </c>
      <c r="CC28" s="318">
        <v>1</v>
      </c>
      <c r="CD28" s="318">
        <v>0</v>
      </c>
      <c r="CE28" s="318">
        <v>1</v>
      </c>
      <c r="CF28" s="2102"/>
      <c r="CG28" s="2103"/>
      <c r="CH28" s="332">
        <v>5</v>
      </c>
      <c r="CI28" s="332">
        <v>1</v>
      </c>
      <c r="CJ28" s="332">
        <v>2</v>
      </c>
      <c r="CK28" s="332">
        <v>1</v>
      </c>
      <c r="CL28" s="58">
        <f t="shared" si="5"/>
        <v>2</v>
      </c>
      <c r="CM28" s="2101"/>
      <c r="CN28" s="313">
        <v>5</v>
      </c>
      <c r="CO28" s="313">
        <v>5</v>
      </c>
      <c r="CP28" s="313">
        <v>1</v>
      </c>
      <c r="CQ28" s="313">
        <v>0</v>
      </c>
      <c r="CR28" s="58">
        <v>1</v>
      </c>
      <c r="CS28" s="2106"/>
      <c r="CT28" s="310">
        <v>5</v>
      </c>
      <c r="CU28" s="310">
        <v>5</v>
      </c>
      <c r="CV28" s="320">
        <f>+CP28+AA28+AG28+AM28+AS28+AY28+BE28+BL28+BR28+BX28+CD28+CJ28</f>
        <v>5</v>
      </c>
      <c r="CW28" s="320">
        <f t="shared" si="7"/>
        <v>5</v>
      </c>
      <c r="CX28" s="58">
        <f>IF(CU28=0," ",CV28/CW28)</f>
        <v>1</v>
      </c>
      <c r="CY28" s="2106"/>
    </row>
    <row r="29" spans="1:103" s="121" customFormat="1" ht="32.25" customHeight="1">
      <c r="A29" s="296"/>
      <c r="B29" s="2114" t="s">
        <v>537</v>
      </c>
      <c r="C29" s="2098">
        <v>8</v>
      </c>
      <c r="D29" s="2097" t="s">
        <v>538</v>
      </c>
      <c r="E29" s="2097" t="s">
        <v>539</v>
      </c>
      <c r="F29" s="2099" t="s">
        <v>540</v>
      </c>
      <c r="G29" s="2100" t="s">
        <v>53</v>
      </c>
      <c r="H29" s="2099" t="s">
        <v>541</v>
      </c>
      <c r="I29" s="2115" t="s">
        <v>542</v>
      </c>
      <c r="J29" s="8" t="s">
        <v>54</v>
      </c>
      <c r="K29" s="308">
        <f t="shared" ref="K29:Q29" si="21">+K31/$X31</f>
        <v>0</v>
      </c>
      <c r="L29" s="307">
        <f t="shared" si="21"/>
        <v>9.0909090909090912E-2</v>
      </c>
      <c r="M29" s="307">
        <f t="shared" si="21"/>
        <v>0.18181818181818182</v>
      </c>
      <c r="N29" s="307">
        <f t="shared" si="21"/>
        <v>0.18181818181818182</v>
      </c>
      <c r="O29" s="307">
        <f t="shared" si="21"/>
        <v>9.0909090909090912E-2</v>
      </c>
      <c r="P29" s="307">
        <f t="shared" si="21"/>
        <v>9.0909090909090912E-2</v>
      </c>
      <c r="Q29" s="307">
        <f t="shared" si="21"/>
        <v>0.18181818181818182</v>
      </c>
      <c r="R29" s="308">
        <f>+R31/$X31+Q29</f>
        <v>0.18181818181818182</v>
      </c>
      <c r="S29" s="308">
        <f>+S31/$X31+R29</f>
        <v>0.18181818181818182</v>
      </c>
      <c r="T29" s="307">
        <f>+T31/$X31</f>
        <v>0.18181818181818182</v>
      </c>
      <c r="U29" s="308">
        <f>+U31/$X31+T29</f>
        <v>0.18181818181818182</v>
      </c>
      <c r="V29" s="308">
        <f>+V31/$X31+U29</f>
        <v>0.18181818181818182</v>
      </c>
      <c r="W29" s="301"/>
      <c r="X29" s="324"/>
      <c r="Y29" s="310" t="s">
        <v>423</v>
      </c>
      <c r="Z29" s="310" t="s">
        <v>423</v>
      </c>
      <c r="AA29" s="310"/>
      <c r="AB29" s="310" t="s">
        <v>423</v>
      </c>
      <c r="AC29" s="310" t="s">
        <v>423</v>
      </c>
      <c r="AD29" s="2101" t="s">
        <v>424</v>
      </c>
      <c r="AE29" s="334">
        <v>9.0999999999999998E-2</v>
      </c>
      <c r="AF29" s="309">
        <v>1</v>
      </c>
      <c r="AG29" s="309">
        <f t="shared" si="1"/>
        <v>9.0999999999999998E-2</v>
      </c>
      <c r="AH29" s="334">
        <v>9.0999999999999998E-2</v>
      </c>
      <c r="AI29" s="309">
        <f t="shared" si="3"/>
        <v>1</v>
      </c>
      <c r="AJ29" s="2101" t="s">
        <v>422</v>
      </c>
      <c r="AK29" s="334">
        <v>0.27300000000000002</v>
      </c>
      <c r="AL29" s="309">
        <v>1</v>
      </c>
      <c r="AM29" s="309">
        <f t="shared" si="2"/>
        <v>0.27300000000000002</v>
      </c>
      <c r="AN29" s="334">
        <v>0.27300000000000002</v>
      </c>
      <c r="AO29" s="309">
        <f t="shared" si="4"/>
        <v>1</v>
      </c>
      <c r="AP29" s="2101" t="s">
        <v>422</v>
      </c>
      <c r="AQ29" s="334">
        <v>0.45500000000000002</v>
      </c>
      <c r="AR29" s="309">
        <v>1</v>
      </c>
      <c r="AS29" s="309">
        <f t="shared" si="9"/>
        <v>0.45500000000000002</v>
      </c>
      <c r="AT29" s="334">
        <v>0.45500000000000002</v>
      </c>
      <c r="AU29" s="309">
        <f t="shared" si="10"/>
        <v>1</v>
      </c>
      <c r="AV29" s="2101" t="s">
        <v>422</v>
      </c>
      <c r="AW29" s="353">
        <v>9.0999999999999998E-2</v>
      </c>
      <c r="AX29" s="309">
        <v>1</v>
      </c>
      <c r="AY29" s="309">
        <f>IF(AX29=0," ",AW29/AX29)</f>
        <v>9.0999999999999998E-2</v>
      </c>
      <c r="AZ29" s="353">
        <v>9.0999999999999998E-2</v>
      </c>
      <c r="BA29" s="309">
        <f t="shared" si="11"/>
        <v>1</v>
      </c>
      <c r="BB29" s="2101" t="s">
        <v>543</v>
      </c>
      <c r="BC29" s="311">
        <v>9.0999999999999998E-2</v>
      </c>
      <c r="BD29" s="336">
        <v>1</v>
      </c>
      <c r="BE29" s="100">
        <f t="shared" si="12"/>
        <v>9.0999999999999998E-2</v>
      </c>
      <c r="BF29" s="311">
        <f t="shared" si="13"/>
        <v>9.0909090909090912E-2</v>
      </c>
      <c r="BG29" s="309">
        <f t="shared" si="15"/>
        <v>1.0009999999999999</v>
      </c>
      <c r="BH29" s="2113" t="s">
        <v>544</v>
      </c>
      <c r="BI29" s="350" t="s">
        <v>545</v>
      </c>
      <c r="BJ29" s="309">
        <v>9.0999999999999998E-2</v>
      </c>
      <c r="BK29" s="309">
        <v>1</v>
      </c>
      <c r="BL29" s="309">
        <f>IF(BK29=0," ",BJ29/BK29)</f>
        <v>9.0999999999999998E-2</v>
      </c>
      <c r="BM29" s="353">
        <v>0.182</v>
      </c>
      <c r="BN29" s="309">
        <f t="shared" si="14"/>
        <v>0.5</v>
      </c>
      <c r="BO29" s="2113" t="s">
        <v>546</v>
      </c>
      <c r="BP29" s="313" t="s">
        <v>325</v>
      </c>
      <c r="BQ29" s="313" t="s">
        <v>325</v>
      </c>
      <c r="BR29" s="313"/>
      <c r="BS29" s="313" t="s">
        <v>325</v>
      </c>
      <c r="BT29" s="313" t="s">
        <v>325</v>
      </c>
      <c r="BU29" s="2101" t="s">
        <v>426</v>
      </c>
      <c r="BV29" s="309">
        <v>1</v>
      </c>
      <c r="BW29" s="309">
        <v>0</v>
      </c>
      <c r="BX29" s="353">
        <f>0.0909090909090909%*100</f>
        <v>9.0909090909090898E-2</v>
      </c>
      <c r="BY29" s="309">
        <v>0</v>
      </c>
      <c r="BZ29" s="309">
        <v>1</v>
      </c>
      <c r="CA29" s="2101" t="s">
        <v>547</v>
      </c>
      <c r="CB29" s="314">
        <v>1</v>
      </c>
      <c r="CC29" s="314">
        <v>0.182</v>
      </c>
      <c r="CD29" s="314">
        <v>0.182</v>
      </c>
      <c r="CE29" s="314">
        <v>0.182</v>
      </c>
      <c r="CF29" s="2102">
        <f>IF(CC29=0," ",CD29/CE29)</f>
        <v>1</v>
      </c>
      <c r="CG29" s="2103" t="s">
        <v>548</v>
      </c>
      <c r="CH29" s="310" t="s">
        <v>325</v>
      </c>
      <c r="CI29" s="310" t="s">
        <v>325</v>
      </c>
      <c r="CJ29" s="310">
        <v>0</v>
      </c>
      <c r="CK29" s="332"/>
      <c r="CL29" s="58" t="s">
        <v>325</v>
      </c>
      <c r="CM29" s="2101" t="s">
        <v>428</v>
      </c>
      <c r="CN29" s="316" t="s">
        <v>325</v>
      </c>
      <c r="CO29" s="316" t="s">
        <v>325</v>
      </c>
      <c r="CP29" s="316"/>
      <c r="CQ29" s="316" t="s">
        <v>325</v>
      </c>
      <c r="CR29" s="316" t="s">
        <v>325</v>
      </c>
      <c r="CS29" s="2104" t="s">
        <v>429</v>
      </c>
      <c r="CT29" s="309">
        <v>1</v>
      </c>
      <c r="CU29" s="309">
        <v>1</v>
      </c>
      <c r="CV29" s="309">
        <v>1</v>
      </c>
      <c r="CW29" s="309">
        <v>1</v>
      </c>
      <c r="CX29" s="58">
        <f>IF(CU29=0," ",CV29/CW29)</f>
        <v>1</v>
      </c>
      <c r="CY29" s="2104" t="s">
        <v>430</v>
      </c>
    </row>
    <row r="30" spans="1:103" s="121" customFormat="1" ht="26.25" hidden="1" customHeight="1">
      <c r="A30" s="296"/>
      <c r="B30" s="2114"/>
      <c r="C30" s="2098"/>
      <c r="D30" s="2097"/>
      <c r="E30" s="2097"/>
      <c r="F30" s="2099"/>
      <c r="G30" s="2100"/>
      <c r="H30" s="2099"/>
      <c r="I30" s="2115"/>
      <c r="J30" s="8"/>
      <c r="K30" s="307"/>
      <c r="L30" s="307" t="s">
        <v>549</v>
      </c>
      <c r="M30" s="307" t="s">
        <v>550</v>
      </c>
      <c r="N30" s="307" t="s">
        <v>551</v>
      </c>
      <c r="O30" s="307" t="s">
        <v>552</v>
      </c>
      <c r="P30" s="307" t="s">
        <v>553</v>
      </c>
      <c r="Q30" s="307" t="s">
        <v>554</v>
      </c>
      <c r="R30" s="307"/>
      <c r="S30" s="307"/>
      <c r="T30" s="307" t="s">
        <v>555</v>
      </c>
      <c r="U30" s="307"/>
      <c r="V30" s="307"/>
      <c r="W30" s="301"/>
      <c r="X30" s="324"/>
      <c r="Y30" s="310" t="s">
        <v>423</v>
      </c>
      <c r="Z30" s="310" t="s">
        <v>423</v>
      </c>
      <c r="AA30" s="310"/>
      <c r="AB30" s="310" t="s">
        <v>423</v>
      </c>
      <c r="AC30" s="310" t="s">
        <v>423</v>
      </c>
      <c r="AD30" s="2101"/>
      <c r="AE30" s="310"/>
      <c r="AF30" s="309">
        <v>1</v>
      </c>
      <c r="AG30" s="309">
        <f t="shared" si="1"/>
        <v>0</v>
      </c>
      <c r="AH30" s="310"/>
      <c r="AI30" s="309" t="e">
        <f t="shared" si="3"/>
        <v>#DIV/0!</v>
      </c>
      <c r="AJ30" s="2101"/>
      <c r="AK30" s="310"/>
      <c r="AL30" s="309">
        <v>1</v>
      </c>
      <c r="AM30" s="309">
        <f t="shared" si="2"/>
        <v>0</v>
      </c>
      <c r="AN30" s="310"/>
      <c r="AO30" s="309" t="e">
        <f t="shared" si="4"/>
        <v>#DIV/0!</v>
      </c>
      <c r="AP30" s="2101"/>
      <c r="AQ30" s="310"/>
      <c r="AR30" s="309">
        <v>1</v>
      </c>
      <c r="AS30" s="309">
        <f t="shared" si="9"/>
        <v>0</v>
      </c>
      <c r="AT30" s="310"/>
      <c r="AU30" s="309" t="e">
        <f t="shared" si="10"/>
        <v>#DIV/0!</v>
      </c>
      <c r="AV30" s="2101"/>
      <c r="AW30" s="310"/>
      <c r="AX30" s="310"/>
      <c r="AY30" s="309" t="str">
        <f>IF(AX30=0," ",AW30/AX30)</f>
        <v xml:space="preserve"> </v>
      </c>
      <c r="AZ30" s="310"/>
      <c r="BA30" s="309" t="str">
        <f t="shared" si="11"/>
        <v xml:space="preserve"> </v>
      </c>
      <c r="BB30" s="2101"/>
      <c r="BC30" s="311"/>
      <c r="BD30" s="336">
        <v>1</v>
      </c>
      <c r="BE30" s="100">
        <f t="shared" si="12"/>
        <v>0</v>
      </c>
      <c r="BF30" s="311" t="str">
        <f t="shared" si="13"/>
        <v xml:space="preserve">Cll45
</v>
      </c>
      <c r="BG30" s="309" t="e">
        <f t="shared" si="15"/>
        <v>#VALUE!</v>
      </c>
      <c r="BH30" s="2113"/>
      <c r="BI30" s="350"/>
      <c r="BJ30" s="313"/>
      <c r="BK30" s="309"/>
      <c r="BL30" s="313" t="str">
        <f>IF(BK30=0," ",BJ30/BK30)</f>
        <v xml:space="preserve"> </v>
      </c>
      <c r="BM30" s="313"/>
      <c r="BN30" s="309" t="str">
        <f t="shared" si="14"/>
        <v xml:space="preserve"> </v>
      </c>
      <c r="BO30" s="2113"/>
      <c r="BP30" s="313" t="s">
        <v>325</v>
      </c>
      <c r="BQ30" s="313" t="s">
        <v>325</v>
      </c>
      <c r="BR30" s="313"/>
      <c r="BS30" s="313" t="s">
        <v>325</v>
      </c>
      <c r="BT30" s="313" t="s">
        <v>325</v>
      </c>
      <c r="BU30" s="2101"/>
      <c r="BV30" s="313"/>
      <c r="BW30" s="313" t="s">
        <v>325</v>
      </c>
      <c r="BX30" s="313" t="s">
        <v>325</v>
      </c>
      <c r="BY30" s="313" t="s">
        <v>325</v>
      </c>
      <c r="BZ30" s="313" t="s">
        <v>325</v>
      </c>
      <c r="CA30" s="2101"/>
      <c r="CB30" s="318"/>
      <c r="CC30" s="318"/>
      <c r="CD30" s="318"/>
      <c r="CE30" s="318"/>
      <c r="CF30" s="2102"/>
      <c r="CG30" s="2103"/>
      <c r="CH30" s="332"/>
      <c r="CI30" s="332"/>
      <c r="CJ30" s="332"/>
      <c r="CK30" s="332"/>
      <c r="CL30" s="58"/>
      <c r="CM30" s="2101"/>
      <c r="CN30" s="316"/>
      <c r="CO30" s="331"/>
      <c r="CP30" s="331"/>
      <c r="CQ30" s="331"/>
      <c r="CR30" s="58" t="str">
        <f>IF(CO30=0," ",CP30/CQ30)</f>
        <v xml:space="preserve"> </v>
      </c>
      <c r="CS30" s="2105"/>
      <c r="CT30" s="310"/>
      <c r="CU30" s="310"/>
      <c r="CV30" s="319" t="e">
        <f t="shared" si="6"/>
        <v>#VALUE!</v>
      </c>
      <c r="CW30" s="320">
        <f t="shared" si="7"/>
        <v>0</v>
      </c>
      <c r="CX30" s="321"/>
      <c r="CY30" s="2105"/>
    </row>
    <row r="31" spans="1:103" s="121" customFormat="1" ht="32.25" customHeight="1">
      <c r="A31" s="296"/>
      <c r="B31" s="2114"/>
      <c r="C31" s="2098"/>
      <c r="D31" s="2097"/>
      <c r="E31" s="2097"/>
      <c r="F31" s="2099"/>
      <c r="G31" s="2100"/>
      <c r="H31" s="2099"/>
      <c r="I31" s="2115"/>
      <c r="J31" s="354" t="s">
        <v>556</v>
      </c>
      <c r="K31" s="7"/>
      <c r="L31" s="346">
        <v>1</v>
      </c>
      <c r="M31" s="346">
        <v>2</v>
      </c>
      <c r="N31" s="346">
        <v>2</v>
      </c>
      <c r="O31" s="346">
        <v>1</v>
      </c>
      <c r="P31" s="346">
        <v>1</v>
      </c>
      <c r="Q31" s="346">
        <v>2</v>
      </c>
      <c r="R31" s="346"/>
      <c r="S31" s="346"/>
      <c r="T31" s="346">
        <v>2</v>
      </c>
      <c r="U31" s="346"/>
      <c r="V31" s="346"/>
      <c r="W31" s="301"/>
      <c r="X31" s="324">
        <f>+SUM(K31:V31)</f>
        <v>11</v>
      </c>
      <c r="Y31" s="310" t="s">
        <v>423</v>
      </c>
      <c r="Z31" s="310" t="s">
        <v>423</v>
      </c>
      <c r="AA31" s="310"/>
      <c r="AB31" s="310" t="s">
        <v>423</v>
      </c>
      <c r="AC31" s="310" t="s">
        <v>423</v>
      </c>
      <c r="AD31" s="2101"/>
      <c r="AE31" s="310">
        <v>1</v>
      </c>
      <c r="AF31" s="309">
        <v>1</v>
      </c>
      <c r="AG31" s="310">
        <f t="shared" si="1"/>
        <v>1</v>
      </c>
      <c r="AH31" s="310">
        <v>1</v>
      </c>
      <c r="AI31" s="309">
        <f t="shared" si="3"/>
        <v>1</v>
      </c>
      <c r="AJ31" s="2101"/>
      <c r="AK31" s="310">
        <v>2</v>
      </c>
      <c r="AL31" s="309">
        <v>1</v>
      </c>
      <c r="AM31" s="310">
        <f t="shared" si="2"/>
        <v>2</v>
      </c>
      <c r="AN31" s="310">
        <v>2</v>
      </c>
      <c r="AO31" s="309">
        <f t="shared" si="4"/>
        <v>1</v>
      </c>
      <c r="AP31" s="2101"/>
      <c r="AQ31" s="310">
        <v>2</v>
      </c>
      <c r="AR31" s="309">
        <v>1</v>
      </c>
      <c r="AS31" s="310">
        <f t="shared" si="9"/>
        <v>2</v>
      </c>
      <c r="AT31" s="310">
        <v>2</v>
      </c>
      <c r="AU31" s="309">
        <f t="shared" si="10"/>
        <v>1</v>
      </c>
      <c r="AV31" s="2101"/>
      <c r="AW31" s="310">
        <v>1</v>
      </c>
      <c r="AX31" s="310">
        <v>1</v>
      </c>
      <c r="AY31" s="309">
        <f>IF(AX31=0," ",AW31/AX31)</f>
        <v>1</v>
      </c>
      <c r="AZ31" s="310">
        <v>1</v>
      </c>
      <c r="BA31" s="309">
        <f t="shared" si="11"/>
        <v>1</v>
      </c>
      <c r="BB31" s="2101"/>
      <c r="BC31" s="311">
        <v>1</v>
      </c>
      <c r="BD31" s="336">
        <v>1</v>
      </c>
      <c r="BE31" s="100">
        <f t="shared" si="12"/>
        <v>1</v>
      </c>
      <c r="BF31" s="311">
        <f t="shared" si="13"/>
        <v>1</v>
      </c>
      <c r="BG31" s="309">
        <f t="shared" si="15"/>
        <v>1</v>
      </c>
      <c r="BH31" s="2113"/>
      <c r="BI31" s="350"/>
      <c r="BJ31" s="313">
        <v>1</v>
      </c>
      <c r="BK31" s="309">
        <v>1</v>
      </c>
      <c r="BL31" s="313">
        <f>IF(BK31=0," ",BJ31/BK31)</f>
        <v>1</v>
      </c>
      <c r="BM31" s="313">
        <v>2</v>
      </c>
      <c r="BN31" s="309">
        <f t="shared" si="14"/>
        <v>0.5</v>
      </c>
      <c r="BO31" s="2113"/>
      <c r="BP31" s="313" t="s">
        <v>325</v>
      </c>
      <c r="BQ31" s="313" t="s">
        <v>325</v>
      </c>
      <c r="BR31" s="313"/>
      <c r="BS31" s="313" t="s">
        <v>325</v>
      </c>
      <c r="BT31" s="313" t="s">
        <v>325</v>
      </c>
      <c r="BU31" s="2101"/>
      <c r="BV31" s="313">
        <v>11</v>
      </c>
      <c r="BW31" s="313">
        <v>0</v>
      </c>
      <c r="BX31" s="313">
        <v>1</v>
      </c>
      <c r="BY31" s="313">
        <v>0</v>
      </c>
      <c r="BZ31" s="309">
        <v>1</v>
      </c>
      <c r="CA31" s="2101"/>
      <c r="CB31" s="318">
        <v>11</v>
      </c>
      <c r="CC31" s="318">
        <v>2</v>
      </c>
      <c r="CD31" s="318">
        <v>2</v>
      </c>
      <c r="CE31" s="318">
        <v>2</v>
      </c>
      <c r="CF31" s="2102"/>
      <c r="CG31" s="2103"/>
      <c r="CH31" s="310" t="s">
        <v>325</v>
      </c>
      <c r="CI31" s="310" t="s">
        <v>325</v>
      </c>
      <c r="CJ31" s="310">
        <v>0</v>
      </c>
      <c r="CK31" s="332"/>
      <c r="CL31" s="58" t="s">
        <v>325</v>
      </c>
      <c r="CM31" s="2101"/>
      <c r="CN31" s="316" t="s">
        <v>325</v>
      </c>
      <c r="CO31" s="316" t="s">
        <v>325</v>
      </c>
      <c r="CP31" s="316"/>
      <c r="CQ31" s="316" t="s">
        <v>325</v>
      </c>
      <c r="CR31" s="316" t="s">
        <v>325</v>
      </c>
      <c r="CS31" s="2106"/>
      <c r="CT31" s="310">
        <v>11</v>
      </c>
      <c r="CU31" s="310">
        <v>11</v>
      </c>
      <c r="CV31" s="320">
        <f>+CP31+AA31+AG31+AM31+AS31+AY31+BE31+BL31+BR31+BX31+CD31+CJ31</f>
        <v>11</v>
      </c>
      <c r="CW31" s="320">
        <v>11</v>
      </c>
      <c r="CX31" s="58">
        <f>IF(CU31=0," ",CV31/CW31)</f>
        <v>1</v>
      </c>
      <c r="CY31" s="2106"/>
    </row>
    <row r="32" spans="1:103" s="121" customFormat="1" ht="41.25" customHeight="1">
      <c r="A32" s="296"/>
      <c r="B32" s="2114" t="s">
        <v>557</v>
      </c>
      <c r="C32" s="2098">
        <v>9</v>
      </c>
      <c r="D32" s="2097" t="s">
        <v>558</v>
      </c>
      <c r="E32" s="2116" t="s">
        <v>559</v>
      </c>
      <c r="F32" s="2117" t="s">
        <v>560</v>
      </c>
      <c r="G32" s="2100" t="s">
        <v>53</v>
      </c>
      <c r="H32" s="2099" t="s">
        <v>561</v>
      </c>
      <c r="I32" s="2115" t="s">
        <v>562</v>
      </c>
      <c r="J32" s="8" t="s">
        <v>54</v>
      </c>
      <c r="K32" s="308">
        <f>+K34/$X34</f>
        <v>0</v>
      </c>
      <c r="L32" s="308">
        <f>+L34/$X34+K32</f>
        <v>0</v>
      </c>
      <c r="M32" s="308">
        <f>+M34/$X34+L32</f>
        <v>0</v>
      </c>
      <c r="N32" s="308">
        <f>+N34/$X34+M32</f>
        <v>0</v>
      </c>
      <c r="O32" s="308">
        <f>+O34/$X34+N32</f>
        <v>0</v>
      </c>
      <c r="P32" s="307">
        <f>+P34/$X34</f>
        <v>0.4</v>
      </c>
      <c r="Q32" s="308">
        <f t="shared" ref="Q32:V32" si="22">+Q34/$X34</f>
        <v>0</v>
      </c>
      <c r="R32" s="307">
        <f t="shared" si="22"/>
        <v>0.2</v>
      </c>
      <c r="S32" s="307">
        <f t="shared" si="22"/>
        <v>0.2</v>
      </c>
      <c r="T32" s="307">
        <f t="shared" si="22"/>
        <v>0.2</v>
      </c>
      <c r="U32" s="307">
        <f t="shared" si="22"/>
        <v>0</v>
      </c>
      <c r="V32" s="307">
        <f t="shared" si="22"/>
        <v>0</v>
      </c>
      <c r="W32" s="301"/>
      <c r="X32" s="324"/>
      <c r="Y32" s="310" t="s">
        <v>423</v>
      </c>
      <c r="Z32" s="310" t="s">
        <v>423</v>
      </c>
      <c r="AA32" s="310"/>
      <c r="AB32" s="310" t="s">
        <v>423</v>
      </c>
      <c r="AC32" s="310" t="s">
        <v>423</v>
      </c>
      <c r="AD32" s="2101" t="s">
        <v>424</v>
      </c>
      <c r="AE32" s="310" t="s">
        <v>423</v>
      </c>
      <c r="AF32" s="310" t="s">
        <v>423</v>
      </c>
      <c r="AG32" s="310"/>
      <c r="AH32" s="310" t="s">
        <v>423</v>
      </c>
      <c r="AI32" s="310" t="s">
        <v>423</v>
      </c>
      <c r="AJ32" s="2101" t="s">
        <v>424</v>
      </c>
      <c r="AK32" s="310" t="s">
        <v>423</v>
      </c>
      <c r="AL32" s="310" t="s">
        <v>423</v>
      </c>
      <c r="AM32" s="310"/>
      <c r="AN32" s="310" t="s">
        <v>423</v>
      </c>
      <c r="AO32" s="310" t="s">
        <v>423</v>
      </c>
      <c r="AP32" s="2101" t="s">
        <v>424</v>
      </c>
      <c r="AQ32" s="310" t="s">
        <v>423</v>
      </c>
      <c r="AR32" s="310" t="s">
        <v>423</v>
      </c>
      <c r="AS32" s="310"/>
      <c r="AT32" s="310" t="s">
        <v>423</v>
      </c>
      <c r="AU32" s="310" t="s">
        <v>423</v>
      </c>
      <c r="AV32" s="2101" t="s">
        <v>424</v>
      </c>
      <c r="AW32" s="310" t="s">
        <v>325</v>
      </c>
      <c r="AX32" s="310" t="s">
        <v>325</v>
      </c>
      <c r="AY32" s="310"/>
      <c r="AZ32" s="310" t="s">
        <v>325</v>
      </c>
      <c r="BA32" s="310" t="s">
        <v>325</v>
      </c>
      <c r="BB32" s="2101" t="s">
        <v>476</v>
      </c>
      <c r="BC32" s="311">
        <f>14.3%*2</f>
        <v>0.28600000000000003</v>
      </c>
      <c r="BD32" s="336">
        <v>1</v>
      </c>
      <c r="BE32" s="100">
        <f t="shared" si="12"/>
        <v>0.28600000000000003</v>
      </c>
      <c r="BF32" s="311">
        <f t="shared" si="13"/>
        <v>0.4</v>
      </c>
      <c r="BG32" s="309">
        <f t="shared" si="15"/>
        <v>0.71500000000000008</v>
      </c>
      <c r="BH32" s="2101" t="s">
        <v>563</v>
      </c>
      <c r="BI32" s="310" t="s">
        <v>456</v>
      </c>
      <c r="BJ32" s="313" t="s">
        <v>325</v>
      </c>
      <c r="BK32" s="313" t="s">
        <v>325</v>
      </c>
      <c r="BL32" s="313"/>
      <c r="BM32" s="313" t="s">
        <v>325</v>
      </c>
      <c r="BN32" s="313" t="s">
        <v>325</v>
      </c>
      <c r="BO32" s="2101" t="s">
        <v>426</v>
      </c>
      <c r="BP32" s="356">
        <v>0</v>
      </c>
      <c r="BQ32" s="356">
        <v>0.14299999999999999</v>
      </c>
      <c r="BR32" s="356">
        <v>0</v>
      </c>
      <c r="BS32" s="356">
        <v>0.14299999999999999</v>
      </c>
      <c r="BT32" s="309">
        <f t="shared" ref="BT32:BT37" si="23">IF(BQ32=0," ",BR32/BS32)</f>
        <v>0</v>
      </c>
      <c r="BU32" s="2101" t="s">
        <v>564</v>
      </c>
      <c r="BV32" s="309">
        <v>1</v>
      </c>
      <c r="BW32" s="309">
        <v>0.14299999999999999</v>
      </c>
      <c r="BX32" s="100">
        <v>0</v>
      </c>
      <c r="BY32" s="309">
        <v>0.14299999999999999</v>
      </c>
      <c r="BZ32" s="309">
        <f t="shared" si="17"/>
        <v>0</v>
      </c>
      <c r="CA32" s="2101" t="s">
        <v>565</v>
      </c>
      <c r="CB32" s="314">
        <v>1</v>
      </c>
      <c r="CC32" s="314">
        <v>0.16700000000000001</v>
      </c>
      <c r="CD32" s="314">
        <v>0.16700000000000001</v>
      </c>
      <c r="CE32" s="314">
        <v>0.16700000000000001</v>
      </c>
      <c r="CF32" s="2102">
        <f>IF(CC32=0," ",CD32/CE32)</f>
        <v>1</v>
      </c>
      <c r="CG32" s="2103" t="s">
        <v>566</v>
      </c>
      <c r="CH32" s="310" t="s">
        <v>325</v>
      </c>
      <c r="CI32" s="310" t="s">
        <v>325</v>
      </c>
      <c r="CJ32" s="310">
        <v>0</v>
      </c>
      <c r="CK32" s="332"/>
      <c r="CL32" s="58" t="s">
        <v>325</v>
      </c>
      <c r="CM32" s="2101" t="s">
        <v>460</v>
      </c>
      <c r="CN32" s="316"/>
      <c r="CO32" s="316">
        <v>0.72</v>
      </c>
      <c r="CP32" s="316">
        <v>0.02</v>
      </c>
      <c r="CQ32" s="316">
        <v>0</v>
      </c>
      <c r="CR32" s="58">
        <v>1</v>
      </c>
      <c r="CS32" s="2104" t="s">
        <v>567</v>
      </c>
      <c r="CT32" s="309">
        <v>1</v>
      </c>
      <c r="CU32" s="309">
        <v>1</v>
      </c>
      <c r="CV32" s="309">
        <v>1</v>
      </c>
      <c r="CW32" s="309">
        <v>1</v>
      </c>
      <c r="CX32" s="58">
        <f>IF(CU32=0," ",CV32/CW32)</f>
        <v>1</v>
      </c>
      <c r="CY32" s="2104" t="s">
        <v>430</v>
      </c>
    </row>
    <row r="33" spans="1:107" s="121" customFormat="1" ht="45.75" hidden="1" customHeight="1">
      <c r="A33" s="296"/>
      <c r="B33" s="2114"/>
      <c r="C33" s="2098"/>
      <c r="D33" s="2097"/>
      <c r="E33" s="2116"/>
      <c r="F33" s="2117"/>
      <c r="G33" s="2100"/>
      <c r="H33" s="2099"/>
      <c r="I33" s="2115"/>
      <c r="J33" s="8"/>
      <c r="K33" s="307"/>
      <c r="L33" s="307"/>
      <c r="M33" s="307"/>
      <c r="N33" s="307"/>
      <c r="O33" s="307"/>
      <c r="P33" s="357" t="s">
        <v>568</v>
      </c>
      <c r="Q33" s="308"/>
      <c r="R33" s="307" t="s">
        <v>569</v>
      </c>
      <c r="S33" s="307" t="s">
        <v>570</v>
      </c>
      <c r="T33" s="307" t="s">
        <v>571</v>
      </c>
      <c r="U33" s="307" t="s">
        <v>482</v>
      </c>
      <c r="V33" s="307" t="s">
        <v>572</v>
      </c>
      <c r="W33" s="301"/>
      <c r="X33" s="324"/>
      <c r="Y33" s="310" t="s">
        <v>423</v>
      </c>
      <c r="Z33" s="310" t="s">
        <v>423</v>
      </c>
      <c r="AA33" s="310"/>
      <c r="AB33" s="310" t="s">
        <v>423</v>
      </c>
      <c r="AC33" s="310" t="s">
        <v>423</v>
      </c>
      <c r="AD33" s="2101"/>
      <c r="AE33" s="310" t="s">
        <v>423</v>
      </c>
      <c r="AF33" s="310" t="s">
        <v>423</v>
      </c>
      <c r="AG33" s="310"/>
      <c r="AH33" s="310" t="s">
        <v>423</v>
      </c>
      <c r="AI33" s="310" t="s">
        <v>423</v>
      </c>
      <c r="AJ33" s="2101"/>
      <c r="AK33" s="310" t="s">
        <v>423</v>
      </c>
      <c r="AL33" s="310" t="s">
        <v>423</v>
      </c>
      <c r="AM33" s="310"/>
      <c r="AN33" s="310" t="s">
        <v>423</v>
      </c>
      <c r="AO33" s="310" t="s">
        <v>423</v>
      </c>
      <c r="AP33" s="2101"/>
      <c r="AQ33" s="310" t="s">
        <v>423</v>
      </c>
      <c r="AR33" s="310" t="s">
        <v>423</v>
      </c>
      <c r="AS33" s="310"/>
      <c r="AT33" s="310" t="s">
        <v>423</v>
      </c>
      <c r="AU33" s="310" t="s">
        <v>423</v>
      </c>
      <c r="AV33" s="2101"/>
      <c r="AW33" s="310" t="s">
        <v>325</v>
      </c>
      <c r="AX33" s="310" t="s">
        <v>325</v>
      </c>
      <c r="AY33" s="310"/>
      <c r="AZ33" s="310" t="s">
        <v>325</v>
      </c>
      <c r="BA33" s="310" t="s">
        <v>325</v>
      </c>
      <c r="BB33" s="2101"/>
      <c r="BC33" s="311"/>
      <c r="BD33" s="336">
        <v>1</v>
      </c>
      <c r="BE33" s="100">
        <f t="shared" si="12"/>
        <v>0</v>
      </c>
      <c r="BF33" s="311" t="str">
        <f t="shared" si="13"/>
        <v>19-2012
47-2012 (Tramonti)</v>
      </c>
      <c r="BG33" s="309" t="e">
        <f t="shared" si="15"/>
        <v>#VALUE!</v>
      </c>
      <c r="BH33" s="2101"/>
      <c r="BI33" s="310"/>
      <c r="BJ33" s="313" t="s">
        <v>325</v>
      </c>
      <c r="BK33" s="313" t="s">
        <v>325</v>
      </c>
      <c r="BL33" s="313"/>
      <c r="BM33" s="313" t="s">
        <v>325</v>
      </c>
      <c r="BN33" s="313" t="s">
        <v>325</v>
      </c>
      <c r="BO33" s="2101"/>
      <c r="BP33" s="338"/>
      <c r="BQ33" s="338"/>
      <c r="BR33" s="338"/>
      <c r="BS33" s="338"/>
      <c r="BT33" s="309" t="str">
        <f t="shared" si="23"/>
        <v xml:space="preserve"> </v>
      </c>
      <c r="BU33" s="2101"/>
      <c r="BV33" s="341"/>
      <c r="BW33" s="342"/>
      <c r="BX33" s="100" t="str">
        <f>IF(BW33=0," ",BV33/BW33)</f>
        <v xml:space="preserve"> </v>
      </c>
      <c r="BY33" s="309"/>
      <c r="BZ33" s="309" t="str">
        <f t="shared" si="17"/>
        <v xml:space="preserve"> </v>
      </c>
      <c r="CA33" s="2101"/>
      <c r="CB33" s="318"/>
      <c r="CC33" s="318"/>
      <c r="CD33" s="318"/>
      <c r="CE33" s="318"/>
      <c r="CF33" s="2102"/>
      <c r="CG33" s="2103"/>
      <c r="CH33" s="332"/>
      <c r="CI33" s="332"/>
      <c r="CJ33" s="332"/>
      <c r="CK33" s="332"/>
      <c r="CL33" s="58" t="s">
        <v>325</v>
      </c>
      <c r="CM33" s="2101"/>
      <c r="CN33" s="316"/>
      <c r="CO33" s="331"/>
      <c r="CP33" s="331"/>
      <c r="CQ33" s="331"/>
      <c r="CR33" s="58">
        <v>1</v>
      </c>
      <c r="CS33" s="2105"/>
      <c r="CT33" s="310"/>
      <c r="CU33" s="310"/>
      <c r="CV33" s="319" t="e">
        <f t="shared" si="6"/>
        <v>#VALUE!</v>
      </c>
      <c r="CW33" s="320">
        <f t="shared" si="7"/>
        <v>0</v>
      </c>
      <c r="CX33" s="321"/>
      <c r="CY33" s="2105"/>
    </row>
    <row r="34" spans="1:107" s="121" customFormat="1" ht="30" customHeight="1" thickBot="1">
      <c r="A34" s="296"/>
      <c r="B34" s="2114"/>
      <c r="C34" s="2098"/>
      <c r="D34" s="2097"/>
      <c r="E34" s="2116"/>
      <c r="F34" s="2117"/>
      <c r="G34" s="2100"/>
      <c r="H34" s="2099"/>
      <c r="I34" s="2115"/>
      <c r="J34" s="354" t="s">
        <v>556</v>
      </c>
      <c r="K34" s="7"/>
      <c r="L34" s="7"/>
      <c r="M34" s="12"/>
      <c r="N34" s="13"/>
      <c r="O34" s="346"/>
      <c r="P34" s="13">
        <v>2</v>
      </c>
      <c r="Q34" s="358">
        <v>0</v>
      </c>
      <c r="R34" s="346">
        <v>1</v>
      </c>
      <c r="S34" s="13">
        <v>1</v>
      </c>
      <c r="T34" s="13">
        <v>1</v>
      </c>
      <c r="U34" s="346"/>
      <c r="V34" s="13"/>
      <c r="W34" s="301"/>
      <c r="X34" s="324">
        <f>+SUM(K34:V34)</f>
        <v>5</v>
      </c>
      <c r="Y34" s="310" t="s">
        <v>423</v>
      </c>
      <c r="Z34" s="310" t="s">
        <v>423</v>
      </c>
      <c r="AA34" s="310"/>
      <c r="AB34" s="310" t="s">
        <v>423</v>
      </c>
      <c r="AC34" s="310" t="s">
        <v>423</v>
      </c>
      <c r="AD34" s="2101"/>
      <c r="AE34" s="310" t="s">
        <v>423</v>
      </c>
      <c r="AF34" s="310" t="s">
        <v>423</v>
      </c>
      <c r="AG34" s="310"/>
      <c r="AH34" s="310" t="s">
        <v>423</v>
      </c>
      <c r="AI34" s="310" t="s">
        <v>423</v>
      </c>
      <c r="AJ34" s="2101"/>
      <c r="AK34" s="310" t="s">
        <v>423</v>
      </c>
      <c r="AL34" s="310" t="s">
        <v>423</v>
      </c>
      <c r="AM34" s="310"/>
      <c r="AN34" s="310" t="s">
        <v>423</v>
      </c>
      <c r="AO34" s="310" t="s">
        <v>423</v>
      </c>
      <c r="AP34" s="2101"/>
      <c r="AQ34" s="310" t="s">
        <v>423</v>
      </c>
      <c r="AR34" s="310" t="s">
        <v>423</v>
      </c>
      <c r="AS34" s="310"/>
      <c r="AT34" s="310" t="s">
        <v>423</v>
      </c>
      <c r="AU34" s="310" t="s">
        <v>423</v>
      </c>
      <c r="AV34" s="2101"/>
      <c r="AW34" s="310" t="s">
        <v>325</v>
      </c>
      <c r="AX34" s="310" t="s">
        <v>325</v>
      </c>
      <c r="AY34" s="310"/>
      <c r="AZ34" s="310" t="s">
        <v>325</v>
      </c>
      <c r="BA34" s="310" t="s">
        <v>325</v>
      </c>
      <c r="BB34" s="2101"/>
      <c r="BC34" s="340">
        <v>2</v>
      </c>
      <c r="BD34" s="336">
        <v>1</v>
      </c>
      <c r="BE34" s="100">
        <f t="shared" si="12"/>
        <v>2</v>
      </c>
      <c r="BF34" s="340">
        <v>2</v>
      </c>
      <c r="BG34" s="309">
        <f t="shared" si="15"/>
        <v>1</v>
      </c>
      <c r="BH34" s="2107"/>
      <c r="BI34" s="310"/>
      <c r="BJ34" s="313" t="s">
        <v>325</v>
      </c>
      <c r="BK34" s="313" t="s">
        <v>325</v>
      </c>
      <c r="BL34" s="313"/>
      <c r="BM34" s="313" t="s">
        <v>325</v>
      </c>
      <c r="BN34" s="313" t="s">
        <v>325</v>
      </c>
      <c r="BO34" s="2101"/>
      <c r="BP34" s="338">
        <v>0</v>
      </c>
      <c r="BQ34" s="338">
        <v>1</v>
      </c>
      <c r="BR34" s="338"/>
      <c r="BS34" s="338">
        <v>1</v>
      </c>
      <c r="BT34" s="309">
        <f t="shared" si="23"/>
        <v>0</v>
      </c>
      <c r="BU34" s="2101"/>
      <c r="BV34" s="313">
        <v>7</v>
      </c>
      <c r="BW34" s="313">
        <v>1</v>
      </c>
      <c r="BX34" s="359">
        <v>0</v>
      </c>
      <c r="BY34" s="313">
        <v>1</v>
      </c>
      <c r="BZ34" s="309">
        <f t="shared" si="17"/>
        <v>0</v>
      </c>
      <c r="CA34" s="2101"/>
      <c r="CB34" s="318">
        <v>7</v>
      </c>
      <c r="CC34" s="318">
        <v>1</v>
      </c>
      <c r="CD34" s="318">
        <v>1</v>
      </c>
      <c r="CE34" s="318">
        <v>1</v>
      </c>
      <c r="CF34" s="2102"/>
      <c r="CG34" s="2103"/>
      <c r="CH34" s="310" t="s">
        <v>325</v>
      </c>
      <c r="CI34" s="310" t="s">
        <v>325</v>
      </c>
      <c r="CJ34" s="310">
        <v>0</v>
      </c>
      <c r="CK34" s="332"/>
      <c r="CL34" s="58" t="s">
        <v>325</v>
      </c>
      <c r="CM34" s="2101"/>
      <c r="CN34" s="313"/>
      <c r="CO34" s="313">
        <v>5</v>
      </c>
      <c r="CP34" s="313">
        <v>2</v>
      </c>
      <c r="CQ34" s="313">
        <v>0</v>
      </c>
      <c r="CR34" s="58">
        <v>1</v>
      </c>
      <c r="CS34" s="2106"/>
      <c r="CT34" s="310">
        <v>5</v>
      </c>
      <c r="CU34" s="310">
        <v>5</v>
      </c>
      <c r="CV34" s="320">
        <v>5</v>
      </c>
      <c r="CW34" s="320">
        <v>5</v>
      </c>
      <c r="CX34" s="58">
        <f>IF(CU34=0," ",CV34/CW34)</f>
        <v>1</v>
      </c>
      <c r="CY34" s="2106"/>
    </row>
    <row r="35" spans="1:107" s="121" customFormat="1" ht="42.75" customHeight="1">
      <c r="A35" s="296"/>
      <c r="B35" s="2114" t="s">
        <v>557</v>
      </c>
      <c r="C35" s="2098">
        <v>10</v>
      </c>
      <c r="D35" s="2097" t="s">
        <v>573</v>
      </c>
      <c r="E35" s="2116" t="s">
        <v>574</v>
      </c>
      <c r="F35" s="2117" t="s">
        <v>540</v>
      </c>
      <c r="G35" s="2100" t="s">
        <v>53</v>
      </c>
      <c r="H35" s="2099" t="s">
        <v>575</v>
      </c>
      <c r="I35" s="2115" t="s">
        <v>576</v>
      </c>
      <c r="J35" s="8" t="s">
        <v>54</v>
      </c>
      <c r="K35" s="308">
        <f t="shared" ref="K35:U35" si="24">+K37/$X37</f>
        <v>0</v>
      </c>
      <c r="L35" s="307">
        <f t="shared" si="24"/>
        <v>0.14285714285714285</v>
      </c>
      <c r="M35" s="307">
        <f t="shared" si="24"/>
        <v>0.21428571428571427</v>
      </c>
      <c r="N35" s="307">
        <f t="shared" si="24"/>
        <v>0.14285714285714285</v>
      </c>
      <c r="O35" s="307">
        <f t="shared" si="24"/>
        <v>7.1428571428571425E-2</v>
      </c>
      <c r="P35" s="307">
        <f t="shared" si="24"/>
        <v>7.1428571428571425E-2</v>
      </c>
      <c r="Q35" s="307">
        <f t="shared" si="24"/>
        <v>7.1428571428571425E-2</v>
      </c>
      <c r="R35" s="307">
        <f t="shared" si="24"/>
        <v>7.1428571428571425E-2</v>
      </c>
      <c r="S35" s="308">
        <f>+S37/$X37+R35</f>
        <v>7.1428571428571425E-2</v>
      </c>
      <c r="T35" s="307">
        <f t="shared" si="24"/>
        <v>0.14285714285714285</v>
      </c>
      <c r="U35" s="307">
        <f t="shared" si="24"/>
        <v>7.1428571428571425E-2</v>
      </c>
      <c r="V35" s="308">
        <f>+V37/$X37+U35</f>
        <v>7.1428571428571425E-2</v>
      </c>
      <c r="W35" s="301"/>
      <c r="X35" s="324">
        <f>+SUM(K35:V35)</f>
        <v>1.1428571428571426</v>
      </c>
      <c r="Y35" s="310" t="s">
        <v>423</v>
      </c>
      <c r="Z35" s="310" t="s">
        <v>423</v>
      </c>
      <c r="AA35" s="310"/>
      <c r="AB35" s="310" t="s">
        <v>423</v>
      </c>
      <c r="AC35" s="310" t="s">
        <v>423</v>
      </c>
      <c r="AD35" s="2101" t="s">
        <v>424</v>
      </c>
      <c r="AE35" s="334">
        <v>0.14299999999999999</v>
      </c>
      <c r="AF35" s="309">
        <v>1</v>
      </c>
      <c r="AG35" s="309">
        <f t="shared" si="1"/>
        <v>0.14299999999999999</v>
      </c>
      <c r="AH35" s="334">
        <v>0.14299999999999999</v>
      </c>
      <c r="AI35" s="309">
        <f t="shared" si="3"/>
        <v>1</v>
      </c>
      <c r="AJ35" s="2101" t="s">
        <v>422</v>
      </c>
      <c r="AK35" s="334">
        <v>0.35699999999999998</v>
      </c>
      <c r="AL35" s="309">
        <v>1</v>
      </c>
      <c r="AM35" s="334">
        <f t="shared" si="2"/>
        <v>0.35699999999999998</v>
      </c>
      <c r="AN35" s="334">
        <v>0.35699999999999998</v>
      </c>
      <c r="AO35" s="309">
        <f t="shared" si="4"/>
        <v>1</v>
      </c>
      <c r="AP35" s="2101" t="s">
        <v>422</v>
      </c>
      <c r="AQ35" s="334">
        <f>+AN35+AE35/2</f>
        <v>0.42849999999999999</v>
      </c>
      <c r="AR35" s="309">
        <v>1</v>
      </c>
      <c r="AS35" s="309">
        <f t="shared" si="9"/>
        <v>0.42849999999999999</v>
      </c>
      <c r="AT35" s="334">
        <v>0.5</v>
      </c>
      <c r="AU35" s="309">
        <f t="shared" si="10"/>
        <v>0.85699999999999998</v>
      </c>
      <c r="AV35" s="2101" t="s">
        <v>577</v>
      </c>
      <c r="AW35" s="353">
        <f>+N35</f>
        <v>0.14285714285714285</v>
      </c>
      <c r="AX35" s="310">
        <v>1</v>
      </c>
      <c r="AY35" s="309">
        <f>IF(AX35=0," ",AW35/AX35)</f>
        <v>0.14285714285714285</v>
      </c>
      <c r="AZ35" s="353">
        <f>+O35</f>
        <v>7.1428571428571425E-2</v>
      </c>
      <c r="BA35" s="309">
        <f t="shared" si="11"/>
        <v>2</v>
      </c>
      <c r="BB35" s="2101" t="s">
        <v>578</v>
      </c>
      <c r="BC35" s="311">
        <f>+BF35</f>
        <v>7.1428571428571425E-2</v>
      </c>
      <c r="BD35" s="336">
        <v>1</v>
      </c>
      <c r="BE35" s="100">
        <f t="shared" si="12"/>
        <v>7.1428571428571425E-2</v>
      </c>
      <c r="BF35" s="311">
        <f t="shared" si="13"/>
        <v>7.1428571428571425E-2</v>
      </c>
      <c r="BG35" s="360">
        <f t="shared" si="15"/>
        <v>1</v>
      </c>
      <c r="BH35" s="2118" t="s">
        <v>579</v>
      </c>
      <c r="BI35" s="361" t="s">
        <v>580</v>
      </c>
      <c r="BJ35" s="313">
        <v>7.1</v>
      </c>
      <c r="BK35" s="309">
        <v>1</v>
      </c>
      <c r="BL35" s="313">
        <f>IF(BK35=0," ",BJ35/BK35)</f>
        <v>7.1</v>
      </c>
      <c r="BM35" s="313">
        <v>7.1</v>
      </c>
      <c r="BN35" s="309">
        <f>IF(BK35=0," ",BL35/BM35)</f>
        <v>1</v>
      </c>
      <c r="BO35" s="2101" t="s">
        <v>581</v>
      </c>
      <c r="BP35" s="356">
        <v>7.0999999999999994E-2</v>
      </c>
      <c r="BQ35" s="356">
        <v>7.0999999999999994E-2</v>
      </c>
      <c r="BR35" s="356">
        <v>7.0999999999999994E-2</v>
      </c>
      <c r="BS35" s="356">
        <v>7.0999999999999994E-2</v>
      </c>
      <c r="BT35" s="309">
        <f t="shared" si="23"/>
        <v>1</v>
      </c>
      <c r="BU35" s="2101" t="s">
        <v>582</v>
      </c>
      <c r="BV35" s="313" t="s">
        <v>325</v>
      </c>
      <c r="BW35" s="313" t="s">
        <v>325</v>
      </c>
      <c r="BX35" s="313"/>
      <c r="BY35" s="313" t="s">
        <v>325</v>
      </c>
      <c r="BZ35" s="313" t="s">
        <v>325</v>
      </c>
      <c r="CA35" s="2101" t="s">
        <v>426</v>
      </c>
      <c r="CB35" s="314">
        <v>1</v>
      </c>
      <c r="CC35" s="314">
        <v>0.14299999999999999</v>
      </c>
      <c r="CD35" s="314">
        <v>0.214</v>
      </c>
      <c r="CE35" s="314">
        <v>0.14299999999999999</v>
      </c>
      <c r="CF35" s="2102">
        <f>IF(CC35=0," ",CD35/CE35)</f>
        <v>1.4965034965034967</v>
      </c>
      <c r="CG35" s="2103" t="s">
        <v>583</v>
      </c>
      <c r="CH35" s="310" t="s">
        <v>325</v>
      </c>
      <c r="CI35" s="310" t="s">
        <v>325</v>
      </c>
      <c r="CJ35" s="310">
        <v>0</v>
      </c>
      <c r="CK35" s="332"/>
      <c r="CL35" s="58" t="s">
        <v>325</v>
      </c>
      <c r="CM35" s="2101" t="s">
        <v>428</v>
      </c>
      <c r="CN35" s="316" t="s">
        <v>325</v>
      </c>
      <c r="CO35" s="316" t="s">
        <v>325</v>
      </c>
      <c r="CP35" s="316"/>
      <c r="CQ35" s="316" t="s">
        <v>325</v>
      </c>
      <c r="CR35" s="316" t="s">
        <v>325</v>
      </c>
      <c r="CS35" s="2104" t="s">
        <v>429</v>
      </c>
      <c r="CT35" s="309">
        <v>1</v>
      </c>
      <c r="CU35" s="309">
        <v>1</v>
      </c>
      <c r="CV35" s="309">
        <v>1</v>
      </c>
      <c r="CW35" s="309">
        <v>1</v>
      </c>
      <c r="CX35" s="58">
        <f>IF(CU35=0," ",CV35/CW35)</f>
        <v>1</v>
      </c>
      <c r="CY35" s="2104" t="s">
        <v>430</v>
      </c>
    </row>
    <row r="36" spans="1:107" s="121" customFormat="1" ht="50.25" hidden="1" customHeight="1">
      <c r="A36" s="296"/>
      <c r="B36" s="2114"/>
      <c r="C36" s="2098"/>
      <c r="D36" s="2097"/>
      <c r="E36" s="2116"/>
      <c r="F36" s="2117"/>
      <c r="G36" s="2100"/>
      <c r="H36" s="2099"/>
      <c r="I36" s="2115"/>
      <c r="J36" s="8"/>
      <c r="K36" s="307"/>
      <c r="L36" s="307" t="s">
        <v>584</v>
      </c>
      <c r="M36" s="307" t="s">
        <v>585</v>
      </c>
      <c r="N36" s="307" t="s">
        <v>586</v>
      </c>
      <c r="O36" s="307" t="s">
        <v>587</v>
      </c>
      <c r="P36" s="307" t="s">
        <v>588</v>
      </c>
      <c r="Q36" s="307" t="s">
        <v>468</v>
      </c>
      <c r="R36" s="307" t="s">
        <v>469</v>
      </c>
      <c r="S36" s="307"/>
      <c r="T36" s="307" t="s">
        <v>470</v>
      </c>
      <c r="U36" s="307" t="s">
        <v>589</v>
      </c>
      <c r="V36" s="307"/>
      <c r="W36" s="301"/>
      <c r="X36" s="324"/>
      <c r="Y36" s="310" t="s">
        <v>423</v>
      </c>
      <c r="Z36" s="310" t="s">
        <v>423</v>
      </c>
      <c r="AA36" s="310"/>
      <c r="AB36" s="310" t="s">
        <v>423</v>
      </c>
      <c r="AC36" s="310" t="s">
        <v>423</v>
      </c>
      <c r="AD36" s="2101"/>
      <c r="AE36" s="310"/>
      <c r="AF36" s="309">
        <v>1</v>
      </c>
      <c r="AG36" s="309">
        <f t="shared" si="1"/>
        <v>0</v>
      </c>
      <c r="AH36" s="310"/>
      <c r="AI36" s="309" t="e">
        <f t="shared" si="3"/>
        <v>#DIV/0!</v>
      </c>
      <c r="AJ36" s="2101"/>
      <c r="AK36" s="310"/>
      <c r="AL36" s="309">
        <v>1</v>
      </c>
      <c r="AM36" s="309">
        <f t="shared" si="2"/>
        <v>0</v>
      </c>
      <c r="AN36" s="310"/>
      <c r="AO36" s="309" t="e">
        <f t="shared" si="4"/>
        <v>#DIV/0!</v>
      </c>
      <c r="AP36" s="2101"/>
      <c r="AQ36" s="310"/>
      <c r="AR36" s="309">
        <v>1</v>
      </c>
      <c r="AS36" s="309">
        <f t="shared" si="9"/>
        <v>0</v>
      </c>
      <c r="AT36" s="310"/>
      <c r="AU36" s="309" t="e">
        <f t="shared" si="10"/>
        <v>#DIV/0!</v>
      </c>
      <c r="AV36" s="2101"/>
      <c r="AW36" s="310"/>
      <c r="AX36" s="310"/>
      <c r="AY36" s="309" t="str">
        <f>IF(AX36=0," ",AW36/AX36)</f>
        <v xml:space="preserve"> </v>
      </c>
      <c r="AZ36" s="310"/>
      <c r="BA36" s="309" t="str">
        <f t="shared" si="11"/>
        <v xml:space="preserve"> </v>
      </c>
      <c r="BB36" s="2101"/>
      <c r="BC36" s="311"/>
      <c r="BD36" s="336">
        <v>1</v>
      </c>
      <c r="BE36" s="100">
        <f t="shared" si="12"/>
        <v>0</v>
      </c>
      <c r="BF36" s="311" t="str">
        <f t="shared" si="13"/>
        <v xml:space="preserve">
Calle 45</v>
      </c>
      <c r="BG36" s="360" t="e">
        <f t="shared" si="15"/>
        <v>#VALUE!</v>
      </c>
      <c r="BH36" s="2119"/>
      <c r="BI36" s="361"/>
      <c r="BJ36" s="313"/>
      <c r="BK36" s="309"/>
      <c r="BL36" s="313" t="str">
        <f>IF(BK36=0," ",BJ36/BK36)</f>
        <v xml:space="preserve"> </v>
      </c>
      <c r="BM36" s="313"/>
      <c r="BN36" s="309" t="str">
        <f>IF(BK36=0," ",BL36/BM36)</f>
        <v xml:space="preserve"> </v>
      </c>
      <c r="BO36" s="2101"/>
      <c r="BP36" s="338"/>
      <c r="BQ36" s="338"/>
      <c r="BR36" s="338"/>
      <c r="BS36" s="338"/>
      <c r="BT36" s="309" t="str">
        <f t="shared" si="23"/>
        <v xml:space="preserve"> </v>
      </c>
      <c r="BU36" s="2101"/>
      <c r="BV36" s="313"/>
      <c r="BW36" s="313" t="s">
        <v>325</v>
      </c>
      <c r="BX36" s="313"/>
      <c r="BY36" s="313" t="s">
        <v>325</v>
      </c>
      <c r="BZ36" s="313" t="s">
        <v>325</v>
      </c>
      <c r="CA36" s="2101"/>
      <c r="CB36" s="318"/>
      <c r="CC36" s="318"/>
      <c r="CD36" s="318"/>
      <c r="CE36" s="318"/>
      <c r="CF36" s="2102"/>
      <c r="CG36" s="2103"/>
      <c r="CH36" s="332"/>
      <c r="CI36" s="332"/>
      <c r="CJ36" s="332"/>
      <c r="CK36" s="332"/>
      <c r="CL36" s="58" t="s">
        <v>325</v>
      </c>
      <c r="CM36" s="2101"/>
      <c r="CN36" s="316"/>
      <c r="CO36" s="331"/>
      <c r="CP36" s="331"/>
      <c r="CQ36" s="331"/>
      <c r="CR36" s="58" t="str">
        <f>IF(CO36=0," ",CP36/CQ36)</f>
        <v xml:space="preserve"> </v>
      </c>
      <c r="CS36" s="2105"/>
      <c r="CT36" s="310"/>
      <c r="CU36" s="310"/>
      <c r="CV36" s="319" t="e">
        <f t="shared" si="6"/>
        <v>#VALUE!</v>
      </c>
      <c r="CW36" s="320">
        <f t="shared" si="7"/>
        <v>0</v>
      </c>
      <c r="CX36" s="321"/>
      <c r="CY36" s="2105"/>
    </row>
    <row r="37" spans="1:107" s="121" customFormat="1" ht="26.25" customHeight="1" thickBot="1">
      <c r="A37" s="296"/>
      <c r="B37" s="2114"/>
      <c r="C37" s="2098"/>
      <c r="D37" s="2097"/>
      <c r="E37" s="2116"/>
      <c r="F37" s="2117"/>
      <c r="G37" s="2100"/>
      <c r="H37" s="2099"/>
      <c r="I37" s="2115"/>
      <c r="J37" s="354" t="s">
        <v>556</v>
      </c>
      <c r="K37" s="7"/>
      <c r="L37" s="346">
        <v>2</v>
      </c>
      <c r="M37" s="346">
        <f>1+2</f>
        <v>3</v>
      </c>
      <c r="N37" s="346">
        <v>2</v>
      </c>
      <c r="O37" s="346">
        <v>1</v>
      </c>
      <c r="P37" s="346">
        <v>1</v>
      </c>
      <c r="Q37" s="322">
        <v>1</v>
      </c>
      <c r="R37" s="322">
        <v>1</v>
      </c>
      <c r="S37" s="322"/>
      <c r="T37" s="322">
        <v>2</v>
      </c>
      <c r="U37" s="322">
        <v>1</v>
      </c>
      <c r="V37" s="346"/>
      <c r="W37" s="301"/>
      <c r="X37" s="324">
        <f>+SUM(K37:V37)</f>
        <v>14</v>
      </c>
      <c r="Y37" s="310" t="s">
        <v>423</v>
      </c>
      <c r="Z37" s="310" t="s">
        <v>423</v>
      </c>
      <c r="AA37" s="310"/>
      <c r="AB37" s="310" t="s">
        <v>423</v>
      </c>
      <c r="AC37" s="310" t="s">
        <v>423</v>
      </c>
      <c r="AD37" s="2101"/>
      <c r="AE37" s="310">
        <v>2</v>
      </c>
      <c r="AF37" s="309">
        <v>1</v>
      </c>
      <c r="AG37" s="310">
        <f t="shared" si="1"/>
        <v>2</v>
      </c>
      <c r="AH37" s="310">
        <v>2</v>
      </c>
      <c r="AI37" s="309">
        <f t="shared" si="3"/>
        <v>1</v>
      </c>
      <c r="AJ37" s="2101"/>
      <c r="AK37" s="310">
        <v>3</v>
      </c>
      <c r="AL37" s="309">
        <v>1</v>
      </c>
      <c r="AM37" s="310">
        <f t="shared" si="2"/>
        <v>3</v>
      </c>
      <c r="AN37" s="310">
        <v>3</v>
      </c>
      <c r="AO37" s="309">
        <f t="shared" si="4"/>
        <v>1</v>
      </c>
      <c r="AP37" s="2101"/>
      <c r="AQ37" s="310">
        <v>1</v>
      </c>
      <c r="AR37" s="309">
        <v>1</v>
      </c>
      <c r="AS37" s="310">
        <f t="shared" si="9"/>
        <v>1</v>
      </c>
      <c r="AT37" s="310">
        <v>2</v>
      </c>
      <c r="AU37" s="309">
        <f t="shared" si="10"/>
        <v>0.5</v>
      </c>
      <c r="AV37" s="2101"/>
      <c r="AW37" s="310">
        <v>2</v>
      </c>
      <c r="AX37" s="310">
        <v>1</v>
      </c>
      <c r="AY37" s="309">
        <f>IF(AX37=0," ",AW37/AX37)</f>
        <v>2</v>
      </c>
      <c r="AZ37" s="310">
        <v>1</v>
      </c>
      <c r="BA37" s="309">
        <f t="shared" si="11"/>
        <v>2</v>
      </c>
      <c r="BB37" s="2101"/>
      <c r="BC37" s="340">
        <v>1</v>
      </c>
      <c r="BD37" s="336">
        <v>1</v>
      </c>
      <c r="BE37" s="100">
        <f t="shared" si="12"/>
        <v>1</v>
      </c>
      <c r="BF37" s="340">
        <f t="shared" si="13"/>
        <v>1</v>
      </c>
      <c r="BG37" s="360">
        <f t="shared" si="15"/>
        <v>1</v>
      </c>
      <c r="BH37" s="2120"/>
      <c r="BI37" s="361"/>
      <c r="BJ37" s="313">
        <v>1</v>
      </c>
      <c r="BK37" s="309">
        <v>1</v>
      </c>
      <c r="BL37" s="313">
        <v>1</v>
      </c>
      <c r="BM37" s="313">
        <v>1</v>
      </c>
      <c r="BN37" s="309">
        <f>IF(BK37=0," ",BL37/BM37)</f>
        <v>1</v>
      </c>
      <c r="BO37" s="2101"/>
      <c r="BP37" s="338">
        <v>1</v>
      </c>
      <c r="BQ37" s="338">
        <v>1</v>
      </c>
      <c r="BR37" s="338">
        <v>1</v>
      </c>
      <c r="BS37" s="338">
        <v>1</v>
      </c>
      <c r="BT37" s="309">
        <f t="shared" si="23"/>
        <v>1</v>
      </c>
      <c r="BU37" s="2101"/>
      <c r="BV37" s="313" t="s">
        <v>325</v>
      </c>
      <c r="BW37" s="313" t="s">
        <v>325</v>
      </c>
      <c r="BX37" s="313"/>
      <c r="BY37" s="313" t="s">
        <v>325</v>
      </c>
      <c r="BZ37" s="313" t="s">
        <v>325</v>
      </c>
      <c r="CA37" s="2101"/>
      <c r="CB37" s="318">
        <v>14</v>
      </c>
      <c r="CC37" s="318">
        <v>2</v>
      </c>
      <c r="CD37" s="318">
        <v>3</v>
      </c>
      <c r="CE37" s="318">
        <v>2</v>
      </c>
      <c r="CF37" s="2102"/>
      <c r="CG37" s="2103"/>
      <c r="CH37" s="310" t="s">
        <v>325</v>
      </c>
      <c r="CI37" s="310" t="s">
        <v>325</v>
      </c>
      <c r="CJ37" s="310">
        <v>0</v>
      </c>
      <c r="CK37" s="332"/>
      <c r="CL37" s="58" t="s">
        <v>325</v>
      </c>
      <c r="CM37" s="2101"/>
      <c r="CN37" s="316" t="s">
        <v>325</v>
      </c>
      <c r="CO37" s="316" t="s">
        <v>325</v>
      </c>
      <c r="CP37" s="316"/>
      <c r="CQ37" s="316" t="s">
        <v>325</v>
      </c>
      <c r="CR37" s="316" t="s">
        <v>325</v>
      </c>
      <c r="CS37" s="2106"/>
      <c r="CT37" s="310">
        <v>14</v>
      </c>
      <c r="CU37" s="310">
        <v>14</v>
      </c>
      <c r="CV37" s="319">
        <f t="shared" si="6"/>
        <v>14</v>
      </c>
      <c r="CW37" s="320">
        <f t="shared" si="7"/>
        <v>14</v>
      </c>
      <c r="CX37" s="58">
        <f>IF(CU37=0," ",CV37/CW37)</f>
        <v>1</v>
      </c>
      <c r="CY37" s="2106"/>
    </row>
    <row r="38" spans="1:107" s="121" customFormat="1" ht="35.1" customHeight="1">
      <c r="A38" s="296"/>
      <c r="B38" s="2114" t="s">
        <v>590</v>
      </c>
      <c r="C38" s="2098">
        <v>11</v>
      </c>
      <c r="D38" s="2097" t="s">
        <v>591</v>
      </c>
      <c r="E38" s="2116" t="s">
        <v>559</v>
      </c>
      <c r="F38" s="2117" t="s">
        <v>560</v>
      </c>
      <c r="G38" s="2100" t="s">
        <v>53</v>
      </c>
      <c r="H38" s="2099" t="s">
        <v>592</v>
      </c>
      <c r="I38" s="2115" t="s">
        <v>593</v>
      </c>
      <c r="J38" s="8" t="s">
        <v>54</v>
      </c>
      <c r="K38" s="308">
        <f>+K40/$X40</f>
        <v>0</v>
      </c>
      <c r="L38" s="308">
        <f>+L40/$X40+K38</f>
        <v>0</v>
      </c>
      <c r="M38" s="308">
        <f>+M40/$X40+L38</f>
        <v>0</v>
      </c>
      <c r="N38" s="308">
        <f>+N40/$X40+M38</f>
        <v>0</v>
      </c>
      <c r="O38" s="308">
        <f>+O40/$X40+N38</f>
        <v>0</v>
      </c>
      <c r="P38" s="307">
        <f t="shared" ref="P38:U38" si="25">+P40/$X40</f>
        <v>0.4</v>
      </c>
      <c r="Q38" s="308">
        <f t="shared" si="25"/>
        <v>0</v>
      </c>
      <c r="R38" s="307">
        <f t="shared" si="25"/>
        <v>0.2</v>
      </c>
      <c r="S38" s="307">
        <f t="shared" si="25"/>
        <v>0.2</v>
      </c>
      <c r="T38" s="307">
        <f t="shared" si="25"/>
        <v>0.2</v>
      </c>
      <c r="U38" s="308">
        <f t="shared" si="25"/>
        <v>0</v>
      </c>
      <c r="V38" s="307"/>
      <c r="W38" s="301"/>
      <c r="X38" s="324">
        <f>+SUM(K38:V38)</f>
        <v>1</v>
      </c>
      <c r="Y38" s="310" t="s">
        <v>423</v>
      </c>
      <c r="Z38" s="310" t="s">
        <v>423</v>
      </c>
      <c r="AA38" s="310"/>
      <c r="AB38" s="310" t="s">
        <v>423</v>
      </c>
      <c r="AC38" s="310" t="s">
        <v>423</v>
      </c>
      <c r="AD38" s="2101" t="s">
        <v>424</v>
      </c>
      <c r="AE38" s="310" t="s">
        <v>423</v>
      </c>
      <c r="AF38" s="310" t="s">
        <v>423</v>
      </c>
      <c r="AG38" s="310"/>
      <c r="AH38" s="310" t="s">
        <v>423</v>
      </c>
      <c r="AI38" s="310" t="s">
        <v>423</v>
      </c>
      <c r="AJ38" s="2101" t="s">
        <v>424</v>
      </c>
      <c r="AK38" s="310" t="s">
        <v>423</v>
      </c>
      <c r="AL38" s="310" t="s">
        <v>423</v>
      </c>
      <c r="AM38" s="310"/>
      <c r="AN38" s="310" t="s">
        <v>423</v>
      </c>
      <c r="AO38" s="310" t="s">
        <v>423</v>
      </c>
      <c r="AP38" s="2101" t="s">
        <v>424</v>
      </c>
      <c r="AQ38" s="310" t="s">
        <v>423</v>
      </c>
      <c r="AR38" s="310" t="s">
        <v>423</v>
      </c>
      <c r="AS38" s="310"/>
      <c r="AT38" s="310" t="s">
        <v>423</v>
      </c>
      <c r="AU38" s="310" t="s">
        <v>423</v>
      </c>
      <c r="AV38" s="2101" t="s">
        <v>424</v>
      </c>
      <c r="AW38" s="310" t="s">
        <v>325</v>
      </c>
      <c r="AX38" s="310" t="s">
        <v>325</v>
      </c>
      <c r="AY38" s="310"/>
      <c r="AZ38" s="310" t="s">
        <v>325</v>
      </c>
      <c r="BA38" s="310" t="s">
        <v>325</v>
      </c>
      <c r="BB38" s="2101" t="s">
        <v>476</v>
      </c>
      <c r="BC38" s="311">
        <v>0.14299999999999999</v>
      </c>
      <c r="BD38" s="336">
        <v>1</v>
      </c>
      <c r="BE38" s="100">
        <f t="shared" si="12"/>
        <v>0.14299999999999999</v>
      </c>
      <c r="BF38" s="311">
        <f t="shared" si="13"/>
        <v>0.4</v>
      </c>
      <c r="BG38" s="360">
        <f t="shared" si="15"/>
        <v>0.35749999999999993</v>
      </c>
      <c r="BH38" s="2121" t="s">
        <v>594</v>
      </c>
      <c r="BI38" s="362"/>
      <c r="BJ38" s="313" t="s">
        <v>325</v>
      </c>
      <c r="BK38" s="313" t="s">
        <v>325</v>
      </c>
      <c r="BL38" s="313"/>
      <c r="BM38" s="313" t="s">
        <v>325</v>
      </c>
      <c r="BN38" s="313" t="s">
        <v>325</v>
      </c>
      <c r="BO38" s="2101" t="s">
        <v>426</v>
      </c>
      <c r="BP38" s="313" t="s">
        <v>325</v>
      </c>
      <c r="BQ38" s="313" t="s">
        <v>325</v>
      </c>
      <c r="BR38" s="313"/>
      <c r="BS38" s="313"/>
      <c r="BT38" s="313" t="s">
        <v>325</v>
      </c>
      <c r="BU38" s="2101" t="s">
        <v>426</v>
      </c>
      <c r="BV38" s="309">
        <v>1</v>
      </c>
      <c r="BW38" s="334">
        <v>0.14299999999999999</v>
      </c>
      <c r="BX38" s="334">
        <v>0.14299999999999999</v>
      </c>
      <c r="BY38" s="334">
        <v>0.14299999999999999</v>
      </c>
      <c r="BZ38" s="309">
        <f t="shared" si="17"/>
        <v>1</v>
      </c>
      <c r="CA38" s="2101" t="s">
        <v>595</v>
      </c>
      <c r="CB38" s="314">
        <v>1</v>
      </c>
      <c r="CC38" s="314">
        <v>0.28599999999999998</v>
      </c>
      <c r="CD38" s="314">
        <v>0.14299999999999999</v>
      </c>
      <c r="CE38" s="314">
        <v>0.28599999999999998</v>
      </c>
      <c r="CF38" s="2102">
        <f>IF(CC38=0," ",CD38/CE38)</f>
        <v>0.5</v>
      </c>
      <c r="CG38" s="2103" t="s">
        <v>596</v>
      </c>
      <c r="CH38" s="329">
        <v>1</v>
      </c>
      <c r="CI38" s="332">
        <v>0</v>
      </c>
      <c r="CJ38" s="329">
        <v>0.4</v>
      </c>
      <c r="CK38" s="332">
        <v>0</v>
      </c>
      <c r="CL38" s="58">
        <v>1</v>
      </c>
      <c r="CM38" s="2101" t="s">
        <v>597</v>
      </c>
      <c r="CN38" s="316">
        <v>1</v>
      </c>
      <c r="CO38" s="316">
        <v>1</v>
      </c>
      <c r="CP38" s="316">
        <v>0.2</v>
      </c>
      <c r="CQ38" s="316">
        <v>0</v>
      </c>
      <c r="CR38" s="58">
        <v>1</v>
      </c>
      <c r="CS38" s="2107" t="s">
        <v>598</v>
      </c>
      <c r="CT38" s="309">
        <v>1</v>
      </c>
      <c r="CU38" s="309">
        <v>1</v>
      </c>
      <c r="CV38" s="309">
        <v>1</v>
      </c>
      <c r="CW38" s="309">
        <v>1</v>
      </c>
      <c r="CX38" s="58">
        <f>IF(CU38=0," ",CV38/CW38)</f>
        <v>1</v>
      </c>
      <c r="CY38" s="2104" t="s">
        <v>430</v>
      </c>
    </row>
    <row r="39" spans="1:107" s="121" customFormat="1" ht="44.25" hidden="1" customHeight="1">
      <c r="A39" s="296"/>
      <c r="B39" s="2114"/>
      <c r="C39" s="2098"/>
      <c r="D39" s="2097"/>
      <c r="E39" s="2116"/>
      <c r="F39" s="2117"/>
      <c r="G39" s="2100"/>
      <c r="H39" s="2099"/>
      <c r="I39" s="2115"/>
      <c r="J39" s="8"/>
      <c r="K39" s="307"/>
      <c r="L39" s="307"/>
      <c r="M39" s="307"/>
      <c r="N39" s="307"/>
      <c r="O39" s="307"/>
      <c r="P39" s="307" t="s">
        <v>599</v>
      </c>
      <c r="Q39" s="307"/>
      <c r="R39" s="307" t="s">
        <v>533</v>
      </c>
      <c r="S39" s="307" t="s">
        <v>484</v>
      </c>
      <c r="T39" s="307" t="s">
        <v>600</v>
      </c>
      <c r="U39" s="307"/>
      <c r="V39" s="307"/>
      <c r="W39" s="301"/>
      <c r="X39" s="324"/>
      <c r="Y39" s="310" t="s">
        <v>423</v>
      </c>
      <c r="Z39" s="310" t="s">
        <v>423</v>
      </c>
      <c r="AA39" s="310"/>
      <c r="AB39" s="310" t="s">
        <v>423</v>
      </c>
      <c r="AC39" s="310" t="s">
        <v>423</v>
      </c>
      <c r="AD39" s="2101"/>
      <c r="AE39" s="310" t="s">
        <v>423</v>
      </c>
      <c r="AF39" s="310" t="s">
        <v>423</v>
      </c>
      <c r="AG39" s="310"/>
      <c r="AH39" s="310" t="s">
        <v>423</v>
      </c>
      <c r="AI39" s="310" t="s">
        <v>423</v>
      </c>
      <c r="AJ39" s="2101"/>
      <c r="AK39" s="310" t="s">
        <v>423</v>
      </c>
      <c r="AL39" s="310" t="s">
        <v>423</v>
      </c>
      <c r="AM39" s="310"/>
      <c r="AN39" s="310" t="s">
        <v>423</v>
      </c>
      <c r="AO39" s="310" t="s">
        <v>423</v>
      </c>
      <c r="AP39" s="2101"/>
      <c r="AQ39" s="310" t="s">
        <v>423</v>
      </c>
      <c r="AR39" s="310" t="s">
        <v>423</v>
      </c>
      <c r="AS39" s="310"/>
      <c r="AT39" s="310" t="s">
        <v>423</v>
      </c>
      <c r="AU39" s="310" t="s">
        <v>423</v>
      </c>
      <c r="AV39" s="2101"/>
      <c r="AW39" s="310" t="s">
        <v>325</v>
      </c>
      <c r="AX39" s="310" t="s">
        <v>325</v>
      </c>
      <c r="AY39" s="310"/>
      <c r="AZ39" s="310" t="s">
        <v>325</v>
      </c>
      <c r="BA39" s="310" t="s">
        <v>325</v>
      </c>
      <c r="BB39" s="2101"/>
      <c r="BC39" s="311"/>
      <c r="BD39" s="336">
        <v>1</v>
      </c>
      <c r="BE39" s="100">
        <f t="shared" si="12"/>
        <v>0</v>
      </c>
      <c r="BF39" s="311" t="str">
        <f t="shared" si="13"/>
        <v xml:space="preserve">19-2012
tramonti
</v>
      </c>
      <c r="BG39" s="360" t="e">
        <f t="shared" si="15"/>
        <v>#VALUE!</v>
      </c>
      <c r="BH39" s="2122"/>
      <c r="BI39" s="362"/>
      <c r="BJ39" s="313" t="s">
        <v>325</v>
      </c>
      <c r="BK39" s="313" t="s">
        <v>325</v>
      </c>
      <c r="BL39" s="313"/>
      <c r="BM39" s="313" t="s">
        <v>325</v>
      </c>
      <c r="BN39" s="313" t="s">
        <v>325</v>
      </c>
      <c r="BO39" s="2101"/>
      <c r="BP39" s="313"/>
      <c r="BQ39" s="313" t="s">
        <v>325</v>
      </c>
      <c r="BR39" s="313"/>
      <c r="BS39" s="313"/>
      <c r="BT39" s="313" t="s">
        <v>325</v>
      </c>
      <c r="BU39" s="2101"/>
      <c r="BV39" s="341"/>
      <c r="BW39" s="342"/>
      <c r="BX39" s="309" t="str">
        <f>IF(BW39=0," ",BV39/BW39)</f>
        <v xml:space="preserve"> </v>
      </c>
      <c r="BY39" s="309"/>
      <c r="BZ39" s="309" t="str">
        <f t="shared" si="17"/>
        <v xml:space="preserve"> </v>
      </c>
      <c r="CA39" s="2101"/>
      <c r="CB39" s="318"/>
      <c r="CC39" s="318"/>
      <c r="CD39" s="318"/>
      <c r="CE39" s="318"/>
      <c r="CF39" s="2102"/>
      <c r="CG39" s="2103"/>
      <c r="CH39" s="332"/>
      <c r="CI39" s="332"/>
      <c r="CJ39" s="332"/>
      <c r="CK39" s="332"/>
      <c r="CL39" s="58" t="str">
        <f t="shared" si="5"/>
        <v xml:space="preserve"> </v>
      </c>
      <c r="CM39" s="2101"/>
      <c r="CN39" s="316" t="s">
        <v>325</v>
      </c>
      <c r="CO39" s="316" t="s">
        <v>325</v>
      </c>
      <c r="CP39" s="316"/>
      <c r="CQ39" s="316" t="s">
        <v>325</v>
      </c>
      <c r="CR39" s="58">
        <v>1</v>
      </c>
      <c r="CS39" s="2108"/>
      <c r="CT39" s="310"/>
      <c r="CU39" s="310"/>
      <c r="CV39" s="319" t="e">
        <f t="shared" si="6"/>
        <v>#VALUE!</v>
      </c>
      <c r="CW39" s="320">
        <f t="shared" si="7"/>
        <v>0</v>
      </c>
      <c r="CX39" s="321"/>
      <c r="CY39" s="2105"/>
    </row>
    <row r="40" spans="1:107" s="121" customFormat="1" ht="38.25" customHeight="1" thickBot="1">
      <c r="A40" s="296"/>
      <c r="B40" s="2114"/>
      <c r="C40" s="2098"/>
      <c r="D40" s="2097"/>
      <c r="E40" s="2116"/>
      <c r="F40" s="2117"/>
      <c r="G40" s="2100"/>
      <c r="H40" s="2099"/>
      <c r="I40" s="2115"/>
      <c r="J40" s="354" t="s">
        <v>556</v>
      </c>
      <c r="K40" s="7"/>
      <c r="L40" s="346"/>
      <c r="M40" s="346"/>
      <c r="N40" s="13"/>
      <c r="O40" s="346"/>
      <c r="P40" s="13">
        <v>2</v>
      </c>
      <c r="Q40" s="346"/>
      <c r="R40" s="346">
        <v>1</v>
      </c>
      <c r="S40" s="346">
        <v>1</v>
      </c>
      <c r="T40" s="346">
        <v>1</v>
      </c>
      <c r="U40" s="346"/>
      <c r="V40" s="346"/>
      <c r="W40" s="301"/>
      <c r="X40" s="324">
        <f t="shared" ref="X40:X50" si="26">+SUM(K40:V40)</f>
        <v>5</v>
      </c>
      <c r="Y40" s="310" t="s">
        <v>423</v>
      </c>
      <c r="Z40" s="310" t="s">
        <v>423</v>
      </c>
      <c r="AA40" s="310"/>
      <c r="AB40" s="310" t="s">
        <v>423</v>
      </c>
      <c r="AC40" s="310" t="s">
        <v>423</v>
      </c>
      <c r="AD40" s="2101"/>
      <c r="AE40" s="310" t="s">
        <v>423</v>
      </c>
      <c r="AF40" s="310" t="s">
        <v>423</v>
      </c>
      <c r="AG40" s="310"/>
      <c r="AH40" s="310" t="s">
        <v>423</v>
      </c>
      <c r="AI40" s="310" t="s">
        <v>423</v>
      </c>
      <c r="AJ40" s="2101"/>
      <c r="AK40" s="310" t="s">
        <v>423</v>
      </c>
      <c r="AL40" s="310" t="s">
        <v>423</v>
      </c>
      <c r="AM40" s="310"/>
      <c r="AN40" s="310" t="s">
        <v>423</v>
      </c>
      <c r="AO40" s="310" t="s">
        <v>423</v>
      </c>
      <c r="AP40" s="2101"/>
      <c r="AQ40" s="310" t="s">
        <v>423</v>
      </c>
      <c r="AR40" s="310" t="s">
        <v>423</v>
      </c>
      <c r="AS40" s="310"/>
      <c r="AT40" s="310" t="s">
        <v>423</v>
      </c>
      <c r="AU40" s="310" t="s">
        <v>423</v>
      </c>
      <c r="AV40" s="2101"/>
      <c r="AW40" s="310" t="s">
        <v>325</v>
      </c>
      <c r="AX40" s="310" t="s">
        <v>325</v>
      </c>
      <c r="AY40" s="310"/>
      <c r="AZ40" s="310" t="s">
        <v>325</v>
      </c>
      <c r="BA40" s="310" t="s">
        <v>325</v>
      </c>
      <c r="BB40" s="2101"/>
      <c r="BC40" s="340">
        <v>1</v>
      </c>
      <c r="BD40" s="336">
        <v>1</v>
      </c>
      <c r="BE40" s="100">
        <f t="shared" si="12"/>
        <v>1</v>
      </c>
      <c r="BF40" s="311">
        <f t="shared" si="13"/>
        <v>2</v>
      </c>
      <c r="BG40" s="360">
        <f t="shared" si="15"/>
        <v>0.5</v>
      </c>
      <c r="BH40" s="2123"/>
      <c r="BI40" s="362"/>
      <c r="BJ40" s="313" t="s">
        <v>325</v>
      </c>
      <c r="BK40" s="313" t="s">
        <v>325</v>
      </c>
      <c r="BL40" s="313"/>
      <c r="BM40" s="313" t="s">
        <v>325</v>
      </c>
      <c r="BN40" s="313" t="s">
        <v>325</v>
      </c>
      <c r="BO40" s="2101"/>
      <c r="BP40" s="313" t="s">
        <v>325</v>
      </c>
      <c r="BQ40" s="313" t="s">
        <v>325</v>
      </c>
      <c r="BR40" s="313"/>
      <c r="BS40" s="313"/>
      <c r="BT40" s="313" t="s">
        <v>325</v>
      </c>
      <c r="BU40" s="2101"/>
      <c r="BV40" s="313">
        <v>7</v>
      </c>
      <c r="BW40" s="313">
        <v>1</v>
      </c>
      <c r="BX40" s="313">
        <v>1</v>
      </c>
      <c r="BY40" s="313">
        <v>1</v>
      </c>
      <c r="BZ40" s="309">
        <f t="shared" si="17"/>
        <v>1</v>
      </c>
      <c r="CA40" s="2101"/>
      <c r="CB40" s="318">
        <v>7</v>
      </c>
      <c r="CC40" s="318">
        <v>2</v>
      </c>
      <c r="CD40" s="318">
        <v>1</v>
      </c>
      <c r="CE40" s="318">
        <v>2</v>
      </c>
      <c r="CF40" s="2102"/>
      <c r="CG40" s="2103"/>
      <c r="CH40" s="332">
        <v>5</v>
      </c>
      <c r="CI40" s="332">
        <v>0</v>
      </c>
      <c r="CJ40" s="332">
        <v>2</v>
      </c>
      <c r="CK40" s="332">
        <v>0</v>
      </c>
      <c r="CL40" s="58">
        <v>1</v>
      </c>
      <c r="CM40" s="2101"/>
      <c r="CN40" s="313">
        <v>5</v>
      </c>
      <c r="CO40" s="313">
        <v>5</v>
      </c>
      <c r="CP40" s="313">
        <v>1</v>
      </c>
      <c r="CQ40" s="313">
        <v>0</v>
      </c>
      <c r="CR40" s="58">
        <v>1</v>
      </c>
      <c r="CS40" s="2109"/>
      <c r="CT40" s="310">
        <v>5</v>
      </c>
      <c r="CU40" s="310">
        <v>5</v>
      </c>
      <c r="CV40" s="320">
        <v>5</v>
      </c>
      <c r="CW40" s="320">
        <f t="shared" si="7"/>
        <v>5</v>
      </c>
      <c r="CX40" s="58">
        <f>IF(CU40=0," ",CV40/CW40)</f>
        <v>1</v>
      </c>
      <c r="CY40" s="2106"/>
    </row>
    <row r="41" spans="1:107" s="368" customFormat="1" ht="42.75" customHeight="1">
      <c r="A41" s="296"/>
      <c r="B41" s="13" t="s">
        <v>416</v>
      </c>
      <c r="C41" s="304">
        <v>12</v>
      </c>
      <c r="D41" s="13" t="s">
        <v>601</v>
      </c>
      <c r="E41" s="13" t="s">
        <v>602</v>
      </c>
      <c r="F41" s="305" t="s">
        <v>603</v>
      </c>
      <c r="G41" s="306" t="s">
        <v>53</v>
      </c>
      <c r="H41" s="355" t="s">
        <v>604</v>
      </c>
      <c r="I41" s="355" t="s">
        <v>605</v>
      </c>
      <c r="J41" s="13" t="s">
        <v>606</v>
      </c>
      <c r="K41" s="7">
        <f>+K42+K43</f>
        <v>1.34</v>
      </c>
      <c r="L41" s="7">
        <f t="shared" ref="L41:R41" si="27">+L42+L43</f>
        <v>0.78</v>
      </c>
      <c r="M41" s="7">
        <f t="shared" si="27"/>
        <v>1.31</v>
      </c>
      <c r="N41" s="7">
        <f t="shared" si="27"/>
        <v>0.93</v>
      </c>
      <c r="O41" s="7">
        <f t="shared" si="27"/>
        <v>1.587</v>
      </c>
      <c r="P41" s="7">
        <f t="shared" si="27"/>
        <v>0.23699999999999999</v>
      </c>
      <c r="Q41" s="7">
        <f t="shared" si="27"/>
        <v>0.192</v>
      </c>
      <c r="R41" s="7">
        <f t="shared" si="27"/>
        <v>9.6000000000000002E-2</v>
      </c>
      <c r="S41" s="7">
        <v>0.24299999999999999</v>
      </c>
      <c r="T41" s="7">
        <v>1.7453000000000001</v>
      </c>
      <c r="U41" s="7">
        <v>1.8214999999999999</v>
      </c>
      <c r="V41" s="7">
        <v>2.6304000000000003</v>
      </c>
      <c r="W41" s="301"/>
      <c r="X41" s="324">
        <f>+SUM(K41:V41)</f>
        <v>12.9122</v>
      </c>
      <c r="Y41" s="310">
        <v>1.34</v>
      </c>
      <c r="Z41" s="309">
        <v>1</v>
      </c>
      <c r="AA41" s="310">
        <f t="shared" ref="AA41:AA46" si="28">IF(Z41=0," ",Y41/Z41)</f>
        <v>1.34</v>
      </c>
      <c r="AB41" s="310">
        <v>1.34</v>
      </c>
      <c r="AC41" s="309">
        <f t="shared" ref="AC41:AC46" si="29">IF(Z41=0," ",AA41/AB41)</f>
        <v>1</v>
      </c>
      <c r="AD41" s="2101" t="s">
        <v>422</v>
      </c>
      <c r="AE41" s="310">
        <v>0.78</v>
      </c>
      <c r="AF41" s="309">
        <v>1</v>
      </c>
      <c r="AG41" s="309">
        <f t="shared" si="1"/>
        <v>0.78</v>
      </c>
      <c r="AH41" s="310">
        <v>0.78</v>
      </c>
      <c r="AI41" s="309">
        <f t="shared" si="3"/>
        <v>1</v>
      </c>
      <c r="AJ41" s="2101" t="s">
        <v>422</v>
      </c>
      <c r="AK41" s="310">
        <v>0.82299999999999995</v>
      </c>
      <c r="AL41" s="309">
        <v>1</v>
      </c>
      <c r="AM41" s="310">
        <f t="shared" si="2"/>
        <v>0.82299999999999995</v>
      </c>
      <c r="AN41" s="310">
        <v>1.31</v>
      </c>
      <c r="AO41" s="309">
        <f t="shared" si="4"/>
        <v>0.62824427480916023</v>
      </c>
      <c r="AP41" s="310" t="s">
        <v>607</v>
      </c>
      <c r="AQ41" s="310">
        <v>1.43</v>
      </c>
      <c r="AR41" s="309">
        <v>1</v>
      </c>
      <c r="AS41" s="310">
        <f t="shared" si="9"/>
        <v>1.43</v>
      </c>
      <c r="AT41" s="310">
        <v>0.93</v>
      </c>
      <c r="AU41" s="309">
        <f t="shared" si="10"/>
        <v>1.5376344086021503</v>
      </c>
      <c r="AV41" s="310" t="s">
        <v>608</v>
      </c>
      <c r="AW41" s="363">
        <v>0.93</v>
      </c>
      <c r="AX41" s="363">
        <v>1.587</v>
      </c>
      <c r="AY41" s="363">
        <v>0.93</v>
      </c>
      <c r="AZ41" s="363">
        <v>1.587</v>
      </c>
      <c r="BA41" s="309">
        <f t="shared" si="11"/>
        <v>0.5860113421550095</v>
      </c>
      <c r="BB41" s="310" t="s">
        <v>609</v>
      </c>
      <c r="BC41" s="340">
        <v>1.1284000000000001</v>
      </c>
      <c r="BD41" s="336">
        <v>1</v>
      </c>
      <c r="BE41" s="359">
        <f t="shared" si="12"/>
        <v>1.1284000000000001</v>
      </c>
      <c r="BF41" s="340">
        <f t="shared" si="13"/>
        <v>0.23699999999999999</v>
      </c>
      <c r="BG41" s="309">
        <f t="shared" si="15"/>
        <v>4.7611814345991563</v>
      </c>
      <c r="BH41" s="333" t="s">
        <v>610</v>
      </c>
      <c r="BI41" s="310" t="s">
        <v>611</v>
      </c>
      <c r="BJ41" s="313">
        <v>1</v>
      </c>
      <c r="BK41" s="313">
        <v>1</v>
      </c>
      <c r="BL41" s="313">
        <v>0.58450000000000002</v>
      </c>
      <c r="BM41" s="313">
        <v>0.192</v>
      </c>
      <c r="BN41" s="309">
        <f t="shared" si="14"/>
        <v>3.0442708333333335</v>
      </c>
      <c r="BO41" s="310" t="s">
        <v>612</v>
      </c>
      <c r="BP41" s="98">
        <v>0.55359999999999998</v>
      </c>
      <c r="BQ41" s="98">
        <v>0.96</v>
      </c>
      <c r="BR41" s="98">
        <v>0.55359999999999998</v>
      </c>
      <c r="BS41" s="98">
        <v>9.6000000000000002E-2</v>
      </c>
      <c r="BT41" s="309">
        <f t="shared" ref="BT41:BT58" si="30">IF(BQ41=0," ",BR41/BS41)</f>
        <v>5.7666666666666666</v>
      </c>
      <c r="BU41" s="364" t="s">
        <v>613</v>
      </c>
      <c r="BV41" s="313">
        <v>9.5399999999999991</v>
      </c>
      <c r="BW41" s="313">
        <v>0.247</v>
      </c>
      <c r="BX41" s="313">
        <v>1</v>
      </c>
      <c r="BY41" s="313">
        <v>0.24299999999999999</v>
      </c>
      <c r="BZ41" s="309">
        <f t="shared" si="17"/>
        <v>4.1152263374485596</v>
      </c>
      <c r="CA41" s="310" t="s">
        <v>614</v>
      </c>
      <c r="CB41" s="318">
        <v>12.47</v>
      </c>
      <c r="CC41" s="318">
        <v>1.7453000000000001</v>
      </c>
      <c r="CD41" s="318">
        <v>2.3169</v>
      </c>
      <c r="CE41" s="318">
        <f>+CC41</f>
        <v>1.7453000000000001</v>
      </c>
      <c r="CF41" s="58">
        <f t="shared" ref="CF41:CF66" si="31">IF(CC41=0," ",CD41/CE41)</f>
        <v>1.3275081647854237</v>
      </c>
      <c r="CG41" s="101" t="s">
        <v>615</v>
      </c>
      <c r="CH41" s="332">
        <v>2.7770000000000001</v>
      </c>
      <c r="CI41" s="332">
        <v>12.91</v>
      </c>
      <c r="CJ41" s="332">
        <v>2.7770000000000001</v>
      </c>
      <c r="CK41" s="332">
        <v>1.8214999999999999</v>
      </c>
      <c r="CL41" s="58">
        <f t="shared" si="5"/>
        <v>1.524567664013176</v>
      </c>
      <c r="CM41" s="2101" t="s">
        <v>615</v>
      </c>
      <c r="CN41" s="365">
        <v>0.89379999999999993</v>
      </c>
      <c r="CO41" s="366">
        <v>12.91</v>
      </c>
      <c r="CP41" s="367">
        <v>0.89379999999999993</v>
      </c>
      <c r="CQ41" s="7">
        <v>2.6303999999999998</v>
      </c>
      <c r="CR41" s="309">
        <f t="shared" ref="CR41:CR46" si="32">IF(CO41=0," ",CP41/CQ41)</f>
        <v>0.33979622871046228</v>
      </c>
      <c r="CS41" s="315" t="s">
        <v>616</v>
      </c>
      <c r="CT41" s="320">
        <v>14.557200000000002</v>
      </c>
      <c r="CU41" s="320">
        <v>12.9122</v>
      </c>
      <c r="CV41" s="320">
        <f>+CP41+AA41+AG41+AM41+AS41+AY41+BE41+BL41+BR41+BX41+CD41+CJ41</f>
        <v>14.557200000000002</v>
      </c>
      <c r="CW41" s="320">
        <f>+X41</f>
        <v>12.9122</v>
      </c>
      <c r="CX41" s="58">
        <f t="shared" ref="CX41:CX65" si="33">IF(CU41=0," ",CV41/CW41)</f>
        <v>1.127398894069175</v>
      </c>
      <c r="CY41" s="320" t="s">
        <v>430</v>
      </c>
      <c r="CZ41" s="368">
        <f>+SUM(K41:T41)</f>
        <v>8.4603000000000002</v>
      </c>
    </row>
    <row r="42" spans="1:107" s="121" customFormat="1" ht="12" hidden="1" customHeight="1">
      <c r="A42" s="296"/>
      <c r="B42" s="13"/>
      <c r="C42" s="304"/>
      <c r="D42" s="13"/>
      <c r="E42" s="13" t="s">
        <v>617</v>
      </c>
      <c r="F42" s="305"/>
      <c r="G42" s="306"/>
      <c r="H42" s="355"/>
      <c r="I42" s="355"/>
      <c r="J42" s="13"/>
      <c r="K42" s="7">
        <v>1.34</v>
      </c>
      <c r="L42" s="7">
        <v>0.78</v>
      </c>
      <c r="M42" s="369">
        <v>1.31</v>
      </c>
      <c r="N42" s="7">
        <v>0.93</v>
      </c>
      <c r="O42" s="7">
        <v>1.587</v>
      </c>
      <c r="P42" s="7">
        <v>0.23699999999999999</v>
      </c>
      <c r="Q42" s="7">
        <v>0.192</v>
      </c>
      <c r="R42" s="369">
        <v>9.6000000000000002E-2</v>
      </c>
      <c r="S42" s="7">
        <v>0.14299999999999999</v>
      </c>
      <c r="T42" s="7">
        <v>0.22700000000000001</v>
      </c>
      <c r="U42" s="7">
        <v>0.51900000000000002</v>
      </c>
      <c r="V42" s="7">
        <v>0.61499999999999999</v>
      </c>
      <c r="W42" s="301"/>
      <c r="X42" s="324">
        <f t="shared" si="26"/>
        <v>7.9760000000000009</v>
      </c>
      <c r="Y42" s="310"/>
      <c r="Z42" s="309">
        <v>1</v>
      </c>
      <c r="AA42" s="309">
        <f t="shared" si="28"/>
        <v>0</v>
      </c>
      <c r="AB42" s="310"/>
      <c r="AC42" s="309" t="e">
        <f t="shared" si="29"/>
        <v>#DIV/0!</v>
      </c>
      <c r="AD42" s="2101"/>
      <c r="AE42" s="310"/>
      <c r="AF42" s="309">
        <v>1</v>
      </c>
      <c r="AG42" s="309">
        <f t="shared" si="1"/>
        <v>0</v>
      </c>
      <c r="AH42" s="310"/>
      <c r="AI42" s="309" t="e">
        <f t="shared" si="3"/>
        <v>#DIV/0!</v>
      </c>
      <c r="AJ42" s="2101"/>
      <c r="AK42" s="310"/>
      <c r="AL42" s="309">
        <v>1</v>
      </c>
      <c r="AM42" s="310">
        <f t="shared" si="2"/>
        <v>0</v>
      </c>
      <c r="AN42" s="310"/>
      <c r="AO42" s="309" t="e">
        <f>IF(AL42=0," ",AM42/AN42)</f>
        <v>#DIV/0!</v>
      </c>
      <c r="AP42" s="310"/>
      <c r="AQ42" s="310"/>
      <c r="AR42" s="309">
        <v>1</v>
      </c>
      <c r="AS42" s="310">
        <f t="shared" si="9"/>
        <v>0</v>
      </c>
      <c r="AT42" s="310"/>
      <c r="AU42" s="309" t="e">
        <f t="shared" si="10"/>
        <v>#DIV/0!</v>
      </c>
      <c r="AV42" s="310"/>
      <c r="AW42" s="98"/>
      <c r="AX42" s="98"/>
      <c r="AY42" s="309" t="str">
        <f>IF(AX42=0," ",AW42/AX42)</f>
        <v xml:space="preserve"> </v>
      </c>
      <c r="AZ42" s="98"/>
      <c r="BA42" s="309" t="str">
        <f t="shared" si="11"/>
        <v xml:space="preserve"> </v>
      </c>
      <c r="BB42" s="98"/>
      <c r="BC42" s="311"/>
      <c r="BD42" s="336">
        <v>1</v>
      </c>
      <c r="BE42" s="100">
        <f t="shared" si="12"/>
        <v>0</v>
      </c>
      <c r="BF42" s="311">
        <f t="shared" si="13"/>
        <v>0.23699999999999999</v>
      </c>
      <c r="BG42" s="309">
        <f t="shared" si="15"/>
        <v>0</v>
      </c>
      <c r="BH42" s="310"/>
      <c r="BI42" s="310"/>
      <c r="BJ42" s="313"/>
      <c r="BK42" s="309"/>
      <c r="BL42" s="313" t="str">
        <f>IF(BK42=0," ",BJ42/BK42)</f>
        <v xml:space="preserve"> </v>
      </c>
      <c r="BM42" s="313"/>
      <c r="BN42" s="309" t="str">
        <f t="shared" si="14"/>
        <v xml:space="preserve"> </v>
      </c>
      <c r="BO42" s="310"/>
      <c r="BP42" s="98"/>
      <c r="BQ42" s="98"/>
      <c r="BR42" s="98"/>
      <c r="BS42" s="98"/>
      <c r="BT42" s="309" t="str">
        <f t="shared" si="30"/>
        <v xml:space="preserve"> </v>
      </c>
      <c r="BU42" s="98"/>
      <c r="BV42" s="313"/>
      <c r="BW42" s="313"/>
      <c r="BX42" s="359" t="str">
        <f>IF(BW42=0," ",BV42/BW42)</f>
        <v xml:space="preserve"> </v>
      </c>
      <c r="BY42" s="313"/>
      <c r="BZ42" s="309" t="str">
        <f t="shared" si="17"/>
        <v xml:space="preserve"> </v>
      </c>
      <c r="CA42" s="98"/>
      <c r="CB42" s="98"/>
      <c r="CC42" s="98"/>
      <c r="CD42" s="98"/>
      <c r="CE42" s="98"/>
      <c r="CF42" s="58" t="str">
        <f t="shared" si="31"/>
        <v xml:space="preserve"> </v>
      </c>
      <c r="CG42" s="299"/>
      <c r="CH42" s="310"/>
      <c r="CI42" s="310"/>
      <c r="CJ42" s="315"/>
      <c r="CK42" s="310"/>
      <c r="CL42" s="58" t="str">
        <f t="shared" si="5"/>
        <v xml:space="preserve"> </v>
      </c>
      <c r="CM42" s="2101"/>
      <c r="CN42" s="316"/>
      <c r="CO42" s="331"/>
      <c r="CP42" s="331"/>
      <c r="CQ42" s="331"/>
      <c r="CR42" s="58" t="str">
        <f t="shared" si="32"/>
        <v xml:space="preserve"> </v>
      </c>
      <c r="CS42" s="315"/>
      <c r="CT42" s="310"/>
      <c r="CU42" s="310"/>
      <c r="CV42" s="319" t="e">
        <f t="shared" si="6"/>
        <v>#VALUE!</v>
      </c>
      <c r="CW42" s="320">
        <f t="shared" si="7"/>
        <v>7.9760000000000009</v>
      </c>
      <c r="CX42" s="58" t="str">
        <f t="shared" si="33"/>
        <v xml:space="preserve"> </v>
      </c>
      <c r="CY42" s="370" t="e">
        <f t="shared" ref="CY42:CY68" si="34">+CV42+SUM(U42:V42)</f>
        <v>#VALUE!</v>
      </c>
      <c r="CZ42" s="368">
        <f t="shared" ref="CZ42:CZ70" si="35">+SUM(K42:T42)</f>
        <v>6.8420000000000005</v>
      </c>
    </row>
    <row r="43" spans="1:107" s="121" customFormat="1" ht="11.25" hidden="1" customHeight="1">
      <c r="A43" s="296"/>
      <c r="B43" s="13"/>
      <c r="C43" s="304"/>
      <c r="D43" s="13"/>
      <c r="E43" s="13" t="s">
        <v>618</v>
      </c>
      <c r="F43" s="305"/>
      <c r="G43" s="306"/>
      <c r="H43" s="355"/>
      <c r="I43" s="355"/>
      <c r="J43" s="13"/>
      <c r="K43" s="7"/>
      <c r="L43" s="7"/>
      <c r="M43" s="369"/>
      <c r="N43" s="7"/>
      <c r="O43" s="7"/>
      <c r="P43" s="7"/>
      <c r="Q43" s="7"/>
      <c r="R43" s="369"/>
      <c r="S43" s="7"/>
      <c r="T43" s="7"/>
      <c r="U43" s="7"/>
      <c r="V43" s="7">
        <v>0.08</v>
      </c>
      <c r="W43" s="301"/>
      <c r="X43" s="324">
        <f t="shared" si="26"/>
        <v>0.08</v>
      </c>
      <c r="Y43" s="310"/>
      <c r="Z43" s="309">
        <v>1</v>
      </c>
      <c r="AA43" s="309">
        <f t="shared" si="28"/>
        <v>0</v>
      </c>
      <c r="AB43" s="310"/>
      <c r="AC43" s="309" t="e">
        <f t="shared" si="29"/>
        <v>#DIV/0!</v>
      </c>
      <c r="AD43" s="2101"/>
      <c r="AE43" s="310"/>
      <c r="AF43" s="309">
        <v>1</v>
      </c>
      <c r="AG43" s="309">
        <f t="shared" si="1"/>
        <v>0</v>
      </c>
      <c r="AH43" s="310"/>
      <c r="AI43" s="309" t="e">
        <f t="shared" si="3"/>
        <v>#DIV/0!</v>
      </c>
      <c r="AJ43" s="2101"/>
      <c r="AK43" s="310"/>
      <c r="AL43" s="309">
        <v>1</v>
      </c>
      <c r="AM43" s="310">
        <f t="shared" si="2"/>
        <v>0</v>
      </c>
      <c r="AN43" s="310"/>
      <c r="AO43" s="309" t="e">
        <f t="shared" si="4"/>
        <v>#DIV/0!</v>
      </c>
      <c r="AP43" s="310"/>
      <c r="AQ43" s="310"/>
      <c r="AR43" s="309">
        <v>1</v>
      </c>
      <c r="AS43" s="310">
        <f t="shared" si="9"/>
        <v>0</v>
      </c>
      <c r="AT43" s="310"/>
      <c r="AU43" s="309" t="e">
        <f t="shared" si="10"/>
        <v>#DIV/0!</v>
      </c>
      <c r="AV43" s="310"/>
      <c r="AW43" s="98"/>
      <c r="AX43" s="98"/>
      <c r="AY43" s="309" t="str">
        <f>IF(AX43=0," ",AW43/AX43)</f>
        <v xml:space="preserve"> </v>
      </c>
      <c r="AZ43" s="98"/>
      <c r="BA43" s="309" t="str">
        <f t="shared" si="11"/>
        <v xml:space="preserve"> </v>
      </c>
      <c r="BB43" s="98"/>
      <c r="BC43" s="311"/>
      <c r="BD43" s="336">
        <v>1</v>
      </c>
      <c r="BE43" s="100">
        <f t="shared" si="12"/>
        <v>0</v>
      </c>
      <c r="BF43" s="311">
        <f t="shared" si="13"/>
        <v>0</v>
      </c>
      <c r="BG43" s="309" t="e">
        <f t="shared" si="15"/>
        <v>#DIV/0!</v>
      </c>
      <c r="BH43" s="310"/>
      <c r="BI43" s="310"/>
      <c r="BJ43" s="313"/>
      <c r="BK43" s="309"/>
      <c r="BL43" s="313" t="str">
        <f>IF(BK43=0," ",BJ43/BK43)</f>
        <v xml:space="preserve"> </v>
      </c>
      <c r="BM43" s="313"/>
      <c r="BN43" s="309" t="str">
        <f t="shared" si="14"/>
        <v xml:space="preserve"> </v>
      </c>
      <c r="BO43" s="310"/>
      <c r="BP43" s="98"/>
      <c r="BQ43" s="98"/>
      <c r="BR43" s="98"/>
      <c r="BS43" s="98"/>
      <c r="BT43" s="309" t="str">
        <f t="shared" si="30"/>
        <v xml:space="preserve"> </v>
      </c>
      <c r="BU43" s="98"/>
      <c r="BV43" s="313"/>
      <c r="BW43" s="313"/>
      <c r="BX43" s="359" t="str">
        <f>IF(BW43=0," ",BV43/BW43)</f>
        <v xml:space="preserve"> </v>
      </c>
      <c r="BY43" s="313"/>
      <c r="BZ43" s="309" t="str">
        <f t="shared" si="17"/>
        <v xml:space="preserve"> </v>
      </c>
      <c r="CA43" s="98"/>
      <c r="CB43" s="98"/>
      <c r="CC43" s="98"/>
      <c r="CD43" s="98"/>
      <c r="CE43" s="98"/>
      <c r="CF43" s="58" t="str">
        <f t="shared" si="31"/>
        <v xml:space="preserve"> </v>
      </c>
      <c r="CG43" s="299"/>
      <c r="CH43" s="310"/>
      <c r="CI43" s="310"/>
      <c r="CJ43" s="315"/>
      <c r="CK43" s="310"/>
      <c r="CL43" s="58" t="str">
        <f t="shared" si="5"/>
        <v xml:space="preserve"> </v>
      </c>
      <c r="CM43" s="2101"/>
      <c r="CN43" s="316"/>
      <c r="CO43" s="331"/>
      <c r="CP43" s="331"/>
      <c r="CQ43" s="331"/>
      <c r="CR43" s="58" t="str">
        <f t="shared" si="32"/>
        <v xml:space="preserve"> </v>
      </c>
      <c r="CS43" s="315"/>
      <c r="CT43" s="310"/>
      <c r="CU43" s="310"/>
      <c r="CV43" s="319" t="e">
        <f t="shared" si="6"/>
        <v>#VALUE!</v>
      </c>
      <c r="CW43" s="320">
        <f t="shared" si="7"/>
        <v>0.08</v>
      </c>
      <c r="CX43" s="58" t="str">
        <f t="shared" si="33"/>
        <v xml:space="preserve"> </v>
      </c>
      <c r="CY43" s="370" t="e">
        <f t="shared" si="34"/>
        <v>#VALUE!</v>
      </c>
      <c r="CZ43" s="368">
        <f t="shared" si="35"/>
        <v>0</v>
      </c>
    </row>
    <row r="44" spans="1:107" s="121" customFormat="1" ht="51" customHeight="1">
      <c r="A44" s="296"/>
      <c r="B44" s="13" t="s">
        <v>416</v>
      </c>
      <c r="C44" s="304">
        <v>13</v>
      </c>
      <c r="D44" s="13" t="s">
        <v>619</v>
      </c>
      <c r="E44" s="13" t="s">
        <v>620</v>
      </c>
      <c r="F44" s="305" t="s">
        <v>603</v>
      </c>
      <c r="G44" s="306" t="s">
        <v>53</v>
      </c>
      <c r="H44" s="355" t="s">
        <v>604</v>
      </c>
      <c r="I44" s="355" t="s">
        <v>605</v>
      </c>
      <c r="J44" s="13" t="s">
        <v>621</v>
      </c>
      <c r="K44" s="7">
        <f>+K45+K46</f>
        <v>0.61</v>
      </c>
      <c r="L44" s="7">
        <f t="shared" ref="L44:R44" si="36">+L45+L46</f>
        <v>0.23599999999999999</v>
      </c>
      <c r="M44" s="7">
        <f t="shared" si="36"/>
        <v>0.311</v>
      </c>
      <c r="N44" s="7">
        <f t="shared" si="36"/>
        <v>0.27500000000000002</v>
      </c>
      <c r="O44" s="7">
        <f t="shared" si="36"/>
        <v>0.38900000000000001</v>
      </c>
      <c r="P44" s="7">
        <f t="shared" si="36"/>
        <v>0.24</v>
      </c>
      <c r="Q44" s="7">
        <f t="shared" si="36"/>
        <v>4.8000000000000001E-2</v>
      </c>
      <c r="R44" s="7">
        <f t="shared" si="36"/>
        <v>2.4E-2</v>
      </c>
      <c r="S44" s="7">
        <v>7.5999999999999998E-2</v>
      </c>
      <c r="T44" s="7">
        <v>1.3456999999999999</v>
      </c>
      <c r="U44" s="7">
        <v>0.32700000000000001</v>
      </c>
      <c r="V44" s="7">
        <v>0.20760000000000001</v>
      </c>
      <c r="W44" s="301"/>
      <c r="X44" s="324">
        <f t="shared" si="26"/>
        <v>4.0892999999999997</v>
      </c>
      <c r="Y44" s="310">
        <v>0.61</v>
      </c>
      <c r="Z44" s="309">
        <v>1</v>
      </c>
      <c r="AA44" s="310">
        <f t="shared" si="28"/>
        <v>0.61</v>
      </c>
      <c r="AB44" s="310">
        <v>0.61</v>
      </c>
      <c r="AC44" s="309">
        <f t="shared" si="29"/>
        <v>1</v>
      </c>
      <c r="AD44" s="2101" t="s">
        <v>422</v>
      </c>
      <c r="AE44" s="310">
        <v>0.19</v>
      </c>
      <c r="AF44" s="309">
        <v>1</v>
      </c>
      <c r="AG44" s="310">
        <v>0.23599999999999999</v>
      </c>
      <c r="AH44" s="310">
        <v>0.23599999999999999</v>
      </c>
      <c r="AI44" s="309">
        <f t="shared" si="3"/>
        <v>1</v>
      </c>
      <c r="AJ44" s="310" t="s">
        <v>622</v>
      </c>
      <c r="AK44" s="310">
        <v>0.316</v>
      </c>
      <c r="AL44" s="309">
        <v>1</v>
      </c>
      <c r="AM44" s="310">
        <f t="shared" si="2"/>
        <v>0.316</v>
      </c>
      <c r="AN44" s="310">
        <v>0.311</v>
      </c>
      <c r="AO44" s="309">
        <f t="shared" si="4"/>
        <v>1.0160771704180065</v>
      </c>
      <c r="AP44" s="310" t="s">
        <v>623</v>
      </c>
      <c r="AQ44" s="310">
        <v>0.44400000000000001</v>
      </c>
      <c r="AR44" s="309">
        <v>1</v>
      </c>
      <c r="AS44" s="310">
        <f t="shared" si="9"/>
        <v>0.44400000000000001</v>
      </c>
      <c r="AT44" s="310">
        <v>0.27500000000000002</v>
      </c>
      <c r="AU44" s="309">
        <f t="shared" si="10"/>
        <v>1.6145454545454545</v>
      </c>
      <c r="AV44" s="310" t="s">
        <v>624</v>
      </c>
      <c r="AW44" s="363">
        <v>0.193</v>
      </c>
      <c r="AX44" s="363">
        <v>0.38900000000000001</v>
      </c>
      <c r="AY44" s="363">
        <v>0.193</v>
      </c>
      <c r="AZ44" s="363">
        <v>0.38900000000000001</v>
      </c>
      <c r="BA44" s="309">
        <f t="shared" si="11"/>
        <v>0.49614395886889462</v>
      </c>
      <c r="BB44" s="310" t="s">
        <v>625</v>
      </c>
      <c r="BC44" s="340">
        <v>0.182</v>
      </c>
      <c r="BD44" s="336">
        <v>1</v>
      </c>
      <c r="BE44" s="359">
        <f t="shared" si="12"/>
        <v>0.182</v>
      </c>
      <c r="BF44" s="311">
        <f t="shared" si="13"/>
        <v>0.24</v>
      </c>
      <c r="BG44" s="309">
        <f t="shared" si="15"/>
        <v>0.7583333333333333</v>
      </c>
      <c r="BH44" s="310" t="s">
        <v>626</v>
      </c>
      <c r="BI44" s="310" t="s">
        <v>627</v>
      </c>
      <c r="BJ44" s="313">
        <v>1</v>
      </c>
      <c r="BK44" s="313">
        <v>1</v>
      </c>
      <c r="BL44" s="313">
        <v>0.15759999999999999</v>
      </c>
      <c r="BM44" s="313">
        <v>4.8000000000000001E-2</v>
      </c>
      <c r="BN44" s="309">
        <f t="shared" si="14"/>
        <v>3.2833333333333332</v>
      </c>
      <c r="BO44" s="310" t="s">
        <v>612</v>
      </c>
      <c r="BP44" s="98">
        <v>0.1192</v>
      </c>
      <c r="BQ44" s="98">
        <v>2.4E-2</v>
      </c>
      <c r="BR44" s="98">
        <v>0.1192</v>
      </c>
      <c r="BS44" s="98">
        <v>2.4E-2</v>
      </c>
      <c r="BT44" s="309">
        <f t="shared" si="30"/>
        <v>4.9666666666666668</v>
      </c>
      <c r="BU44" s="364" t="s">
        <v>628</v>
      </c>
      <c r="BV44" s="313">
        <v>3.15</v>
      </c>
      <c r="BW44" s="366">
        <v>7.5999999999999998E-2</v>
      </c>
      <c r="BX44" s="359">
        <v>0.41199999999999998</v>
      </c>
      <c r="BY44" s="313">
        <v>7.5999999999999998E-2</v>
      </c>
      <c r="BZ44" s="309">
        <f t="shared" si="17"/>
        <v>5.4210526315789469</v>
      </c>
      <c r="CA44" s="310" t="s">
        <v>629</v>
      </c>
      <c r="CB44" s="318">
        <v>4.1500000000000004</v>
      </c>
      <c r="CC44" s="318">
        <v>1.3456999999999999</v>
      </c>
      <c r="CD44" s="318">
        <v>0.1842</v>
      </c>
      <c r="CE44" s="318">
        <v>1.3456999999999999</v>
      </c>
      <c r="CF44" s="58">
        <f t="shared" si="31"/>
        <v>0.13688043397488298</v>
      </c>
      <c r="CG44" s="101" t="s">
        <v>630</v>
      </c>
      <c r="CH44" s="310">
        <v>0.2576</v>
      </c>
      <c r="CI44" s="310">
        <v>1</v>
      </c>
      <c r="CJ44" s="315">
        <v>0.251</v>
      </c>
      <c r="CK44" s="310">
        <v>0.32700000000000001</v>
      </c>
      <c r="CL44" s="58">
        <f t="shared" si="5"/>
        <v>0.76758409785932724</v>
      </c>
      <c r="CM44" s="2101" t="s">
        <v>631</v>
      </c>
      <c r="CN44" s="365">
        <v>0.2576</v>
      </c>
      <c r="CO44" s="366">
        <v>1</v>
      </c>
      <c r="CP44" s="367">
        <v>9.1700000000000004E-2</v>
      </c>
      <c r="CQ44" s="7">
        <v>0.20760000000000001</v>
      </c>
      <c r="CR44" s="309">
        <f t="shared" si="32"/>
        <v>0.44171483622350677</v>
      </c>
      <c r="CS44" s="315" t="s">
        <v>632</v>
      </c>
      <c r="CT44" s="310">
        <v>3.1507000000000001</v>
      </c>
      <c r="CU44" s="310">
        <v>4.0892999999999997</v>
      </c>
      <c r="CV44" s="371">
        <f t="shared" si="6"/>
        <v>3.1967000000000003</v>
      </c>
      <c r="CW44" s="320">
        <f>+X44</f>
        <v>4.0892999999999997</v>
      </c>
      <c r="CX44" s="58">
        <f t="shared" si="33"/>
        <v>0.7817230332819799</v>
      </c>
      <c r="CY44" s="320" t="s">
        <v>633</v>
      </c>
      <c r="CZ44" s="368">
        <f t="shared" si="35"/>
        <v>3.5547</v>
      </c>
      <c r="DB44" s="121">
        <v>3.34</v>
      </c>
      <c r="DC44" s="372">
        <f>+DB44-CV44</f>
        <v>0.14329999999999954</v>
      </c>
    </row>
    <row r="45" spans="1:107" s="121" customFormat="1" ht="20.100000000000001" hidden="1" customHeight="1">
      <c r="A45" s="296"/>
      <c r="B45" s="13"/>
      <c r="C45" s="304"/>
      <c r="D45" s="13"/>
      <c r="E45" s="13" t="s">
        <v>617</v>
      </c>
      <c r="F45" s="305"/>
      <c r="G45" s="306"/>
      <c r="H45" s="355"/>
      <c r="I45" s="355"/>
      <c r="J45" s="13"/>
      <c r="K45" s="7">
        <v>0.61</v>
      </c>
      <c r="L45" s="7">
        <v>0.23599999999999999</v>
      </c>
      <c r="M45" s="7">
        <v>0.311</v>
      </c>
      <c r="N45" s="7">
        <v>0.27500000000000002</v>
      </c>
      <c r="O45" s="7">
        <v>0.38900000000000001</v>
      </c>
      <c r="P45" s="7">
        <v>0.24</v>
      </c>
      <c r="Q45" s="7">
        <v>4.8000000000000001E-2</v>
      </c>
      <c r="R45" s="7">
        <v>2.4E-2</v>
      </c>
      <c r="S45" s="7">
        <v>3.5999999999999997E-2</v>
      </c>
      <c r="T45" s="7">
        <v>5.7000000000000002E-2</v>
      </c>
      <c r="U45" s="7">
        <v>0.13</v>
      </c>
      <c r="V45" s="7">
        <v>0.153</v>
      </c>
      <c r="W45" s="301"/>
      <c r="X45" s="324">
        <f t="shared" si="26"/>
        <v>2.5089999999999999</v>
      </c>
      <c r="Y45" s="310"/>
      <c r="Z45" s="309">
        <v>1</v>
      </c>
      <c r="AA45" s="309">
        <f t="shared" si="28"/>
        <v>0</v>
      </c>
      <c r="AB45" s="310"/>
      <c r="AC45" s="309" t="e">
        <f t="shared" si="29"/>
        <v>#DIV/0!</v>
      </c>
      <c r="AD45" s="2101"/>
      <c r="AE45" s="310"/>
      <c r="AF45" s="309">
        <v>1</v>
      </c>
      <c r="AG45" s="309">
        <f t="shared" si="1"/>
        <v>0</v>
      </c>
      <c r="AH45" s="310" t="s">
        <v>634</v>
      </c>
      <c r="AI45" s="309" t="e">
        <f t="shared" si="3"/>
        <v>#VALUE!</v>
      </c>
      <c r="AJ45" s="310"/>
      <c r="AK45" s="310"/>
      <c r="AL45" s="309">
        <v>1</v>
      </c>
      <c r="AM45" s="310">
        <f t="shared" si="2"/>
        <v>0</v>
      </c>
      <c r="AN45" s="310" t="s">
        <v>623</v>
      </c>
      <c r="AO45" s="309" t="e">
        <f t="shared" si="4"/>
        <v>#VALUE!</v>
      </c>
      <c r="AP45" s="310"/>
      <c r="AQ45" s="310"/>
      <c r="AR45" s="309">
        <v>1</v>
      </c>
      <c r="AS45" s="310">
        <f t="shared" si="9"/>
        <v>0</v>
      </c>
      <c r="AT45" s="310"/>
      <c r="AU45" s="309" t="e">
        <f t="shared" si="10"/>
        <v>#DIV/0!</v>
      </c>
      <c r="AV45" s="310"/>
      <c r="AW45" s="98"/>
      <c r="AX45" s="98"/>
      <c r="AY45" s="309" t="str">
        <f t="shared" ref="AY45:AY52" si="37">IF(AX45=0," ",AW45/AX45)</f>
        <v xml:space="preserve"> </v>
      </c>
      <c r="AZ45" s="98"/>
      <c r="BA45" s="309" t="str">
        <f t="shared" si="11"/>
        <v xml:space="preserve"> </v>
      </c>
      <c r="BB45" s="98"/>
      <c r="BC45" s="311"/>
      <c r="BD45" s="336">
        <v>1</v>
      </c>
      <c r="BE45" s="100">
        <f t="shared" si="12"/>
        <v>0</v>
      </c>
      <c r="BF45" s="311">
        <f t="shared" si="13"/>
        <v>0.24</v>
      </c>
      <c r="BG45" s="309">
        <f t="shared" si="15"/>
        <v>0</v>
      </c>
      <c r="BH45" s="310"/>
      <c r="BI45" s="310"/>
      <c r="BJ45" s="313"/>
      <c r="BK45" s="309"/>
      <c r="BL45" s="313" t="str">
        <f>IF(BK45=0," ",BJ45/BK45)</f>
        <v xml:space="preserve"> </v>
      </c>
      <c r="BM45" s="313"/>
      <c r="BN45" s="309" t="str">
        <f t="shared" si="14"/>
        <v xml:space="preserve"> </v>
      </c>
      <c r="BO45" s="310"/>
      <c r="BP45" s="98"/>
      <c r="BQ45" s="98"/>
      <c r="BR45" s="98"/>
      <c r="BS45" s="98"/>
      <c r="BT45" s="309" t="str">
        <f t="shared" si="30"/>
        <v xml:space="preserve"> </v>
      </c>
      <c r="BU45" s="98"/>
      <c r="BV45" s="313"/>
      <c r="BW45" s="313"/>
      <c r="BX45" s="359" t="str">
        <f>IF(BW45=0," ",BV45/BW45)</f>
        <v xml:space="preserve"> </v>
      </c>
      <c r="BY45" s="313"/>
      <c r="BZ45" s="309" t="str">
        <f t="shared" si="17"/>
        <v xml:space="preserve"> </v>
      </c>
      <c r="CA45" s="98"/>
      <c r="CB45" s="318"/>
      <c r="CC45" s="318"/>
      <c r="CD45" s="318"/>
      <c r="CE45" s="318"/>
      <c r="CF45" s="58" t="str">
        <f t="shared" si="31"/>
        <v xml:space="preserve"> </v>
      </c>
      <c r="CG45" s="299"/>
      <c r="CH45" s="310"/>
      <c r="CI45" s="310"/>
      <c r="CJ45" s="315"/>
      <c r="CK45" s="310"/>
      <c r="CL45" s="58" t="str">
        <f t="shared" si="5"/>
        <v xml:space="preserve"> </v>
      </c>
      <c r="CM45" s="2101"/>
      <c r="CN45" s="316"/>
      <c r="CO45" s="331"/>
      <c r="CP45" s="331"/>
      <c r="CQ45" s="331"/>
      <c r="CR45" s="58" t="str">
        <f t="shared" si="32"/>
        <v xml:space="preserve"> </v>
      </c>
      <c r="CS45" s="315"/>
      <c r="CT45" s="310"/>
      <c r="CU45" s="310"/>
      <c r="CV45" s="371" t="e">
        <f t="shared" si="6"/>
        <v>#VALUE!</v>
      </c>
      <c r="CW45" s="320">
        <f t="shared" si="7"/>
        <v>2.5089999999999999</v>
      </c>
      <c r="CX45" s="58" t="str">
        <f t="shared" si="33"/>
        <v xml:space="preserve"> </v>
      </c>
      <c r="CY45" s="370" t="e">
        <f t="shared" si="34"/>
        <v>#VALUE!</v>
      </c>
      <c r="CZ45" s="368">
        <f t="shared" si="35"/>
        <v>2.226</v>
      </c>
    </row>
    <row r="46" spans="1:107" s="121" customFormat="1" ht="20.100000000000001" hidden="1" customHeight="1">
      <c r="A46" s="296"/>
      <c r="B46" s="13"/>
      <c r="C46" s="304"/>
      <c r="D46" s="13"/>
      <c r="E46" s="13" t="s">
        <v>618</v>
      </c>
      <c r="F46" s="305"/>
      <c r="G46" s="306"/>
      <c r="H46" s="355"/>
      <c r="I46" s="355"/>
      <c r="J46" s="13"/>
      <c r="K46" s="7"/>
      <c r="L46" s="7"/>
      <c r="M46" s="7"/>
      <c r="N46" s="7"/>
      <c r="O46" s="7"/>
      <c r="P46" s="7"/>
      <c r="Q46" s="7"/>
      <c r="R46" s="7"/>
      <c r="S46" s="7"/>
      <c r="T46" s="7"/>
      <c r="U46" s="7"/>
      <c r="V46" s="7"/>
      <c r="W46" s="301"/>
      <c r="X46" s="324">
        <f t="shared" si="26"/>
        <v>0</v>
      </c>
      <c r="Y46" s="310"/>
      <c r="Z46" s="309">
        <v>1</v>
      </c>
      <c r="AA46" s="309">
        <f t="shared" si="28"/>
        <v>0</v>
      </c>
      <c r="AB46" s="310"/>
      <c r="AC46" s="309" t="e">
        <f t="shared" si="29"/>
        <v>#DIV/0!</v>
      </c>
      <c r="AD46" s="2101"/>
      <c r="AE46" s="310"/>
      <c r="AF46" s="309">
        <v>1</v>
      </c>
      <c r="AG46" s="309">
        <f t="shared" si="1"/>
        <v>0</v>
      </c>
      <c r="AH46" s="310"/>
      <c r="AI46" s="309" t="e">
        <f t="shared" si="3"/>
        <v>#DIV/0!</v>
      </c>
      <c r="AJ46" s="310"/>
      <c r="AK46" s="310"/>
      <c r="AL46" s="309">
        <v>1</v>
      </c>
      <c r="AM46" s="310">
        <f t="shared" si="2"/>
        <v>0</v>
      </c>
      <c r="AN46" s="310"/>
      <c r="AO46" s="309" t="e">
        <f t="shared" si="4"/>
        <v>#DIV/0!</v>
      </c>
      <c r="AP46" s="310"/>
      <c r="AQ46" s="310"/>
      <c r="AR46" s="309">
        <v>1</v>
      </c>
      <c r="AS46" s="310">
        <f t="shared" si="9"/>
        <v>0</v>
      </c>
      <c r="AT46" s="310"/>
      <c r="AU46" s="309" t="e">
        <f t="shared" si="10"/>
        <v>#DIV/0!</v>
      </c>
      <c r="AV46" s="310"/>
      <c r="AW46" s="98"/>
      <c r="AX46" s="98"/>
      <c r="AY46" s="309" t="str">
        <f t="shared" si="37"/>
        <v xml:space="preserve"> </v>
      </c>
      <c r="AZ46" s="98"/>
      <c r="BA46" s="309" t="str">
        <f t="shared" si="11"/>
        <v xml:space="preserve"> </v>
      </c>
      <c r="BB46" s="98"/>
      <c r="BC46" s="311"/>
      <c r="BD46" s="336">
        <v>1</v>
      </c>
      <c r="BE46" s="100">
        <f t="shared" si="12"/>
        <v>0</v>
      </c>
      <c r="BF46" s="311">
        <f t="shared" si="13"/>
        <v>0</v>
      </c>
      <c r="BG46" s="309" t="e">
        <f t="shared" si="15"/>
        <v>#DIV/0!</v>
      </c>
      <c r="BH46" s="310"/>
      <c r="BI46" s="310"/>
      <c r="BJ46" s="313"/>
      <c r="BK46" s="309"/>
      <c r="BL46" s="313" t="str">
        <f>IF(BK46=0," ",BJ46/BK46)</f>
        <v xml:space="preserve"> </v>
      </c>
      <c r="BM46" s="313"/>
      <c r="BN46" s="309" t="str">
        <f t="shared" si="14"/>
        <v xml:space="preserve"> </v>
      </c>
      <c r="BO46" s="310"/>
      <c r="BP46" s="98"/>
      <c r="BQ46" s="98"/>
      <c r="BR46" s="98"/>
      <c r="BS46" s="98"/>
      <c r="BT46" s="309" t="str">
        <f t="shared" si="30"/>
        <v xml:space="preserve"> </v>
      </c>
      <c r="BU46" s="98"/>
      <c r="BV46" s="313"/>
      <c r="BW46" s="313"/>
      <c r="BX46" s="359" t="str">
        <f>IF(BW46=0," ",BV46/BW46)</f>
        <v xml:space="preserve"> </v>
      </c>
      <c r="BY46" s="313"/>
      <c r="BZ46" s="309" t="str">
        <f t="shared" si="17"/>
        <v xml:space="preserve"> </v>
      </c>
      <c r="CA46" s="98"/>
      <c r="CB46" s="318"/>
      <c r="CC46" s="318"/>
      <c r="CD46" s="318"/>
      <c r="CE46" s="318"/>
      <c r="CF46" s="58" t="str">
        <f t="shared" si="31"/>
        <v xml:space="preserve"> </v>
      </c>
      <c r="CG46" s="299"/>
      <c r="CH46" s="310"/>
      <c r="CI46" s="310"/>
      <c r="CJ46" s="315"/>
      <c r="CK46" s="310"/>
      <c r="CL46" s="58" t="str">
        <f t="shared" si="5"/>
        <v xml:space="preserve"> </v>
      </c>
      <c r="CM46" s="2101"/>
      <c r="CN46" s="316"/>
      <c r="CO46" s="331"/>
      <c r="CP46" s="331"/>
      <c r="CQ46" s="331"/>
      <c r="CR46" s="58" t="str">
        <f t="shared" si="32"/>
        <v xml:space="preserve"> </v>
      </c>
      <c r="CS46" s="315"/>
      <c r="CT46" s="310"/>
      <c r="CU46" s="310"/>
      <c r="CV46" s="371" t="e">
        <f t="shared" si="6"/>
        <v>#VALUE!</v>
      </c>
      <c r="CW46" s="320">
        <f t="shared" si="7"/>
        <v>0</v>
      </c>
      <c r="CX46" s="58" t="str">
        <f t="shared" si="33"/>
        <v xml:space="preserve"> </v>
      </c>
      <c r="CY46" s="370" t="e">
        <f t="shared" si="34"/>
        <v>#VALUE!</v>
      </c>
      <c r="CZ46" s="368">
        <f t="shared" si="35"/>
        <v>0</v>
      </c>
    </row>
    <row r="47" spans="1:107" s="121" customFormat="1" ht="52.5" customHeight="1">
      <c r="A47" s="296"/>
      <c r="B47" s="13" t="s">
        <v>416</v>
      </c>
      <c r="C47" s="304">
        <v>14</v>
      </c>
      <c r="D47" s="13" t="s">
        <v>635</v>
      </c>
      <c r="E47" s="13" t="s">
        <v>636</v>
      </c>
      <c r="F47" s="305" t="s">
        <v>603</v>
      </c>
      <c r="G47" s="306" t="s">
        <v>53</v>
      </c>
      <c r="H47" s="13" t="s">
        <v>604</v>
      </c>
      <c r="I47" s="355" t="s">
        <v>605</v>
      </c>
      <c r="J47" s="13" t="s">
        <v>637</v>
      </c>
      <c r="K47" s="373">
        <f t="shared" ref="K47:V47" si="38">+K48+K49</f>
        <v>0</v>
      </c>
      <c r="L47" s="373">
        <f t="shared" si="38"/>
        <v>0</v>
      </c>
      <c r="M47" s="7">
        <f t="shared" si="38"/>
        <v>0.1</v>
      </c>
      <c r="N47" s="7">
        <f t="shared" si="38"/>
        <v>0.2</v>
      </c>
      <c r="O47" s="7">
        <f t="shared" si="38"/>
        <v>0.3</v>
      </c>
      <c r="P47" s="7">
        <f t="shared" si="38"/>
        <v>0.4</v>
      </c>
      <c r="Q47" s="7">
        <f t="shared" si="38"/>
        <v>1</v>
      </c>
      <c r="R47" s="373">
        <f t="shared" si="38"/>
        <v>0</v>
      </c>
      <c r="S47" s="373">
        <f t="shared" si="38"/>
        <v>0</v>
      </c>
      <c r="T47" s="373">
        <f t="shared" si="38"/>
        <v>0</v>
      </c>
      <c r="U47" s="373">
        <f t="shared" si="38"/>
        <v>0</v>
      </c>
      <c r="V47" s="373">
        <f t="shared" si="38"/>
        <v>0</v>
      </c>
      <c r="W47" s="301"/>
      <c r="X47" s="324">
        <f t="shared" si="26"/>
        <v>2</v>
      </c>
      <c r="Y47" s="310" t="s">
        <v>423</v>
      </c>
      <c r="Z47" s="310" t="s">
        <v>423</v>
      </c>
      <c r="AA47" s="310"/>
      <c r="AB47" s="310"/>
      <c r="AC47" s="310" t="s">
        <v>423</v>
      </c>
      <c r="AD47" s="2101" t="s">
        <v>424</v>
      </c>
      <c r="AE47" s="310" t="s">
        <v>423</v>
      </c>
      <c r="AF47" s="310" t="s">
        <v>423</v>
      </c>
      <c r="AG47" s="310"/>
      <c r="AH47" s="310"/>
      <c r="AI47" s="310" t="s">
        <v>423</v>
      </c>
      <c r="AJ47" s="2101" t="s">
        <v>424</v>
      </c>
      <c r="AK47" s="310">
        <v>5.0000000000000001E-3</v>
      </c>
      <c r="AL47" s="309">
        <v>1</v>
      </c>
      <c r="AM47" s="310">
        <f t="shared" si="2"/>
        <v>5.0000000000000001E-3</v>
      </c>
      <c r="AN47" s="310">
        <v>0.1</v>
      </c>
      <c r="AO47" s="309">
        <f t="shared" si="4"/>
        <v>4.9999999999999996E-2</v>
      </c>
      <c r="AP47" s="310" t="s">
        <v>638</v>
      </c>
      <c r="AQ47" s="310">
        <v>5.0000000000000001E-3</v>
      </c>
      <c r="AR47" s="309">
        <v>1</v>
      </c>
      <c r="AS47" s="310">
        <f t="shared" si="9"/>
        <v>5.0000000000000001E-3</v>
      </c>
      <c r="AT47" s="310">
        <v>0.2</v>
      </c>
      <c r="AU47" s="309">
        <f t="shared" si="10"/>
        <v>2.4999999999999998E-2</v>
      </c>
      <c r="AV47" s="310" t="s">
        <v>639</v>
      </c>
      <c r="AW47" s="350">
        <v>5.0000000000000001E-3</v>
      </c>
      <c r="AX47" s="350">
        <v>1</v>
      </c>
      <c r="AY47" s="374">
        <f t="shared" si="37"/>
        <v>5.0000000000000001E-3</v>
      </c>
      <c r="AZ47" s="375">
        <f>+P47</f>
        <v>0.4</v>
      </c>
      <c r="BA47" s="309">
        <f t="shared" si="11"/>
        <v>1.2499999999999999E-2</v>
      </c>
      <c r="BB47" s="364" t="s">
        <v>640</v>
      </c>
      <c r="BC47" s="376">
        <v>1.0049999999999999</v>
      </c>
      <c r="BD47" s="336">
        <v>1</v>
      </c>
      <c r="BE47" s="100">
        <f t="shared" si="12"/>
        <v>1.0049999999999999</v>
      </c>
      <c r="BF47" s="311">
        <f t="shared" si="13"/>
        <v>0.4</v>
      </c>
      <c r="BG47" s="309">
        <f t="shared" si="15"/>
        <v>2.5124999999999997</v>
      </c>
      <c r="BH47" s="310" t="s">
        <v>641</v>
      </c>
      <c r="BI47" s="310" t="s">
        <v>642</v>
      </c>
      <c r="BJ47" s="313">
        <v>1</v>
      </c>
      <c r="BK47" s="309">
        <v>1</v>
      </c>
      <c r="BL47" s="313">
        <v>0</v>
      </c>
      <c r="BM47" s="313">
        <v>1</v>
      </c>
      <c r="BN47" s="309">
        <f t="shared" si="14"/>
        <v>0</v>
      </c>
      <c r="BO47" s="310" t="s">
        <v>643</v>
      </c>
      <c r="BP47" s="98">
        <v>1</v>
      </c>
      <c r="BQ47" s="98">
        <v>1</v>
      </c>
      <c r="BR47" s="98">
        <v>5.0000000000000001E-3</v>
      </c>
      <c r="BS47" s="98">
        <v>0</v>
      </c>
      <c r="BT47" s="309" t="e">
        <f t="shared" si="30"/>
        <v>#DIV/0!</v>
      </c>
      <c r="BU47" s="364" t="s">
        <v>644</v>
      </c>
      <c r="BV47" s="313">
        <v>0</v>
      </c>
      <c r="BW47" s="313">
        <v>0</v>
      </c>
      <c r="BX47" s="313">
        <v>0.67</v>
      </c>
      <c r="BY47" s="313">
        <v>0</v>
      </c>
      <c r="BZ47" s="309" t="str">
        <f t="shared" si="17"/>
        <v xml:space="preserve"> </v>
      </c>
      <c r="CA47" s="2101" t="s">
        <v>645</v>
      </c>
      <c r="CB47" s="318">
        <v>2</v>
      </c>
      <c r="CC47" s="318">
        <v>0</v>
      </c>
      <c r="CD47" s="318">
        <v>0.25</v>
      </c>
      <c r="CE47" s="318">
        <v>0</v>
      </c>
      <c r="CF47" s="58">
        <v>1</v>
      </c>
      <c r="CG47" s="101" t="s">
        <v>646</v>
      </c>
      <c r="CH47" s="310">
        <v>2</v>
      </c>
      <c r="CI47" s="310">
        <v>0</v>
      </c>
      <c r="CJ47" s="315">
        <v>0.05</v>
      </c>
      <c r="CK47" s="310">
        <v>0</v>
      </c>
      <c r="CL47" s="58">
        <v>1</v>
      </c>
      <c r="CM47" s="315" t="s">
        <v>647</v>
      </c>
      <c r="CN47" s="316" t="s">
        <v>325</v>
      </c>
      <c r="CO47" s="316" t="s">
        <v>325</v>
      </c>
      <c r="CP47" s="316"/>
      <c r="CQ47" s="316" t="s">
        <v>325</v>
      </c>
      <c r="CR47" s="316" t="s">
        <v>325</v>
      </c>
      <c r="CS47" s="315" t="s">
        <v>429</v>
      </c>
      <c r="CT47" s="310">
        <v>1.9949999999999999</v>
      </c>
      <c r="CU47" s="310">
        <v>2</v>
      </c>
      <c r="CV47" s="371">
        <f t="shared" si="6"/>
        <v>1.9949999999999999</v>
      </c>
      <c r="CW47" s="320">
        <f t="shared" si="7"/>
        <v>2</v>
      </c>
      <c r="CX47" s="58">
        <f t="shared" si="33"/>
        <v>0.99749999999999994</v>
      </c>
      <c r="CY47" s="320" t="s">
        <v>430</v>
      </c>
      <c r="CZ47" s="368">
        <f t="shared" si="35"/>
        <v>2</v>
      </c>
    </row>
    <row r="48" spans="1:107" s="121" customFormat="1" ht="20.100000000000001" hidden="1" customHeight="1">
      <c r="A48" s="296"/>
      <c r="B48" s="13"/>
      <c r="C48" s="304"/>
      <c r="D48" s="13"/>
      <c r="E48" s="13" t="s">
        <v>617</v>
      </c>
      <c r="F48" s="305"/>
      <c r="G48" s="306"/>
      <c r="H48" s="355"/>
      <c r="I48" s="355"/>
      <c r="J48" s="13"/>
      <c r="K48" s="7"/>
      <c r="L48" s="7"/>
      <c r="M48" s="12"/>
      <c r="N48" s="7"/>
      <c r="O48" s="7"/>
      <c r="P48" s="13"/>
      <c r="Q48" s="346">
        <v>1</v>
      </c>
      <c r="R48" s="74"/>
      <c r="S48" s="74"/>
      <c r="T48" s="74"/>
      <c r="U48" s="74"/>
      <c r="V48" s="74"/>
      <c r="W48" s="301"/>
      <c r="X48" s="324">
        <f t="shared" si="26"/>
        <v>1</v>
      </c>
      <c r="Y48" s="310"/>
      <c r="Z48" s="309">
        <v>1</v>
      </c>
      <c r="AA48" s="309">
        <f t="shared" ref="AA48:AA61" si="39">IF(Z48=0," ",Y48/Z48)</f>
        <v>0</v>
      </c>
      <c r="AB48" s="310"/>
      <c r="AC48" s="309" t="e">
        <f t="shared" ref="AC48:AC61" si="40">IF(Z48=0," ",AA48/AB48)</f>
        <v>#DIV/0!</v>
      </c>
      <c r="AD48" s="2101"/>
      <c r="AE48" s="310"/>
      <c r="AF48" s="309">
        <v>1</v>
      </c>
      <c r="AG48" s="309">
        <f t="shared" si="1"/>
        <v>0</v>
      </c>
      <c r="AH48" s="310"/>
      <c r="AI48" s="309" t="e">
        <f t="shared" si="3"/>
        <v>#DIV/0!</v>
      </c>
      <c r="AJ48" s="2101"/>
      <c r="AK48" s="310"/>
      <c r="AL48" s="309">
        <v>1</v>
      </c>
      <c r="AM48" s="309">
        <f t="shared" si="2"/>
        <v>0</v>
      </c>
      <c r="AN48" s="310"/>
      <c r="AO48" s="309" t="e">
        <f t="shared" si="4"/>
        <v>#DIV/0!</v>
      </c>
      <c r="AP48" s="310"/>
      <c r="AQ48" s="310"/>
      <c r="AR48" s="309">
        <v>1</v>
      </c>
      <c r="AS48" s="310">
        <f t="shared" si="9"/>
        <v>0</v>
      </c>
      <c r="AT48" s="310" t="s">
        <v>638</v>
      </c>
      <c r="AU48" s="309" t="e">
        <f t="shared" si="10"/>
        <v>#VALUE!</v>
      </c>
      <c r="AV48" s="310"/>
      <c r="AW48" s="98"/>
      <c r="AX48" s="98"/>
      <c r="AY48" s="309" t="str">
        <f t="shared" si="37"/>
        <v xml:space="preserve"> </v>
      </c>
      <c r="AZ48" s="98"/>
      <c r="BA48" s="309" t="str">
        <f t="shared" si="11"/>
        <v xml:space="preserve"> </v>
      </c>
      <c r="BB48" s="98"/>
      <c r="BC48" s="311"/>
      <c r="BD48" s="336">
        <v>1</v>
      </c>
      <c r="BE48" s="100">
        <f t="shared" si="12"/>
        <v>0</v>
      </c>
      <c r="BF48" s="311">
        <f t="shared" si="13"/>
        <v>0</v>
      </c>
      <c r="BG48" s="309" t="e">
        <f t="shared" si="15"/>
        <v>#DIV/0!</v>
      </c>
      <c r="BH48" s="310"/>
      <c r="BI48" s="310"/>
      <c r="BJ48" s="313"/>
      <c r="BK48" s="309"/>
      <c r="BL48" s="313" t="str">
        <f>IF(BK48=0," ",BJ48/BK48)</f>
        <v xml:space="preserve"> </v>
      </c>
      <c r="BM48" s="313"/>
      <c r="BN48" s="309" t="str">
        <f t="shared" si="14"/>
        <v xml:space="preserve"> </v>
      </c>
      <c r="BO48" s="310"/>
      <c r="BP48" s="98"/>
      <c r="BQ48" s="98"/>
      <c r="BR48" s="98"/>
      <c r="BS48" s="98"/>
      <c r="BT48" s="309" t="str">
        <f t="shared" si="30"/>
        <v xml:space="preserve"> </v>
      </c>
      <c r="BU48" s="98"/>
      <c r="BV48" s="313"/>
      <c r="BW48" s="313" t="s">
        <v>325</v>
      </c>
      <c r="BX48" s="313" t="s">
        <v>325</v>
      </c>
      <c r="BY48" s="313" t="s">
        <v>325</v>
      </c>
      <c r="BZ48" s="313" t="s">
        <v>325</v>
      </c>
      <c r="CA48" s="2101"/>
      <c r="CB48" s="98"/>
      <c r="CC48" s="98"/>
      <c r="CD48" s="98"/>
      <c r="CE48" s="98"/>
      <c r="CF48" s="58" t="str">
        <f t="shared" si="31"/>
        <v xml:space="preserve"> </v>
      </c>
      <c r="CG48" s="299"/>
      <c r="CH48" s="310"/>
      <c r="CI48" s="310"/>
      <c r="CJ48" s="315"/>
      <c r="CK48" s="310"/>
      <c r="CL48" s="58" t="str">
        <f t="shared" si="5"/>
        <v xml:space="preserve"> </v>
      </c>
      <c r="CM48" s="315"/>
      <c r="CN48" s="316"/>
      <c r="CO48" s="331"/>
      <c r="CP48" s="331"/>
      <c r="CQ48" s="331"/>
      <c r="CR48" s="58" t="str">
        <f>IF(CO48=0," ",CP48/CQ48)</f>
        <v xml:space="preserve"> </v>
      </c>
      <c r="CS48" s="299"/>
      <c r="CT48" s="310"/>
      <c r="CU48" s="310"/>
      <c r="CV48" s="319" t="e">
        <f t="shared" si="6"/>
        <v>#VALUE!</v>
      </c>
      <c r="CW48" s="320">
        <f t="shared" si="7"/>
        <v>1</v>
      </c>
      <c r="CX48" s="58" t="str">
        <f t="shared" si="33"/>
        <v xml:space="preserve"> </v>
      </c>
      <c r="CY48" s="370" t="e">
        <f t="shared" si="34"/>
        <v>#VALUE!</v>
      </c>
      <c r="CZ48" s="368">
        <f t="shared" si="35"/>
        <v>1</v>
      </c>
    </row>
    <row r="49" spans="1:104" s="121" customFormat="1" ht="20.100000000000001" hidden="1" customHeight="1">
      <c r="A49" s="296"/>
      <c r="B49" s="13"/>
      <c r="C49" s="304"/>
      <c r="D49" s="13"/>
      <c r="E49" s="13" t="s">
        <v>618</v>
      </c>
      <c r="F49" s="305"/>
      <c r="G49" s="306"/>
      <c r="H49" s="355"/>
      <c r="I49" s="355"/>
      <c r="J49" s="13"/>
      <c r="K49" s="7"/>
      <c r="L49" s="7"/>
      <c r="M49" s="7">
        <v>0.1</v>
      </c>
      <c r="N49" s="7">
        <v>0.2</v>
      </c>
      <c r="O49" s="7">
        <v>0.3</v>
      </c>
      <c r="P49" s="7">
        <v>0.4</v>
      </c>
      <c r="Q49" s="7"/>
      <c r="R49" s="74"/>
      <c r="S49" s="74"/>
      <c r="T49" s="74"/>
      <c r="U49" s="74"/>
      <c r="V49" s="74"/>
      <c r="W49" s="301"/>
      <c r="X49" s="324">
        <f t="shared" si="26"/>
        <v>1</v>
      </c>
      <c r="Y49" s="310"/>
      <c r="Z49" s="309">
        <v>1</v>
      </c>
      <c r="AA49" s="309">
        <f t="shared" si="39"/>
        <v>0</v>
      </c>
      <c r="AB49" s="310"/>
      <c r="AC49" s="309" t="e">
        <f t="shared" si="40"/>
        <v>#DIV/0!</v>
      </c>
      <c r="AD49" s="2101"/>
      <c r="AE49" s="310"/>
      <c r="AF49" s="309">
        <v>1</v>
      </c>
      <c r="AG49" s="309">
        <f t="shared" si="1"/>
        <v>0</v>
      </c>
      <c r="AH49" s="310"/>
      <c r="AI49" s="309" t="e">
        <f t="shared" si="3"/>
        <v>#DIV/0!</v>
      </c>
      <c r="AJ49" s="2101"/>
      <c r="AK49" s="310"/>
      <c r="AL49" s="309">
        <v>1</v>
      </c>
      <c r="AM49" s="309">
        <f t="shared" si="2"/>
        <v>0</v>
      </c>
      <c r="AN49" s="310"/>
      <c r="AO49" s="309" t="e">
        <f t="shared" si="4"/>
        <v>#DIV/0!</v>
      </c>
      <c r="AP49" s="310"/>
      <c r="AQ49" s="310"/>
      <c r="AR49" s="309">
        <v>1</v>
      </c>
      <c r="AS49" s="310">
        <f t="shared" si="9"/>
        <v>0</v>
      </c>
      <c r="AT49" s="310"/>
      <c r="AU49" s="309" t="e">
        <f t="shared" si="10"/>
        <v>#DIV/0!</v>
      </c>
      <c r="AV49" s="310"/>
      <c r="AW49" s="98"/>
      <c r="AX49" s="98"/>
      <c r="AY49" s="309" t="str">
        <f t="shared" si="37"/>
        <v xml:space="preserve"> </v>
      </c>
      <c r="AZ49" s="98"/>
      <c r="BA49" s="309" t="str">
        <f t="shared" si="11"/>
        <v xml:space="preserve"> </v>
      </c>
      <c r="BB49" s="98"/>
      <c r="BC49" s="311"/>
      <c r="BD49" s="336">
        <v>1</v>
      </c>
      <c r="BE49" s="100">
        <f t="shared" si="12"/>
        <v>0</v>
      </c>
      <c r="BF49" s="311">
        <f t="shared" si="13"/>
        <v>0.4</v>
      </c>
      <c r="BG49" s="309">
        <f t="shared" si="15"/>
        <v>0</v>
      </c>
      <c r="BH49" s="310"/>
      <c r="BI49" s="310"/>
      <c r="BJ49" s="313"/>
      <c r="BK49" s="309"/>
      <c r="BL49" s="313" t="str">
        <f>IF(BK49=0," ",BJ49/BK49)</f>
        <v xml:space="preserve"> </v>
      </c>
      <c r="BM49" s="313"/>
      <c r="BN49" s="309" t="str">
        <f t="shared" si="14"/>
        <v xml:space="preserve"> </v>
      </c>
      <c r="BO49" s="310"/>
      <c r="BP49" s="98"/>
      <c r="BQ49" s="98"/>
      <c r="BR49" s="98"/>
      <c r="BS49" s="98"/>
      <c r="BT49" s="309" t="str">
        <f t="shared" si="30"/>
        <v xml:space="preserve"> </v>
      </c>
      <c r="BU49" s="98"/>
      <c r="BV49" s="313" t="s">
        <v>325</v>
      </c>
      <c r="BW49" s="313" t="s">
        <v>325</v>
      </c>
      <c r="BX49" s="313" t="s">
        <v>325</v>
      </c>
      <c r="BY49" s="313" t="s">
        <v>325</v>
      </c>
      <c r="BZ49" s="313" t="s">
        <v>325</v>
      </c>
      <c r="CA49" s="2101"/>
      <c r="CB49" s="98"/>
      <c r="CC49" s="98"/>
      <c r="CD49" s="98"/>
      <c r="CE49" s="98"/>
      <c r="CF49" s="58" t="str">
        <f t="shared" si="31"/>
        <v xml:space="preserve"> </v>
      </c>
      <c r="CG49" s="299"/>
      <c r="CH49" s="310"/>
      <c r="CI49" s="310"/>
      <c r="CJ49" s="315"/>
      <c r="CK49" s="310"/>
      <c r="CL49" s="58" t="str">
        <f t="shared" si="5"/>
        <v xml:space="preserve"> </v>
      </c>
      <c r="CM49" s="315"/>
      <c r="CN49" s="316"/>
      <c r="CO49" s="331"/>
      <c r="CP49" s="331"/>
      <c r="CQ49" s="331"/>
      <c r="CR49" s="58" t="str">
        <f>IF(CO49=0," ",CP49/CQ49)</f>
        <v xml:space="preserve"> </v>
      </c>
      <c r="CS49" s="299"/>
      <c r="CT49" s="310"/>
      <c r="CU49" s="310"/>
      <c r="CV49" s="319" t="e">
        <f t="shared" si="6"/>
        <v>#VALUE!</v>
      </c>
      <c r="CW49" s="320">
        <f t="shared" si="7"/>
        <v>1</v>
      </c>
      <c r="CX49" s="58" t="str">
        <f t="shared" si="33"/>
        <v xml:space="preserve"> </v>
      </c>
      <c r="CY49" s="370" t="e">
        <f t="shared" si="34"/>
        <v>#VALUE!</v>
      </c>
      <c r="CZ49" s="368">
        <f t="shared" si="35"/>
        <v>1</v>
      </c>
    </row>
    <row r="50" spans="1:104" s="121" customFormat="1" ht="47.25" customHeight="1">
      <c r="A50" s="296"/>
      <c r="B50" s="13" t="s">
        <v>416</v>
      </c>
      <c r="C50" s="13">
        <v>15</v>
      </c>
      <c r="D50" s="13" t="s">
        <v>648</v>
      </c>
      <c r="E50" s="13" t="s">
        <v>649</v>
      </c>
      <c r="F50" s="13" t="s">
        <v>603</v>
      </c>
      <c r="G50" s="13" t="s">
        <v>53</v>
      </c>
      <c r="H50" s="13" t="s">
        <v>604</v>
      </c>
      <c r="I50" s="13" t="s">
        <v>605</v>
      </c>
      <c r="J50" s="13" t="s">
        <v>650</v>
      </c>
      <c r="K50" s="7">
        <f t="shared" ref="K50:Q50" si="41">+K51+K52</f>
        <v>6.7000000000000004E-2</v>
      </c>
      <c r="L50" s="7">
        <f t="shared" si="41"/>
        <v>6.7000000000000004E-2</v>
      </c>
      <c r="M50" s="7">
        <f t="shared" si="41"/>
        <v>6.7000000000000004E-2</v>
      </c>
      <c r="N50" s="7">
        <f t="shared" si="41"/>
        <v>6.7000000000000004E-2</v>
      </c>
      <c r="O50" s="7">
        <f t="shared" si="41"/>
        <v>6.7000000000000004E-2</v>
      </c>
      <c r="P50" s="7">
        <f t="shared" si="41"/>
        <v>6.7000000000000004E-2</v>
      </c>
      <c r="Q50" s="7">
        <f t="shared" si="41"/>
        <v>6.7000000000000004E-2</v>
      </c>
      <c r="R50" s="7">
        <f>+R51+R52</f>
        <v>6.7000000000000004E-2</v>
      </c>
      <c r="S50" s="7">
        <f>+S51+S52</f>
        <v>6.7000000000000004E-2</v>
      </c>
      <c r="T50" s="7">
        <f>+T51+T52</f>
        <v>1.0669999999999999</v>
      </c>
      <c r="U50" s="7">
        <f>+U51+U52</f>
        <v>6.7000000000000004E-2</v>
      </c>
      <c r="V50" s="7">
        <f>+V51+V52</f>
        <v>6.7000000000000004E-2</v>
      </c>
      <c r="W50" s="301"/>
      <c r="X50" s="324">
        <f t="shared" si="26"/>
        <v>1.8039999999999998</v>
      </c>
      <c r="Y50" s="310">
        <v>6.7000000000000004E-2</v>
      </c>
      <c r="Z50" s="309">
        <v>1</v>
      </c>
      <c r="AA50" s="366">
        <f t="shared" si="39"/>
        <v>6.7000000000000004E-2</v>
      </c>
      <c r="AB50" s="310">
        <v>6.7000000000000004E-2</v>
      </c>
      <c r="AC50" s="309">
        <f t="shared" si="40"/>
        <v>1</v>
      </c>
      <c r="AD50" s="2101" t="s">
        <v>422</v>
      </c>
      <c r="AE50" s="310">
        <v>6.7000000000000004E-2</v>
      </c>
      <c r="AF50" s="309">
        <v>1</v>
      </c>
      <c r="AG50" s="310">
        <f t="shared" si="1"/>
        <v>6.7000000000000004E-2</v>
      </c>
      <c r="AH50" s="310">
        <v>6.7000000000000004E-2</v>
      </c>
      <c r="AI50" s="309">
        <f t="shared" si="3"/>
        <v>1</v>
      </c>
      <c r="AJ50" s="2101" t="s">
        <v>422</v>
      </c>
      <c r="AK50" s="310">
        <v>6.7000000000000004E-2</v>
      </c>
      <c r="AL50" s="309">
        <v>1</v>
      </c>
      <c r="AM50" s="310">
        <f t="shared" si="2"/>
        <v>6.7000000000000004E-2</v>
      </c>
      <c r="AN50" s="310">
        <v>6.7000000000000004E-2</v>
      </c>
      <c r="AO50" s="309">
        <f t="shared" si="4"/>
        <v>1</v>
      </c>
      <c r="AP50" s="2101" t="s">
        <v>422</v>
      </c>
      <c r="AQ50" s="310">
        <v>6.7000000000000004E-2</v>
      </c>
      <c r="AR50" s="309">
        <v>1</v>
      </c>
      <c r="AS50" s="310">
        <f t="shared" si="9"/>
        <v>6.7000000000000004E-2</v>
      </c>
      <c r="AT50" s="310">
        <v>6.7000000000000004E-2</v>
      </c>
      <c r="AU50" s="309">
        <f t="shared" si="10"/>
        <v>1</v>
      </c>
      <c r="AV50" s="2101" t="s">
        <v>422</v>
      </c>
      <c r="AW50" s="363">
        <v>6.6699999999999995E-2</v>
      </c>
      <c r="AX50" s="375">
        <v>1</v>
      </c>
      <c r="AY50" s="377">
        <f t="shared" si="37"/>
        <v>6.6699999999999995E-2</v>
      </c>
      <c r="AZ50" s="374">
        <f>+P50</f>
        <v>6.7000000000000004E-2</v>
      </c>
      <c r="BA50" s="309">
        <f t="shared" si="11"/>
        <v>0.99552238805970139</v>
      </c>
      <c r="BB50" s="364" t="s">
        <v>651</v>
      </c>
      <c r="BC50" s="363">
        <v>6.6699999999999995E-2</v>
      </c>
      <c r="BD50" s="336">
        <v>1</v>
      </c>
      <c r="BE50" s="100">
        <f t="shared" si="12"/>
        <v>6.6699999999999995E-2</v>
      </c>
      <c r="BF50" s="363">
        <v>6.6699999999999995E-2</v>
      </c>
      <c r="BG50" s="309">
        <f t="shared" si="15"/>
        <v>1</v>
      </c>
      <c r="BH50" s="310" t="s">
        <v>651</v>
      </c>
      <c r="BI50" s="310" t="s">
        <v>642</v>
      </c>
      <c r="BJ50" s="313">
        <v>6.7000000000000004E-2</v>
      </c>
      <c r="BK50" s="309">
        <v>1</v>
      </c>
      <c r="BL50" s="313">
        <f>IF(BK50=0," ",BJ50/BK50)</f>
        <v>6.7000000000000004E-2</v>
      </c>
      <c r="BM50" s="313">
        <v>6.7000000000000004E-2</v>
      </c>
      <c r="BN50" s="309">
        <f t="shared" si="14"/>
        <v>1</v>
      </c>
      <c r="BO50" s="310" t="s">
        <v>652</v>
      </c>
      <c r="BP50" s="98">
        <v>1</v>
      </c>
      <c r="BQ50" s="98">
        <v>6.7000000000000004E-2</v>
      </c>
      <c r="BR50" s="98">
        <v>6.7000000000000004E-2</v>
      </c>
      <c r="BS50" s="98">
        <v>1.0669999999999999</v>
      </c>
      <c r="BT50" s="309">
        <f t="shared" si="30"/>
        <v>6.2792877225866919E-2</v>
      </c>
      <c r="BU50" s="364" t="s">
        <v>653</v>
      </c>
      <c r="BV50" s="313">
        <v>1.8</v>
      </c>
      <c r="BW50" s="313">
        <v>6.7000000000000004E-2</v>
      </c>
      <c r="BX50" s="313">
        <v>6.4000000000000001E-2</v>
      </c>
      <c r="BY50" s="313">
        <v>6.7000000000000004E-2</v>
      </c>
      <c r="BZ50" s="309">
        <f t="shared" si="17"/>
        <v>0.95522388059701491</v>
      </c>
      <c r="CA50" s="310" t="s">
        <v>654</v>
      </c>
      <c r="CB50" s="318">
        <v>1.8</v>
      </c>
      <c r="CC50" s="318">
        <v>1.0669999999999999</v>
      </c>
      <c r="CD50" s="318">
        <v>1.0669999999999999</v>
      </c>
      <c r="CE50" s="318">
        <v>1.0669999999999999</v>
      </c>
      <c r="CF50" s="58">
        <f t="shared" si="31"/>
        <v>1</v>
      </c>
      <c r="CG50" s="101" t="s">
        <v>655</v>
      </c>
      <c r="CH50" s="310">
        <v>1.8</v>
      </c>
      <c r="CI50" s="310">
        <v>0.67</v>
      </c>
      <c r="CJ50" s="315">
        <v>6.5000000000000002E-2</v>
      </c>
      <c r="CK50" s="310">
        <v>6.7000000000000004E-2</v>
      </c>
      <c r="CL50" s="58">
        <f t="shared" si="5"/>
        <v>0.97014925373134331</v>
      </c>
      <c r="CM50" s="101" t="s">
        <v>651</v>
      </c>
      <c r="CN50" s="313">
        <v>1.8</v>
      </c>
      <c r="CO50" s="313">
        <v>1.8</v>
      </c>
      <c r="CP50" s="313">
        <v>6.7000000000000004E-2</v>
      </c>
      <c r="CQ50" s="313">
        <v>6.7000000000000004E-2</v>
      </c>
      <c r="CR50" s="309">
        <f>IF(CO50=0," ",CP50/CQ50)</f>
        <v>1</v>
      </c>
      <c r="CS50" s="101" t="s">
        <v>651</v>
      </c>
      <c r="CT50" s="310">
        <v>1.8</v>
      </c>
      <c r="CU50" s="310">
        <v>1.8039999999999998</v>
      </c>
      <c r="CV50" s="320">
        <f>+CP50+AA50+AG50+AM50+AS50+AY50+BE50+BL50+BR50+BX50+CD50+CJ50</f>
        <v>1.7984</v>
      </c>
      <c r="CW50" s="320">
        <f t="shared" si="7"/>
        <v>1.8039999999999998</v>
      </c>
      <c r="CX50" s="58">
        <f t="shared" si="33"/>
        <v>0.99689578713968963</v>
      </c>
      <c r="CY50" s="320" t="s">
        <v>430</v>
      </c>
      <c r="CZ50" s="368">
        <f t="shared" si="35"/>
        <v>1.67</v>
      </c>
    </row>
    <row r="51" spans="1:104" s="121" customFormat="1" ht="25.5" hidden="1" customHeight="1">
      <c r="A51" s="296"/>
      <c r="B51" s="13"/>
      <c r="C51" s="304"/>
      <c r="D51" s="13"/>
      <c r="E51" s="13" t="s">
        <v>617</v>
      </c>
      <c r="F51" s="305"/>
      <c r="G51" s="306"/>
      <c r="H51" s="355"/>
      <c r="I51" s="355"/>
      <c r="J51" s="13"/>
      <c r="K51" s="7"/>
      <c r="L51" s="7"/>
      <c r="M51" s="7"/>
      <c r="N51" s="7"/>
      <c r="O51" s="7"/>
      <c r="P51" s="7"/>
      <c r="Q51" s="7"/>
      <c r="R51" s="346"/>
      <c r="S51" s="74"/>
      <c r="T51" s="7">
        <v>1</v>
      </c>
      <c r="U51" s="74"/>
      <c r="V51" s="74"/>
      <c r="W51" s="301"/>
      <c r="X51" s="324"/>
      <c r="Y51" s="310"/>
      <c r="Z51" s="309">
        <v>1</v>
      </c>
      <c r="AA51" s="309">
        <f t="shared" si="39"/>
        <v>0</v>
      </c>
      <c r="AB51" s="310"/>
      <c r="AC51" s="309" t="e">
        <f t="shared" si="40"/>
        <v>#DIV/0!</v>
      </c>
      <c r="AD51" s="2101"/>
      <c r="AE51" s="310"/>
      <c r="AF51" s="309">
        <v>1</v>
      </c>
      <c r="AG51" s="309">
        <f t="shared" si="1"/>
        <v>0</v>
      </c>
      <c r="AH51" s="310"/>
      <c r="AI51" s="309" t="e">
        <f t="shared" si="3"/>
        <v>#DIV/0!</v>
      </c>
      <c r="AJ51" s="2101"/>
      <c r="AK51" s="310"/>
      <c r="AL51" s="309">
        <v>1</v>
      </c>
      <c r="AM51" s="310">
        <f t="shared" si="2"/>
        <v>0</v>
      </c>
      <c r="AN51" s="310"/>
      <c r="AO51" s="309" t="e">
        <f t="shared" si="4"/>
        <v>#DIV/0!</v>
      </c>
      <c r="AP51" s="2101"/>
      <c r="AQ51" s="310"/>
      <c r="AR51" s="309">
        <v>1</v>
      </c>
      <c r="AS51" s="309">
        <f t="shared" si="9"/>
        <v>0</v>
      </c>
      <c r="AT51" s="310"/>
      <c r="AU51" s="309" t="e">
        <f t="shared" si="10"/>
        <v>#DIV/0!</v>
      </c>
      <c r="AV51" s="2101"/>
      <c r="AW51" s="98"/>
      <c r="AX51" s="98"/>
      <c r="AY51" s="309" t="str">
        <f t="shared" si="37"/>
        <v xml:space="preserve"> </v>
      </c>
      <c r="AZ51" s="98"/>
      <c r="BA51" s="309" t="str">
        <f t="shared" si="11"/>
        <v xml:space="preserve"> </v>
      </c>
      <c r="BB51" s="98"/>
      <c r="BC51" s="311"/>
      <c r="BD51" s="336">
        <v>1</v>
      </c>
      <c r="BE51" s="100">
        <f t="shared" si="12"/>
        <v>0</v>
      </c>
      <c r="BF51" s="311">
        <f t="shared" si="13"/>
        <v>0</v>
      </c>
      <c r="BG51" s="309" t="e">
        <f t="shared" si="15"/>
        <v>#DIV/0!</v>
      </c>
      <c r="BH51" s="310"/>
      <c r="BI51" s="310"/>
      <c r="BJ51" s="313"/>
      <c r="BK51" s="309"/>
      <c r="BL51" s="313" t="str">
        <f>IF(BK51=0," ",BJ51/BK51)</f>
        <v xml:space="preserve"> </v>
      </c>
      <c r="BM51" s="313"/>
      <c r="BN51" s="309" t="str">
        <f t="shared" si="14"/>
        <v xml:space="preserve"> </v>
      </c>
      <c r="BO51" s="310"/>
      <c r="BP51" s="98"/>
      <c r="BQ51" s="98"/>
      <c r="BR51" s="98"/>
      <c r="BS51" s="98"/>
      <c r="BT51" s="309" t="str">
        <f t="shared" si="30"/>
        <v xml:space="preserve"> </v>
      </c>
      <c r="BU51" s="98"/>
      <c r="BV51" s="313"/>
      <c r="BW51" s="313"/>
      <c r="BX51" s="359" t="str">
        <f>IF(BW51=0," ",BV51/BW51)</f>
        <v xml:space="preserve"> </v>
      </c>
      <c r="BY51" s="313"/>
      <c r="BZ51" s="309" t="str">
        <f t="shared" si="17"/>
        <v xml:space="preserve"> </v>
      </c>
      <c r="CA51" s="98"/>
      <c r="CB51" s="318"/>
      <c r="CC51" s="318"/>
      <c r="CD51" s="318"/>
      <c r="CE51" s="318"/>
      <c r="CF51" s="58" t="str">
        <f t="shared" si="31"/>
        <v xml:space="preserve"> </v>
      </c>
      <c r="CG51" s="299"/>
      <c r="CH51" s="310"/>
      <c r="CI51" s="310"/>
      <c r="CJ51" s="315"/>
      <c r="CK51" s="310"/>
      <c r="CL51" s="58" t="str">
        <f t="shared" si="5"/>
        <v xml:space="preserve"> </v>
      </c>
      <c r="CM51" s="315"/>
      <c r="CN51" s="316"/>
      <c r="CO51" s="331"/>
      <c r="CP51" s="331"/>
      <c r="CQ51" s="331"/>
      <c r="CR51" s="58" t="str">
        <f>IF(CO51=0," ",CP51/CQ51)</f>
        <v xml:space="preserve"> </v>
      </c>
      <c r="CS51" s="299"/>
      <c r="CT51" s="310"/>
      <c r="CU51" s="310"/>
      <c r="CV51" s="319" t="e">
        <f t="shared" si="6"/>
        <v>#VALUE!</v>
      </c>
      <c r="CW51" s="320">
        <f t="shared" si="7"/>
        <v>0</v>
      </c>
      <c r="CX51" s="58" t="str">
        <f t="shared" si="33"/>
        <v xml:space="preserve"> </v>
      </c>
      <c r="CY51" s="370" t="e">
        <f t="shared" si="34"/>
        <v>#VALUE!</v>
      </c>
      <c r="CZ51" s="368">
        <f t="shared" si="35"/>
        <v>1</v>
      </c>
    </row>
    <row r="52" spans="1:104" s="121" customFormat="1" ht="16.5" hidden="1" customHeight="1">
      <c r="A52" s="296"/>
      <c r="B52" s="13"/>
      <c r="C52" s="304"/>
      <c r="D52" s="13"/>
      <c r="E52" s="13" t="s">
        <v>618</v>
      </c>
      <c r="F52" s="305"/>
      <c r="G52" s="306"/>
      <c r="H52" s="355"/>
      <c r="I52" s="355"/>
      <c r="J52" s="13"/>
      <c r="K52" s="7">
        <v>6.7000000000000004E-2</v>
      </c>
      <c r="L52" s="7">
        <v>6.7000000000000004E-2</v>
      </c>
      <c r="M52" s="7">
        <v>6.7000000000000004E-2</v>
      </c>
      <c r="N52" s="7">
        <v>6.7000000000000004E-2</v>
      </c>
      <c r="O52" s="7">
        <v>6.7000000000000004E-2</v>
      </c>
      <c r="P52" s="7">
        <v>6.7000000000000004E-2</v>
      </c>
      <c r="Q52" s="7">
        <v>6.7000000000000004E-2</v>
      </c>
      <c r="R52" s="7">
        <v>6.7000000000000004E-2</v>
      </c>
      <c r="S52" s="7">
        <v>6.7000000000000004E-2</v>
      </c>
      <c r="T52" s="7">
        <v>6.7000000000000004E-2</v>
      </c>
      <c r="U52" s="7">
        <v>6.7000000000000004E-2</v>
      </c>
      <c r="V52" s="7">
        <v>6.7000000000000004E-2</v>
      </c>
      <c r="W52" s="301"/>
      <c r="X52" s="324"/>
      <c r="Y52" s="310"/>
      <c r="Z52" s="309">
        <v>1</v>
      </c>
      <c r="AA52" s="309">
        <f t="shared" si="39"/>
        <v>0</v>
      </c>
      <c r="AB52" s="310"/>
      <c r="AC52" s="309" t="e">
        <f t="shared" si="40"/>
        <v>#DIV/0!</v>
      </c>
      <c r="AD52" s="2101"/>
      <c r="AE52" s="310"/>
      <c r="AF52" s="309">
        <v>1</v>
      </c>
      <c r="AG52" s="309">
        <f t="shared" si="1"/>
        <v>0</v>
      </c>
      <c r="AH52" s="310"/>
      <c r="AI52" s="309" t="e">
        <f t="shared" si="3"/>
        <v>#DIV/0!</v>
      </c>
      <c r="AJ52" s="2101"/>
      <c r="AK52" s="310"/>
      <c r="AL52" s="309">
        <v>1</v>
      </c>
      <c r="AM52" s="310">
        <f t="shared" si="2"/>
        <v>0</v>
      </c>
      <c r="AN52" s="310"/>
      <c r="AO52" s="309" t="e">
        <f t="shared" si="4"/>
        <v>#DIV/0!</v>
      </c>
      <c r="AP52" s="2101"/>
      <c r="AQ52" s="310"/>
      <c r="AR52" s="309">
        <v>1</v>
      </c>
      <c r="AS52" s="309">
        <f t="shared" si="9"/>
        <v>0</v>
      </c>
      <c r="AT52" s="310"/>
      <c r="AU52" s="309" t="e">
        <f t="shared" si="10"/>
        <v>#DIV/0!</v>
      </c>
      <c r="AV52" s="2101"/>
      <c r="AW52" s="98"/>
      <c r="AX52" s="98"/>
      <c r="AY52" s="309" t="str">
        <f t="shared" si="37"/>
        <v xml:space="preserve"> </v>
      </c>
      <c r="AZ52" s="98"/>
      <c r="BA52" s="309" t="str">
        <f t="shared" si="11"/>
        <v xml:space="preserve"> </v>
      </c>
      <c r="BB52" s="98"/>
      <c r="BC52" s="311"/>
      <c r="BD52" s="336">
        <v>1</v>
      </c>
      <c r="BE52" s="100">
        <f t="shared" si="12"/>
        <v>0</v>
      </c>
      <c r="BF52" s="311">
        <f t="shared" si="13"/>
        <v>6.7000000000000004E-2</v>
      </c>
      <c r="BG52" s="309">
        <f t="shared" si="15"/>
        <v>0</v>
      </c>
      <c r="BH52" s="310"/>
      <c r="BI52" s="310"/>
      <c r="BJ52" s="313"/>
      <c r="BK52" s="309"/>
      <c r="BL52" s="313" t="str">
        <f>IF(BK52=0," ",BJ52/BK52)</f>
        <v xml:space="preserve"> </v>
      </c>
      <c r="BM52" s="313"/>
      <c r="BN52" s="309" t="str">
        <f t="shared" si="14"/>
        <v xml:space="preserve"> </v>
      </c>
      <c r="BO52" s="310"/>
      <c r="BP52" s="98"/>
      <c r="BQ52" s="98"/>
      <c r="BR52" s="98"/>
      <c r="BS52" s="98"/>
      <c r="BT52" s="309" t="str">
        <f t="shared" si="30"/>
        <v xml:space="preserve"> </v>
      </c>
      <c r="BU52" s="98"/>
      <c r="BV52" s="313"/>
      <c r="BW52" s="313"/>
      <c r="BX52" s="359" t="str">
        <f>IF(BW52=0," ",BV52/BW52)</f>
        <v xml:space="preserve"> </v>
      </c>
      <c r="BY52" s="313"/>
      <c r="BZ52" s="309" t="str">
        <f t="shared" si="17"/>
        <v xml:space="preserve"> </v>
      </c>
      <c r="CA52" s="98"/>
      <c r="CB52" s="318"/>
      <c r="CC52" s="318"/>
      <c r="CD52" s="318"/>
      <c r="CE52" s="318"/>
      <c r="CF52" s="58" t="str">
        <f t="shared" si="31"/>
        <v xml:space="preserve"> </v>
      </c>
      <c r="CG52" s="299"/>
      <c r="CH52" s="310"/>
      <c r="CI52" s="310"/>
      <c r="CJ52" s="315"/>
      <c r="CK52" s="310"/>
      <c r="CL52" s="58" t="str">
        <f t="shared" si="5"/>
        <v xml:space="preserve"> </v>
      </c>
      <c r="CM52" s="315"/>
      <c r="CN52" s="316"/>
      <c r="CO52" s="331"/>
      <c r="CP52" s="331"/>
      <c r="CQ52" s="331"/>
      <c r="CR52" s="58" t="str">
        <f>IF(CO52=0," ",CP52/CQ52)</f>
        <v xml:space="preserve"> </v>
      </c>
      <c r="CS52" s="299"/>
      <c r="CT52" s="310"/>
      <c r="CU52" s="310"/>
      <c r="CV52" s="319" t="e">
        <f t="shared" si="6"/>
        <v>#VALUE!</v>
      </c>
      <c r="CW52" s="320">
        <f t="shared" si="7"/>
        <v>0</v>
      </c>
      <c r="CX52" s="58" t="str">
        <f t="shared" si="33"/>
        <v xml:space="preserve"> </v>
      </c>
      <c r="CY52" s="370" t="e">
        <f t="shared" si="34"/>
        <v>#VALUE!</v>
      </c>
      <c r="CZ52" s="368">
        <f t="shared" si="35"/>
        <v>0.66999999999999993</v>
      </c>
    </row>
    <row r="53" spans="1:104" s="121" customFormat="1" ht="53.25" customHeight="1">
      <c r="A53" s="296"/>
      <c r="B53" s="13" t="s">
        <v>416</v>
      </c>
      <c r="C53" s="304">
        <v>16</v>
      </c>
      <c r="D53" s="13" t="s">
        <v>656</v>
      </c>
      <c r="E53" s="13" t="s">
        <v>657</v>
      </c>
      <c r="F53" s="305" t="s">
        <v>603</v>
      </c>
      <c r="G53" s="306" t="s">
        <v>53</v>
      </c>
      <c r="H53" s="13" t="s">
        <v>604</v>
      </c>
      <c r="I53" s="355" t="s">
        <v>605</v>
      </c>
      <c r="J53" s="8" t="s">
        <v>658</v>
      </c>
      <c r="K53" s="7">
        <f t="shared" ref="K53:S53" si="42">+K54+K55</f>
        <v>2.9499999999999998E-2</v>
      </c>
      <c r="L53" s="7">
        <f t="shared" si="42"/>
        <v>0.14000000000000001</v>
      </c>
      <c r="M53" s="7">
        <f t="shared" si="42"/>
        <v>0.42000000000000004</v>
      </c>
      <c r="N53" s="7">
        <f t="shared" si="42"/>
        <v>0.32</v>
      </c>
      <c r="O53" s="7">
        <f t="shared" si="42"/>
        <v>0.37</v>
      </c>
      <c r="P53" s="7">
        <f t="shared" si="42"/>
        <v>0.48</v>
      </c>
      <c r="Q53" s="7">
        <f t="shared" si="42"/>
        <v>8.1000000000000003E-2</v>
      </c>
      <c r="R53" s="7">
        <f t="shared" si="42"/>
        <v>4.2500000000000003E-2</v>
      </c>
      <c r="S53" s="373">
        <f t="shared" si="42"/>
        <v>0</v>
      </c>
      <c r="T53" s="378"/>
      <c r="U53" s="379"/>
      <c r="V53" s="379"/>
      <c r="W53" s="301"/>
      <c r="X53" s="324">
        <f>+SUM(K53:V53)</f>
        <v>1.883</v>
      </c>
      <c r="Y53" s="310">
        <v>2.9499999999999998E-2</v>
      </c>
      <c r="Z53" s="309">
        <v>1</v>
      </c>
      <c r="AA53" s="366">
        <f t="shared" si="39"/>
        <v>2.9499999999999998E-2</v>
      </c>
      <c r="AB53" s="310">
        <v>2.9499999999999998E-2</v>
      </c>
      <c r="AC53" s="309">
        <f t="shared" si="40"/>
        <v>1</v>
      </c>
      <c r="AD53" s="2101" t="s">
        <v>422</v>
      </c>
      <c r="AE53" s="310">
        <f>+AE54+AE55</f>
        <v>0.14000000000000001</v>
      </c>
      <c r="AF53" s="309">
        <v>1</v>
      </c>
      <c r="AG53" s="310">
        <f t="shared" si="1"/>
        <v>0.14000000000000001</v>
      </c>
      <c r="AH53" s="310">
        <v>0.14000000000000001</v>
      </c>
      <c r="AI53" s="309">
        <f t="shared" si="3"/>
        <v>1</v>
      </c>
      <c r="AJ53" s="2101" t="s">
        <v>422</v>
      </c>
      <c r="AK53" s="310">
        <f>+AK54+AK55</f>
        <v>0.1</v>
      </c>
      <c r="AL53" s="309">
        <v>1</v>
      </c>
      <c r="AM53" s="310">
        <f t="shared" si="2"/>
        <v>0.1</v>
      </c>
      <c r="AN53" s="310">
        <v>0.42</v>
      </c>
      <c r="AO53" s="309">
        <f t="shared" si="4"/>
        <v>0.23809523809523811</v>
      </c>
      <c r="AP53" s="310" t="s">
        <v>659</v>
      </c>
      <c r="AQ53" s="310">
        <v>0.17</v>
      </c>
      <c r="AR53" s="309">
        <v>1</v>
      </c>
      <c r="AS53" s="310">
        <f t="shared" si="9"/>
        <v>0.17</v>
      </c>
      <c r="AT53" s="310">
        <v>0.32</v>
      </c>
      <c r="AU53" s="309">
        <f t="shared" si="10"/>
        <v>0.53125</v>
      </c>
      <c r="AV53" s="310" t="s">
        <v>660</v>
      </c>
      <c r="AW53" s="346">
        <v>1</v>
      </c>
      <c r="AX53" s="346">
        <v>0.37</v>
      </c>
      <c r="AY53" s="346">
        <v>1</v>
      </c>
      <c r="AZ53" s="346">
        <v>0.37</v>
      </c>
      <c r="BA53" s="309">
        <f t="shared" si="11"/>
        <v>2.7027027027027026</v>
      </c>
      <c r="BB53" s="310" t="s">
        <v>661</v>
      </c>
      <c r="BC53" s="340">
        <v>0.05</v>
      </c>
      <c r="BD53" s="336">
        <v>1</v>
      </c>
      <c r="BE53" s="100">
        <f t="shared" si="12"/>
        <v>0.05</v>
      </c>
      <c r="BF53" s="340">
        <f t="shared" si="13"/>
        <v>0.48</v>
      </c>
      <c r="BG53" s="309">
        <f t="shared" si="15"/>
        <v>0.10416666666666667</v>
      </c>
      <c r="BH53" s="310" t="s">
        <v>662</v>
      </c>
      <c r="BI53" s="310" t="s">
        <v>663</v>
      </c>
      <c r="BJ53" s="313">
        <v>0.26</v>
      </c>
      <c r="BK53" s="309">
        <v>8.1000000000000003E-2</v>
      </c>
      <c r="BL53" s="313">
        <v>0.26</v>
      </c>
      <c r="BM53" s="313">
        <v>8.1000000000000003E-2</v>
      </c>
      <c r="BN53" s="309">
        <f t="shared" si="14"/>
        <v>3.2098765432098766</v>
      </c>
      <c r="BO53" s="310" t="s">
        <v>612</v>
      </c>
      <c r="BP53" s="98">
        <v>1.4E-2</v>
      </c>
      <c r="BQ53" s="98">
        <v>4.2500000000000003E-2</v>
      </c>
      <c r="BR53" s="98">
        <v>1.4E-2</v>
      </c>
      <c r="BS53" s="98">
        <v>4.2500000000000003E-2</v>
      </c>
      <c r="BT53" s="309">
        <f t="shared" si="30"/>
        <v>0.32941176470588235</v>
      </c>
      <c r="BU53" s="364" t="s">
        <v>664</v>
      </c>
      <c r="BV53" s="313">
        <v>1.88</v>
      </c>
      <c r="BW53" s="313">
        <v>0</v>
      </c>
      <c r="BX53" s="313">
        <v>0.48</v>
      </c>
      <c r="BY53" s="313">
        <v>0</v>
      </c>
      <c r="BZ53" s="309" t="str">
        <f t="shared" si="17"/>
        <v xml:space="preserve"> </v>
      </c>
      <c r="CA53" s="2101" t="s">
        <v>665</v>
      </c>
      <c r="CB53" s="318">
        <v>1.88</v>
      </c>
      <c r="CC53" s="318">
        <v>0</v>
      </c>
      <c r="CD53" s="318">
        <v>0.15160000000000001</v>
      </c>
      <c r="CE53" s="318">
        <v>0</v>
      </c>
      <c r="CF53" s="58">
        <v>1</v>
      </c>
      <c r="CG53" s="101" t="s">
        <v>666</v>
      </c>
      <c r="CH53" s="310" t="s">
        <v>325</v>
      </c>
      <c r="CI53" s="310" t="s">
        <v>325</v>
      </c>
      <c r="CJ53" s="315"/>
      <c r="CK53" s="310" t="s">
        <v>325</v>
      </c>
      <c r="CL53" s="310" t="s">
        <v>325</v>
      </c>
      <c r="CM53" s="315" t="s">
        <v>667</v>
      </c>
      <c r="CN53" s="365">
        <v>1.88</v>
      </c>
      <c r="CO53" s="366">
        <v>1.88</v>
      </c>
      <c r="CP53" s="367">
        <v>0.1</v>
      </c>
      <c r="CQ53" s="7">
        <v>0.17</v>
      </c>
      <c r="CR53" s="309">
        <v>1</v>
      </c>
      <c r="CS53" s="101" t="s">
        <v>668</v>
      </c>
      <c r="CT53" s="310">
        <v>2.4951000000000003</v>
      </c>
      <c r="CU53" s="310">
        <v>1.883</v>
      </c>
      <c r="CV53" s="371">
        <f t="shared" si="6"/>
        <v>2.4951000000000003</v>
      </c>
      <c r="CW53" s="320">
        <f t="shared" si="7"/>
        <v>1.883</v>
      </c>
      <c r="CX53" s="58">
        <f t="shared" si="33"/>
        <v>1.3250663834306959</v>
      </c>
      <c r="CY53" s="320" t="s">
        <v>430</v>
      </c>
      <c r="CZ53" s="368">
        <f t="shared" si="35"/>
        <v>1.883</v>
      </c>
    </row>
    <row r="54" spans="1:104" s="121" customFormat="1" ht="20.100000000000001" hidden="1" customHeight="1">
      <c r="A54" s="296"/>
      <c r="B54" s="13"/>
      <c r="C54" s="304"/>
      <c r="D54" s="13"/>
      <c r="E54" s="13" t="s">
        <v>617</v>
      </c>
      <c r="F54" s="305"/>
      <c r="G54" s="306"/>
      <c r="H54" s="355"/>
      <c r="I54" s="355"/>
      <c r="J54" s="13"/>
      <c r="K54" s="13">
        <v>2.9499999999999998E-2</v>
      </c>
      <c r="L54" s="13">
        <v>0.1</v>
      </c>
      <c r="M54" s="13">
        <v>0.15</v>
      </c>
      <c r="N54" s="13">
        <v>0.32</v>
      </c>
      <c r="O54" s="13">
        <v>0.37</v>
      </c>
      <c r="P54" s="13">
        <v>0.48</v>
      </c>
      <c r="Q54" s="13">
        <v>8.1000000000000003E-2</v>
      </c>
      <c r="R54" s="13">
        <v>4.2500000000000003E-2</v>
      </c>
      <c r="S54" s="13"/>
      <c r="T54" s="13"/>
      <c r="U54" s="13"/>
      <c r="V54" s="13"/>
      <c r="W54" s="13"/>
      <c r="X54" s="324">
        <f t="shared" ref="X54:X66" si="43">+SUM(K54:V54)</f>
        <v>1.573</v>
      </c>
      <c r="Y54" s="310"/>
      <c r="Z54" s="309">
        <v>1</v>
      </c>
      <c r="AA54" s="309">
        <f t="shared" si="39"/>
        <v>0</v>
      </c>
      <c r="AB54" s="310"/>
      <c r="AC54" s="309" t="e">
        <f t="shared" si="40"/>
        <v>#DIV/0!</v>
      </c>
      <c r="AD54" s="2101"/>
      <c r="AE54" s="310">
        <v>0.1</v>
      </c>
      <c r="AF54" s="309">
        <v>1</v>
      </c>
      <c r="AG54" s="309">
        <f t="shared" si="1"/>
        <v>0.1</v>
      </c>
      <c r="AH54" s="310"/>
      <c r="AI54" s="309" t="e">
        <f t="shared" si="3"/>
        <v>#DIV/0!</v>
      </c>
      <c r="AJ54" s="2101"/>
      <c r="AK54" s="310">
        <v>0</v>
      </c>
      <c r="AL54" s="309">
        <v>1</v>
      </c>
      <c r="AM54" s="310">
        <f t="shared" si="2"/>
        <v>0</v>
      </c>
      <c r="AN54" s="310"/>
      <c r="AO54" s="309" t="e">
        <f t="shared" si="4"/>
        <v>#DIV/0!</v>
      </c>
      <c r="AP54" s="310"/>
      <c r="AQ54" s="310"/>
      <c r="AR54" s="309">
        <v>1</v>
      </c>
      <c r="AS54" s="310">
        <f t="shared" si="9"/>
        <v>0</v>
      </c>
      <c r="AT54" s="310" t="s">
        <v>660</v>
      </c>
      <c r="AU54" s="309" t="e">
        <f t="shared" si="10"/>
        <v>#VALUE!</v>
      </c>
      <c r="AV54" s="310"/>
      <c r="AW54" s="98"/>
      <c r="AX54" s="98"/>
      <c r="AY54" s="309" t="str">
        <f>IF(AX54=0," ",AW54/AX54)</f>
        <v xml:space="preserve"> </v>
      </c>
      <c r="AZ54" s="98"/>
      <c r="BA54" s="309" t="str">
        <f t="shared" si="11"/>
        <v xml:space="preserve"> </v>
      </c>
      <c r="BB54" s="98"/>
      <c r="BC54" s="311"/>
      <c r="BD54" s="336">
        <v>1</v>
      </c>
      <c r="BE54" s="100">
        <f t="shared" si="12"/>
        <v>0</v>
      </c>
      <c r="BF54" s="311">
        <f t="shared" si="13"/>
        <v>0.48</v>
      </c>
      <c r="BG54" s="309">
        <f t="shared" si="15"/>
        <v>0</v>
      </c>
      <c r="BH54" s="310"/>
      <c r="BI54" s="310"/>
      <c r="BJ54" s="313"/>
      <c r="BK54" s="309"/>
      <c r="BL54" s="313" t="str">
        <f>IF(BK54=0," ",BJ54/BK54)</f>
        <v xml:space="preserve"> </v>
      </c>
      <c r="BM54" s="313"/>
      <c r="BN54" s="309" t="str">
        <f t="shared" si="14"/>
        <v xml:space="preserve"> </v>
      </c>
      <c r="BO54" s="98"/>
      <c r="BP54" s="98"/>
      <c r="BQ54" s="98"/>
      <c r="BR54" s="98"/>
      <c r="BS54" s="98"/>
      <c r="BT54" s="309" t="str">
        <f t="shared" si="30"/>
        <v xml:space="preserve"> </v>
      </c>
      <c r="BU54" s="98"/>
      <c r="BV54" s="313"/>
      <c r="BW54" s="313"/>
      <c r="BX54" s="313"/>
      <c r="BY54" s="313"/>
      <c r="BZ54" s="313"/>
      <c r="CA54" s="2101"/>
      <c r="CB54" s="98"/>
      <c r="CC54" s="98"/>
      <c r="CD54" s="98"/>
      <c r="CE54" s="98"/>
      <c r="CF54" s="58" t="str">
        <f t="shared" si="31"/>
        <v xml:space="preserve"> </v>
      </c>
      <c r="CG54" s="299"/>
      <c r="CH54" s="310"/>
      <c r="CI54" s="310"/>
      <c r="CJ54" s="315"/>
      <c r="CK54" s="310"/>
      <c r="CL54" s="58" t="str">
        <f t="shared" si="5"/>
        <v xml:space="preserve"> </v>
      </c>
      <c r="CM54" s="315"/>
      <c r="CN54" s="316"/>
      <c r="CO54" s="331"/>
      <c r="CP54" s="331"/>
      <c r="CQ54" s="331"/>
      <c r="CR54" s="58" t="str">
        <f>IF(CO54=0," ",CP54/CQ54)</f>
        <v xml:space="preserve"> </v>
      </c>
      <c r="CS54" s="299"/>
      <c r="CT54" s="310"/>
      <c r="CU54" s="310"/>
      <c r="CV54" s="319" t="e">
        <f t="shared" si="6"/>
        <v>#VALUE!</v>
      </c>
      <c r="CW54" s="320">
        <f t="shared" si="7"/>
        <v>1.573</v>
      </c>
      <c r="CX54" s="58" t="str">
        <f t="shared" si="33"/>
        <v xml:space="preserve"> </v>
      </c>
      <c r="CY54" s="370" t="e">
        <f t="shared" si="34"/>
        <v>#VALUE!</v>
      </c>
      <c r="CZ54" s="368">
        <f t="shared" si="35"/>
        <v>1.573</v>
      </c>
    </row>
    <row r="55" spans="1:104" s="121" customFormat="1" ht="0.75" customHeight="1">
      <c r="A55" s="296"/>
      <c r="B55" s="13"/>
      <c r="C55" s="304"/>
      <c r="D55" s="13"/>
      <c r="E55" s="13" t="s">
        <v>618</v>
      </c>
      <c r="F55" s="305"/>
      <c r="G55" s="306"/>
      <c r="H55" s="355"/>
      <c r="I55" s="355"/>
      <c r="J55" s="13"/>
      <c r="K55" s="13"/>
      <c r="L55" s="13">
        <v>0.04</v>
      </c>
      <c r="M55" s="13">
        <v>0.27</v>
      </c>
      <c r="N55" s="13"/>
      <c r="O55" s="13"/>
      <c r="P55" s="13"/>
      <c r="Q55" s="13"/>
      <c r="R55" s="13"/>
      <c r="S55" s="13"/>
      <c r="T55" s="13"/>
      <c r="U55" s="13"/>
      <c r="V55" s="13"/>
      <c r="W55" s="13"/>
      <c r="X55" s="324">
        <f t="shared" si="43"/>
        <v>0.31</v>
      </c>
      <c r="Y55" s="310"/>
      <c r="Z55" s="309">
        <v>1</v>
      </c>
      <c r="AA55" s="309">
        <f t="shared" si="39"/>
        <v>0</v>
      </c>
      <c r="AB55" s="310"/>
      <c r="AC55" s="309" t="e">
        <f t="shared" si="40"/>
        <v>#DIV/0!</v>
      </c>
      <c r="AD55" s="2101"/>
      <c r="AE55" s="310">
        <v>0.04</v>
      </c>
      <c r="AF55" s="309">
        <v>1</v>
      </c>
      <c r="AG55" s="309">
        <f t="shared" si="1"/>
        <v>0.04</v>
      </c>
      <c r="AH55" s="310"/>
      <c r="AI55" s="309" t="e">
        <f t="shared" si="3"/>
        <v>#DIV/0!</v>
      </c>
      <c r="AJ55" s="2101"/>
      <c r="AK55" s="310">
        <v>0.1</v>
      </c>
      <c r="AL55" s="309">
        <v>1</v>
      </c>
      <c r="AM55" s="310">
        <f t="shared" si="2"/>
        <v>0.1</v>
      </c>
      <c r="AN55" s="310"/>
      <c r="AO55" s="309" t="e">
        <f t="shared" si="4"/>
        <v>#DIV/0!</v>
      </c>
      <c r="AP55" s="310"/>
      <c r="AQ55" s="310"/>
      <c r="AR55" s="309">
        <v>1</v>
      </c>
      <c r="AS55" s="310">
        <f t="shared" si="9"/>
        <v>0</v>
      </c>
      <c r="AT55" s="310"/>
      <c r="AU55" s="309" t="e">
        <f t="shared" si="10"/>
        <v>#DIV/0!</v>
      </c>
      <c r="AV55" s="310"/>
      <c r="AW55" s="98"/>
      <c r="AX55" s="98"/>
      <c r="AY55" s="309" t="str">
        <f>IF(AX55=0," ",AW55/AX55)</f>
        <v xml:space="preserve"> </v>
      </c>
      <c r="AZ55" s="98"/>
      <c r="BA55" s="309" t="str">
        <f t="shared" si="11"/>
        <v xml:space="preserve"> </v>
      </c>
      <c r="BB55" s="98"/>
      <c r="BC55" s="311"/>
      <c r="BD55" s="336">
        <v>1</v>
      </c>
      <c r="BE55" s="100">
        <f t="shared" si="12"/>
        <v>0</v>
      </c>
      <c r="BF55" s="311">
        <f t="shared" si="13"/>
        <v>0</v>
      </c>
      <c r="BG55" s="309" t="e">
        <f t="shared" si="15"/>
        <v>#DIV/0!</v>
      </c>
      <c r="BH55" s="310"/>
      <c r="BI55" s="310"/>
      <c r="BJ55" s="313"/>
      <c r="BK55" s="309"/>
      <c r="BL55" s="313" t="str">
        <f>IF(BK55=0," ",BJ55/BK55)</f>
        <v xml:space="preserve"> </v>
      </c>
      <c r="BM55" s="313"/>
      <c r="BN55" s="309" t="str">
        <f t="shared" si="14"/>
        <v xml:space="preserve"> </v>
      </c>
      <c r="BO55" s="98"/>
      <c r="BP55" s="98"/>
      <c r="BQ55" s="98"/>
      <c r="BR55" s="98"/>
      <c r="BS55" s="98"/>
      <c r="BT55" s="309" t="str">
        <f t="shared" si="30"/>
        <v xml:space="preserve"> </v>
      </c>
      <c r="BU55" s="98"/>
      <c r="BV55" s="313"/>
      <c r="BW55" s="313"/>
      <c r="BX55" s="313"/>
      <c r="BY55" s="313"/>
      <c r="BZ55" s="313"/>
      <c r="CA55" s="2101"/>
      <c r="CB55" s="98"/>
      <c r="CC55" s="98"/>
      <c r="CD55" s="98"/>
      <c r="CE55" s="98"/>
      <c r="CF55" s="58" t="str">
        <f t="shared" si="31"/>
        <v xml:space="preserve"> </v>
      </c>
      <c r="CG55" s="299"/>
      <c r="CH55" s="310"/>
      <c r="CI55" s="310"/>
      <c r="CJ55" s="315"/>
      <c r="CK55" s="310"/>
      <c r="CL55" s="58" t="str">
        <f t="shared" si="5"/>
        <v xml:space="preserve"> </v>
      </c>
      <c r="CM55" s="315"/>
      <c r="CN55" s="316"/>
      <c r="CO55" s="331"/>
      <c r="CP55" s="331"/>
      <c r="CQ55" s="331"/>
      <c r="CR55" s="58" t="str">
        <f>IF(CO55=0," ",CP55/CQ55)</f>
        <v xml:space="preserve"> </v>
      </c>
      <c r="CS55" s="299"/>
      <c r="CT55" s="310"/>
      <c r="CU55" s="310"/>
      <c r="CV55" s="319" t="e">
        <f t="shared" si="6"/>
        <v>#VALUE!</v>
      </c>
      <c r="CW55" s="320">
        <f t="shared" si="7"/>
        <v>0.31</v>
      </c>
      <c r="CX55" s="58" t="str">
        <f t="shared" si="33"/>
        <v xml:space="preserve"> </v>
      </c>
      <c r="CY55" s="370" t="e">
        <f t="shared" si="34"/>
        <v>#VALUE!</v>
      </c>
      <c r="CZ55" s="368">
        <f t="shared" si="35"/>
        <v>0.31</v>
      </c>
    </row>
    <row r="56" spans="1:104" s="121" customFormat="1" ht="95.25" customHeight="1">
      <c r="A56" s="296"/>
      <c r="B56" s="13" t="s">
        <v>416</v>
      </c>
      <c r="C56" s="304">
        <v>17</v>
      </c>
      <c r="D56" s="13" t="s">
        <v>669</v>
      </c>
      <c r="E56" s="13" t="s">
        <v>670</v>
      </c>
      <c r="F56" s="305" t="s">
        <v>603</v>
      </c>
      <c r="G56" s="306" t="s">
        <v>53</v>
      </c>
      <c r="H56" s="13" t="s">
        <v>604</v>
      </c>
      <c r="I56" s="355" t="s">
        <v>605</v>
      </c>
      <c r="J56" s="8" t="s">
        <v>671</v>
      </c>
      <c r="K56" s="7">
        <f t="shared" ref="K56:R56" si="44">+K57+K58</f>
        <v>1523.69</v>
      </c>
      <c r="L56" s="7">
        <f t="shared" si="44"/>
        <v>2554.1</v>
      </c>
      <c r="M56" s="7">
        <f t="shared" si="44"/>
        <v>5170.55</v>
      </c>
      <c r="N56" s="7">
        <f t="shared" si="44"/>
        <v>4442.3500000000004</v>
      </c>
      <c r="O56" s="7">
        <f t="shared" si="44"/>
        <v>4136.41</v>
      </c>
      <c r="P56" s="7">
        <f t="shared" si="44"/>
        <v>2600</v>
      </c>
      <c r="Q56" s="7">
        <f t="shared" si="44"/>
        <v>339.37</v>
      </c>
      <c r="R56" s="7">
        <f t="shared" si="44"/>
        <v>250</v>
      </c>
      <c r="S56" s="7">
        <v>1453</v>
      </c>
      <c r="T56" s="7">
        <v>3188.3070000000002</v>
      </c>
      <c r="U56" s="7">
        <f>+U57+U58</f>
        <v>9303.7137999999995</v>
      </c>
      <c r="V56" s="7">
        <f>+V57+V58</f>
        <v>9121.4308000000001</v>
      </c>
      <c r="W56" s="301"/>
      <c r="X56" s="324">
        <f t="shared" si="43"/>
        <v>44082.921600000001</v>
      </c>
      <c r="Y56" s="310">
        <f>+Y57+Y58</f>
        <v>1523.69</v>
      </c>
      <c r="Z56" s="309">
        <v>1</v>
      </c>
      <c r="AA56" s="380">
        <f t="shared" si="39"/>
        <v>1523.69</v>
      </c>
      <c r="AB56" s="310">
        <v>1523.69</v>
      </c>
      <c r="AC56" s="309">
        <f t="shared" si="40"/>
        <v>1</v>
      </c>
      <c r="AD56" s="2101" t="s">
        <v>422</v>
      </c>
      <c r="AE56" s="310">
        <f>+AE57+AE58</f>
        <v>2485.21</v>
      </c>
      <c r="AF56" s="309">
        <v>1</v>
      </c>
      <c r="AG56" s="310">
        <f t="shared" si="1"/>
        <v>2485.21</v>
      </c>
      <c r="AH56" s="310">
        <v>2554.1</v>
      </c>
      <c r="AI56" s="334">
        <f t="shared" si="3"/>
        <v>0.97302768098351677</v>
      </c>
      <c r="AJ56" s="310" t="s">
        <v>672</v>
      </c>
      <c r="AK56" s="310">
        <f>+AK57+AK58</f>
        <v>2894.05</v>
      </c>
      <c r="AL56" s="309">
        <v>1</v>
      </c>
      <c r="AM56" s="310">
        <f t="shared" si="2"/>
        <v>2894.05</v>
      </c>
      <c r="AN56" s="310">
        <v>5170.55</v>
      </c>
      <c r="AO56" s="309">
        <f t="shared" si="4"/>
        <v>0.55971801839262747</v>
      </c>
      <c r="AP56" s="310" t="s">
        <v>673</v>
      </c>
      <c r="AQ56" s="310">
        <f>+AQ57+AQ58</f>
        <v>2153</v>
      </c>
      <c r="AR56" s="309">
        <v>1</v>
      </c>
      <c r="AS56" s="310">
        <f t="shared" si="9"/>
        <v>2153</v>
      </c>
      <c r="AT56" s="310">
        <v>4442.3500000000004</v>
      </c>
      <c r="AU56" s="309">
        <f t="shared" si="10"/>
        <v>0.48465339291140946</v>
      </c>
      <c r="AV56" s="310" t="s">
        <v>674</v>
      </c>
      <c r="AW56" s="381">
        <v>4082.19</v>
      </c>
      <c r="AX56" s="346">
        <v>4136.41</v>
      </c>
      <c r="AY56" s="381">
        <v>4082.19</v>
      </c>
      <c r="AZ56" s="346">
        <v>4136.41</v>
      </c>
      <c r="BA56" s="309">
        <f t="shared" si="11"/>
        <v>0.98689201505653457</v>
      </c>
      <c r="BB56" s="310" t="s">
        <v>675</v>
      </c>
      <c r="BC56" s="381">
        <v>3855.16</v>
      </c>
      <c r="BD56" s="336">
        <v>1</v>
      </c>
      <c r="BE56" s="340">
        <f t="shared" si="12"/>
        <v>3855.16</v>
      </c>
      <c r="BF56" s="340">
        <f t="shared" si="13"/>
        <v>2600</v>
      </c>
      <c r="BG56" s="309">
        <f t="shared" si="15"/>
        <v>1.4827538461538461</v>
      </c>
      <c r="BH56" s="310" t="s">
        <v>676</v>
      </c>
      <c r="BI56" s="310" t="s">
        <v>677</v>
      </c>
      <c r="BJ56" s="313">
        <v>2516.87</v>
      </c>
      <c r="BK56" s="313">
        <v>339.37</v>
      </c>
      <c r="BL56" s="313">
        <v>2516.87</v>
      </c>
      <c r="BM56" s="313">
        <v>339.37</v>
      </c>
      <c r="BN56" s="309">
        <f t="shared" si="14"/>
        <v>7.4163007926451954</v>
      </c>
      <c r="BO56" s="310" t="s">
        <v>678</v>
      </c>
      <c r="BP56" s="98">
        <v>3759.8</v>
      </c>
      <c r="BQ56" s="98">
        <v>250</v>
      </c>
      <c r="BR56" s="98">
        <v>3759.8</v>
      </c>
      <c r="BS56" s="98">
        <v>250</v>
      </c>
      <c r="BT56" s="309">
        <f t="shared" si="30"/>
        <v>15.039200000000001</v>
      </c>
      <c r="BU56" s="364" t="s">
        <v>679</v>
      </c>
      <c r="BV56" s="313">
        <v>26489.47</v>
      </c>
      <c r="BW56" s="313">
        <v>1453</v>
      </c>
      <c r="BX56" s="313">
        <v>4438</v>
      </c>
      <c r="BY56" s="313">
        <v>1453</v>
      </c>
      <c r="BZ56" s="309">
        <f t="shared" si="17"/>
        <v>3.0543702684101857</v>
      </c>
      <c r="CA56" s="2101" t="s">
        <v>680</v>
      </c>
      <c r="CB56" s="318">
        <v>38014</v>
      </c>
      <c r="CC56" s="318">
        <v>3188.3069999999998</v>
      </c>
      <c r="CD56" s="318">
        <v>5211</v>
      </c>
      <c r="CE56" s="318">
        <v>3188.3069999999998</v>
      </c>
      <c r="CF56" s="58">
        <f t="shared" si="31"/>
        <v>1.6344097353234806</v>
      </c>
      <c r="CG56" s="101" t="s">
        <v>681</v>
      </c>
      <c r="CH56" s="310">
        <v>7645.1411399999997</v>
      </c>
      <c r="CI56" s="310">
        <v>34115</v>
      </c>
      <c r="CJ56" s="315">
        <v>7645.1411399999997</v>
      </c>
      <c r="CK56" s="310">
        <v>9303.7099999999991</v>
      </c>
      <c r="CL56" s="58">
        <f t="shared" si="5"/>
        <v>0.82173037852641584</v>
      </c>
      <c r="CM56" s="315" t="s">
        <v>682</v>
      </c>
      <c r="CN56" s="313">
        <v>8590.8363199999985</v>
      </c>
      <c r="CO56" s="313">
        <v>34115</v>
      </c>
      <c r="CP56" s="313">
        <v>3039.2763199999999</v>
      </c>
      <c r="CQ56" s="313">
        <v>9121.43</v>
      </c>
      <c r="CR56" s="309">
        <v>0.33320173700834188</v>
      </c>
      <c r="CS56" s="101" t="s">
        <v>683</v>
      </c>
      <c r="CT56" s="310">
        <v>43603.387459999998</v>
      </c>
      <c r="CU56" s="310">
        <v>44082.921600000001</v>
      </c>
      <c r="CV56" s="320">
        <f>+CP56+AA56+AG56+AM56+AS56+AY56+BE56+BL56+BR56+BX56+CD56+CJ56</f>
        <v>43603.387459999998</v>
      </c>
      <c r="CW56" s="320">
        <f>+X56</f>
        <v>44082.921600000001</v>
      </c>
      <c r="CX56" s="58">
        <f t="shared" si="33"/>
        <v>0.98912199730428019</v>
      </c>
      <c r="CY56" s="320" t="s">
        <v>684</v>
      </c>
      <c r="CZ56" s="368">
        <f t="shared" si="35"/>
        <v>25657.776999999998</v>
      </c>
    </row>
    <row r="57" spans="1:104" s="121" customFormat="1" ht="20.100000000000001" hidden="1" customHeight="1">
      <c r="A57" s="296"/>
      <c r="B57" s="13"/>
      <c r="C57" s="304"/>
      <c r="D57" s="13"/>
      <c r="E57" s="13" t="s">
        <v>617</v>
      </c>
      <c r="F57" s="305"/>
      <c r="G57" s="306"/>
      <c r="H57" s="355"/>
      <c r="I57" s="355"/>
      <c r="J57" s="13"/>
      <c r="K57" s="13">
        <v>568.69000000000005</v>
      </c>
      <c r="L57" s="13">
        <v>1714.1</v>
      </c>
      <c r="M57" s="13">
        <v>4519.8500000000004</v>
      </c>
      <c r="N57" s="13">
        <v>4442.3500000000004</v>
      </c>
      <c r="O57" s="13">
        <v>4136.41</v>
      </c>
      <c r="P57" s="13">
        <v>2600</v>
      </c>
      <c r="Q57" s="13">
        <v>339.37</v>
      </c>
      <c r="R57" s="13">
        <v>250</v>
      </c>
      <c r="S57" s="13">
        <f>+S56</f>
        <v>1453</v>
      </c>
      <c r="T57" s="310">
        <v>3188.3069999999998</v>
      </c>
      <c r="U57" s="310">
        <v>9303.7137999999995</v>
      </c>
      <c r="V57" s="310">
        <v>9121.4308000000001</v>
      </c>
      <c r="W57" s="13"/>
      <c r="X57" s="324">
        <f t="shared" si="43"/>
        <v>41637.221600000004</v>
      </c>
      <c r="Y57" s="310">
        <v>568.69000000000005</v>
      </c>
      <c r="Z57" s="309">
        <v>1</v>
      </c>
      <c r="AA57" s="313">
        <f t="shared" si="39"/>
        <v>568.69000000000005</v>
      </c>
      <c r="AB57" s="310"/>
      <c r="AC57" s="309" t="e">
        <f t="shared" si="40"/>
        <v>#DIV/0!</v>
      </c>
      <c r="AD57" s="2101"/>
      <c r="AE57" s="310">
        <v>1645.21</v>
      </c>
      <c r="AF57" s="309">
        <v>1</v>
      </c>
      <c r="AG57" s="309">
        <f t="shared" si="1"/>
        <v>1645.21</v>
      </c>
      <c r="AH57" s="310"/>
      <c r="AI57" s="309" t="e">
        <f t="shared" si="3"/>
        <v>#DIV/0!</v>
      </c>
      <c r="AJ57" s="310"/>
      <c r="AK57" s="310">
        <v>2243.35</v>
      </c>
      <c r="AL57" s="309">
        <v>1</v>
      </c>
      <c r="AM57" s="309">
        <f t="shared" si="2"/>
        <v>2243.35</v>
      </c>
      <c r="AN57" s="310"/>
      <c r="AO57" s="309" t="e">
        <f t="shared" si="4"/>
        <v>#DIV/0!</v>
      </c>
      <c r="AP57" s="310"/>
      <c r="AQ57" s="310">
        <v>2153</v>
      </c>
      <c r="AR57" s="309">
        <v>1</v>
      </c>
      <c r="AS57" s="310">
        <f t="shared" si="9"/>
        <v>2153</v>
      </c>
      <c r="AT57" s="310"/>
      <c r="AU57" s="309" t="e">
        <f t="shared" si="10"/>
        <v>#DIV/0!</v>
      </c>
      <c r="AV57" s="310"/>
      <c r="AW57" s="98"/>
      <c r="AX57" s="98"/>
      <c r="AY57" s="309" t="str">
        <f>IF(AX57=0," ",AW57/AX57)</f>
        <v xml:space="preserve"> </v>
      </c>
      <c r="AZ57" s="98"/>
      <c r="BA57" s="309" t="str">
        <f t="shared" si="11"/>
        <v xml:space="preserve"> </v>
      </c>
      <c r="BB57" s="98"/>
      <c r="BC57" s="311"/>
      <c r="BD57" s="336">
        <v>1</v>
      </c>
      <c r="BE57" s="100">
        <f t="shared" si="12"/>
        <v>0</v>
      </c>
      <c r="BF57" s="311">
        <f t="shared" si="13"/>
        <v>2600</v>
      </c>
      <c r="BG57" s="309">
        <f t="shared" si="15"/>
        <v>0</v>
      </c>
      <c r="BH57" s="310"/>
      <c r="BI57" s="310"/>
      <c r="BJ57" s="313"/>
      <c r="BK57" s="309"/>
      <c r="BL57" s="313" t="str">
        <f>IF(BK57=0," ",BJ57/BK57)</f>
        <v xml:space="preserve"> </v>
      </c>
      <c r="BM57" s="313"/>
      <c r="BN57" s="309" t="str">
        <f t="shared" si="14"/>
        <v xml:space="preserve"> </v>
      </c>
      <c r="BO57" s="98"/>
      <c r="BP57" s="98"/>
      <c r="BQ57" s="98"/>
      <c r="BR57" s="98"/>
      <c r="BS57" s="98"/>
      <c r="BT57" s="309" t="str">
        <f t="shared" si="30"/>
        <v xml:space="preserve"> </v>
      </c>
      <c r="BU57" s="98"/>
      <c r="BV57" s="341"/>
      <c r="BW57" s="342"/>
      <c r="BX57" s="100" t="str">
        <f>IF(BW57=0," ",BV57/BW57)</f>
        <v xml:space="preserve"> </v>
      </c>
      <c r="BY57" s="309"/>
      <c r="BZ57" s="309" t="str">
        <f t="shared" si="17"/>
        <v xml:space="preserve"> </v>
      </c>
      <c r="CA57" s="2101"/>
      <c r="CB57" s="318"/>
      <c r="CC57" s="318"/>
      <c r="CD57" s="318"/>
      <c r="CE57" s="318"/>
      <c r="CF57" s="58" t="str">
        <f t="shared" si="31"/>
        <v xml:space="preserve"> </v>
      </c>
      <c r="CG57" s="299"/>
      <c r="CH57" s="310"/>
      <c r="CI57" s="310"/>
      <c r="CJ57" s="315"/>
      <c r="CK57" s="310"/>
      <c r="CL57" s="58" t="str">
        <f t="shared" si="5"/>
        <v xml:space="preserve"> </v>
      </c>
      <c r="CM57" s="315"/>
      <c r="CN57" s="316"/>
      <c r="CO57" s="331"/>
      <c r="CP57" s="331"/>
      <c r="CQ57" s="331"/>
      <c r="CR57" s="58" t="str">
        <f>IF(CO57=0," ",CP57/CQ57)</f>
        <v xml:space="preserve"> </v>
      </c>
      <c r="CS57" s="299"/>
      <c r="CT57" s="310"/>
      <c r="CU57" s="310"/>
      <c r="CV57" s="319" t="e">
        <f t="shared" si="6"/>
        <v>#VALUE!</v>
      </c>
      <c r="CW57" s="320">
        <f t="shared" si="7"/>
        <v>41637.221600000004</v>
      </c>
      <c r="CX57" s="58" t="str">
        <f t="shared" si="33"/>
        <v xml:space="preserve"> </v>
      </c>
      <c r="CY57" s="370" t="e">
        <f t="shared" si="34"/>
        <v>#VALUE!</v>
      </c>
      <c r="CZ57" s="368">
        <f t="shared" si="35"/>
        <v>23212.077000000001</v>
      </c>
    </row>
    <row r="58" spans="1:104" s="121" customFormat="1" ht="20.100000000000001" hidden="1" customHeight="1">
      <c r="A58" s="296"/>
      <c r="B58" s="13"/>
      <c r="C58" s="304"/>
      <c r="D58" s="13"/>
      <c r="E58" s="13" t="s">
        <v>618</v>
      </c>
      <c r="F58" s="305"/>
      <c r="G58" s="306"/>
      <c r="H58" s="355"/>
      <c r="I58" s="355"/>
      <c r="J58" s="13"/>
      <c r="K58" s="13">
        <v>955</v>
      </c>
      <c r="L58" s="13">
        <v>840</v>
      </c>
      <c r="M58" s="13">
        <v>650.70000000000005</v>
      </c>
      <c r="N58" s="13"/>
      <c r="O58" s="13"/>
      <c r="P58" s="13"/>
      <c r="Q58" s="13"/>
      <c r="R58" s="13"/>
      <c r="S58" s="13"/>
      <c r="T58" s="13"/>
      <c r="U58" s="13"/>
      <c r="V58" s="13"/>
      <c r="W58" s="324">
        <f>+X56-X58</f>
        <v>41637.221600000004</v>
      </c>
      <c r="X58" s="324">
        <f t="shared" si="43"/>
        <v>2445.6999999999998</v>
      </c>
      <c r="Y58" s="310">
        <v>955</v>
      </c>
      <c r="Z58" s="309">
        <v>1</v>
      </c>
      <c r="AA58" s="309">
        <f t="shared" si="39"/>
        <v>955</v>
      </c>
      <c r="AB58" s="310"/>
      <c r="AC58" s="309" t="e">
        <f t="shared" si="40"/>
        <v>#DIV/0!</v>
      </c>
      <c r="AD58" s="2101"/>
      <c r="AE58" s="310">
        <v>840</v>
      </c>
      <c r="AF58" s="309">
        <v>1</v>
      </c>
      <c r="AG58" s="309">
        <f t="shared" si="1"/>
        <v>840</v>
      </c>
      <c r="AH58" s="310"/>
      <c r="AI58" s="309" t="e">
        <f t="shared" si="3"/>
        <v>#DIV/0!</v>
      </c>
      <c r="AJ58" s="310"/>
      <c r="AK58" s="310">
        <v>650.70000000000005</v>
      </c>
      <c r="AL58" s="309">
        <v>1</v>
      </c>
      <c r="AM58" s="309">
        <f t="shared" si="2"/>
        <v>650.70000000000005</v>
      </c>
      <c r="AN58" s="310"/>
      <c r="AO58" s="309" t="e">
        <f t="shared" si="4"/>
        <v>#DIV/0!</v>
      </c>
      <c r="AP58" s="310"/>
      <c r="AQ58" s="310"/>
      <c r="AR58" s="309">
        <v>1</v>
      </c>
      <c r="AS58" s="310">
        <f t="shared" si="9"/>
        <v>0</v>
      </c>
      <c r="AT58" s="310"/>
      <c r="AU58" s="309" t="e">
        <f t="shared" si="10"/>
        <v>#DIV/0!</v>
      </c>
      <c r="AV58" s="310"/>
      <c r="AW58" s="98"/>
      <c r="AX58" s="98"/>
      <c r="AY58" s="309" t="str">
        <f>IF(AX58=0," ",AW58/AX58)</f>
        <v xml:space="preserve"> </v>
      </c>
      <c r="AZ58" s="98"/>
      <c r="BA58" s="309" t="str">
        <f t="shared" si="11"/>
        <v xml:space="preserve"> </v>
      </c>
      <c r="BB58" s="98"/>
      <c r="BC58" s="311"/>
      <c r="BD58" s="336">
        <v>1</v>
      </c>
      <c r="BE58" s="100">
        <f t="shared" si="12"/>
        <v>0</v>
      </c>
      <c r="BF58" s="311">
        <f t="shared" si="13"/>
        <v>0</v>
      </c>
      <c r="BG58" s="309" t="e">
        <f t="shared" si="15"/>
        <v>#DIV/0!</v>
      </c>
      <c r="BH58" s="310"/>
      <c r="BI58" s="310"/>
      <c r="BJ58" s="313"/>
      <c r="BK58" s="309"/>
      <c r="BL58" s="313" t="str">
        <f>IF(BK58=0," ",BJ58/BK58)</f>
        <v xml:space="preserve"> </v>
      </c>
      <c r="BM58" s="313"/>
      <c r="BN58" s="309" t="str">
        <f t="shared" si="14"/>
        <v xml:space="preserve"> </v>
      </c>
      <c r="BO58" s="98"/>
      <c r="BP58" s="98"/>
      <c r="BQ58" s="98"/>
      <c r="BR58" s="98"/>
      <c r="BS58" s="98"/>
      <c r="BT58" s="309" t="str">
        <f t="shared" si="30"/>
        <v xml:space="preserve"> </v>
      </c>
      <c r="BU58" s="98"/>
      <c r="BV58" s="341"/>
      <c r="BW58" s="342"/>
      <c r="BX58" s="100" t="str">
        <f>IF(BW58=0," ",BV58/BW58)</f>
        <v xml:space="preserve"> </v>
      </c>
      <c r="BY58" s="309"/>
      <c r="BZ58" s="309" t="str">
        <f t="shared" si="17"/>
        <v xml:space="preserve"> </v>
      </c>
      <c r="CA58" s="2101"/>
      <c r="CB58" s="318"/>
      <c r="CC58" s="318"/>
      <c r="CD58" s="318"/>
      <c r="CE58" s="318"/>
      <c r="CF58" s="58" t="str">
        <f t="shared" si="31"/>
        <v xml:space="preserve"> </v>
      </c>
      <c r="CG58" s="299"/>
      <c r="CH58" s="310"/>
      <c r="CI58" s="310"/>
      <c r="CJ58" s="315"/>
      <c r="CK58" s="310"/>
      <c r="CL58" s="58" t="str">
        <f t="shared" si="5"/>
        <v xml:space="preserve"> </v>
      </c>
      <c r="CM58" s="315"/>
      <c r="CN58" s="316"/>
      <c r="CO58" s="331"/>
      <c r="CP58" s="331"/>
      <c r="CQ58" s="331"/>
      <c r="CR58" s="58" t="str">
        <f>IF(CO58=0," ",CP58/CQ58)</f>
        <v xml:space="preserve"> </v>
      </c>
      <c r="CS58" s="299"/>
      <c r="CT58" s="310"/>
      <c r="CU58" s="310"/>
      <c r="CV58" s="319" t="e">
        <f t="shared" si="6"/>
        <v>#VALUE!</v>
      </c>
      <c r="CW58" s="320">
        <f t="shared" si="7"/>
        <v>2445.6999999999998</v>
      </c>
      <c r="CX58" s="58" t="str">
        <f t="shared" si="33"/>
        <v xml:space="preserve"> </v>
      </c>
      <c r="CY58" s="370" t="e">
        <f t="shared" si="34"/>
        <v>#VALUE!</v>
      </c>
      <c r="CZ58" s="368">
        <f t="shared" si="35"/>
        <v>2445.6999999999998</v>
      </c>
    </row>
    <row r="59" spans="1:104" s="121" customFormat="1" ht="49.5" customHeight="1">
      <c r="A59" s="296"/>
      <c r="B59" s="13" t="s">
        <v>416</v>
      </c>
      <c r="C59" s="349">
        <v>18</v>
      </c>
      <c r="D59" s="349" t="s">
        <v>685</v>
      </c>
      <c r="E59" s="349" t="s">
        <v>686</v>
      </c>
      <c r="F59" s="382" t="s">
        <v>603</v>
      </c>
      <c r="G59" s="382" t="s">
        <v>53</v>
      </c>
      <c r="H59" s="349" t="s">
        <v>604</v>
      </c>
      <c r="I59" s="355" t="s">
        <v>605</v>
      </c>
      <c r="J59" s="8" t="s">
        <v>687</v>
      </c>
      <c r="K59" s="7">
        <f t="shared" ref="K59:V59" si="45">+K60+K61</f>
        <v>65</v>
      </c>
      <c r="L59" s="7">
        <f t="shared" si="45"/>
        <v>132.94</v>
      </c>
      <c r="M59" s="7">
        <f t="shared" si="45"/>
        <v>53.06</v>
      </c>
      <c r="N59" s="7">
        <f t="shared" si="45"/>
        <v>52</v>
      </c>
      <c r="O59" s="373">
        <f t="shared" si="45"/>
        <v>0</v>
      </c>
      <c r="P59" s="373">
        <f t="shared" si="45"/>
        <v>0</v>
      </c>
      <c r="Q59" s="373">
        <f t="shared" si="45"/>
        <v>0</v>
      </c>
      <c r="R59" s="373">
        <f t="shared" si="45"/>
        <v>0</v>
      </c>
      <c r="S59" s="373">
        <f t="shared" si="45"/>
        <v>0</v>
      </c>
      <c r="T59" s="373">
        <f t="shared" si="45"/>
        <v>0</v>
      </c>
      <c r="U59" s="373">
        <f t="shared" si="45"/>
        <v>0</v>
      </c>
      <c r="V59" s="373">
        <f t="shared" si="45"/>
        <v>0</v>
      </c>
      <c r="W59" s="301"/>
      <c r="X59" s="324">
        <f t="shared" si="43"/>
        <v>303</v>
      </c>
      <c r="Y59" s="310">
        <v>65</v>
      </c>
      <c r="Z59" s="309">
        <v>1</v>
      </c>
      <c r="AA59" s="383">
        <f t="shared" si="39"/>
        <v>65</v>
      </c>
      <c r="AB59" s="310">
        <v>65</v>
      </c>
      <c r="AC59" s="309">
        <f t="shared" si="40"/>
        <v>1</v>
      </c>
      <c r="AD59" s="2101" t="s">
        <v>422</v>
      </c>
      <c r="AE59" s="310">
        <v>132.94</v>
      </c>
      <c r="AF59" s="309">
        <v>1</v>
      </c>
      <c r="AG59" s="310">
        <f t="shared" si="1"/>
        <v>132.94</v>
      </c>
      <c r="AH59" s="310">
        <v>132.94</v>
      </c>
      <c r="AI59" s="309">
        <f t="shared" si="3"/>
        <v>1</v>
      </c>
      <c r="AJ59" s="2101" t="s">
        <v>422</v>
      </c>
      <c r="AK59" s="310">
        <v>83.36</v>
      </c>
      <c r="AL59" s="309">
        <v>1</v>
      </c>
      <c r="AM59" s="310">
        <f t="shared" si="2"/>
        <v>83.36</v>
      </c>
      <c r="AN59" s="310">
        <v>53.06</v>
      </c>
      <c r="AO59" s="309">
        <f t="shared" si="4"/>
        <v>1.5710516396532226</v>
      </c>
      <c r="AP59" s="310" t="s">
        <v>688</v>
      </c>
      <c r="AQ59" s="310">
        <v>21.7</v>
      </c>
      <c r="AR59" s="309">
        <v>1</v>
      </c>
      <c r="AS59" s="310">
        <f t="shared" si="9"/>
        <v>21.7</v>
      </c>
      <c r="AT59" s="310">
        <v>52</v>
      </c>
      <c r="AU59" s="309">
        <f t="shared" si="10"/>
        <v>0.41730769230769227</v>
      </c>
      <c r="AV59" s="310" t="s">
        <v>689</v>
      </c>
      <c r="AW59" s="310" t="s">
        <v>325</v>
      </c>
      <c r="AX59" s="310" t="s">
        <v>325</v>
      </c>
      <c r="AY59" s="310"/>
      <c r="AZ59" s="310" t="s">
        <v>325</v>
      </c>
      <c r="BA59" s="310" t="s">
        <v>325</v>
      </c>
      <c r="BB59" s="310" t="s">
        <v>476</v>
      </c>
      <c r="BC59" s="311" t="s">
        <v>325</v>
      </c>
      <c r="BD59" s="311" t="s">
        <v>325</v>
      </c>
      <c r="BE59" s="311"/>
      <c r="BF59" s="311" t="s">
        <v>325</v>
      </c>
      <c r="BG59" s="312" t="s">
        <v>325</v>
      </c>
      <c r="BH59" s="310" t="s">
        <v>425</v>
      </c>
      <c r="BI59" s="310"/>
      <c r="BJ59" s="313" t="s">
        <v>325</v>
      </c>
      <c r="BK59" s="313" t="s">
        <v>325</v>
      </c>
      <c r="BL59" s="313"/>
      <c r="BM59" s="313" t="s">
        <v>325</v>
      </c>
      <c r="BN59" s="313" t="s">
        <v>325</v>
      </c>
      <c r="BO59" s="310" t="s">
        <v>426</v>
      </c>
      <c r="BP59" s="313" t="s">
        <v>325</v>
      </c>
      <c r="BQ59" s="313" t="s">
        <v>325</v>
      </c>
      <c r="BR59" s="313"/>
      <c r="BS59" s="313"/>
      <c r="BT59" s="313" t="s">
        <v>325</v>
      </c>
      <c r="BU59" s="2101" t="s">
        <v>426</v>
      </c>
      <c r="BV59" s="313" t="s">
        <v>325</v>
      </c>
      <c r="BW59" s="313" t="s">
        <v>325</v>
      </c>
      <c r="BX59" s="313"/>
      <c r="BY59" s="313" t="s">
        <v>325</v>
      </c>
      <c r="BZ59" s="313" t="s">
        <v>325</v>
      </c>
      <c r="CA59" s="2101" t="s">
        <v>426</v>
      </c>
      <c r="CB59" s="318" t="s">
        <v>325</v>
      </c>
      <c r="CC59" s="318" t="s">
        <v>325</v>
      </c>
      <c r="CD59" s="318"/>
      <c r="CE59" s="318" t="s">
        <v>325</v>
      </c>
      <c r="CF59" s="58" t="e">
        <f t="shared" si="31"/>
        <v>#VALUE!</v>
      </c>
      <c r="CG59" s="101" t="s">
        <v>690</v>
      </c>
      <c r="CH59" s="310" t="s">
        <v>325</v>
      </c>
      <c r="CI59" s="310" t="s">
        <v>325</v>
      </c>
      <c r="CJ59" s="315"/>
      <c r="CK59" s="310" t="s">
        <v>325</v>
      </c>
      <c r="CL59" s="58" t="s">
        <v>325</v>
      </c>
      <c r="CM59" s="315" t="s">
        <v>690</v>
      </c>
      <c r="CN59" s="316" t="s">
        <v>325</v>
      </c>
      <c r="CO59" s="316" t="s">
        <v>325</v>
      </c>
      <c r="CP59" s="316"/>
      <c r="CQ59" s="316" t="s">
        <v>325</v>
      </c>
      <c r="CR59" s="316" t="s">
        <v>325</v>
      </c>
      <c r="CS59" s="315" t="s">
        <v>429</v>
      </c>
      <c r="CT59" s="310">
        <v>303</v>
      </c>
      <c r="CU59" s="310">
        <v>303</v>
      </c>
      <c r="CV59" s="319">
        <f t="shared" si="6"/>
        <v>303</v>
      </c>
      <c r="CW59" s="320">
        <f t="shared" si="7"/>
        <v>303</v>
      </c>
      <c r="CX59" s="58">
        <f t="shared" si="33"/>
        <v>1</v>
      </c>
      <c r="CY59" s="320" t="s">
        <v>430</v>
      </c>
      <c r="CZ59" s="368">
        <f t="shared" si="35"/>
        <v>303</v>
      </c>
    </row>
    <row r="60" spans="1:104" s="121" customFormat="1" ht="57.75" hidden="1" customHeight="1">
      <c r="A60" s="296"/>
      <c r="B60" s="349"/>
      <c r="C60" s="304"/>
      <c r="D60" s="13"/>
      <c r="E60" s="13" t="s">
        <v>617</v>
      </c>
      <c r="F60" s="305"/>
      <c r="G60" s="306"/>
      <c r="H60" s="355"/>
      <c r="I60" s="355"/>
      <c r="J60" s="13"/>
      <c r="K60" s="7">
        <v>65</v>
      </c>
      <c r="L60" s="7">
        <v>132.94</v>
      </c>
      <c r="M60" s="7">
        <v>53.06</v>
      </c>
      <c r="N60" s="7">
        <v>52</v>
      </c>
      <c r="O60" s="7"/>
      <c r="P60" s="7"/>
      <c r="Q60" s="7"/>
      <c r="R60" s="7"/>
      <c r="S60" s="7"/>
      <c r="T60" s="7"/>
      <c r="U60" s="7"/>
      <c r="V60" s="7"/>
      <c r="W60" s="301"/>
      <c r="X60" s="324">
        <f t="shared" si="43"/>
        <v>303</v>
      </c>
      <c r="Y60" s="310"/>
      <c r="Z60" s="309">
        <v>1</v>
      </c>
      <c r="AA60" s="309">
        <f t="shared" si="39"/>
        <v>0</v>
      </c>
      <c r="AB60" s="310"/>
      <c r="AC60" s="309" t="e">
        <f t="shared" si="40"/>
        <v>#DIV/0!</v>
      </c>
      <c r="AD60" s="2101"/>
      <c r="AE60" s="310"/>
      <c r="AF60" s="309">
        <v>1</v>
      </c>
      <c r="AG60" s="309">
        <f t="shared" si="1"/>
        <v>0</v>
      </c>
      <c r="AH60" s="310"/>
      <c r="AI60" s="309" t="e">
        <f t="shared" si="3"/>
        <v>#DIV/0!</v>
      </c>
      <c r="AJ60" s="2101"/>
      <c r="AK60" s="310"/>
      <c r="AL60" s="309">
        <v>1</v>
      </c>
      <c r="AM60" s="309">
        <f t="shared" si="2"/>
        <v>0</v>
      </c>
      <c r="AN60" s="310"/>
      <c r="AO60" s="309" t="e">
        <f t="shared" si="4"/>
        <v>#DIV/0!</v>
      </c>
      <c r="AP60" s="310"/>
      <c r="AQ60" s="310"/>
      <c r="AR60" s="309">
        <v>1</v>
      </c>
      <c r="AS60" s="309">
        <f t="shared" si="9"/>
        <v>0</v>
      </c>
      <c r="AT60" s="310" t="s">
        <v>689</v>
      </c>
      <c r="AU60" s="309" t="e">
        <f t="shared" si="10"/>
        <v>#VALUE!</v>
      </c>
      <c r="AV60" s="310"/>
      <c r="AW60" s="98"/>
      <c r="AX60" s="310" t="s">
        <v>325</v>
      </c>
      <c r="AY60" s="310"/>
      <c r="AZ60" s="310" t="s">
        <v>325</v>
      </c>
      <c r="BA60" s="310" t="s">
        <v>325</v>
      </c>
      <c r="BB60" s="310"/>
      <c r="BC60" s="311"/>
      <c r="BD60" s="336">
        <v>1</v>
      </c>
      <c r="BE60" s="100">
        <f t="shared" si="12"/>
        <v>0</v>
      </c>
      <c r="BF60" s="311">
        <f t="shared" si="13"/>
        <v>0</v>
      </c>
      <c r="BG60" s="309" t="e">
        <f t="shared" si="15"/>
        <v>#DIV/0!</v>
      </c>
      <c r="BH60" s="310"/>
      <c r="BI60" s="310"/>
      <c r="BJ60" s="313" t="s">
        <v>325</v>
      </c>
      <c r="BK60" s="313" t="s">
        <v>325</v>
      </c>
      <c r="BL60" s="313"/>
      <c r="BM60" s="313" t="s">
        <v>325</v>
      </c>
      <c r="BN60" s="313" t="s">
        <v>325</v>
      </c>
      <c r="BO60" s="98"/>
      <c r="BP60" s="313"/>
      <c r="BQ60" s="313" t="s">
        <v>325</v>
      </c>
      <c r="BR60" s="313"/>
      <c r="BS60" s="313"/>
      <c r="BT60" s="313" t="s">
        <v>325</v>
      </c>
      <c r="BU60" s="2101"/>
      <c r="BV60" s="313"/>
      <c r="BW60" s="313" t="s">
        <v>325</v>
      </c>
      <c r="BX60" s="313"/>
      <c r="BY60" s="313" t="s">
        <v>325</v>
      </c>
      <c r="BZ60" s="313" t="s">
        <v>325</v>
      </c>
      <c r="CA60" s="2101"/>
      <c r="CB60" s="318"/>
      <c r="CC60" s="318"/>
      <c r="CD60" s="318"/>
      <c r="CE60" s="318"/>
      <c r="CF60" s="58" t="str">
        <f t="shared" si="31"/>
        <v xml:space="preserve"> </v>
      </c>
      <c r="CG60" s="101"/>
      <c r="CH60" s="310"/>
      <c r="CI60" s="310"/>
      <c r="CJ60" s="315"/>
      <c r="CK60" s="310"/>
      <c r="CL60" s="58" t="str">
        <f t="shared" si="5"/>
        <v xml:space="preserve"> </v>
      </c>
      <c r="CM60" s="315"/>
      <c r="CN60" s="316"/>
      <c r="CO60" s="331"/>
      <c r="CP60" s="331"/>
      <c r="CQ60" s="331"/>
      <c r="CR60" s="58" t="str">
        <f>IF(CO60=0," ",CP60/CQ60)</f>
        <v xml:space="preserve"> </v>
      </c>
      <c r="CS60" s="299"/>
      <c r="CT60" s="310"/>
      <c r="CU60" s="310"/>
      <c r="CV60" s="319">
        <f t="shared" si="6"/>
        <v>0</v>
      </c>
      <c r="CW60" s="320">
        <f t="shared" si="7"/>
        <v>303</v>
      </c>
      <c r="CX60" s="58" t="str">
        <f t="shared" si="33"/>
        <v xml:space="preserve"> </v>
      </c>
      <c r="CY60" s="370">
        <f t="shared" si="34"/>
        <v>0</v>
      </c>
      <c r="CZ60" s="368">
        <f t="shared" si="35"/>
        <v>303</v>
      </c>
    </row>
    <row r="61" spans="1:104" s="121" customFormat="1" ht="57.75" hidden="1" customHeight="1">
      <c r="A61" s="296"/>
      <c r="B61" s="349"/>
      <c r="C61" s="304"/>
      <c r="D61" s="13"/>
      <c r="E61" s="13" t="s">
        <v>618</v>
      </c>
      <c r="F61" s="305"/>
      <c r="G61" s="306"/>
      <c r="H61" s="355"/>
      <c r="I61" s="355"/>
      <c r="J61" s="13"/>
      <c r="K61" s="7"/>
      <c r="L61" s="7"/>
      <c r="M61" s="7"/>
      <c r="N61" s="7"/>
      <c r="O61" s="7"/>
      <c r="P61" s="7"/>
      <c r="Q61" s="7"/>
      <c r="R61" s="7"/>
      <c r="S61" s="7"/>
      <c r="T61" s="7"/>
      <c r="U61" s="7"/>
      <c r="V61" s="7"/>
      <c r="W61" s="301"/>
      <c r="X61" s="324">
        <f t="shared" si="43"/>
        <v>0</v>
      </c>
      <c r="Y61" s="310"/>
      <c r="Z61" s="309">
        <v>1</v>
      </c>
      <c r="AA61" s="309">
        <f t="shared" si="39"/>
        <v>0</v>
      </c>
      <c r="AB61" s="310"/>
      <c r="AC61" s="309" t="e">
        <f t="shared" si="40"/>
        <v>#DIV/0!</v>
      </c>
      <c r="AD61" s="2101"/>
      <c r="AE61" s="310"/>
      <c r="AF61" s="309">
        <v>1</v>
      </c>
      <c r="AG61" s="309">
        <f t="shared" si="1"/>
        <v>0</v>
      </c>
      <c r="AH61" s="310"/>
      <c r="AI61" s="309" t="e">
        <f t="shared" si="3"/>
        <v>#DIV/0!</v>
      </c>
      <c r="AJ61" s="2101"/>
      <c r="AK61" s="310"/>
      <c r="AL61" s="309">
        <v>1</v>
      </c>
      <c r="AM61" s="309">
        <f t="shared" si="2"/>
        <v>0</v>
      </c>
      <c r="AN61" s="310"/>
      <c r="AO61" s="309" t="e">
        <f t="shared" si="4"/>
        <v>#DIV/0!</v>
      </c>
      <c r="AP61" s="310"/>
      <c r="AQ61" s="310"/>
      <c r="AR61" s="309">
        <v>1</v>
      </c>
      <c r="AS61" s="309">
        <f t="shared" si="9"/>
        <v>0</v>
      </c>
      <c r="AT61" s="310"/>
      <c r="AU61" s="309" t="e">
        <f t="shared" si="10"/>
        <v>#DIV/0!</v>
      </c>
      <c r="AV61" s="310"/>
      <c r="AW61" s="98"/>
      <c r="AX61" s="310" t="s">
        <v>325</v>
      </c>
      <c r="AY61" s="310"/>
      <c r="AZ61" s="310" t="s">
        <v>325</v>
      </c>
      <c r="BA61" s="310" t="s">
        <v>325</v>
      </c>
      <c r="BB61" s="310"/>
      <c r="BC61" s="311"/>
      <c r="BD61" s="336">
        <v>1</v>
      </c>
      <c r="BE61" s="100">
        <f t="shared" si="12"/>
        <v>0</v>
      </c>
      <c r="BF61" s="311">
        <f t="shared" si="13"/>
        <v>0</v>
      </c>
      <c r="BG61" s="309" t="e">
        <f t="shared" si="15"/>
        <v>#DIV/0!</v>
      </c>
      <c r="BH61" s="310"/>
      <c r="BI61" s="310"/>
      <c r="BJ61" s="313" t="s">
        <v>325</v>
      </c>
      <c r="BK61" s="313" t="s">
        <v>325</v>
      </c>
      <c r="BL61" s="313"/>
      <c r="BM61" s="313" t="s">
        <v>325</v>
      </c>
      <c r="BN61" s="313" t="s">
        <v>325</v>
      </c>
      <c r="BO61" s="98"/>
      <c r="BP61" s="313" t="s">
        <v>325</v>
      </c>
      <c r="BQ61" s="313" t="s">
        <v>325</v>
      </c>
      <c r="BR61" s="313"/>
      <c r="BS61" s="313"/>
      <c r="BT61" s="313" t="s">
        <v>325</v>
      </c>
      <c r="BU61" s="2101"/>
      <c r="BV61" s="313" t="s">
        <v>325</v>
      </c>
      <c r="BW61" s="313" t="s">
        <v>325</v>
      </c>
      <c r="BX61" s="313"/>
      <c r="BY61" s="313" t="s">
        <v>325</v>
      </c>
      <c r="BZ61" s="313" t="s">
        <v>325</v>
      </c>
      <c r="CA61" s="2101"/>
      <c r="CB61" s="318"/>
      <c r="CC61" s="318"/>
      <c r="CD61" s="318"/>
      <c r="CE61" s="318"/>
      <c r="CF61" s="58" t="str">
        <f t="shared" si="31"/>
        <v xml:space="preserve"> </v>
      </c>
      <c r="CG61" s="299"/>
      <c r="CH61" s="310"/>
      <c r="CI61" s="310"/>
      <c r="CJ61" s="315"/>
      <c r="CK61" s="310"/>
      <c r="CL61" s="58" t="str">
        <f t="shared" si="5"/>
        <v xml:space="preserve"> </v>
      </c>
      <c r="CM61" s="315"/>
      <c r="CN61" s="316"/>
      <c r="CO61" s="331"/>
      <c r="CP61" s="331"/>
      <c r="CQ61" s="331"/>
      <c r="CR61" s="58" t="str">
        <f>IF(CO61=0," ",CP61/CQ61)</f>
        <v xml:space="preserve"> </v>
      </c>
      <c r="CS61" s="299"/>
      <c r="CT61" s="310"/>
      <c r="CU61" s="310"/>
      <c r="CV61" s="319">
        <f t="shared" si="6"/>
        <v>0</v>
      </c>
      <c r="CW61" s="320">
        <f t="shared" si="7"/>
        <v>0</v>
      </c>
      <c r="CX61" s="58" t="str">
        <f t="shared" si="33"/>
        <v xml:space="preserve"> </v>
      </c>
      <c r="CY61" s="370">
        <f t="shared" si="34"/>
        <v>0</v>
      </c>
      <c r="CZ61" s="368">
        <f t="shared" si="35"/>
        <v>0</v>
      </c>
    </row>
    <row r="62" spans="1:104" s="121" customFormat="1" ht="54.75" customHeight="1">
      <c r="A62" s="296"/>
      <c r="B62" s="13" t="s">
        <v>416</v>
      </c>
      <c r="C62" s="348">
        <v>19</v>
      </c>
      <c r="D62" s="13" t="s">
        <v>691</v>
      </c>
      <c r="E62" s="13" t="s">
        <v>692</v>
      </c>
      <c r="F62" s="13" t="s">
        <v>603</v>
      </c>
      <c r="G62" s="349" t="s">
        <v>53</v>
      </c>
      <c r="H62" s="349" t="s">
        <v>604</v>
      </c>
      <c r="I62" s="349" t="s">
        <v>605</v>
      </c>
      <c r="J62" s="13" t="s">
        <v>693</v>
      </c>
      <c r="K62" s="7"/>
      <c r="L62" s="7"/>
      <c r="M62" s="12"/>
      <c r="N62" s="7"/>
      <c r="O62" s="7"/>
      <c r="P62" s="74"/>
      <c r="Q62" s="384"/>
      <c r="R62" s="74"/>
      <c r="S62" s="74"/>
      <c r="T62" s="74"/>
      <c r="U62" s="74"/>
      <c r="V62" s="351"/>
      <c r="W62" s="301"/>
      <c r="X62" s="324">
        <f t="shared" si="43"/>
        <v>0</v>
      </c>
      <c r="Y62" s="310" t="s">
        <v>423</v>
      </c>
      <c r="Z62" s="310" t="s">
        <v>423</v>
      </c>
      <c r="AA62" s="310"/>
      <c r="AB62" s="310" t="s">
        <v>423</v>
      </c>
      <c r="AC62" s="310" t="s">
        <v>423</v>
      </c>
      <c r="AD62" s="310" t="s">
        <v>424</v>
      </c>
      <c r="AE62" s="310" t="s">
        <v>423</v>
      </c>
      <c r="AF62" s="310" t="s">
        <v>423</v>
      </c>
      <c r="AG62" s="310"/>
      <c r="AH62" s="310" t="s">
        <v>423</v>
      </c>
      <c r="AI62" s="310" t="s">
        <v>423</v>
      </c>
      <c r="AJ62" s="310" t="s">
        <v>424</v>
      </c>
      <c r="AK62" s="310" t="s">
        <v>423</v>
      </c>
      <c r="AL62" s="310" t="s">
        <v>423</v>
      </c>
      <c r="AM62" s="310"/>
      <c r="AN62" s="310" t="s">
        <v>423</v>
      </c>
      <c r="AO62" s="310" t="s">
        <v>423</v>
      </c>
      <c r="AP62" s="310" t="s">
        <v>424</v>
      </c>
      <c r="AQ62" s="310" t="s">
        <v>423</v>
      </c>
      <c r="AR62" s="310" t="s">
        <v>423</v>
      </c>
      <c r="AS62" s="310"/>
      <c r="AT62" s="310" t="s">
        <v>423</v>
      </c>
      <c r="AU62" s="310" t="s">
        <v>423</v>
      </c>
      <c r="AV62" s="310" t="s">
        <v>424</v>
      </c>
      <c r="AW62" s="310" t="s">
        <v>325</v>
      </c>
      <c r="AX62" s="310" t="s">
        <v>325</v>
      </c>
      <c r="AY62" s="310"/>
      <c r="AZ62" s="310" t="s">
        <v>325</v>
      </c>
      <c r="BA62" s="310" t="s">
        <v>325</v>
      </c>
      <c r="BB62" s="310" t="s">
        <v>476</v>
      </c>
      <c r="BC62" s="311" t="s">
        <v>325</v>
      </c>
      <c r="BD62" s="311" t="s">
        <v>325</v>
      </c>
      <c r="BE62" s="311"/>
      <c r="BF62" s="311" t="s">
        <v>325</v>
      </c>
      <c r="BG62" s="312" t="s">
        <v>325</v>
      </c>
      <c r="BH62" s="310" t="s">
        <v>425</v>
      </c>
      <c r="BI62" s="310"/>
      <c r="BJ62" s="313" t="s">
        <v>325</v>
      </c>
      <c r="BK62" s="313" t="s">
        <v>325</v>
      </c>
      <c r="BL62" s="313"/>
      <c r="BM62" s="313" t="s">
        <v>325</v>
      </c>
      <c r="BN62" s="313" t="s">
        <v>325</v>
      </c>
      <c r="BO62" s="310" t="s">
        <v>426</v>
      </c>
      <c r="BP62" s="313" t="s">
        <v>325</v>
      </c>
      <c r="BQ62" s="313" t="s">
        <v>325</v>
      </c>
      <c r="BR62" s="98"/>
      <c r="BS62" s="98"/>
      <c r="BT62" s="313" t="s">
        <v>325</v>
      </c>
      <c r="BU62" s="310" t="s">
        <v>426</v>
      </c>
      <c r="BV62" s="313" t="s">
        <v>325</v>
      </c>
      <c r="BW62" s="313" t="s">
        <v>325</v>
      </c>
      <c r="BX62" s="313"/>
      <c r="BY62" s="313" t="s">
        <v>325</v>
      </c>
      <c r="BZ62" s="313" t="s">
        <v>325</v>
      </c>
      <c r="CA62" s="310" t="s">
        <v>426</v>
      </c>
      <c r="CB62" s="318" t="s">
        <v>325</v>
      </c>
      <c r="CC62" s="318" t="s">
        <v>325</v>
      </c>
      <c r="CD62" s="318"/>
      <c r="CE62" s="318" t="s">
        <v>325</v>
      </c>
      <c r="CF62" s="58" t="e">
        <f>IF(CC62=0," ",CD62/CE62)</f>
        <v>#VALUE!</v>
      </c>
      <c r="CG62" s="101" t="s">
        <v>690</v>
      </c>
      <c r="CH62" s="310" t="s">
        <v>325</v>
      </c>
      <c r="CI62" s="310" t="s">
        <v>325</v>
      </c>
      <c r="CJ62" s="315"/>
      <c r="CK62" s="310" t="s">
        <v>325</v>
      </c>
      <c r="CL62" s="58" t="s">
        <v>325</v>
      </c>
      <c r="CM62" s="315" t="s">
        <v>460</v>
      </c>
      <c r="CN62" s="316" t="s">
        <v>325</v>
      </c>
      <c r="CO62" s="316" t="s">
        <v>325</v>
      </c>
      <c r="CP62" s="316"/>
      <c r="CQ62" s="316" t="s">
        <v>325</v>
      </c>
      <c r="CR62" s="316" t="s">
        <v>325</v>
      </c>
      <c r="CS62" s="315" t="s">
        <v>461</v>
      </c>
      <c r="CT62" s="319" t="s">
        <v>325</v>
      </c>
      <c r="CU62" s="319" t="s">
        <v>325</v>
      </c>
      <c r="CV62" s="319" t="s">
        <v>325</v>
      </c>
      <c r="CW62" s="319" t="s">
        <v>325</v>
      </c>
      <c r="CX62" s="58"/>
      <c r="CY62" s="13" t="s">
        <v>694</v>
      </c>
      <c r="CZ62" s="368">
        <f t="shared" si="35"/>
        <v>0</v>
      </c>
    </row>
    <row r="63" spans="1:104" s="121" customFormat="1" ht="59.25" customHeight="1">
      <c r="A63" s="296"/>
      <c r="B63" s="13" t="s">
        <v>416</v>
      </c>
      <c r="C63" s="348">
        <v>20</v>
      </c>
      <c r="D63" s="13" t="s">
        <v>695</v>
      </c>
      <c r="E63" s="13" t="s">
        <v>696</v>
      </c>
      <c r="F63" s="13" t="s">
        <v>603</v>
      </c>
      <c r="G63" s="349" t="s">
        <v>53</v>
      </c>
      <c r="H63" s="13" t="s">
        <v>604</v>
      </c>
      <c r="I63" s="349" t="s">
        <v>605</v>
      </c>
      <c r="J63" s="8" t="s">
        <v>697</v>
      </c>
      <c r="K63" s="7"/>
      <c r="L63" s="7"/>
      <c r="M63" s="12"/>
      <c r="N63" s="7"/>
      <c r="O63" s="7">
        <v>0.1</v>
      </c>
      <c r="P63" s="351">
        <v>0.5</v>
      </c>
      <c r="Q63" s="351"/>
      <c r="R63" s="351"/>
      <c r="S63" s="351"/>
      <c r="T63" s="351"/>
      <c r="U63" s="351"/>
      <c r="V63" s="351"/>
      <c r="W63" s="301"/>
      <c r="X63" s="324">
        <f t="shared" si="43"/>
        <v>0.6</v>
      </c>
      <c r="Y63" s="310" t="s">
        <v>423</v>
      </c>
      <c r="Z63" s="310" t="s">
        <v>423</v>
      </c>
      <c r="AA63" s="310"/>
      <c r="AB63" s="310" t="s">
        <v>423</v>
      </c>
      <c r="AC63" s="310" t="s">
        <v>423</v>
      </c>
      <c r="AD63" s="310" t="s">
        <v>424</v>
      </c>
      <c r="AE63" s="310" t="s">
        <v>423</v>
      </c>
      <c r="AF63" s="310" t="s">
        <v>423</v>
      </c>
      <c r="AG63" s="310"/>
      <c r="AH63" s="310" t="s">
        <v>423</v>
      </c>
      <c r="AI63" s="310" t="s">
        <v>423</v>
      </c>
      <c r="AJ63" s="310" t="s">
        <v>424</v>
      </c>
      <c r="AK63" s="310" t="s">
        <v>423</v>
      </c>
      <c r="AL63" s="310" t="s">
        <v>423</v>
      </c>
      <c r="AM63" s="310"/>
      <c r="AN63" s="310" t="s">
        <v>423</v>
      </c>
      <c r="AO63" s="310" t="s">
        <v>423</v>
      </c>
      <c r="AP63" s="310" t="s">
        <v>424</v>
      </c>
      <c r="AQ63" s="310" t="s">
        <v>423</v>
      </c>
      <c r="AR63" s="310" t="s">
        <v>423</v>
      </c>
      <c r="AS63" s="310"/>
      <c r="AT63" s="310" t="s">
        <v>423</v>
      </c>
      <c r="AU63" s="310" t="s">
        <v>423</v>
      </c>
      <c r="AV63" s="310" t="s">
        <v>424</v>
      </c>
      <c r="AW63" s="350">
        <v>0</v>
      </c>
      <c r="AX63" s="350">
        <v>1</v>
      </c>
      <c r="AY63" s="376">
        <f>IF(AX63=0," ",AW63/AX63)</f>
        <v>0</v>
      </c>
      <c r="AZ63" s="375">
        <f>+P63</f>
        <v>0.5</v>
      </c>
      <c r="BA63" s="309">
        <f t="shared" si="11"/>
        <v>0</v>
      </c>
      <c r="BB63" s="364" t="s">
        <v>698</v>
      </c>
      <c r="BC63" s="311">
        <v>0</v>
      </c>
      <c r="BD63" s="336">
        <v>1</v>
      </c>
      <c r="BE63" s="100">
        <f t="shared" si="12"/>
        <v>0</v>
      </c>
      <c r="BF63" s="311">
        <f t="shared" si="13"/>
        <v>0.5</v>
      </c>
      <c r="BG63" s="309">
        <f t="shared" si="15"/>
        <v>0</v>
      </c>
      <c r="BH63" s="2101" t="s">
        <v>699</v>
      </c>
      <c r="BI63" s="2101" t="s">
        <v>700</v>
      </c>
      <c r="BJ63" s="313" t="s">
        <v>325</v>
      </c>
      <c r="BK63" s="313" t="s">
        <v>325</v>
      </c>
      <c r="BL63" s="313"/>
      <c r="BM63" s="313" t="s">
        <v>325</v>
      </c>
      <c r="BN63" s="313" t="s">
        <v>325</v>
      </c>
      <c r="BO63" s="310" t="s">
        <v>426</v>
      </c>
      <c r="BP63" s="313" t="s">
        <v>325</v>
      </c>
      <c r="BQ63" s="313" t="s">
        <v>325</v>
      </c>
      <c r="BR63" s="98"/>
      <c r="BS63" s="98"/>
      <c r="BT63" s="313" t="s">
        <v>325</v>
      </c>
      <c r="BU63" s="310" t="s">
        <v>426</v>
      </c>
      <c r="BV63" s="313" t="s">
        <v>325</v>
      </c>
      <c r="BW63" s="313" t="s">
        <v>325</v>
      </c>
      <c r="BX63" s="313"/>
      <c r="BY63" s="313" t="s">
        <v>325</v>
      </c>
      <c r="BZ63" s="313" t="s">
        <v>325</v>
      </c>
      <c r="CA63" s="310" t="s">
        <v>426</v>
      </c>
      <c r="CB63" s="318">
        <v>2.1</v>
      </c>
      <c r="CC63" s="318">
        <v>0.36</v>
      </c>
      <c r="CD63" s="318">
        <v>0</v>
      </c>
      <c r="CE63" s="318">
        <v>0.36</v>
      </c>
      <c r="CF63" s="58">
        <f t="shared" si="31"/>
        <v>0</v>
      </c>
      <c r="CG63" s="101" t="s">
        <v>701</v>
      </c>
      <c r="CH63" s="310" t="s">
        <v>325</v>
      </c>
      <c r="CI63" s="310" t="s">
        <v>325</v>
      </c>
      <c r="CJ63" s="315"/>
      <c r="CK63" s="310" t="s">
        <v>325</v>
      </c>
      <c r="CL63" s="58" t="s">
        <v>325</v>
      </c>
      <c r="CM63" s="315" t="s">
        <v>460</v>
      </c>
      <c r="CN63" s="316" t="s">
        <v>325</v>
      </c>
      <c r="CO63" s="316" t="s">
        <v>325</v>
      </c>
      <c r="CP63" s="316"/>
      <c r="CQ63" s="316" t="s">
        <v>325</v>
      </c>
      <c r="CR63" s="316" t="s">
        <v>325</v>
      </c>
      <c r="CS63" s="315" t="s">
        <v>702</v>
      </c>
      <c r="CT63" s="310">
        <v>0</v>
      </c>
      <c r="CU63" s="310">
        <v>0.6</v>
      </c>
      <c r="CV63" s="319">
        <f t="shared" si="6"/>
        <v>0</v>
      </c>
      <c r="CW63" s="320">
        <f t="shared" si="7"/>
        <v>0.6</v>
      </c>
      <c r="CX63" s="58">
        <f t="shared" si="33"/>
        <v>0</v>
      </c>
      <c r="CY63" s="13" t="s">
        <v>703</v>
      </c>
      <c r="CZ63" s="368">
        <f t="shared" si="35"/>
        <v>0.6</v>
      </c>
    </row>
    <row r="64" spans="1:104" s="121" customFormat="1" ht="52.5" customHeight="1">
      <c r="A64" s="296"/>
      <c r="B64" s="13" t="s">
        <v>416</v>
      </c>
      <c r="C64" s="348">
        <v>21</v>
      </c>
      <c r="D64" s="13" t="s">
        <v>704</v>
      </c>
      <c r="E64" s="13" t="s">
        <v>705</v>
      </c>
      <c r="F64" s="13" t="s">
        <v>603</v>
      </c>
      <c r="G64" s="349" t="s">
        <v>53</v>
      </c>
      <c r="H64" s="13" t="s">
        <v>604</v>
      </c>
      <c r="I64" s="349" t="s">
        <v>605</v>
      </c>
      <c r="J64" s="8" t="s">
        <v>697</v>
      </c>
      <c r="K64" s="7"/>
      <c r="L64" s="7"/>
      <c r="M64" s="12"/>
      <c r="N64" s="7"/>
      <c r="O64" s="7"/>
      <c r="P64" s="351">
        <v>0.08</v>
      </c>
      <c r="Q64" s="351"/>
      <c r="R64" s="351"/>
      <c r="S64" s="351"/>
      <c r="T64" s="351"/>
      <c r="U64" s="351"/>
      <c r="V64" s="351"/>
      <c r="W64" s="301"/>
      <c r="X64" s="324">
        <f t="shared" si="43"/>
        <v>0.08</v>
      </c>
      <c r="Y64" s="310" t="s">
        <v>423</v>
      </c>
      <c r="Z64" s="310" t="s">
        <v>423</v>
      </c>
      <c r="AA64" s="310"/>
      <c r="AB64" s="310" t="s">
        <v>423</v>
      </c>
      <c r="AC64" s="310" t="s">
        <v>423</v>
      </c>
      <c r="AD64" s="310" t="s">
        <v>424</v>
      </c>
      <c r="AE64" s="310" t="s">
        <v>423</v>
      </c>
      <c r="AF64" s="310" t="s">
        <v>423</v>
      </c>
      <c r="AG64" s="310"/>
      <c r="AH64" s="310" t="s">
        <v>423</v>
      </c>
      <c r="AI64" s="310" t="s">
        <v>423</v>
      </c>
      <c r="AJ64" s="310" t="s">
        <v>424</v>
      </c>
      <c r="AK64" s="310" t="s">
        <v>423</v>
      </c>
      <c r="AL64" s="310" t="s">
        <v>423</v>
      </c>
      <c r="AM64" s="310"/>
      <c r="AN64" s="310" t="s">
        <v>423</v>
      </c>
      <c r="AO64" s="310" t="s">
        <v>423</v>
      </c>
      <c r="AP64" s="310" t="s">
        <v>424</v>
      </c>
      <c r="AQ64" s="310" t="s">
        <v>423</v>
      </c>
      <c r="AR64" s="310" t="s">
        <v>423</v>
      </c>
      <c r="AS64" s="310"/>
      <c r="AT64" s="310" t="s">
        <v>423</v>
      </c>
      <c r="AU64" s="310" t="s">
        <v>423</v>
      </c>
      <c r="AV64" s="310" t="s">
        <v>424</v>
      </c>
      <c r="AW64" s="310" t="s">
        <v>325</v>
      </c>
      <c r="AX64" s="310" t="s">
        <v>325</v>
      </c>
      <c r="AY64" s="310"/>
      <c r="AZ64" s="310" t="s">
        <v>325</v>
      </c>
      <c r="BA64" s="310" t="s">
        <v>325</v>
      </c>
      <c r="BB64" s="310" t="s">
        <v>476</v>
      </c>
      <c r="BC64" s="311">
        <v>0</v>
      </c>
      <c r="BD64" s="336">
        <v>1</v>
      </c>
      <c r="BE64" s="100">
        <f t="shared" si="12"/>
        <v>0</v>
      </c>
      <c r="BF64" s="311">
        <f t="shared" si="13"/>
        <v>0.08</v>
      </c>
      <c r="BG64" s="309">
        <f t="shared" si="15"/>
        <v>0</v>
      </c>
      <c r="BH64" s="2101"/>
      <c r="BI64" s="2101"/>
      <c r="BJ64" s="313" t="s">
        <v>325</v>
      </c>
      <c r="BK64" s="313" t="s">
        <v>325</v>
      </c>
      <c r="BL64" s="313"/>
      <c r="BM64" s="313" t="s">
        <v>325</v>
      </c>
      <c r="BN64" s="313" t="s">
        <v>325</v>
      </c>
      <c r="BO64" s="310" t="s">
        <v>426</v>
      </c>
      <c r="BP64" s="313" t="s">
        <v>325</v>
      </c>
      <c r="BQ64" s="313" t="s">
        <v>325</v>
      </c>
      <c r="BR64" s="98"/>
      <c r="BS64" s="98"/>
      <c r="BT64" s="313" t="s">
        <v>325</v>
      </c>
      <c r="BU64" s="310" t="s">
        <v>426</v>
      </c>
      <c r="BV64" s="313" t="s">
        <v>325</v>
      </c>
      <c r="BW64" s="313" t="s">
        <v>325</v>
      </c>
      <c r="BX64" s="313"/>
      <c r="BY64" s="313" t="s">
        <v>325</v>
      </c>
      <c r="BZ64" s="313" t="s">
        <v>325</v>
      </c>
      <c r="CA64" s="310" t="s">
        <v>426</v>
      </c>
      <c r="CB64" s="318">
        <v>0.96</v>
      </c>
      <c r="CC64" s="318">
        <v>0.22</v>
      </c>
      <c r="CD64" s="318">
        <v>0</v>
      </c>
      <c r="CE64" s="318">
        <v>0.22</v>
      </c>
      <c r="CF64" s="58">
        <f t="shared" si="31"/>
        <v>0</v>
      </c>
      <c r="CG64" s="2103" t="s">
        <v>706</v>
      </c>
      <c r="CH64" s="310" t="s">
        <v>325</v>
      </c>
      <c r="CI64" s="310" t="s">
        <v>325</v>
      </c>
      <c r="CJ64" s="315"/>
      <c r="CK64" s="310" t="s">
        <v>325</v>
      </c>
      <c r="CL64" s="58" t="s">
        <v>325</v>
      </c>
      <c r="CM64" s="315" t="s">
        <v>460</v>
      </c>
      <c r="CN64" s="316" t="s">
        <v>325</v>
      </c>
      <c r="CO64" s="316" t="s">
        <v>325</v>
      </c>
      <c r="CP64" s="316"/>
      <c r="CQ64" s="316" t="s">
        <v>325</v>
      </c>
      <c r="CR64" s="316" t="s">
        <v>325</v>
      </c>
      <c r="CS64" s="315" t="s">
        <v>702</v>
      </c>
      <c r="CT64" s="310">
        <v>0</v>
      </c>
      <c r="CU64" s="310">
        <v>0.08</v>
      </c>
      <c r="CV64" s="319">
        <f t="shared" si="6"/>
        <v>0</v>
      </c>
      <c r="CW64" s="320">
        <f t="shared" si="7"/>
        <v>0.08</v>
      </c>
      <c r="CX64" s="58">
        <f t="shared" si="33"/>
        <v>0</v>
      </c>
      <c r="CY64" s="13" t="s">
        <v>707</v>
      </c>
      <c r="CZ64" s="368">
        <f t="shared" si="35"/>
        <v>0.08</v>
      </c>
    </row>
    <row r="65" spans="1:104" s="121" customFormat="1" ht="58.5" customHeight="1">
      <c r="A65" s="296"/>
      <c r="B65" s="13" t="s">
        <v>416</v>
      </c>
      <c r="C65" s="348">
        <v>22</v>
      </c>
      <c r="D65" s="13" t="s">
        <v>708</v>
      </c>
      <c r="E65" s="13" t="s">
        <v>709</v>
      </c>
      <c r="F65" s="13" t="s">
        <v>603</v>
      </c>
      <c r="G65" s="349" t="s">
        <v>53</v>
      </c>
      <c r="H65" s="13" t="s">
        <v>604</v>
      </c>
      <c r="I65" s="349" t="s">
        <v>605</v>
      </c>
      <c r="J65" s="8" t="s">
        <v>710</v>
      </c>
      <c r="K65" s="7"/>
      <c r="L65" s="7"/>
      <c r="M65" s="12"/>
      <c r="N65" s="7"/>
      <c r="O65" s="7"/>
      <c r="P65" s="351">
        <v>0.04</v>
      </c>
      <c r="Q65" s="351"/>
      <c r="R65" s="351"/>
      <c r="S65" s="351"/>
      <c r="T65" s="351"/>
      <c r="U65" s="351"/>
      <c r="V65" s="351"/>
      <c r="W65" s="301"/>
      <c r="X65" s="324">
        <f t="shared" si="43"/>
        <v>0.04</v>
      </c>
      <c r="Y65" s="310" t="s">
        <v>423</v>
      </c>
      <c r="Z65" s="310" t="s">
        <v>423</v>
      </c>
      <c r="AA65" s="310"/>
      <c r="AB65" s="310" t="s">
        <v>423</v>
      </c>
      <c r="AC65" s="310" t="s">
        <v>423</v>
      </c>
      <c r="AD65" s="310" t="s">
        <v>424</v>
      </c>
      <c r="AE65" s="310" t="s">
        <v>423</v>
      </c>
      <c r="AF65" s="310" t="s">
        <v>423</v>
      </c>
      <c r="AG65" s="310"/>
      <c r="AH65" s="310" t="s">
        <v>423</v>
      </c>
      <c r="AI65" s="310" t="s">
        <v>423</v>
      </c>
      <c r="AJ65" s="310" t="s">
        <v>424</v>
      </c>
      <c r="AK65" s="310" t="s">
        <v>423</v>
      </c>
      <c r="AL65" s="310" t="s">
        <v>423</v>
      </c>
      <c r="AM65" s="310"/>
      <c r="AN65" s="310" t="s">
        <v>423</v>
      </c>
      <c r="AO65" s="310" t="s">
        <v>423</v>
      </c>
      <c r="AP65" s="310" t="s">
        <v>424</v>
      </c>
      <c r="AQ65" s="310" t="s">
        <v>423</v>
      </c>
      <c r="AR65" s="310" t="s">
        <v>423</v>
      </c>
      <c r="AS65" s="310"/>
      <c r="AT65" s="310" t="s">
        <v>423</v>
      </c>
      <c r="AU65" s="310" t="s">
        <v>423</v>
      </c>
      <c r="AV65" s="310" t="s">
        <v>424</v>
      </c>
      <c r="AW65" s="310" t="s">
        <v>325</v>
      </c>
      <c r="AX65" s="310" t="s">
        <v>325</v>
      </c>
      <c r="AY65" s="310"/>
      <c r="AZ65" s="310" t="s">
        <v>325</v>
      </c>
      <c r="BA65" s="310" t="s">
        <v>325</v>
      </c>
      <c r="BB65" s="310" t="s">
        <v>476</v>
      </c>
      <c r="BC65" s="311">
        <v>0</v>
      </c>
      <c r="BD65" s="336">
        <v>1</v>
      </c>
      <c r="BE65" s="100">
        <f t="shared" si="12"/>
        <v>0</v>
      </c>
      <c r="BF65" s="311">
        <f t="shared" si="13"/>
        <v>0.04</v>
      </c>
      <c r="BG65" s="309">
        <f t="shared" si="15"/>
        <v>0</v>
      </c>
      <c r="BH65" s="2101"/>
      <c r="BI65" s="2101"/>
      <c r="BJ65" s="313" t="s">
        <v>325</v>
      </c>
      <c r="BK65" s="313" t="s">
        <v>325</v>
      </c>
      <c r="BL65" s="313"/>
      <c r="BM65" s="313" t="s">
        <v>325</v>
      </c>
      <c r="BN65" s="313" t="s">
        <v>325</v>
      </c>
      <c r="BO65" s="310" t="s">
        <v>426</v>
      </c>
      <c r="BP65" s="313" t="s">
        <v>325</v>
      </c>
      <c r="BQ65" s="313" t="s">
        <v>325</v>
      </c>
      <c r="BR65" s="98"/>
      <c r="BS65" s="98"/>
      <c r="BT65" s="313" t="s">
        <v>325</v>
      </c>
      <c r="BU65" s="310" t="s">
        <v>426</v>
      </c>
      <c r="BV65" s="313" t="s">
        <v>325</v>
      </c>
      <c r="BW65" s="313" t="s">
        <v>325</v>
      </c>
      <c r="BX65" s="313"/>
      <c r="BY65" s="313" t="s">
        <v>325</v>
      </c>
      <c r="BZ65" s="313" t="s">
        <v>325</v>
      </c>
      <c r="CA65" s="310" t="s">
        <v>426</v>
      </c>
      <c r="CB65" s="318">
        <v>0.48</v>
      </c>
      <c r="CC65" s="318">
        <v>0.11</v>
      </c>
      <c r="CD65" s="318">
        <v>0</v>
      </c>
      <c r="CE65" s="318">
        <v>0.11</v>
      </c>
      <c r="CF65" s="58">
        <f t="shared" si="31"/>
        <v>0</v>
      </c>
      <c r="CG65" s="2103"/>
      <c r="CH65" s="310" t="s">
        <v>325</v>
      </c>
      <c r="CI65" s="310" t="s">
        <v>325</v>
      </c>
      <c r="CJ65" s="315"/>
      <c r="CK65" s="310" t="s">
        <v>325</v>
      </c>
      <c r="CL65" s="58" t="s">
        <v>325</v>
      </c>
      <c r="CM65" s="315" t="s">
        <v>460</v>
      </c>
      <c r="CN65" s="316" t="s">
        <v>325</v>
      </c>
      <c r="CO65" s="316" t="s">
        <v>325</v>
      </c>
      <c r="CP65" s="316"/>
      <c r="CQ65" s="316" t="s">
        <v>325</v>
      </c>
      <c r="CR65" s="316" t="s">
        <v>325</v>
      </c>
      <c r="CS65" s="315" t="s">
        <v>702</v>
      </c>
      <c r="CT65" s="310">
        <v>0</v>
      </c>
      <c r="CU65" s="310">
        <v>0.04</v>
      </c>
      <c r="CV65" s="319">
        <f t="shared" si="6"/>
        <v>0</v>
      </c>
      <c r="CW65" s="320">
        <f t="shared" si="7"/>
        <v>0.04</v>
      </c>
      <c r="CX65" s="58">
        <f t="shared" si="33"/>
        <v>0</v>
      </c>
      <c r="CY65" s="13" t="s">
        <v>711</v>
      </c>
      <c r="CZ65" s="368">
        <f t="shared" si="35"/>
        <v>0.04</v>
      </c>
    </row>
    <row r="66" spans="1:104" s="121" customFormat="1" ht="57.75" customHeight="1">
      <c r="A66" s="296"/>
      <c r="B66" s="13" t="s">
        <v>416</v>
      </c>
      <c r="C66" s="348">
        <v>23</v>
      </c>
      <c r="D66" s="13" t="s">
        <v>712</v>
      </c>
      <c r="E66" s="13" t="s">
        <v>713</v>
      </c>
      <c r="F66" s="13" t="s">
        <v>603</v>
      </c>
      <c r="G66" s="349" t="s">
        <v>53</v>
      </c>
      <c r="H66" s="13" t="s">
        <v>604</v>
      </c>
      <c r="I66" s="349" t="s">
        <v>605</v>
      </c>
      <c r="J66" s="8" t="s">
        <v>714</v>
      </c>
      <c r="K66" s="7"/>
      <c r="L66" s="7"/>
      <c r="M66" s="12"/>
      <c r="N66" s="7"/>
      <c r="O66" s="7"/>
      <c r="P66" s="351"/>
      <c r="Q66" s="351"/>
      <c r="R66" s="351"/>
      <c r="S66" s="385"/>
      <c r="T66" s="385"/>
      <c r="U66" s="385"/>
      <c r="V66" s="385"/>
      <c r="W66" s="301"/>
      <c r="X66" s="324">
        <f t="shared" si="43"/>
        <v>0</v>
      </c>
      <c r="Y66" s="310" t="s">
        <v>423</v>
      </c>
      <c r="Z66" s="310" t="s">
        <v>423</v>
      </c>
      <c r="AA66" s="310"/>
      <c r="AB66" s="310" t="s">
        <v>423</v>
      </c>
      <c r="AC66" s="310" t="s">
        <v>423</v>
      </c>
      <c r="AD66" s="310" t="s">
        <v>424</v>
      </c>
      <c r="AE66" s="310" t="s">
        <v>423</v>
      </c>
      <c r="AF66" s="310" t="s">
        <v>423</v>
      </c>
      <c r="AG66" s="310"/>
      <c r="AH66" s="310" t="s">
        <v>423</v>
      </c>
      <c r="AI66" s="310" t="s">
        <v>423</v>
      </c>
      <c r="AJ66" s="310" t="s">
        <v>424</v>
      </c>
      <c r="AK66" s="310" t="s">
        <v>423</v>
      </c>
      <c r="AL66" s="310" t="s">
        <v>423</v>
      </c>
      <c r="AM66" s="310"/>
      <c r="AN66" s="310" t="s">
        <v>423</v>
      </c>
      <c r="AO66" s="310" t="s">
        <v>423</v>
      </c>
      <c r="AP66" s="310" t="s">
        <v>424</v>
      </c>
      <c r="AQ66" s="310" t="s">
        <v>423</v>
      </c>
      <c r="AR66" s="310" t="s">
        <v>423</v>
      </c>
      <c r="AS66" s="310"/>
      <c r="AT66" s="310" t="s">
        <v>423</v>
      </c>
      <c r="AU66" s="310" t="s">
        <v>423</v>
      </c>
      <c r="AV66" s="310" t="s">
        <v>424</v>
      </c>
      <c r="AW66" s="310" t="s">
        <v>325</v>
      </c>
      <c r="AX66" s="310" t="s">
        <v>325</v>
      </c>
      <c r="AY66" s="310"/>
      <c r="AZ66" s="310" t="s">
        <v>325</v>
      </c>
      <c r="BA66" s="310" t="s">
        <v>325</v>
      </c>
      <c r="BB66" s="310" t="s">
        <v>476</v>
      </c>
      <c r="BC66" s="311" t="s">
        <v>325</v>
      </c>
      <c r="BD66" s="311" t="s">
        <v>325</v>
      </c>
      <c r="BE66" s="311"/>
      <c r="BF66" s="311" t="s">
        <v>325</v>
      </c>
      <c r="BG66" s="312" t="s">
        <v>325</v>
      </c>
      <c r="BH66" s="310" t="s">
        <v>425</v>
      </c>
      <c r="BI66" s="310"/>
      <c r="BJ66" s="313" t="s">
        <v>325</v>
      </c>
      <c r="BK66" s="313" t="s">
        <v>325</v>
      </c>
      <c r="BL66" s="313"/>
      <c r="BM66" s="313" t="s">
        <v>325</v>
      </c>
      <c r="BN66" s="313" t="s">
        <v>325</v>
      </c>
      <c r="BO66" s="310" t="s">
        <v>426</v>
      </c>
      <c r="BP66" s="313" t="s">
        <v>325</v>
      </c>
      <c r="BQ66" s="313" t="s">
        <v>325</v>
      </c>
      <c r="BR66" s="98"/>
      <c r="BS66" s="98"/>
      <c r="BT66" s="313" t="s">
        <v>325</v>
      </c>
      <c r="BU66" s="310" t="s">
        <v>426</v>
      </c>
      <c r="BV66" s="313" t="s">
        <v>325</v>
      </c>
      <c r="BW66" s="313" t="s">
        <v>325</v>
      </c>
      <c r="BX66" s="313"/>
      <c r="BY66" s="313" t="s">
        <v>325</v>
      </c>
      <c r="BZ66" s="313" t="s">
        <v>325</v>
      </c>
      <c r="CA66" s="310" t="s">
        <v>426</v>
      </c>
      <c r="CB66" s="318" t="s">
        <v>325</v>
      </c>
      <c r="CC66" s="318" t="s">
        <v>325</v>
      </c>
      <c r="CD66" s="318"/>
      <c r="CE66" s="318" t="s">
        <v>325</v>
      </c>
      <c r="CF66" s="58" t="e">
        <f t="shared" si="31"/>
        <v>#VALUE!</v>
      </c>
      <c r="CG66" s="315" t="s">
        <v>715</v>
      </c>
      <c r="CH66" s="310" t="s">
        <v>325</v>
      </c>
      <c r="CI66" s="310" t="s">
        <v>325</v>
      </c>
      <c r="CJ66" s="315"/>
      <c r="CK66" s="310" t="s">
        <v>325</v>
      </c>
      <c r="CL66" s="58" t="s">
        <v>325</v>
      </c>
      <c r="CM66" s="315" t="s">
        <v>460</v>
      </c>
      <c r="CN66" s="316" t="s">
        <v>325</v>
      </c>
      <c r="CO66" s="316" t="s">
        <v>325</v>
      </c>
      <c r="CP66" s="316"/>
      <c r="CQ66" s="316" t="s">
        <v>325</v>
      </c>
      <c r="CR66" s="316" t="s">
        <v>325</v>
      </c>
      <c r="CS66" s="315" t="s">
        <v>461</v>
      </c>
      <c r="CT66" s="319" t="s">
        <v>325</v>
      </c>
      <c r="CU66" s="319" t="s">
        <v>325</v>
      </c>
      <c r="CV66" s="319" t="s">
        <v>325</v>
      </c>
      <c r="CW66" s="319" t="s">
        <v>325</v>
      </c>
      <c r="CX66" s="58"/>
      <c r="CY66" s="13" t="s">
        <v>716</v>
      </c>
      <c r="CZ66" s="368">
        <f t="shared" si="35"/>
        <v>0</v>
      </c>
    </row>
    <row r="67" spans="1:104" hidden="1">
      <c r="A67" s="129"/>
      <c r="B67" s="305"/>
      <c r="C67" s="305"/>
      <c r="D67" s="305"/>
      <c r="E67" s="305"/>
      <c r="F67" s="305"/>
      <c r="G67" s="305"/>
      <c r="H67" s="305"/>
      <c r="I67" s="305"/>
      <c r="J67" s="305"/>
      <c r="K67" s="13"/>
      <c r="L67" s="13"/>
      <c r="M67" s="13"/>
      <c r="N67" s="13"/>
      <c r="O67" s="13"/>
      <c r="P67" s="13"/>
      <c r="Q67" s="13"/>
      <c r="R67" s="13"/>
      <c r="S67" s="13"/>
      <c r="T67" s="13"/>
      <c r="U67" s="13"/>
      <c r="V67" s="13"/>
      <c r="W67" s="305"/>
      <c r="X67" s="305"/>
      <c r="Y67" s="305"/>
      <c r="Z67" s="305"/>
      <c r="AA67" s="305"/>
      <c r="AB67" s="305"/>
      <c r="AC67" s="309" t="str">
        <f>IF(Z67=0," ",AA67/AB67)</f>
        <v xml:space="preserve"> </v>
      </c>
      <c r="AD67" s="305"/>
      <c r="AE67" s="305"/>
      <c r="AF67" s="305"/>
      <c r="AG67" s="305"/>
      <c r="AH67" s="305"/>
      <c r="AI67" s="335" t="str">
        <f t="shared" si="3"/>
        <v xml:space="preserve"> </v>
      </c>
      <c r="AJ67" s="305"/>
      <c r="AK67" s="305"/>
      <c r="AL67" s="305"/>
      <c r="AM67" s="305"/>
      <c r="AN67" s="305"/>
      <c r="AO67" s="305"/>
      <c r="AP67" s="305"/>
      <c r="AQ67" s="305"/>
      <c r="AR67" s="305"/>
      <c r="AS67" s="305"/>
      <c r="AT67" s="305"/>
      <c r="AU67" s="305"/>
      <c r="AV67" s="305"/>
      <c r="AW67" s="305"/>
      <c r="AX67" s="305"/>
      <c r="AY67" s="309" t="str">
        <f>IF(AX67=0," ",AW67/AX67)</f>
        <v xml:space="preserve"> </v>
      </c>
      <c r="AZ67" s="305"/>
      <c r="BA67" s="309" t="str">
        <f t="shared" si="11"/>
        <v xml:space="preserve"> </v>
      </c>
      <c r="BB67" s="305"/>
      <c r="BC67" s="305"/>
      <c r="BD67" s="305"/>
      <c r="BE67" s="100" t="str">
        <f t="shared" si="12"/>
        <v xml:space="preserve"> </v>
      </c>
      <c r="BF67" s="305"/>
      <c r="BG67" s="309" t="str">
        <f t="shared" si="15"/>
        <v xml:space="preserve"> </v>
      </c>
      <c r="BH67" s="13"/>
      <c r="BI67" s="13"/>
      <c r="BJ67" s="313"/>
      <c r="BK67" s="309"/>
      <c r="BL67" s="313" t="str">
        <f>IF(BK67=0," ",BJ67/BK67)</f>
        <v xml:space="preserve"> </v>
      </c>
      <c r="BM67" s="313"/>
      <c r="BN67" s="309" t="str">
        <f t="shared" si="14"/>
        <v xml:space="preserve"> </v>
      </c>
      <c r="BO67" s="305"/>
      <c r="BP67" s="305"/>
      <c r="BQ67" s="305"/>
      <c r="BR67" s="305"/>
      <c r="BS67" s="305"/>
      <c r="BT67" s="305"/>
      <c r="BU67" s="305"/>
      <c r="BV67" s="341"/>
      <c r="BW67" s="342"/>
      <c r="BX67" s="100" t="str">
        <f>IF(BW67=0," ",BV67/BW67)</f>
        <v xml:space="preserve"> </v>
      </c>
      <c r="BY67" s="309"/>
      <c r="BZ67" s="309" t="str">
        <f t="shared" si="17"/>
        <v xml:space="preserve"> </v>
      </c>
      <c r="CA67" s="305"/>
      <c r="CB67" s="305"/>
      <c r="CC67" s="305"/>
      <c r="CD67" s="305"/>
      <c r="CE67" s="305"/>
      <c r="CF67" s="386"/>
      <c r="CG67" s="386"/>
      <c r="CH67" s="386"/>
      <c r="CI67" s="386"/>
      <c r="CJ67" s="386"/>
      <c r="CK67" s="386"/>
      <c r="CL67" s="136"/>
      <c r="CM67" s="386"/>
      <c r="CN67" s="316"/>
      <c r="CO67" s="331"/>
      <c r="CP67" s="331"/>
      <c r="CQ67" s="331"/>
      <c r="CR67" s="58" t="str">
        <f t="shared" ref="CR67:CR77" si="46">IF(CO67=0," ",CP67/CQ67)</f>
        <v xml:space="preserve"> </v>
      </c>
      <c r="CV67" s="319" t="e">
        <f t="shared" si="6"/>
        <v>#VALUE!</v>
      </c>
      <c r="CW67" s="320">
        <f>+CQ67+AB67+AH67+AN67+AT67+AZ67+BF67+BM67+BS67+BY67+CE67+CK67</f>
        <v>0</v>
      </c>
      <c r="CX67" s="321">
        <f>+SUM(U67:V67)</f>
        <v>0</v>
      </c>
      <c r="CY67" s="370" t="e">
        <f t="shared" si="34"/>
        <v>#VALUE!</v>
      </c>
      <c r="CZ67" s="368">
        <f t="shared" si="35"/>
        <v>0</v>
      </c>
    </row>
    <row r="68" spans="1:104" hidden="1">
      <c r="A68" s="129"/>
      <c r="B68" s="305"/>
      <c r="C68" s="305"/>
      <c r="D68" s="305"/>
      <c r="E68" s="305"/>
      <c r="F68" s="305"/>
      <c r="G68" s="305"/>
      <c r="H68" s="305"/>
      <c r="I68" s="305"/>
      <c r="J68" s="305"/>
      <c r="K68" s="13"/>
      <c r="L68" s="13"/>
      <c r="M68" s="13"/>
      <c r="N68" s="13"/>
      <c r="O68" s="13"/>
      <c r="P68" s="13"/>
      <c r="Q68" s="13"/>
      <c r="R68" s="13"/>
      <c r="S68" s="13"/>
      <c r="T68" s="13"/>
      <c r="U68" s="13"/>
      <c r="V68" s="13"/>
      <c r="W68" s="305"/>
      <c r="X68" s="305"/>
      <c r="Y68" s="305"/>
      <c r="Z68" s="305"/>
      <c r="AA68" s="305"/>
      <c r="AB68" s="305"/>
      <c r="AC68" s="309" t="str">
        <f>IF(Z68=0," ",AA68/AB68)</f>
        <v xml:space="preserve"> </v>
      </c>
      <c r="AD68" s="305"/>
      <c r="AE68" s="305"/>
      <c r="AF68" s="305"/>
      <c r="AG68" s="305"/>
      <c r="AH68" s="305"/>
      <c r="AI68" s="335" t="str">
        <f t="shared" si="3"/>
        <v xml:space="preserve"> </v>
      </c>
      <c r="AJ68" s="305"/>
      <c r="AK68" s="305"/>
      <c r="AL68" s="305"/>
      <c r="AM68" s="305"/>
      <c r="AN68" s="305"/>
      <c r="AO68" s="305"/>
      <c r="AP68" s="305"/>
      <c r="AQ68" s="305"/>
      <c r="AR68" s="305"/>
      <c r="AS68" s="305"/>
      <c r="AT68" s="305"/>
      <c r="AU68" s="305"/>
      <c r="AV68" s="305"/>
      <c r="AW68" s="305"/>
      <c r="AX68" s="305"/>
      <c r="AY68" s="309" t="str">
        <f>IF(AX68=0," ",AW68/AX68)</f>
        <v xml:space="preserve"> </v>
      </c>
      <c r="AZ68" s="305"/>
      <c r="BA68" s="309" t="str">
        <f t="shared" si="11"/>
        <v xml:space="preserve"> </v>
      </c>
      <c r="BB68" s="305"/>
      <c r="BC68" s="305"/>
      <c r="BD68" s="305"/>
      <c r="BE68" s="100" t="str">
        <f t="shared" si="12"/>
        <v xml:space="preserve"> </v>
      </c>
      <c r="BF68" s="305"/>
      <c r="BG68" s="309" t="str">
        <f t="shared" si="15"/>
        <v xml:space="preserve"> </v>
      </c>
      <c r="BH68" s="13"/>
      <c r="BI68" s="13"/>
      <c r="BJ68" s="313"/>
      <c r="BK68" s="309"/>
      <c r="BL68" s="313" t="str">
        <f>IF(BK68=0," ",BJ68/BK68)</f>
        <v xml:space="preserve"> </v>
      </c>
      <c r="BM68" s="313"/>
      <c r="BN68" s="309" t="str">
        <f t="shared" si="14"/>
        <v xml:space="preserve"> </v>
      </c>
      <c r="BO68" s="305"/>
      <c r="BP68" s="305"/>
      <c r="BQ68" s="305"/>
      <c r="BR68" s="305"/>
      <c r="BS68" s="305"/>
      <c r="BT68" s="305"/>
      <c r="BU68" s="305"/>
      <c r="BV68" s="341"/>
      <c r="BW68" s="342"/>
      <c r="BX68" s="100" t="str">
        <f>IF(BW68=0," ",BV68/BW68)</f>
        <v xml:space="preserve"> </v>
      </c>
      <c r="BY68" s="309"/>
      <c r="BZ68" s="309" t="str">
        <f t="shared" si="17"/>
        <v xml:space="preserve"> </v>
      </c>
      <c r="CA68" s="305"/>
      <c r="CB68" s="305"/>
      <c r="CC68" s="305"/>
      <c r="CD68" s="305"/>
      <c r="CE68" s="305"/>
      <c r="CF68" s="386"/>
      <c r="CG68" s="386"/>
      <c r="CH68" s="386"/>
      <c r="CI68" s="386"/>
      <c r="CJ68" s="386"/>
      <c r="CK68" s="386"/>
      <c r="CL68" s="136"/>
      <c r="CM68" s="386"/>
      <c r="CN68" s="316"/>
      <c r="CO68" s="331"/>
      <c r="CP68" s="331"/>
      <c r="CQ68" s="331"/>
      <c r="CR68" s="58" t="str">
        <f t="shared" si="46"/>
        <v xml:space="preserve"> </v>
      </c>
      <c r="CV68" s="319" t="e">
        <f t="shared" si="6"/>
        <v>#VALUE!</v>
      </c>
      <c r="CW68" s="320">
        <f>+CQ68+AB68+AH68+AN68+AT68+AZ68+BF68+BM68+BS68+BY68+CE68+CK68</f>
        <v>0</v>
      </c>
      <c r="CX68" s="321">
        <f>+SUM(U68:V68)</f>
        <v>0</v>
      </c>
      <c r="CY68" s="370" t="e">
        <f t="shared" si="34"/>
        <v>#VALUE!</v>
      </c>
      <c r="CZ68" s="368">
        <f t="shared" si="35"/>
        <v>0</v>
      </c>
    </row>
    <row r="69" spans="1:104" ht="19.5" customHeight="1">
      <c r="A69" s="129"/>
      <c r="B69" s="2097" t="s">
        <v>49</v>
      </c>
      <c r="C69" s="2097"/>
      <c r="D69" s="2097"/>
      <c r="E69" s="2097"/>
      <c r="F69" s="2097"/>
      <c r="G69" s="2097"/>
      <c r="H69" s="2097"/>
      <c r="I69" s="2097"/>
      <c r="J69" s="2097"/>
      <c r="K69" s="2097"/>
      <c r="L69" s="2097"/>
      <c r="M69" s="2097"/>
      <c r="N69" s="2097"/>
      <c r="O69" s="2097"/>
      <c r="P69" s="2097"/>
      <c r="Q69" s="2097"/>
      <c r="R69" s="2097"/>
      <c r="S69" s="2097"/>
      <c r="T69" s="2097"/>
      <c r="U69" s="2097"/>
      <c r="V69" s="2097"/>
      <c r="W69" s="2097"/>
      <c r="X69" s="2097"/>
      <c r="Y69" s="2097"/>
      <c r="Z69" s="2097"/>
      <c r="AA69" s="2097"/>
      <c r="AB69" s="2097"/>
      <c r="AC69" s="2097"/>
      <c r="AD69" s="2097"/>
      <c r="AE69" s="2097"/>
      <c r="AF69" s="2097"/>
      <c r="AG69" s="2097"/>
      <c r="AH69" s="2097"/>
      <c r="AI69" s="2097"/>
      <c r="AJ69" s="2097"/>
      <c r="AK69" s="2097"/>
      <c r="AL69" s="2097"/>
      <c r="AM69" s="2097"/>
      <c r="AN69" s="2097"/>
      <c r="AO69" s="2097"/>
      <c r="AP69" s="2097"/>
      <c r="AQ69" s="2097"/>
      <c r="AR69" s="2097"/>
      <c r="AS69" s="2097"/>
      <c r="AT69" s="2097"/>
      <c r="AU69" s="2097"/>
      <c r="AV69" s="2097"/>
      <c r="AW69" s="2097"/>
      <c r="AX69" s="2097"/>
      <c r="AY69" s="2097"/>
      <c r="AZ69" s="2097"/>
      <c r="BA69" s="2097"/>
      <c r="BB69" s="2097"/>
      <c r="BC69" s="350"/>
      <c r="BD69" s="350"/>
      <c r="BE69" s="100" t="str">
        <f t="shared" si="12"/>
        <v xml:space="preserve"> </v>
      </c>
      <c r="BF69" s="309"/>
      <c r="BG69" s="309" t="str">
        <f t="shared" si="15"/>
        <v xml:space="preserve"> </v>
      </c>
      <c r="BH69" s="310"/>
      <c r="BI69" s="310"/>
      <c r="BJ69" s="313"/>
      <c r="BK69" s="309"/>
      <c r="BL69" s="313" t="str">
        <f>IF(BK69=0," ",BJ69/BK69)</f>
        <v xml:space="preserve"> </v>
      </c>
      <c r="BM69" s="313"/>
      <c r="BN69" s="309" t="str">
        <f t="shared" si="14"/>
        <v xml:space="preserve"> </v>
      </c>
      <c r="BO69" s="309"/>
      <c r="BP69" s="350"/>
      <c r="BQ69" s="350"/>
      <c r="BR69" s="100"/>
      <c r="BS69" s="309"/>
      <c r="BT69" s="309"/>
      <c r="BU69" s="332"/>
      <c r="BV69" s="341"/>
      <c r="BW69" s="342"/>
      <c r="BX69" s="100" t="str">
        <f>IF(BW69=0," ",BV69/BW69)</f>
        <v xml:space="preserve"> </v>
      </c>
      <c r="BY69" s="309"/>
      <c r="BZ69" s="309" t="str">
        <f t="shared" si="17"/>
        <v xml:space="preserve"> </v>
      </c>
      <c r="CA69" s="309"/>
      <c r="CB69" s="350"/>
      <c r="CC69" s="350"/>
      <c r="CD69" s="100"/>
      <c r="CE69" s="309"/>
      <c r="CF69" s="58"/>
      <c r="CG69" s="65"/>
      <c r="CH69" s="8"/>
      <c r="CI69" s="68"/>
      <c r="CJ69" s="68"/>
      <c r="CK69" s="112"/>
      <c r="CL69" s="58"/>
      <c r="CM69" s="58"/>
      <c r="CN69" s="316"/>
      <c r="CO69" s="331"/>
      <c r="CP69" s="331"/>
      <c r="CQ69" s="331"/>
      <c r="CR69" s="58" t="str">
        <f t="shared" si="46"/>
        <v xml:space="preserve"> </v>
      </c>
      <c r="CS69" s="65"/>
      <c r="CT69" s="8"/>
      <c r="CU69" s="68"/>
      <c r="CV69" s="319"/>
      <c r="CW69" s="320"/>
      <c r="CX69" s="321"/>
      <c r="CY69" s="370"/>
      <c r="CZ69" s="368">
        <f t="shared" si="35"/>
        <v>0</v>
      </c>
    </row>
    <row r="70" spans="1:104" ht="65.25" customHeight="1">
      <c r="A70" s="129"/>
      <c r="B70" s="8" t="s">
        <v>155</v>
      </c>
      <c r="C70" s="8" t="s">
        <v>156</v>
      </c>
      <c r="D70" s="13" t="s">
        <v>157</v>
      </c>
      <c r="E70" s="13" t="s">
        <v>158</v>
      </c>
      <c r="F70" s="8" t="s">
        <v>251</v>
      </c>
      <c r="G70" s="8" t="s">
        <v>53</v>
      </c>
      <c r="H70" s="13" t="s">
        <v>160</v>
      </c>
      <c r="I70" s="8" t="s">
        <v>161</v>
      </c>
      <c r="J70" s="8" t="s">
        <v>54</v>
      </c>
      <c r="K70" s="7"/>
      <c r="L70" s="7"/>
      <c r="M70" s="12"/>
      <c r="N70" s="12">
        <v>1</v>
      </c>
      <c r="O70" s="7"/>
      <c r="P70" s="12"/>
      <c r="Q70" s="12"/>
      <c r="R70" s="12">
        <v>1</v>
      </c>
      <c r="S70" s="7"/>
      <c r="T70" s="12"/>
      <c r="U70" s="7"/>
      <c r="V70" s="12">
        <v>1</v>
      </c>
      <c r="W70" s="8" t="s">
        <v>259</v>
      </c>
      <c r="X70" s="350" t="s">
        <v>325</v>
      </c>
      <c r="Y70" s="350" t="s">
        <v>325</v>
      </c>
      <c r="Z70" s="350"/>
      <c r="AA70" s="100" t="str">
        <f t="shared" ref="AA70:AA77" si="47">IF(Z70=0," ",Y70/Z70)</f>
        <v xml:space="preserve"> </v>
      </c>
      <c r="AB70" s="350" t="s">
        <v>325</v>
      </c>
      <c r="AC70" s="309" t="str">
        <f t="shared" ref="AC70:AC77" si="48">IF(Z70=0," ",AA70/AB70)</f>
        <v xml:space="preserve"> </v>
      </c>
      <c r="AD70" s="332" t="s">
        <v>717</v>
      </c>
      <c r="AE70" s="350" t="s">
        <v>325</v>
      </c>
      <c r="AF70" s="350" t="s">
        <v>325</v>
      </c>
      <c r="AG70" s="350" t="s">
        <v>325</v>
      </c>
      <c r="AH70" s="350" t="s">
        <v>325</v>
      </c>
      <c r="AI70" s="350" t="s">
        <v>325</v>
      </c>
      <c r="AJ70" s="332" t="s">
        <v>717</v>
      </c>
      <c r="AK70" s="350" t="s">
        <v>325</v>
      </c>
      <c r="AL70" s="350" t="s">
        <v>325</v>
      </c>
      <c r="AM70" s="350" t="s">
        <v>325</v>
      </c>
      <c r="AN70" s="350" t="s">
        <v>325</v>
      </c>
      <c r="AO70" s="350" t="s">
        <v>325</v>
      </c>
      <c r="AP70" s="332" t="s">
        <v>717</v>
      </c>
      <c r="AQ70" s="350">
        <v>1</v>
      </c>
      <c r="AR70" s="350">
        <v>1</v>
      </c>
      <c r="AS70" s="100">
        <f t="shared" ref="AS70:AS76" si="49">IF(AR70=0," ",AQ70/AR70)</f>
        <v>1</v>
      </c>
      <c r="AT70" s="309">
        <v>1</v>
      </c>
      <c r="AU70" s="309">
        <f t="shared" ref="AU70:AU76" si="50">IF(AR70=0," ",AS70/AT70)</f>
        <v>1</v>
      </c>
      <c r="AV70" s="332" t="s">
        <v>718</v>
      </c>
      <c r="AW70" s="310" t="s">
        <v>325</v>
      </c>
      <c r="AX70" s="310" t="s">
        <v>325</v>
      </c>
      <c r="AY70" s="310" t="s">
        <v>325</v>
      </c>
      <c r="AZ70" s="310" t="s">
        <v>325</v>
      </c>
      <c r="BA70" s="310" t="s">
        <v>325</v>
      </c>
      <c r="BB70" s="310" t="s">
        <v>719</v>
      </c>
      <c r="BC70" s="311" t="s">
        <v>325</v>
      </c>
      <c r="BD70" s="311" t="s">
        <v>325</v>
      </c>
      <c r="BE70" s="311" t="s">
        <v>325</v>
      </c>
      <c r="BF70" s="311" t="s">
        <v>325</v>
      </c>
      <c r="BG70" s="312" t="s">
        <v>325</v>
      </c>
      <c r="BH70" s="310" t="s">
        <v>425</v>
      </c>
      <c r="BI70" s="310"/>
      <c r="BJ70" s="313" t="s">
        <v>325</v>
      </c>
      <c r="BK70" s="313" t="s">
        <v>325</v>
      </c>
      <c r="BL70" s="313" t="s">
        <v>325</v>
      </c>
      <c r="BM70" s="313" t="s">
        <v>325</v>
      </c>
      <c r="BN70" s="313" t="s">
        <v>325</v>
      </c>
      <c r="BO70" s="310" t="s">
        <v>426</v>
      </c>
      <c r="BP70" s="313" t="s">
        <v>325</v>
      </c>
      <c r="BQ70" s="313" t="s">
        <v>325</v>
      </c>
      <c r="BR70" s="98"/>
      <c r="BS70" s="98"/>
      <c r="BT70" s="313" t="s">
        <v>325</v>
      </c>
      <c r="BU70" s="310" t="s">
        <v>426</v>
      </c>
      <c r="BV70" s="313" t="s">
        <v>325</v>
      </c>
      <c r="BW70" s="313" t="s">
        <v>325</v>
      </c>
      <c r="BX70" s="313"/>
      <c r="BY70" s="313" t="s">
        <v>325</v>
      </c>
      <c r="BZ70" s="313" t="s">
        <v>325</v>
      </c>
      <c r="CA70" s="310" t="s">
        <v>426</v>
      </c>
      <c r="CB70" s="350" t="s">
        <v>325</v>
      </c>
      <c r="CC70" s="350" t="s">
        <v>325</v>
      </c>
      <c r="CD70" s="350" t="s">
        <v>325</v>
      </c>
      <c r="CE70" s="350" t="s">
        <v>325</v>
      </c>
      <c r="CF70" s="68" t="s">
        <v>325</v>
      </c>
      <c r="CG70" s="65" t="s">
        <v>720</v>
      </c>
      <c r="CH70" s="310" t="s">
        <v>325</v>
      </c>
      <c r="CI70" s="310" t="s">
        <v>325</v>
      </c>
      <c r="CJ70" s="315"/>
      <c r="CK70" s="310" t="s">
        <v>325</v>
      </c>
      <c r="CL70" s="58" t="s">
        <v>325</v>
      </c>
      <c r="CM70" s="65" t="s">
        <v>426</v>
      </c>
      <c r="CN70" s="316">
        <v>1</v>
      </c>
      <c r="CO70" s="331">
        <v>1</v>
      </c>
      <c r="CP70" s="331">
        <v>0.13</v>
      </c>
      <c r="CQ70" s="331">
        <v>1</v>
      </c>
      <c r="CR70" s="58">
        <f t="shared" si="46"/>
        <v>0.13</v>
      </c>
      <c r="CS70" s="65" t="s">
        <v>721</v>
      </c>
      <c r="CT70" s="58">
        <v>0.13</v>
      </c>
      <c r="CU70" s="58">
        <v>7</v>
      </c>
      <c r="CV70" s="58">
        <v>0.13</v>
      </c>
      <c r="CW70" s="58">
        <v>1</v>
      </c>
      <c r="CX70" s="58">
        <f t="shared" ref="CX70:CX77" si="51">IF(CU70=0," ",CV70/CW70)</f>
        <v>0.13</v>
      </c>
      <c r="CY70" s="65" t="str">
        <f>+CS70</f>
        <v>Mediante memorando 20143350663033 del 5 de diciembre de 2014, se remite a la OAP, diez (10)  formatos con la solicitud de actualización y modificación, no obstante, a la fecha de corte de este informe, ninguno de estos  es oficial, afectando la calificación del area de este indicador.</v>
      </c>
      <c r="CZ70" s="368">
        <f t="shared" si="35"/>
        <v>2</v>
      </c>
    </row>
    <row r="71" spans="1:104" ht="87" customHeight="1">
      <c r="A71" s="129"/>
      <c r="B71" s="8" t="s">
        <v>55</v>
      </c>
      <c r="C71" s="8" t="s">
        <v>89</v>
      </c>
      <c r="D71" s="8" t="s">
        <v>56</v>
      </c>
      <c r="E71" s="8" t="s">
        <v>57</v>
      </c>
      <c r="F71" s="8" t="s">
        <v>58</v>
      </c>
      <c r="G71" s="8" t="s">
        <v>53</v>
      </c>
      <c r="H71" s="8" t="s">
        <v>258</v>
      </c>
      <c r="I71" s="8" t="s">
        <v>60</v>
      </c>
      <c r="J71" s="8" t="s">
        <v>54</v>
      </c>
      <c r="K71" s="7"/>
      <c r="L71" s="7"/>
      <c r="M71" s="12">
        <v>1</v>
      </c>
      <c r="N71" s="7"/>
      <c r="O71" s="7"/>
      <c r="P71" s="12">
        <v>1</v>
      </c>
      <c r="Q71" s="12"/>
      <c r="R71" s="7"/>
      <c r="S71" s="12">
        <v>1</v>
      </c>
      <c r="T71" s="12"/>
      <c r="U71" s="7"/>
      <c r="V71" s="12">
        <v>1</v>
      </c>
      <c r="W71" s="8" t="s">
        <v>259</v>
      </c>
      <c r="X71" s="8"/>
      <c r="Y71" s="350" t="s">
        <v>325</v>
      </c>
      <c r="Z71" s="350"/>
      <c r="AA71" s="100" t="str">
        <f>IF(Z71=0," ",Y71/Z71)</f>
        <v xml:space="preserve"> </v>
      </c>
      <c r="AB71" s="350" t="s">
        <v>325</v>
      </c>
      <c r="AC71" s="309" t="str">
        <f>IF(Z71=0," ",AA71/AB71)</f>
        <v xml:space="preserve"> </v>
      </c>
      <c r="AD71" s="332" t="s">
        <v>717</v>
      </c>
      <c r="AE71" s="350" t="s">
        <v>325</v>
      </c>
      <c r="AF71" s="350" t="s">
        <v>325</v>
      </c>
      <c r="AG71" s="350" t="s">
        <v>325</v>
      </c>
      <c r="AH71" s="350" t="s">
        <v>325</v>
      </c>
      <c r="AI71" s="350" t="s">
        <v>325</v>
      </c>
      <c r="AJ71" s="332" t="s">
        <v>717</v>
      </c>
      <c r="AK71" s="350">
        <v>0</v>
      </c>
      <c r="AL71" s="350">
        <v>1</v>
      </c>
      <c r="AM71" s="309">
        <f t="shared" ref="AM71:AM76" si="52">IF(AL71=0," ",AK71/AL71)</f>
        <v>0</v>
      </c>
      <c r="AN71" s="309">
        <v>1</v>
      </c>
      <c r="AO71" s="309">
        <f t="shared" ref="AO71:AO77" si="53">IF(AL71=0," ",AM71/AN71)</f>
        <v>0</v>
      </c>
      <c r="AP71" s="332"/>
      <c r="AQ71" s="350" t="s">
        <v>325</v>
      </c>
      <c r="AR71" s="350" t="s">
        <v>325</v>
      </c>
      <c r="AS71" s="350" t="s">
        <v>325</v>
      </c>
      <c r="AT71" s="350" t="s">
        <v>325</v>
      </c>
      <c r="AU71" s="350" t="s">
        <v>325</v>
      </c>
      <c r="AV71" s="332" t="s">
        <v>717</v>
      </c>
      <c r="AW71" s="310" t="s">
        <v>325</v>
      </c>
      <c r="AX71" s="310" t="s">
        <v>325</v>
      </c>
      <c r="AY71" s="310" t="s">
        <v>325</v>
      </c>
      <c r="AZ71" s="310" t="s">
        <v>325</v>
      </c>
      <c r="BA71" s="310" t="s">
        <v>325</v>
      </c>
      <c r="BB71" s="310" t="s">
        <v>719</v>
      </c>
      <c r="BC71" s="350">
        <v>0</v>
      </c>
      <c r="BD71" s="350">
        <v>1</v>
      </c>
      <c r="BE71" s="100">
        <v>0</v>
      </c>
      <c r="BF71" s="311">
        <f>+P71</f>
        <v>1</v>
      </c>
      <c r="BG71" s="309">
        <f t="shared" si="15"/>
        <v>0</v>
      </c>
      <c r="BH71" s="310" t="s">
        <v>722</v>
      </c>
      <c r="BI71" s="310"/>
      <c r="BJ71" s="313" t="s">
        <v>325</v>
      </c>
      <c r="BK71" s="313" t="s">
        <v>325</v>
      </c>
      <c r="BL71" s="313" t="s">
        <v>325</v>
      </c>
      <c r="BM71" s="313" t="s">
        <v>325</v>
      </c>
      <c r="BN71" s="313" t="s">
        <v>325</v>
      </c>
      <c r="BO71" s="310" t="s">
        <v>426</v>
      </c>
      <c r="BP71" s="313" t="s">
        <v>325</v>
      </c>
      <c r="BQ71" s="313" t="s">
        <v>325</v>
      </c>
      <c r="BR71" s="98"/>
      <c r="BS71" s="98"/>
      <c r="BT71" s="313" t="s">
        <v>325</v>
      </c>
      <c r="BU71" s="310" t="s">
        <v>426</v>
      </c>
      <c r="BV71" s="341">
        <v>100</v>
      </c>
      <c r="BW71" s="342">
        <v>0</v>
      </c>
      <c r="BX71" s="100">
        <v>0</v>
      </c>
      <c r="BY71" s="309">
        <v>1</v>
      </c>
      <c r="BZ71" s="309">
        <v>0</v>
      </c>
      <c r="CA71" s="332" t="s">
        <v>723</v>
      </c>
      <c r="CB71" s="350" t="s">
        <v>325</v>
      </c>
      <c r="CC71" s="350" t="s">
        <v>325</v>
      </c>
      <c r="CD71" s="350" t="s">
        <v>325</v>
      </c>
      <c r="CE71" s="350" t="s">
        <v>325</v>
      </c>
      <c r="CF71" s="68" t="s">
        <v>325</v>
      </c>
      <c r="CG71" s="65" t="s">
        <v>720</v>
      </c>
      <c r="CH71" s="310" t="s">
        <v>325</v>
      </c>
      <c r="CI71" s="310" t="s">
        <v>325</v>
      </c>
      <c r="CJ71" s="315"/>
      <c r="CK71" s="310" t="s">
        <v>325</v>
      </c>
      <c r="CL71" s="58" t="s">
        <v>325</v>
      </c>
      <c r="CM71" s="65" t="s">
        <v>426</v>
      </c>
      <c r="CN71" s="316">
        <v>0</v>
      </c>
      <c r="CO71" s="331">
        <v>1</v>
      </c>
      <c r="CP71" s="331">
        <v>0</v>
      </c>
      <c r="CQ71" s="331">
        <v>1</v>
      </c>
      <c r="CR71" s="58">
        <f t="shared" si="46"/>
        <v>0</v>
      </c>
      <c r="CS71" s="65" t="s">
        <v>724</v>
      </c>
      <c r="CT71" s="68">
        <v>0</v>
      </c>
      <c r="CU71" s="68">
        <v>0</v>
      </c>
      <c r="CV71" s="319">
        <v>0</v>
      </c>
      <c r="CW71" s="320">
        <v>0</v>
      </c>
      <c r="CX71" s="58">
        <v>0</v>
      </c>
      <c r="CY71" s="65" t="s">
        <v>724</v>
      </c>
    </row>
    <row r="72" spans="1:104" ht="111.75" customHeight="1">
      <c r="A72" s="129"/>
      <c r="B72" s="8" t="s">
        <v>55</v>
      </c>
      <c r="C72" s="8" t="s">
        <v>88</v>
      </c>
      <c r="D72" s="8" t="s">
        <v>61</v>
      </c>
      <c r="E72" s="8" t="s">
        <v>57</v>
      </c>
      <c r="F72" s="8" t="s">
        <v>62</v>
      </c>
      <c r="G72" s="8" t="s">
        <v>53</v>
      </c>
      <c r="H72" s="8" t="s">
        <v>63</v>
      </c>
      <c r="I72" s="8" t="s">
        <v>64</v>
      </c>
      <c r="J72" s="8" t="s">
        <v>54</v>
      </c>
      <c r="K72" s="387"/>
      <c r="L72" s="388">
        <v>1</v>
      </c>
      <c r="M72" s="388"/>
      <c r="N72" s="388">
        <v>1</v>
      </c>
      <c r="O72" s="387"/>
      <c r="P72" s="12">
        <v>1</v>
      </c>
      <c r="Q72" s="389"/>
      <c r="R72" s="12">
        <v>1</v>
      </c>
      <c r="S72" s="389"/>
      <c r="T72" s="12">
        <v>1</v>
      </c>
      <c r="U72" s="390"/>
      <c r="V72" s="12">
        <v>1</v>
      </c>
      <c r="W72" s="8" t="s">
        <v>259</v>
      </c>
      <c r="X72" s="8"/>
      <c r="Y72" s="350" t="s">
        <v>325</v>
      </c>
      <c r="Z72" s="350"/>
      <c r="AA72" s="100" t="str">
        <f>IF(Z72=0," ",Y72/Z72)</f>
        <v xml:space="preserve"> </v>
      </c>
      <c r="AB72" s="350" t="s">
        <v>325</v>
      </c>
      <c r="AC72" s="309" t="str">
        <f>IF(Z72=0," ",AA72/AB72)</f>
        <v xml:space="preserve"> </v>
      </c>
      <c r="AD72" s="332" t="s">
        <v>717</v>
      </c>
      <c r="AE72" s="350">
        <v>0</v>
      </c>
      <c r="AF72" s="350">
        <v>100</v>
      </c>
      <c r="AG72" s="309">
        <f>IF(AF72=0," ",AE72/AF72)</f>
        <v>0</v>
      </c>
      <c r="AH72" s="309">
        <v>1</v>
      </c>
      <c r="AI72" s="335">
        <f>IF(AF72=0," ",AG72/AH72)</f>
        <v>0</v>
      </c>
      <c r="AJ72" s="332" t="s">
        <v>725</v>
      </c>
      <c r="AK72" s="350" t="s">
        <v>325</v>
      </c>
      <c r="AL72" s="350" t="s">
        <v>325</v>
      </c>
      <c r="AM72" s="350" t="s">
        <v>325</v>
      </c>
      <c r="AN72" s="350" t="s">
        <v>325</v>
      </c>
      <c r="AO72" s="350" t="s">
        <v>325</v>
      </c>
      <c r="AP72" s="332" t="s">
        <v>717</v>
      </c>
      <c r="AQ72" s="350">
        <v>0</v>
      </c>
      <c r="AR72" s="350">
        <v>1</v>
      </c>
      <c r="AS72" s="100">
        <f t="shared" si="49"/>
        <v>0</v>
      </c>
      <c r="AT72" s="309">
        <v>1</v>
      </c>
      <c r="AU72" s="309">
        <f t="shared" si="50"/>
        <v>0</v>
      </c>
      <c r="AV72" s="332" t="s">
        <v>725</v>
      </c>
      <c r="AW72" s="310" t="s">
        <v>325</v>
      </c>
      <c r="AX72" s="310" t="s">
        <v>325</v>
      </c>
      <c r="AY72" s="310" t="s">
        <v>325</v>
      </c>
      <c r="AZ72" s="310" t="s">
        <v>325</v>
      </c>
      <c r="BA72" s="310" t="s">
        <v>325</v>
      </c>
      <c r="BB72" s="310" t="s">
        <v>719</v>
      </c>
      <c r="BC72" s="350">
        <v>0</v>
      </c>
      <c r="BD72" s="350">
        <v>1</v>
      </c>
      <c r="BE72" s="100">
        <v>0</v>
      </c>
      <c r="BF72" s="311">
        <f>+P72</f>
        <v>1</v>
      </c>
      <c r="BG72" s="309">
        <f t="shared" si="15"/>
        <v>0</v>
      </c>
      <c r="BH72" s="310" t="s">
        <v>722</v>
      </c>
      <c r="BI72" s="310"/>
      <c r="BJ72" s="313" t="s">
        <v>325</v>
      </c>
      <c r="BK72" s="313" t="s">
        <v>325</v>
      </c>
      <c r="BL72" s="313" t="s">
        <v>325</v>
      </c>
      <c r="BM72" s="313" t="s">
        <v>325</v>
      </c>
      <c r="BN72" s="313" t="s">
        <v>325</v>
      </c>
      <c r="BO72" s="310" t="s">
        <v>426</v>
      </c>
      <c r="BP72" s="350">
        <v>100</v>
      </c>
      <c r="BQ72" s="350">
        <v>0</v>
      </c>
      <c r="BR72" s="350">
        <v>0</v>
      </c>
      <c r="BS72" s="309">
        <v>1</v>
      </c>
      <c r="BT72" s="309">
        <v>0</v>
      </c>
      <c r="BU72" s="332"/>
      <c r="BV72" s="313" t="s">
        <v>325</v>
      </c>
      <c r="BW72" s="313" t="s">
        <v>325</v>
      </c>
      <c r="BX72" s="313" t="s">
        <v>325</v>
      </c>
      <c r="BY72" s="313" t="s">
        <v>325</v>
      </c>
      <c r="BZ72" s="313" t="s">
        <v>325</v>
      </c>
      <c r="CA72" s="310" t="s">
        <v>426</v>
      </c>
      <c r="CB72" s="350">
        <v>0</v>
      </c>
      <c r="CC72" s="350">
        <v>0</v>
      </c>
      <c r="CD72" s="100">
        <v>0</v>
      </c>
      <c r="CE72" s="309">
        <v>0</v>
      </c>
      <c r="CF72" s="58">
        <v>0</v>
      </c>
      <c r="CG72" s="65" t="s">
        <v>726</v>
      </c>
      <c r="CH72" s="310" t="s">
        <v>325</v>
      </c>
      <c r="CI72" s="310" t="s">
        <v>325</v>
      </c>
      <c r="CJ72" s="315"/>
      <c r="CK72" s="310" t="s">
        <v>325</v>
      </c>
      <c r="CL72" s="58" t="s">
        <v>325</v>
      </c>
      <c r="CM72" s="65" t="s">
        <v>426</v>
      </c>
      <c r="CN72" s="316">
        <v>0</v>
      </c>
      <c r="CO72" s="331">
        <v>1</v>
      </c>
      <c r="CP72" s="331">
        <v>0</v>
      </c>
      <c r="CQ72" s="331">
        <v>1</v>
      </c>
      <c r="CR72" s="58">
        <f t="shared" si="46"/>
        <v>0</v>
      </c>
      <c r="CS72" s="65" t="s">
        <v>727</v>
      </c>
      <c r="CT72" s="68">
        <v>0</v>
      </c>
      <c r="CU72" s="68">
        <v>0</v>
      </c>
      <c r="CV72" s="319">
        <v>0</v>
      </c>
      <c r="CW72" s="320">
        <v>0</v>
      </c>
      <c r="CX72" s="58">
        <v>0</v>
      </c>
      <c r="CY72" s="65" t="s">
        <v>727</v>
      </c>
    </row>
    <row r="73" spans="1:104" s="396" customFormat="1" ht="112.5" customHeight="1">
      <c r="A73" s="129"/>
      <c r="B73" s="391" t="s">
        <v>728</v>
      </c>
      <c r="C73" s="8" t="s">
        <v>261</v>
      </c>
      <c r="D73" s="391" t="s">
        <v>729</v>
      </c>
      <c r="E73" s="8" t="s">
        <v>263</v>
      </c>
      <c r="F73" s="391" t="s">
        <v>730</v>
      </c>
      <c r="G73" s="8" t="s">
        <v>98</v>
      </c>
      <c r="H73" s="391" t="s">
        <v>731</v>
      </c>
      <c r="I73" s="8" t="s">
        <v>267</v>
      </c>
      <c r="J73" s="8" t="s">
        <v>732</v>
      </c>
      <c r="K73" s="74">
        <v>0</v>
      </c>
      <c r="L73" s="388">
        <v>1.1778183511220666E-2</v>
      </c>
      <c r="M73" s="388">
        <v>2.8510531435097124E-2</v>
      </c>
      <c r="N73" s="388">
        <v>6.9291403916427935E-2</v>
      </c>
      <c r="O73" s="388">
        <v>7.5135876478839889E-2</v>
      </c>
      <c r="P73" s="388">
        <v>0.08</v>
      </c>
      <c r="Q73" s="388">
        <v>7.0000000000000007E-2</v>
      </c>
      <c r="R73" s="388">
        <v>7.4713063739570151E-2</v>
      </c>
      <c r="S73" s="392">
        <v>5.267128122046226E-2</v>
      </c>
      <c r="T73" s="388">
        <v>2.5649264734178005E-2</v>
      </c>
      <c r="U73" s="388">
        <v>0.06</v>
      </c>
      <c r="V73" s="388">
        <v>0.05</v>
      </c>
      <c r="W73" s="391" t="s">
        <v>733</v>
      </c>
      <c r="X73" s="391"/>
      <c r="Y73" s="350">
        <v>0</v>
      </c>
      <c r="Z73" s="350">
        <v>0</v>
      </c>
      <c r="AA73" s="100" t="str">
        <f t="shared" si="47"/>
        <v xml:space="preserve"> </v>
      </c>
      <c r="AB73" s="309">
        <v>0</v>
      </c>
      <c r="AC73" s="309" t="str">
        <f t="shared" si="48"/>
        <v xml:space="preserve"> </v>
      </c>
      <c r="AD73" s="332" t="s">
        <v>734</v>
      </c>
      <c r="AE73" s="353">
        <v>1.2999999999999999E-2</v>
      </c>
      <c r="AF73" s="309">
        <v>1</v>
      </c>
      <c r="AG73" s="353">
        <f>IF(AF73=0," ",AE73/AF73)</f>
        <v>1.2999999999999999E-2</v>
      </c>
      <c r="AH73" s="309">
        <v>0.01</v>
      </c>
      <c r="AI73" s="335">
        <f>IF(AF73=0," ",AG73/AH73)</f>
        <v>1.2999999999999998</v>
      </c>
      <c r="AJ73" s="332" t="s">
        <v>735</v>
      </c>
      <c r="AK73" s="353">
        <v>3.7999999999999999E-2</v>
      </c>
      <c r="AL73" s="309">
        <v>1</v>
      </c>
      <c r="AM73" s="353">
        <f t="shared" si="52"/>
        <v>3.7999999999999999E-2</v>
      </c>
      <c r="AN73" s="309">
        <v>0.03</v>
      </c>
      <c r="AO73" s="309">
        <f t="shared" si="53"/>
        <v>1.2666666666666666</v>
      </c>
      <c r="AP73" s="332" t="s">
        <v>736</v>
      </c>
      <c r="AQ73" s="353">
        <v>2.87E-2</v>
      </c>
      <c r="AR73" s="350">
        <v>1</v>
      </c>
      <c r="AS73" s="100">
        <f t="shared" si="49"/>
        <v>2.87E-2</v>
      </c>
      <c r="AT73" s="309">
        <v>7.0000000000000007E-2</v>
      </c>
      <c r="AU73" s="309">
        <f t="shared" si="50"/>
        <v>0.41</v>
      </c>
      <c r="AV73" s="332" t="s">
        <v>737</v>
      </c>
      <c r="AW73" s="353">
        <v>6.4199999999999993E-2</v>
      </c>
      <c r="AX73" s="309">
        <v>1</v>
      </c>
      <c r="AY73" s="353">
        <f>IF(AX73=0," ",AW73/AX73)</f>
        <v>6.4199999999999993E-2</v>
      </c>
      <c r="AZ73" s="353">
        <v>0.08</v>
      </c>
      <c r="BA73" s="309">
        <f>IF(AX73=0," ",AY73/AZ73)</f>
        <v>0.80249999999999988</v>
      </c>
      <c r="BB73" s="332" t="s">
        <v>738</v>
      </c>
      <c r="BC73" s="309">
        <v>3.5200000000000002E-2</v>
      </c>
      <c r="BD73" s="350">
        <v>1</v>
      </c>
      <c r="BE73" s="100">
        <f>IF(BD73=0," ",BC73/BD73)</f>
        <v>3.5200000000000002E-2</v>
      </c>
      <c r="BF73" s="309">
        <v>0.08</v>
      </c>
      <c r="BG73" s="309">
        <f t="shared" si="15"/>
        <v>0.44</v>
      </c>
      <c r="BH73" s="310" t="s">
        <v>739</v>
      </c>
      <c r="BI73" s="310"/>
      <c r="BJ73" s="341">
        <v>3216240333</v>
      </c>
      <c r="BK73" s="341">
        <v>149790082860</v>
      </c>
      <c r="BL73" s="100">
        <f>IF(BK73=0," ",BJ73/BK73)</f>
        <v>2.1471650669998166E-2</v>
      </c>
      <c r="BM73" s="309">
        <f>R73</f>
        <v>7.4713063739570151E-2</v>
      </c>
      <c r="BN73" s="309">
        <f>IF(BK73=0," ",BL73/BM73)</f>
        <v>0.28738817009087758</v>
      </c>
      <c r="BO73" s="332" t="s">
        <v>740</v>
      </c>
      <c r="BP73" s="341">
        <v>19849535257</v>
      </c>
      <c r="BQ73" s="341">
        <v>149790082860</v>
      </c>
      <c r="BR73" s="100">
        <f>IF(BQ73=0," ",BP73/BQ73)</f>
        <v>0.1325156838023262</v>
      </c>
      <c r="BS73" s="309">
        <v>7.0000000000000007E-2</v>
      </c>
      <c r="BT73" s="309">
        <f>IF(BQ73=0," ",BR73/BS73)</f>
        <v>1.8930811971760884</v>
      </c>
      <c r="BU73" s="332" t="s">
        <v>741</v>
      </c>
      <c r="BV73" s="334">
        <v>0.6</v>
      </c>
      <c r="BW73" s="334">
        <f>+S73</f>
        <v>5.267128122046226E-2</v>
      </c>
      <c r="BX73" s="334">
        <v>4.1700000000000001E-2</v>
      </c>
      <c r="BY73" s="334">
        <f>+BW73</f>
        <v>5.267128122046226E-2</v>
      </c>
      <c r="BZ73" s="309">
        <f>IF(BW73=0," ",BX73/BY73)</f>
        <v>0.79170278439704966</v>
      </c>
      <c r="CA73" s="332" t="s">
        <v>742</v>
      </c>
      <c r="CB73" s="325">
        <v>4083682717</v>
      </c>
      <c r="CC73" s="325">
        <v>149790082860</v>
      </c>
      <c r="CD73" s="100">
        <f>IF(CC73=0," ",CB73/CC73)</f>
        <v>2.726270417259051E-2</v>
      </c>
      <c r="CE73" s="309">
        <f>+T73</f>
        <v>2.5649264734178005E-2</v>
      </c>
      <c r="CF73" s="58">
        <f>IF(CC73=0," ",CD73/CE73)</f>
        <v>1.0629039255173103</v>
      </c>
      <c r="CG73" s="65" t="s">
        <v>743</v>
      </c>
      <c r="CH73" s="393">
        <v>2554663959</v>
      </c>
      <c r="CI73" s="393">
        <v>149790082860</v>
      </c>
      <c r="CJ73" s="112">
        <v>1.7054960583656895E-2</v>
      </c>
      <c r="CK73" s="58">
        <v>0.06</v>
      </c>
      <c r="CL73" s="58">
        <f>IF(CI73=0," ",CJ73/CK73)</f>
        <v>0.28424934306094823</v>
      </c>
      <c r="CM73" s="65" t="s">
        <v>744</v>
      </c>
      <c r="CN73" s="394">
        <v>13363259611</v>
      </c>
      <c r="CO73" s="394">
        <v>149790082860</v>
      </c>
      <c r="CP73" s="331">
        <f>+CN73/CO73/100%</f>
        <v>8.9213246670608051E-2</v>
      </c>
      <c r="CQ73" s="331">
        <v>0.05</v>
      </c>
      <c r="CR73" s="58">
        <f>IF(CO73=0," ",CP73/CQ73)</f>
        <v>1.784264933412161</v>
      </c>
      <c r="CS73" s="65" t="s">
        <v>745</v>
      </c>
      <c r="CT73" s="325">
        <v>76152087020</v>
      </c>
      <c r="CU73" s="325">
        <f>+CO73</f>
        <v>149790082860</v>
      </c>
      <c r="CV73" s="331">
        <f>+CT73/CU73/100%</f>
        <v>0.50839204816499695</v>
      </c>
      <c r="CW73" s="395">
        <v>0.6</v>
      </c>
      <c r="CX73" s="58">
        <f t="shared" si="51"/>
        <v>0.84732008027499495</v>
      </c>
      <c r="CY73" s="65" t="s">
        <v>746</v>
      </c>
    </row>
    <row r="74" spans="1:104" s="396" customFormat="1" ht="70.5" customHeight="1">
      <c r="A74" s="129"/>
      <c r="B74" s="391" t="s">
        <v>747</v>
      </c>
      <c r="C74" s="8" t="s">
        <v>273</v>
      </c>
      <c r="D74" s="352" t="s">
        <v>748</v>
      </c>
      <c r="E74" s="8" t="s">
        <v>275</v>
      </c>
      <c r="F74" s="391" t="s">
        <v>749</v>
      </c>
      <c r="G74" s="8" t="s">
        <v>98</v>
      </c>
      <c r="H74" s="391" t="s">
        <v>750</v>
      </c>
      <c r="I74" s="8" t="s">
        <v>267</v>
      </c>
      <c r="J74" s="8" t="s">
        <v>732</v>
      </c>
      <c r="K74" s="388">
        <v>0</v>
      </c>
      <c r="L74" s="388">
        <v>0</v>
      </c>
      <c r="M74" s="388">
        <v>0.03</v>
      </c>
      <c r="N74" s="388">
        <v>0.04</v>
      </c>
      <c r="O74" s="388">
        <v>0.05</v>
      </c>
      <c r="P74" s="388">
        <v>4.8374696156879705E-2</v>
      </c>
      <c r="Q74" s="388">
        <v>0.05</v>
      </c>
      <c r="R74" s="388">
        <v>0.05</v>
      </c>
      <c r="S74" s="392">
        <v>0.05</v>
      </c>
      <c r="T74" s="388">
        <v>0.05</v>
      </c>
      <c r="U74" s="388">
        <v>0.05</v>
      </c>
      <c r="V74" s="388">
        <v>0.18562968818913941</v>
      </c>
      <c r="W74" s="391" t="s">
        <v>751</v>
      </c>
      <c r="X74" s="391"/>
      <c r="Y74" s="397">
        <v>7.5000000000000002E-4</v>
      </c>
      <c r="Z74" s="309">
        <v>1</v>
      </c>
      <c r="AA74" s="309">
        <f t="shared" si="47"/>
        <v>7.5000000000000002E-4</v>
      </c>
      <c r="AB74" s="309">
        <v>0</v>
      </c>
      <c r="AC74" s="309">
        <v>0</v>
      </c>
      <c r="AD74" s="332" t="s">
        <v>752</v>
      </c>
      <c r="AE74" s="353">
        <v>3.5000000000000003E-2</v>
      </c>
      <c r="AF74" s="309">
        <v>1</v>
      </c>
      <c r="AG74" s="309">
        <f>IF(AF74=0," ",AE74/AF74)</f>
        <v>3.5000000000000003E-2</v>
      </c>
      <c r="AH74" s="309">
        <v>0</v>
      </c>
      <c r="AI74" s="335">
        <v>0</v>
      </c>
      <c r="AJ74" s="332" t="s">
        <v>753</v>
      </c>
      <c r="AK74" s="353">
        <v>2.81E-2</v>
      </c>
      <c r="AL74" s="309">
        <v>1</v>
      </c>
      <c r="AM74" s="353">
        <f t="shared" si="52"/>
        <v>2.81E-2</v>
      </c>
      <c r="AN74" s="309">
        <v>0.03</v>
      </c>
      <c r="AO74" s="309">
        <f t="shared" si="53"/>
        <v>0.93666666666666665</v>
      </c>
      <c r="AP74" s="332" t="s">
        <v>754</v>
      </c>
      <c r="AQ74" s="353">
        <v>2.4299999999999999E-2</v>
      </c>
      <c r="AR74" s="309">
        <v>1</v>
      </c>
      <c r="AS74" s="100">
        <f t="shared" si="49"/>
        <v>2.4299999999999999E-2</v>
      </c>
      <c r="AT74" s="309">
        <v>0.04</v>
      </c>
      <c r="AU74" s="309">
        <f t="shared" si="50"/>
        <v>0.60749999999999993</v>
      </c>
      <c r="AV74" s="332" t="s">
        <v>755</v>
      </c>
      <c r="AW74" s="353">
        <v>2.64E-2</v>
      </c>
      <c r="AX74" s="309">
        <v>1</v>
      </c>
      <c r="AY74" s="353">
        <f>IF(AX74=0," ",AW74/AX74)</f>
        <v>2.64E-2</v>
      </c>
      <c r="AZ74" s="353">
        <v>0.05</v>
      </c>
      <c r="BA74" s="309">
        <f>IF(AX74=0," ",AY74/AZ74)</f>
        <v>0.52799999999999991</v>
      </c>
      <c r="BB74" s="332" t="s">
        <v>756</v>
      </c>
      <c r="BC74" s="398">
        <v>2.3699999999999999E-2</v>
      </c>
      <c r="BD74" s="350">
        <v>1</v>
      </c>
      <c r="BE74" s="100">
        <f>IF(BD74=0," ",BC74/BD74)</f>
        <v>2.3699999999999999E-2</v>
      </c>
      <c r="BF74" s="309">
        <v>0.05</v>
      </c>
      <c r="BG74" s="309">
        <f t="shared" si="15"/>
        <v>0.47399999999999998</v>
      </c>
      <c r="BH74" s="310" t="s">
        <v>757</v>
      </c>
      <c r="BI74" s="310"/>
      <c r="BJ74" s="342">
        <v>4103892595</v>
      </c>
      <c r="BK74" s="342">
        <v>110457237911</v>
      </c>
      <c r="BL74" s="100">
        <f>IF(BK74=0," ",BJ74/BK74)</f>
        <v>3.7153677501031462E-2</v>
      </c>
      <c r="BM74" s="309">
        <f>R74</f>
        <v>0.05</v>
      </c>
      <c r="BN74" s="309">
        <f>IF(BK74=0," ",BL74/BM74)</f>
        <v>0.74307355002062925</v>
      </c>
      <c r="BO74" s="332" t="s">
        <v>758</v>
      </c>
      <c r="BP74" s="341">
        <v>1549413940</v>
      </c>
      <c r="BQ74" s="342">
        <v>110457237911</v>
      </c>
      <c r="BR74" s="100">
        <f>IF(BQ74=0," ",BP74/BQ74)</f>
        <v>1.4027273986775111E-2</v>
      </c>
      <c r="BS74" s="309">
        <v>0.05</v>
      </c>
      <c r="BT74" s="309">
        <f>IF(BQ74=0," ",BR74/BS74)</f>
        <v>0.2805454797355022</v>
      </c>
      <c r="BU74" s="332" t="s">
        <v>759</v>
      </c>
      <c r="BV74" s="334">
        <v>0.6</v>
      </c>
      <c r="BW74" s="334">
        <f>+S74</f>
        <v>0.05</v>
      </c>
      <c r="BX74" s="334">
        <v>4.0300000000000002E-2</v>
      </c>
      <c r="BY74" s="334">
        <f>+BW74</f>
        <v>0.05</v>
      </c>
      <c r="BZ74" s="309">
        <f>IF(BW74=0," ",BX74/BY74)</f>
        <v>0.80600000000000005</v>
      </c>
      <c r="CA74" s="332" t="s">
        <v>760</v>
      </c>
      <c r="CB74" s="325">
        <v>6117626130</v>
      </c>
      <c r="CC74" s="325">
        <v>110457237911</v>
      </c>
      <c r="CD74" s="100">
        <v>5.5384565517827146E-2</v>
      </c>
      <c r="CE74" s="309">
        <v>0.05</v>
      </c>
      <c r="CF74" s="58">
        <f>IF(CC74=0," ",CD74/CE74)</f>
        <v>1.1076913103565429</v>
      </c>
      <c r="CG74" s="65" t="s">
        <v>761</v>
      </c>
      <c r="CH74" s="399">
        <v>5140166388</v>
      </c>
      <c r="CI74" s="399">
        <v>110457237911</v>
      </c>
      <c r="CJ74" s="112">
        <v>4.6535351464624224E-2</v>
      </c>
      <c r="CK74" s="58">
        <v>0.05</v>
      </c>
      <c r="CL74" s="58">
        <f>IF(CI74=0," ",CJ74/CK74)</f>
        <v>0.93070702929248439</v>
      </c>
      <c r="CM74" s="65" t="s">
        <v>762</v>
      </c>
      <c r="CN74" s="394">
        <v>10372268927</v>
      </c>
      <c r="CO74" s="400">
        <v>110457237911</v>
      </c>
      <c r="CP74" s="331">
        <f>+CN74/CO74/100%</f>
        <v>9.3903026394317135E-2</v>
      </c>
      <c r="CQ74" s="58">
        <v>0.19</v>
      </c>
      <c r="CR74" s="58">
        <f>IF(CO74=0," ",CP74/CQ74)</f>
        <v>0.49422645470693227</v>
      </c>
      <c r="CS74" s="65" t="s">
        <v>763</v>
      </c>
      <c r="CT74" s="325">
        <v>47012633152</v>
      </c>
      <c r="CU74" s="325">
        <f>+CO74</f>
        <v>110457237911</v>
      </c>
      <c r="CV74" s="331">
        <f>+CT74/CU74/100%</f>
        <v>0.42561840257023298</v>
      </c>
      <c r="CW74" s="395">
        <v>0.6</v>
      </c>
      <c r="CX74" s="58">
        <f t="shared" si="51"/>
        <v>0.70936400428372171</v>
      </c>
      <c r="CY74" s="65" t="s">
        <v>764</v>
      </c>
    </row>
    <row r="75" spans="1:104" s="235" customFormat="1" ht="87" customHeight="1">
      <c r="A75" s="129"/>
      <c r="B75" s="391" t="s">
        <v>765</v>
      </c>
      <c r="C75" s="8" t="s">
        <v>90</v>
      </c>
      <c r="D75" s="8" t="s">
        <v>766</v>
      </c>
      <c r="E75" s="8" t="s">
        <v>68</v>
      </c>
      <c r="F75" s="8" t="s">
        <v>69</v>
      </c>
      <c r="G75" s="8" t="s">
        <v>53</v>
      </c>
      <c r="H75" s="8" t="s">
        <v>70</v>
      </c>
      <c r="I75" s="8" t="s">
        <v>71</v>
      </c>
      <c r="J75" s="8" t="s">
        <v>732</v>
      </c>
      <c r="K75" s="74">
        <v>1</v>
      </c>
      <c r="L75" s="74">
        <v>1</v>
      </c>
      <c r="M75" s="74">
        <v>1</v>
      </c>
      <c r="N75" s="74">
        <v>1</v>
      </c>
      <c r="O75" s="74">
        <v>1</v>
      </c>
      <c r="P75" s="74">
        <v>1</v>
      </c>
      <c r="Q75" s="74">
        <v>1</v>
      </c>
      <c r="R75" s="74">
        <v>1</v>
      </c>
      <c r="S75" s="74">
        <v>1</v>
      </c>
      <c r="T75" s="74">
        <v>1</v>
      </c>
      <c r="U75" s="74">
        <v>1</v>
      </c>
      <c r="V75" s="74">
        <v>1</v>
      </c>
      <c r="W75" s="391" t="s">
        <v>72</v>
      </c>
      <c r="X75" s="391"/>
      <c r="Y75" s="350">
        <v>0</v>
      </c>
      <c r="Z75" s="350">
        <v>50</v>
      </c>
      <c r="AA75" s="309">
        <v>0</v>
      </c>
      <c r="AB75" s="309">
        <v>0</v>
      </c>
      <c r="AC75" s="309">
        <v>0</v>
      </c>
      <c r="AD75" s="332" t="s">
        <v>767</v>
      </c>
      <c r="AE75" s="350">
        <v>0</v>
      </c>
      <c r="AF75" s="350">
        <v>50</v>
      </c>
      <c r="AG75" s="309">
        <f>IF(AF75=0," ",AE75/AF75)</f>
        <v>0</v>
      </c>
      <c r="AH75" s="309">
        <v>0</v>
      </c>
      <c r="AI75" s="335">
        <v>0</v>
      </c>
      <c r="AJ75" s="332" t="s">
        <v>767</v>
      </c>
      <c r="AK75" s="350">
        <v>0</v>
      </c>
      <c r="AL75" s="309">
        <v>0.5</v>
      </c>
      <c r="AM75" s="309">
        <f t="shared" si="52"/>
        <v>0</v>
      </c>
      <c r="AN75" s="309">
        <v>0</v>
      </c>
      <c r="AO75" s="309">
        <v>0</v>
      </c>
      <c r="AP75" s="332" t="s">
        <v>767</v>
      </c>
      <c r="AQ75" s="350">
        <v>945322870945</v>
      </c>
      <c r="AR75" s="350">
        <v>2363307177.3625002</v>
      </c>
      <c r="AS75" s="401">
        <v>2.9999999999999997E-4</v>
      </c>
      <c r="AT75" s="353">
        <v>2.5000000000000001E-3</v>
      </c>
      <c r="AU75" s="309">
        <f t="shared" si="50"/>
        <v>0.11999999999999998</v>
      </c>
      <c r="AV75" s="332" t="s">
        <v>768</v>
      </c>
      <c r="AW75" s="350">
        <v>945322870945</v>
      </c>
      <c r="AX75" s="350">
        <v>2363307177.3625002</v>
      </c>
      <c r="AY75" s="353">
        <v>1.8162474988927815E-5</v>
      </c>
      <c r="AZ75" s="353">
        <v>2.5000000000000001E-3</v>
      </c>
      <c r="BA75" s="309">
        <f>IF(AX75=0," ",AY75/AZ75)</f>
        <v>7.2649899955711259E-3</v>
      </c>
      <c r="BB75" s="332" t="s">
        <v>769</v>
      </c>
      <c r="BC75" s="350">
        <v>945322870945</v>
      </c>
      <c r="BD75" s="350">
        <v>2363307177.3625002</v>
      </c>
      <c r="BE75" s="353">
        <v>0</v>
      </c>
      <c r="BF75" s="353">
        <v>0</v>
      </c>
      <c r="BG75" s="309">
        <v>0</v>
      </c>
      <c r="BH75" s="310"/>
      <c r="BI75" s="310"/>
      <c r="BJ75" s="350">
        <v>945322870945</v>
      </c>
      <c r="BK75" s="350">
        <v>2363307177.3625002</v>
      </c>
      <c r="BL75" s="353">
        <v>0</v>
      </c>
      <c r="BM75" s="353">
        <v>0</v>
      </c>
      <c r="BN75" s="309">
        <v>0</v>
      </c>
      <c r="BO75" s="310" t="s">
        <v>426</v>
      </c>
      <c r="BP75" s="350">
        <v>945322870945</v>
      </c>
      <c r="BQ75" s="350">
        <v>2363307177.3625002</v>
      </c>
      <c r="BR75" s="402" t="e">
        <f>+BQ75/$F$3</f>
        <v>#DIV/0!</v>
      </c>
      <c r="BS75" s="353">
        <v>0</v>
      </c>
      <c r="BT75" s="309" t="e">
        <f>IF(BQ75=0," ",BR75/BS75)</f>
        <v>#DIV/0!</v>
      </c>
      <c r="BU75" s="332" t="s">
        <v>770</v>
      </c>
      <c r="BV75" s="309">
        <v>1</v>
      </c>
      <c r="BW75" s="309">
        <v>1</v>
      </c>
      <c r="BX75" s="309">
        <v>1</v>
      </c>
      <c r="BY75" s="309">
        <v>1</v>
      </c>
      <c r="BZ75" s="309">
        <f>IF(BW75=0," ",BX75/BY75)</f>
        <v>1</v>
      </c>
      <c r="CA75" s="310" t="s">
        <v>426</v>
      </c>
      <c r="CB75" s="74">
        <v>1</v>
      </c>
      <c r="CC75" s="74">
        <v>1</v>
      </c>
      <c r="CD75" s="74">
        <v>1</v>
      </c>
      <c r="CE75" s="74">
        <v>1</v>
      </c>
      <c r="CF75" s="58">
        <f>IF(CC75=0," ",CD75/CE75)</f>
        <v>1</v>
      </c>
      <c r="CG75" s="315" t="s">
        <v>426</v>
      </c>
      <c r="CH75" s="399">
        <v>1639788566</v>
      </c>
      <c r="CI75" s="399">
        <v>1639788566</v>
      </c>
      <c r="CJ75" s="112">
        <f>IF(CI75=0," ",CH75/CI75)</f>
        <v>1</v>
      </c>
      <c r="CK75" s="58">
        <v>1</v>
      </c>
      <c r="CL75" s="58">
        <f>IF(CI75=0," ",CJ75/CK75)</f>
        <v>1</v>
      </c>
      <c r="CM75" s="65" t="s">
        <v>771</v>
      </c>
      <c r="CN75" s="112">
        <v>1</v>
      </c>
      <c r="CO75" s="112">
        <v>1</v>
      </c>
      <c r="CP75" s="112">
        <f>IF(CO75=0," ",CN75/CO75)</f>
        <v>1</v>
      </c>
      <c r="CQ75" s="58">
        <v>1</v>
      </c>
      <c r="CR75" s="58">
        <f>IF(CO75=0," ",CP75/CQ75)</f>
        <v>1</v>
      </c>
      <c r="CS75" s="65" t="s">
        <v>772</v>
      </c>
      <c r="CT75" s="325">
        <v>10059104547</v>
      </c>
      <c r="CU75" s="325">
        <v>10059104547</v>
      </c>
      <c r="CV75" s="331">
        <f>+CT75/CU75/100%</f>
        <v>1</v>
      </c>
      <c r="CW75" s="58">
        <v>1</v>
      </c>
      <c r="CX75" s="58">
        <f t="shared" si="51"/>
        <v>1</v>
      </c>
      <c r="CY75" s="65" t="s">
        <v>773</v>
      </c>
    </row>
    <row r="76" spans="1:104" s="235" customFormat="1" ht="56.25" customHeight="1">
      <c r="A76" s="129"/>
      <c r="B76" s="391" t="s">
        <v>774</v>
      </c>
      <c r="C76" s="8" t="s">
        <v>91</v>
      </c>
      <c r="D76" s="8" t="s">
        <v>775</v>
      </c>
      <c r="E76" s="8" t="s">
        <v>75</v>
      </c>
      <c r="F76" s="8" t="s">
        <v>296</v>
      </c>
      <c r="G76" s="8" t="s">
        <v>53</v>
      </c>
      <c r="H76" s="8" t="s">
        <v>776</v>
      </c>
      <c r="I76" s="8" t="s">
        <v>78</v>
      </c>
      <c r="J76" s="8" t="s">
        <v>732</v>
      </c>
      <c r="K76" s="74">
        <v>1</v>
      </c>
      <c r="L76" s="74">
        <v>1</v>
      </c>
      <c r="M76" s="74">
        <v>1</v>
      </c>
      <c r="N76" s="74">
        <v>1</v>
      </c>
      <c r="O76" s="74">
        <v>1</v>
      </c>
      <c r="P76" s="74">
        <v>1</v>
      </c>
      <c r="Q76" s="74">
        <v>1</v>
      </c>
      <c r="R76" s="74">
        <v>1</v>
      </c>
      <c r="S76" s="74">
        <v>1</v>
      </c>
      <c r="T76" s="74">
        <v>1</v>
      </c>
      <c r="U76" s="74">
        <v>1</v>
      </c>
      <c r="V76" s="74">
        <v>1</v>
      </c>
      <c r="W76" s="391" t="s">
        <v>80</v>
      </c>
      <c r="X76" s="391"/>
      <c r="Y76" s="313">
        <v>0.01</v>
      </c>
      <c r="Z76" s="350">
        <v>50</v>
      </c>
      <c r="AA76" s="309">
        <f t="shared" si="47"/>
        <v>2.0000000000000001E-4</v>
      </c>
      <c r="AB76" s="309">
        <v>0.08</v>
      </c>
      <c r="AC76" s="309">
        <f t="shared" si="48"/>
        <v>2.5000000000000001E-3</v>
      </c>
      <c r="AD76" s="332"/>
      <c r="AE76" s="350">
        <v>0.48</v>
      </c>
      <c r="AF76" s="350">
        <v>50</v>
      </c>
      <c r="AG76" s="309">
        <f>IF(AF76=0," ",AE76/AF76)</f>
        <v>9.5999999999999992E-3</v>
      </c>
      <c r="AH76" s="313">
        <v>8</v>
      </c>
      <c r="AI76" s="335">
        <f>IF(AF76=0," ",AG76/AH76)</f>
        <v>1.1999999999999999E-3</v>
      </c>
      <c r="AJ76" s="332" t="s">
        <v>767</v>
      </c>
      <c r="AK76" s="350">
        <v>0.73</v>
      </c>
      <c r="AL76" s="350">
        <v>50</v>
      </c>
      <c r="AM76" s="309">
        <f t="shared" si="52"/>
        <v>1.46E-2</v>
      </c>
      <c r="AN76" s="309">
        <v>0.08</v>
      </c>
      <c r="AO76" s="309">
        <f t="shared" si="53"/>
        <v>0.1825</v>
      </c>
      <c r="AP76" s="332"/>
      <c r="AQ76" s="350">
        <v>0.6</v>
      </c>
      <c r="AR76" s="350">
        <v>50</v>
      </c>
      <c r="AS76" s="100">
        <f t="shared" si="49"/>
        <v>1.2E-2</v>
      </c>
      <c r="AT76" s="309">
        <v>0.08</v>
      </c>
      <c r="AU76" s="309">
        <f t="shared" si="50"/>
        <v>0.15</v>
      </c>
      <c r="AV76" s="332"/>
      <c r="AW76" s="350">
        <v>100</v>
      </c>
      <c r="AX76" s="350">
        <v>100</v>
      </c>
      <c r="AY76" s="309">
        <f>IF(AX76=0," ",AW76/AX76)</f>
        <v>1</v>
      </c>
      <c r="AZ76" s="309">
        <v>1</v>
      </c>
      <c r="BA76" s="309">
        <f>IF(AX76=0," ",AY76/AZ76)</f>
        <v>1</v>
      </c>
      <c r="BB76" s="310"/>
      <c r="BC76" s="309">
        <v>1</v>
      </c>
      <c r="BD76" s="350">
        <v>1</v>
      </c>
      <c r="BE76" s="100">
        <f>IF(BD76=0," ",BC76/BD76)</f>
        <v>1</v>
      </c>
      <c r="BF76" s="309">
        <v>1</v>
      </c>
      <c r="BG76" s="309">
        <f>IF(BD76=0," ",BE76/BF76)</f>
        <v>1</v>
      </c>
      <c r="BH76" s="310"/>
      <c r="BI76" s="310"/>
      <c r="BJ76" s="313">
        <v>1</v>
      </c>
      <c r="BK76" s="309">
        <v>1</v>
      </c>
      <c r="BL76" s="313">
        <f>IF(BK76=0," ",BJ76/BK76)</f>
        <v>1</v>
      </c>
      <c r="BM76" s="313">
        <v>1</v>
      </c>
      <c r="BN76" s="309">
        <f>IF(BK76=0," ",BL76/BM76)</f>
        <v>1</v>
      </c>
      <c r="BO76" s="310" t="s">
        <v>426</v>
      </c>
      <c r="BP76" s="313">
        <v>1</v>
      </c>
      <c r="BQ76" s="309">
        <v>1</v>
      </c>
      <c r="BR76" s="313">
        <f>IF(BQ76=0," ",BP76/BQ76)</f>
        <v>1</v>
      </c>
      <c r="BS76" s="313">
        <v>1</v>
      </c>
      <c r="BT76" s="309">
        <f>IF(BQ76=0," ",BR76/BS76)</f>
        <v>1</v>
      </c>
      <c r="BU76" s="332" t="s">
        <v>777</v>
      </c>
      <c r="BV76" s="309">
        <v>1</v>
      </c>
      <c r="BW76" s="309">
        <v>1</v>
      </c>
      <c r="BX76" s="309">
        <v>1</v>
      </c>
      <c r="BY76" s="309">
        <v>1</v>
      </c>
      <c r="BZ76" s="309">
        <f>IF(BW76=0," ",BX76/BY76)</f>
        <v>1</v>
      </c>
      <c r="CA76" s="310" t="s">
        <v>426</v>
      </c>
      <c r="CB76" s="74">
        <v>1</v>
      </c>
      <c r="CC76" s="74">
        <v>1</v>
      </c>
      <c r="CD76" s="74">
        <v>1</v>
      </c>
      <c r="CE76" s="74">
        <v>1</v>
      </c>
      <c r="CF76" s="58">
        <f>IF(CC76=0," ",CD76/CE76)</f>
        <v>1</v>
      </c>
      <c r="CG76" s="315" t="s">
        <v>426</v>
      </c>
      <c r="CH76" s="399">
        <f>+CH75+CH74+CH73</f>
        <v>9334618913</v>
      </c>
      <c r="CI76" s="399">
        <v>8571625696</v>
      </c>
      <c r="CJ76" s="58">
        <v>1.0900000000000001</v>
      </c>
      <c r="CK76" s="58">
        <v>1</v>
      </c>
      <c r="CL76" s="58">
        <f>IF(CI76=0," ",CJ76/CK76)</f>
        <v>1.0900000000000001</v>
      </c>
      <c r="CM76" s="65" t="s">
        <v>778</v>
      </c>
      <c r="CN76" s="394">
        <v>26511154276</v>
      </c>
      <c r="CO76" s="394">
        <v>20788380743</v>
      </c>
      <c r="CP76" s="394">
        <v>26511154276</v>
      </c>
      <c r="CQ76" s="394">
        <v>20788380743</v>
      </c>
      <c r="CR76" s="58">
        <f t="shared" si="46"/>
        <v>1.2752871233093521</v>
      </c>
      <c r="CS76" s="65" t="s">
        <v>779</v>
      </c>
      <c r="CT76" s="395">
        <v>1</v>
      </c>
      <c r="CU76" s="395">
        <v>1</v>
      </c>
      <c r="CV76" s="395">
        <v>1</v>
      </c>
      <c r="CW76" s="395">
        <v>1</v>
      </c>
      <c r="CX76" s="58">
        <v>1</v>
      </c>
      <c r="CY76" s="65" t="s">
        <v>780</v>
      </c>
    </row>
    <row r="77" spans="1:104" ht="81" customHeight="1">
      <c r="A77" s="129"/>
      <c r="B77" s="391" t="s">
        <v>81</v>
      </c>
      <c r="C77" s="8" t="s">
        <v>92</v>
      </c>
      <c r="D77" s="13" t="s">
        <v>83</v>
      </c>
      <c r="E77" s="8" t="s">
        <v>84</v>
      </c>
      <c r="F77" s="403" t="s">
        <v>82</v>
      </c>
      <c r="G77" s="8" t="s">
        <v>98</v>
      </c>
      <c r="H77" s="8" t="s">
        <v>86</v>
      </c>
      <c r="I77" s="8" t="s">
        <v>85</v>
      </c>
      <c r="J77" s="8" t="s">
        <v>54</v>
      </c>
      <c r="K77" s="12"/>
      <c r="L77" s="12"/>
      <c r="M77" s="12">
        <v>0.8</v>
      </c>
      <c r="N77" s="12"/>
      <c r="O77" s="12"/>
      <c r="P77" s="12">
        <v>1</v>
      </c>
      <c r="Q77" s="12"/>
      <c r="R77" s="12"/>
      <c r="S77" s="12">
        <v>1</v>
      </c>
      <c r="T77" s="12"/>
      <c r="U77" s="12"/>
      <c r="V77" s="12">
        <v>1</v>
      </c>
      <c r="W77" s="8" t="s">
        <v>259</v>
      </c>
      <c r="X77" s="8"/>
      <c r="Y77" s="350" t="s">
        <v>325</v>
      </c>
      <c r="Z77" s="350"/>
      <c r="AA77" s="100" t="str">
        <f t="shared" si="47"/>
        <v xml:space="preserve"> </v>
      </c>
      <c r="AB77" s="350" t="s">
        <v>325</v>
      </c>
      <c r="AC77" s="309" t="str">
        <f t="shared" si="48"/>
        <v xml:space="preserve"> </v>
      </c>
      <c r="AD77" s="332" t="s">
        <v>717</v>
      </c>
      <c r="AE77" s="350" t="s">
        <v>325</v>
      </c>
      <c r="AF77" s="350" t="s">
        <v>325</v>
      </c>
      <c r="AG77" s="350" t="s">
        <v>325</v>
      </c>
      <c r="AH77" s="350" t="s">
        <v>325</v>
      </c>
      <c r="AI77" s="350" t="s">
        <v>325</v>
      </c>
      <c r="AJ77" s="332" t="s">
        <v>717</v>
      </c>
      <c r="AK77" s="309">
        <v>0.96</v>
      </c>
      <c r="AL77" s="309">
        <v>1</v>
      </c>
      <c r="AM77" s="309">
        <v>1</v>
      </c>
      <c r="AN77" s="309">
        <v>0.8</v>
      </c>
      <c r="AO77" s="309">
        <f t="shared" si="53"/>
        <v>1.25</v>
      </c>
      <c r="AP77" s="332" t="s">
        <v>781</v>
      </c>
      <c r="AQ77" s="350" t="s">
        <v>325</v>
      </c>
      <c r="AR77" s="350" t="s">
        <v>325</v>
      </c>
      <c r="AS77" s="350" t="s">
        <v>325</v>
      </c>
      <c r="AT77" s="350" t="s">
        <v>325</v>
      </c>
      <c r="AU77" s="350" t="s">
        <v>325</v>
      </c>
      <c r="AV77" s="332" t="s">
        <v>717</v>
      </c>
      <c r="AW77" s="310" t="s">
        <v>325</v>
      </c>
      <c r="AX77" s="310" t="s">
        <v>325</v>
      </c>
      <c r="AY77" s="310" t="s">
        <v>325</v>
      </c>
      <c r="AZ77" s="310" t="s">
        <v>325</v>
      </c>
      <c r="BA77" s="310" t="s">
        <v>325</v>
      </c>
      <c r="BB77" s="310" t="s">
        <v>719</v>
      </c>
      <c r="BC77" s="309">
        <v>1</v>
      </c>
      <c r="BD77" s="350">
        <v>1</v>
      </c>
      <c r="BE77" s="100">
        <f>IF(BD77=0," ",BC77/BD77)</f>
        <v>1</v>
      </c>
      <c r="BF77" s="311">
        <f>+P77</f>
        <v>1</v>
      </c>
      <c r="BG77" s="309">
        <f>IF(BD77=0," ",BE77/BF77)</f>
        <v>1</v>
      </c>
      <c r="BH77" s="310" t="s">
        <v>782</v>
      </c>
      <c r="BI77" s="310"/>
      <c r="BJ77" s="313" t="s">
        <v>325</v>
      </c>
      <c r="BK77" s="313" t="s">
        <v>325</v>
      </c>
      <c r="BL77" s="313" t="s">
        <v>325</v>
      </c>
      <c r="BM77" s="313" t="s">
        <v>325</v>
      </c>
      <c r="BN77" s="313" t="s">
        <v>325</v>
      </c>
      <c r="BO77" s="310" t="s">
        <v>426</v>
      </c>
      <c r="BP77" s="313" t="s">
        <v>325</v>
      </c>
      <c r="BQ77" s="313" t="s">
        <v>325</v>
      </c>
      <c r="BR77" s="98"/>
      <c r="BS77" s="98"/>
      <c r="BT77" s="313" t="s">
        <v>325</v>
      </c>
      <c r="BU77" s="310" t="s">
        <v>426</v>
      </c>
      <c r="BV77" s="309">
        <v>1</v>
      </c>
      <c r="BW77" s="309">
        <v>1</v>
      </c>
      <c r="BX77" s="100">
        <v>0.85</v>
      </c>
      <c r="BY77" s="309">
        <v>1</v>
      </c>
      <c r="BZ77" s="309">
        <f>IF(BW77=0," ",BX77/BY77)</f>
        <v>0.85</v>
      </c>
      <c r="CA77" s="404" t="s">
        <v>783</v>
      </c>
      <c r="CB77" s="350" t="s">
        <v>325</v>
      </c>
      <c r="CC77" s="350" t="s">
        <v>325</v>
      </c>
      <c r="CD77" s="350" t="s">
        <v>325</v>
      </c>
      <c r="CE77" s="350" t="s">
        <v>325</v>
      </c>
      <c r="CF77" s="68" t="s">
        <v>325</v>
      </c>
      <c r="CG77" s="315" t="s">
        <v>426</v>
      </c>
      <c r="CH77" s="310" t="s">
        <v>325</v>
      </c>
      <c r="CI77" s="310" t="s">
        <v>325</v>
      </c>
      <c r="CJ77" s="315"/>
      <c r="CK77" s="310" t="s">
        <v>325</v>
      </c>
      <c r="CL77" s="58" t="s">
        <v>325</v>
      </c>
      <c r="CM77" s="65" t="s">
        <v>426</v>
      </c>
      <c r="CN77" s="316">
        <v>0.87</v>
      </c>
      <c r="CO77" s="331">
        <v>1</v>
      </c>
      <c r="CP77" s="331">
        <v>0.87</v>
      </c>
      <c r="CQ77" s="331">
        <v>1</v>
      </c>
      <c r="CR77" s="58">
        <f t="shared" si="46"/>
        <v>0.87</v>
      </c>
      <c r="CS77" s="65" t="s">
        <v>784</v>
      </c>
      <c r="CT77" s="395">
        <v>1</v>
      </c>
      <c r="CU77" s="395">
        <v>1</v>
      </c>
      <c r="CV77" s="58">
        <f>+(100*2+85+87)%/4</f>
        <v>0.93</v>
      </c>
      <c r="CW77" s="395">
        <v>1</v>
      </c>
      <c r="CX77" s="58">
        <f t="shared" si="51"/>
        <v>0.93</v>
      </c>
      <c r="CY77" s="65" t="s">
        <v>785</v>
      </c>
    </row>
    <row r="78" spans="1:104" ht="33" customHeight="1">
      <c r="A78" s="129"/>
      <c r="B78" s="2124" t="s">
        <v>786</v>
      </c>
      <c r="C78" s="2124"/>
      <c r="D78" s="2124"/>
      <c r="E78" s="2124"/>
      <c r="F78" s="2124"/>
      <c r="G78" s="2124"/>
      <c r="H78" s="2124"/>
      <c r="I78" s="2124"/>
      <c r="J78" s="2124"/>
      <c r="K78" s="2124"/>
      <c r="L78" s="2124"/>
      <c r="M78" s="2124"/>
      <c r="N78" s="6"/>
      <c r="O78" s="6"/>
      <c r="P78" s="6"/>
      <c r="Q78" s="6"/>
      <c r="R78" s="6"/>
      <c r="S78" s="6"/>
      <c r="T78" s="6"/>
      <c r="U78" s="233"/>
      <c r="V78" s="233"/>
      <c r="CW78" s="406"/>
      <c r="CX78" s="129"/>
    </row>
    <row r="79" spans="1:104">
      <c r="B79" s="2124" t="s">
        <v>17</v>
      </c>
      <c r="C79" s="2124"/>
      <c r="D79" s="2124"/>
      <c r="E79" s="2124"/>
      <c r="CW79" s="406"/>
      <c r="CX79" s="129"/>
    </row>
    <row r="80" spans="1:104" ht="99" customHeight="1">
      <c r="E80" s="2125"/>
      <c r="F80" s="2125"/>
      <c r="G80" s="2125"/>
      <c r="H80" s="2125"/>
      <c r="CW80" s="407"/>
      <c r="CX80" s="129"/>
    </row>
    <row r="81" spans="3:102" ht="12.75" customHeight="1">
      <c r="E81" s="2124" t="s">
        <v>787</v>
      </c>
      <c r="F81" s="2124"/>
      <c r="G81" s="2124"/>
      <c r="H81" s="2124"/>
      <c r="Q81" s="2126"/>
      <c r="R81" s="2126"/>
      <c r="S81" s="2126"/>
      <c r="T81" s="2126"/>
      <c r="U81" s="2126"/>
      <c r="V81" s="2126"/>
      <c r="W81" s="2126"/>
      <c r="X81" s="2126"/>
      <c r="Y81" s="2126"/>
      <c r="Z81" s="2126"/>
      <c r="AA81" s="2126"/>
      <c r="AB81" s="2126"/>
      <c r="AC81" s="2126"/>
      <c r="AD81" s="2126"/>
      <c r="AE81" s="2126"/>
      <c r="AF81" s="2126"/>
      <c r="AG81" s="2126"/>
      <c r="AH81" s="2126"/>
      <c r="AI81" s="2126"/>
      <c r="AJ81" s="2126"/>
      <c r="AK81" s="2126"/>
      <c r="AL81" s="2126"/>
      <c r="AM81" s="2126"/>
      <c r="AN81" s="2126"/>
      <c r="AO81" s="2126"/>
      <c r="AP81" s="2126"/>
      <c r="AQ81" s="2126"/>
      <c r="AR81" s="2126"/>
      <c r="AS81" s="2126"/>
      <c r="AT81" s="2126"/>
      <c r="AU81" s="2126"/>
      <c r="AV81" s="2126"/>
      <c r="AW81" s="2126"/>
      <c r="AX81" s="2126"/>
      <c r="AY81" s="2126"/>
      <c r="AZ81" s="2126"/>
      <c r="BA81" s="2126"/>
      <c r="BB81" s="2126"/>
      <c r="BC81" s="2126"/>
      <c r="BD81" s="2127" t="s">
        <v>788</v>
      </c>
      <c r="BE81" s="2127"/>
      <c r="BF81" s="2127"/>
      <c r="BG81" s="2127"/>
      <c r="BH81" s="2127"/>
      <c r="BI81" s="408"/>
      <c r="BJ81" s="2126" t="s">
        <v>789</v>
      </c>
      <c r="BK81" s="2126"/>
      <c r="BL81" s="2126"/>
      <c r="BM81" s="2126"/>
      <c r="BN81" s="2126"/>
      <c r="BP81" s="2126" t="s">
        <v>789</v>
      </c>
      <c r="BQ81" s="2126"/>
      <c r="BR81" s="2126"/>
      <c r="BS81" s="2126"/>
      <c r="BT81" s="2126"/>
      <c r="BU81" s="2126"/>
      <c r="BW81" s="2126" t="s">
        <v>790</v>
      </c>
      <c r="BX81" s="2126"/>
      <c r="BY81" s="2126"/>
      <c r="BZ81" s="2126"/>
      <c r="CC81" s="2126" t="s">
        <v>791</v>
      </c>
      <c r="CD81" s="2126"/>
      <c r="CE81" s="2126"/>
      <c r="CF81" s="2126"/>
      <c r="CH81" s="2127" t="s">
        <v>791</v>
      </c>
      <c r="CI81" s="2127"/>
      <c r="CJ81" s="2127"/>
      <c r="CK81" s="2127"/>
      <c r="CL81" s="2127"/>
      <c r="CM81" s="2127"/>
      <c r="CN81" s="2126" t="s">
        <v>792</v>
      </c>
      <c r="CO81" s="2126"/>
      <c r="CP81" s="2126"/>
      <c r="CQ81" s="2126"/>
      <c r="CR81" s="2126"/>
      <c r="CT81" s="2126" t="s">
        <v>788</v>
      </c>
      <c r="CU81" s="2126"/>
      <c r="CV81" s="2126"/>
      <c r="CW81" s="2126"/>
      <c r="CX81" s="2126"/>
    </row>
    <row r="82" spans="3:102" ht="15" customHeight="1">
      <c r="E82" s="2128" t="s">
        <v>793</v>
      </c>
      <c r="F82" s="2128"/>
      <c r="G82" s="2128"/>
      <c r="H82" s="2128"/>
    </row>
    <row r="83" spans="3:102">
      <c r="C83" s="126"/>
      <c r="E83" s="129"/>
      <c r="F83" s="129"/>
      <c r="G83" s="129"/>
      <c r="H83" s="129"/>
    </row>
    <row r="84" spans="3:102" ht="19.5" customHeight="1">
      <c r="C84" s="126"/>
    </row>
    <row r="85" spans="3:102" ht="12.75" customHeight="1">
      <c r="C85" s="126"/>
    </row>
    <row r="86" spans="3:102" ht="12.75" customHeight="1">
      <c r="C86" s="126"/>
    </row>
    <row r="94" spans="3:102">
      <c r="BA94" s="126">
        <f>1.49/1.76</f>
        <v>0.84659090909090906</v>
      </c>
    </row>
    <row r="95" spans="3:102">
      <c r="F95" s="126" t="s">
        <v>332</v>
      </c>
    </row>
    <row r="99" spans="3:30" ht="13.5" thickBot="1">
      <c r="N99" s="409">
        <v>10.89</v>
      </c>
      <c r="O99" s="410">
        <v>1.82</v>
      </c>
      <c r="P99" s="411">
        <v>2.63</v>
      </c>
    </row>
    <row r="102" spans="3:30">
      <c r="C102" s="126"/>
      <c r="AC102" s="412"/>
    </row>
    <row r="103" spans="3:30">
      <c r="C103" s="126"/>
      <c r="L103" s="126">
        <f>7.1*13</f>
        <v>92.3</v>
      </c>
      <c r="AC103" s="412"/>
    </row>
    <row r="104" spans="3:30">
      <c r="C104" s="126"/>
      <c r="AC104" s="412"/>
    </row>
    <row r="105" spans="3:30">
      <c r="C105" s="126"/>
      <c r="AC105" s="412"/>
    </row>
    <row r="106" spans="3:30">
      <c r="C106" s="126"/>
      <c r="AC106" s="412"/>
    </row>
    <row r="107" spans="3:30">
      <c r="C107" s="126"/>
      <c r="T107" s="2129">
        <v>2.81</v>
      </c>
      <c r="U107" s="2131">
        <v>0.32</v>
      </c>
      <c r="V107" s="2131">
        <v>0.21</v>
      </c>
      <c r="AC107" s="412"/>
    </row>
    <row r="108" spans="3:30" ht="13.5" thickBot="1">
      <c r="C108" s="126"/>
      <c r="T108" s="2130"/>
      <c r="U108" s="2132"/>
      <c r="V108" s="2132"/>
      <c r="AC108" s="412"/>
    </row>
    <row r="109" spans="3:30">
      <c r="C109" s="126"/>
      <c r="AC109" s="412"/>
    </row>
    <row r="110" spans="3:30">
      <c r="C110" s="126"/>
      <c r="AC110" s="412"/>
    </row>
    <row r="111" spans="3:30">
      <c r="C111" s="126"/>
      <c r="AC111" s="412"/>
    </row>
    <row r="112" spans="3:30">
      <c r="C112" s="126"/>
      <c r="AC112" s="412"/>
      <c r="AD112" s="413"/>
    </row>
    <row r="113" spans="3:29">
      <c r="C113" s="126"/>
      <c r="AC113" s="412"/>
    </row>
    <row r="114" spans="3:29" ht="13.5" thickBot="1">
      <c r="C114" s="126"/>
      <c r="F114" s="409"/>
      <c r="G114" s="410"/>
      <c r="H114" s="411"/>
      <c r="AC114" s="412"/>
    </row>
    <row r="115" spans="3:29">
      <c r="C115" s="126"/>
      <c r="AC115" s="412"/>
    </row>
    <row r="116" spans="3:29">
      <c r="C116" s="126"/>
      <c r="F116" s="2129"/>
      <c r="G116" s="2131"/>
      <c r="H116" s="2131"/>
      <c r="AC116" s="412"/>
    </row>
    <row r="117" spans="3:29" ht="13.5" thickBot="1">
      <c r="C117" s="126"/>
      <c r="F117" s="2130"/>
      <c r="G117" s="2132"/>
      <c r="H117" s="2132"/>
      <c r="AC117" s="412"/>
    </row>
    <row r="118" spans="3:29">
      <c r="C118" s="126"/>
      <c r="AC118" s="412"/>
    </row>
    <row r="119" spans="3:29">
      <c r="C119" s="126"/>
      <c r="AC119" s="412"/>
    </row>
    <row r="120" spans="3:29">
      <c r="C120" s="126"/>
      <c r="AC120" s="412"/>
    </row>
    <row r="121" spans="3:29">
      <c r="C121" s="126"/>
      <c r="AC121" s="412"/>
    </row>
    <row r="122" spans="3:29">
      <c r="C122" s="126"/>
      <c r="AC122" s="412"/>
    </row>
    <row r="123" spans="3:29">
      <c r="C123" s="126"/>
      <c r="AC123" s="412"/>
    </row>
    <row r="124" spans="3:29">
      <c r="C124" s="126"/>
      <c r="AC124" s="412"/>
    </row>
    <row r="125" spans="3:29">
      <c r="C125" s="126"/>
      <c r="AC125" s="412"/>
    </row>
    <row r="126" spans="3:29">
      <c r="C126" s="126"/>
      <c r="AC126" s="412"/>
    </row>
  </sheetData>
  <mergeCells count="329">
    <mergeCell ref="T107:T108"/>
    <mergeCell ref="U107:U108"/>
    <mergeCell ref="V107:V108"/>
    <mergeCell ref="F116:F117"/>
    <mergeCell ref="G116:G117"/>
    <mergeCell ref="H116:H117"/>
    <mergeCell ref="BW81:BZ81"/>
    <mergeCell ref="CC81:CF81"/>
    <mergeCell ref="CH81:CM81"/>
    <mergeCell ref="CN81:CR81"/>
    <mergeCell ref="CT81:CX81"/>
    <mergeCell ref="E82:H82"/>
    <mergeCell ref="E80:H80"/>
    <mergeCell ref="E81:H81"/>
    <mergeCell ref="Q81:BC81"/>
    <mergeCell ref="BD81:BH81"/>
    <mergeCell ref="BJ81:BN81"/>
    <mergeCell ref="BP81:BU81"/>
    <mergeCell ref="BH63:BH65"/>
    <mergeCell ref="BI63:BI65"/>
    <mergeCell ref="CG64:CG65"/>
    <mergeCell ref="B69:BB69"/>
    <mergeCell ref="B78:M78"/>
    <mergeCell ref="B79:E79"/>
    <mergeCell ref="AD53:AD55"/>
    <mergeCell ref="AJ53:AJ55"/>
    <mergeCell ref="CA53:CA55"/>
    <mergeCell ref="AD56:AD58"/>
    <mergeCell ref="CA56:CA58"/>
    <mergeCell ref="AD59:AD61"/>
    <mergeCell ref="AJ59:AJ61"/>
    <mergeCell ref="BU59:BU61"/>
    <mergeCell ref="CA59:CA61"/>
    <mergeCell ref="AD44:AD46"/>
    <mergeCell ref="CM44:CM46"/>
    <mergeCell ref="AD47:AD49"/>
    <mergeCell ref="AJ47:AJ49"/>
    <mergeCell ref="CA47:CA49"/>
    <mergeCell ref="AD50:AD52"/>
    <mergeCell ref="AJ50:AJ52"/>
    <mergeCell ref="AP50:AP52"/>
    <mergeCell ref="AV50:AV52"/>
    <mergeCell ref="CG38:CG40"/>
    <mergeCell ref="CM38:CM40"/>
    <mergeCell ref="CS38:CS40"/>
    <mergeCell ref="CY38:CY40"/>
    <mergeCell ref="AD41:AD43"/>
    <mergeCell ref="AJ41:AJ43"/>
    <mergeCell ref="CM41:CM43"/>
    <mergeCell ref="BB38:BB40"/>
    <mergeCell ref="BH38:BH40"/>
    <mergeCell ref="BO38:BO40"/>
    <mergeCell ref="BU38:BU40"/>
    <mergeCell ref="CA38:CA40"/>
    <mergeCell ref="CF38:CF40"/>
    <mergeCell ref="H38:H40"/>
    <mergeCell ref="I38:I40"/>
    <mergeCell ref="AD38:AD40"/>
    <mergeCell ref="AJ38:AJ40"/>
    <mergeCell ref="AP38:AP40"/>
    <mergeCell ref="AV38:AV40"/>
    <mergeCell ref="CG35:CG37"/>
    <mergeCell ref="CM35:CM37"/>
    <mergeCell ref="CS35:CS37"/>
    <mergeCell ref="CY35:CY37"/>
    <mergeCell ref="B38:B40"/>
    <mergeCell ref="C38:C40"/>
    <mergeCell ref="D38:D40"/>
    <mergeCell ref="E38:E40"/>
    <mergeCell ref="F38:F40"/>
    <mergeCell ref="G38:G40"/>
    <mergeCell ref="BB35:BB37"/>
    <mergeCell ref="BH35:BH37"/>
    <mergeCell ref="BO35:BO37"/>
    <mergeCell ref="BU35:BU37"/>
    <mergeCell ref="CA35:CA37"/>
    <mergeCell ref="CF35:CF37"/>
    <mergeCell ref="H35:H37"/>
    <mergeCell ref="I35:I37"/>
    <mergeCell ref="AD35:AD37"/>
    <mergeCell ref="AJ35:AJ37"/>
    <mergeCell ref="AP35:AP37"/>
    <mergeCell ref="AV35:AV37"/>
    <mergeCell ref="CG32:CG34"/>
    <mergeCell ref="CM32:CM34"/>
    <mergeCell ref="CS32:CS34"/>
    <mergeCell ref="CY32:CY34"/>
    <mergeCell ref="B35:B37"/>
    <mergeCell ref="C35:C37"/>
    <mergeCell ref="D35:D37"/>
    <mergeCell ref="E35:E37"/>
    <mergeCell ref="F35:F37"/>
    <mergeCell ref="G35:G37"/>
    <mergeCell ref="BB32:BB34"/>
    <mergeCell ref="BH32:BH34"/>
    <mergeCell ref="BO32:BO34"/>
    <mergeCell ref="BU32:BU34"/>
    <mergeCell ref="CA32:CA34"/>
    <mergeCell ref="CF32:CF34"/>
    <mergeCell ref="H32:H34"/>
    <mergeCell ref="I32:I34"/>
    <mergeCell ref="AD32:AD34"/>
    <mergeCell ref="AJ32:AJ34"/>
    <mergeCell ref="AP32:AP34"/>
    <mergeCell ref="AV32:AV34"/>
    <mergeCell ref="CG29:CG31"/>
    <mergeCell ref="CM29:CM31"/>
    <mergeCell ref="CS29:CS31"/>
    <mergeCell ref="CY29:CY31"/>
    <mergeCell ref="B32:B34"/>
    <mergeCell ref="C32:C34"/>
    <mergeCell ref="D32:D34"/>
    <mergeCell ref="E32:E34"/>
    <mergeCell ref="F32:F34"/>
    <mergeCell ref="G32:G34"/>
    <mergeCell ref="BB29:BB31"/>
    <mergeCell ref="BH29:BH31"/>
    <mergeCell ref="BO29:BO31"/>
    <mergeCell ref="BU29:BU31"/>
    <mergeCell ref="CA29:CA31"/>
    <mergeCell ref="CF29:CF31"/>
    <mergeCell ref="H29:H31"/>
    <mergeCell ref="I29:I31"/>
    <mergeCell ref="AD29:AD31"/>
    <mergeCell ref="AJ29:AJ31"/>
    <mergeCell ref="AP29:AP31"/>
    <mergeCell ref="AV29:AV31"/>
    <mergeCell ref="CG26:CG28"/>
    <mergeCell ref="CM26:CM28"/>
    <mergeCell ref="CS26:CS28"/>
    <mergeCell ref="CY26:CY28"/>
    <mergeCell ref="B29:B31"/>
    <mergeCell ref="C29:C31"/>
    <mergeCell ref="D29:D31"/>
    <mergeCell ref="E29:E31"/>
    <mergeCell ref="F29:F31"/>
    <mergeCell ref="G29:G31"/>
    <mergeCell ref="BB26:BB28"/>
    <mergeCell ref="BH26:BH28"/>
    <mergeCell ref="BO26:BO28"/>
    <mergeCell ref="BU26:BU28"/>
    <mergeCell ref="CA26:CA28"/>
    <mergeCell ref="CF26:CF28"/>
    <mergeCell ref="H26:H28"/>
    <mergeCell ref="I26:I28"/>
    <mergeCell ref="AD26:AD28"/>
    <mergeCell ref="AJ26:AJ28"/>
    <mergeCell ref="AP26:AP28"/>
    <mergeCell ref="AV26:AV28"/>
    <mergeCell ref="CG23:CG25"/>
    <mergeCell ref="CM23:CM25"/>
    <mergeCell ref="CS23:CS25"/>
    <mergeCell ref="CY23:CY25"/>
    <mergeCell ref="B26:B28"/>
    <mergeCell ref="C26:C28"/>
    <mergeCell ref="D26:D28"/>
    <mergeCell ref="E26:E28"/>
    <mergeCell ref="F26:F28"/>
    <mergeCell ref="G26:G28"/>
    <mergeCell ref="BB23:BB25"/>
    <mergeCell ref="BH23:BH25"/>
    <mergeCell ref="BO23:BO25"/>
    <mergeCell ref="BU23:BU25"/>
    <mergeCell ref="CA23:CA25"/>
    <mergeCell ref="CF23:CF25"/>
    <mergeCell ref="H23:H25"/>
    <mergeCell ref="I23:I25"/>
    <mergeCell ref="AD23:AD25"/>
    <mergeCell ref="AJ23:AJ25"/>
    <mergeCell ref="AP23:AP25"/>
    <mergeCell ref="AV23:AV25"/>
    <mergeCell ref="CG20:CG22"/>
    <mergeCell ref="CM20:CM22"/>
    <mergeCell ref="CS20:CS22"/>
    <mergeCell ref="CY20:CY22"/>
    <mergeCell ref="B23:B25"/>
    <mergeCell ref="C23:C25"/>
    <mergeCell ref="D23:D25"/>
    <mergeCell ref="E23:E25"/>
    <mergeCell ref="F23:F25"/>
    <mergeCell ref="G23:G25"/>
    <mergeCell ref="BB20:BB22"/>
    <mergeCell ref="BH20:BH22"/>
    <mergeCell ref="BO20:BO22"/>
    <mergeCell ref="BU20:BU22"/>
    <mergeCell ref="CA20:CA22"/>
    <mergeCell ref="CF20:CF22"/>
    <mergeCell ref="H20:H22"/>
    <mergeCell ref="I20:I22"/>
    <mergeCell ref="AD20:AD22"/>
    <mergeCell ref="AJ20:AJ22"/>
    <mergeCell ref="AP20:AP22"/>
    <mergeCell ref="AV20:AV22"/>
    <mergeCell ref="CG17:CG19"/>
    <mergeCell ref="CM17:CM19"/>
    <mergeCell ref="CS17:CS19"/>
    <mergeCell ref="CY17:CY19"/>
    <mergeCell ref="B20:B22"/>
    <mergeCell ref="C20:C22"/>
    <mergeCell ref="D20:D22"/>
    <mergeCell ref="E20:E22"/>
    <mergeCell ref="F20:F22"/>
    <mergeCell ref="G20:G22"/>
    <mergeCell ref="BB17:BB19"/>
    <mergeCell ref="BH17:BH19"/>
    <mergeCell ref="BO17:BO19"/>
    <mergeCell ref="BU17:BU19"/>
    <mergeCell ref="CA17:CA19"/>
    <mergeCell ref="CF17:CF19"/>
    <mergeCell ref="H17:H19"/>
    <mergeCell ref="I17:I19"/>
    <mergeCell ref="AD17:AD19"/>
    <mergeCell ref="AJ17:AJ19"/>
    <mergeCell ref="AP17:AP19"/>
    <mergeCell ref="AV17:AV19"/>
    <mergeCell ref="CG14:CG16"/>
    <mergeCell ref="CM14:CM16"/>
    <mergeCell ref="CS14:CS16"/>
    <mergeCell ref="CY14:CY16"/>
    <mergeCell ref="B17:B19"/>
    <mergeCell ref="C17:C19"/>
    <mergeCell ref="D17:D19"/>
    <mergeCell ref="E17:E19"/>
    <mergeCell ref="F17:F19"/>
    <mergeCell ref="G17:G19"/>
    <mergeCell ref="BB14:BB16"/>
    <mergeCell ref="BH14:BH16"/>
    <mergeCell ref="BO14:BO16"/>
    <mergeCell ref="BU14:BU16"/>
    <mergeCell ref="CA14:CA16"/>
    <mergeCell ref="CF14:CF16"/>
    <mergeCell ref="H14:H16"/>
    <mergeCell ref="I14:I16"/>
    <mergeCell ref="AD14:AD16"/>
    <mergeCell ref="AJ14:AJ16"/>
    <mergeCell ref="AP14:AP16"/>
    <mergeCell ref="AV14:AV16"/>
    <mergeCell ref="B14:B16"/>
    <mergeCell ref="C14:C16"/>
    <mergeCell ref="D14:D16"/>
    <mergeCell ref="E14:E16"/>
    <mergeCell ref="F14:F16"/>
    <mergeCell ref="G14:G16"/>
    <mergeCell ref="CA11:CA13"/>
    <mergeCell ref="CF11:CF13"/>
    <mergeCell ref="CG11:CG13"/>
    <mergeCell ref="CM11:CM13"/>
    <mergeCell ref="CS11:CS13"/>
    <mergeCell ref="CY11:CY13"/>
    <mergeCell ref="AD11:AD13"/>
    <mergeCell ref="AJ11:AJ13"/>
    <mergeCell ref="BB11:BB13"/>
    <mergeCell ref="BH11:BH13"/>
    <mergeCell ref="BO11:BO13"/>
    <mergeCell ref="BU11:BU13"/>
    <mergeCell ref="CS8:CS10"/>
    <mergeCell ref="CY8:CY10"/>
    <mergeCell ref="B11:B13"/>
    <mergeCell ref="C11:C13"/>
    <mergeCell ref="D11:D13"/>
    <mergeCell ref="E11:E13"/>
    <mergeCell ref="F11:F13"/>
    <mergeCell ref="G11:G13"/>
    <mergeCell ref="H11:H13"/>
    <mergeCell ref="I11:I13"/>
    <mergeCell ref="BO8:BO10"/>
    <mergeCell ref="BU8:BU10"/>
    <mergeCell ref="CA8:CA10"/>
    <mergeCell ref="CF8:CF10"/>
    <mergeCell ref="CG8:CG10"/>
    <mergeCell ref="CM8:CM10"/>
    <mergeCell ref="AD8:AD10"/>
    <mergeCell ref="AJ8:AJ10"/>
    <mergeCell ref="AP8:AP10"/>
    <mergeCell ref="AV8:AV10"/>
    <mergeCell ref="BB8:BB10"/>
    <mergeCell ref="BH8:BH10"/>
    <mergeCell ref="CN6:CS6"/>
    <mergeCell ref="CT6:CY6"/>
    <mergeCell ref="B8:B10"/>
    <mergeCell ref="C8:C10"/>
    <mergeCell ref="D8:D10"/>
    <mergeCell ref="E8:E10"/>
    <mergeCell ref="F8:F10"/>
    <mergeCell ref="G8:G10"/>
    <mergeCell ref="H8:H10"/>
    <mergeCell ref="I8:I10"/>
    <mergeCell ref="BC6:BH6"/>
    <mergeCell ref="BJ6:BO6"/>
    <mergeCell ref="BP6:BU6"/>
    <mergeCell ref="BV6:CA6"/>
    <mergeCell ref="CB6:CG6"/>
    <mergeCell ref="CH6:CM6"/>
    <mergeCell ref="K6:V6"/>
    <mergeCell ref="Y6:AD6"/>
    <mergeCell ref="AE6:AJ6"/>
    <mergeCell ref="AK6:AP6"/>
    <mergeCell ref="AQ6:AV6"/>
    <mergeCell ref="AW6:BB6"/>
    <mergeCell ref="CT4:CY4"/>
    <mergeCell ref="B6:B7"/>
    <mergeCell ref="C6:C7"/>
    <mergeCell ref="D6:D7"/>
    <mergeCell ref="E6:E7"/>
    <mergeCell ref="F6:F7"/>
    <mergeCell ref="G6:G7"/>
    <mergeCell ref="H6:H7"/>
    <mergeCell ref="I6:I7"/>
    <mergeCell ref="J6:J7"/>
    <mergeCell ref="BJ4:BO4"/>
    <mergeCell ref="BP4:BU4"/>
    <mergeCell ref="BV4:CA4"/>
    <mergeCell ref="CB4:CG4"/>
    <mergeCell ref="CH4:CM4"/>
    <mergeCell ref="CN4:CS4"/>
    <mergeCell ref="Y4:AD4"/>
    <mergeCell ref="AE4:AJ4"/>
    <mergeCell ref="AK4:AP4"/>
    <mergeCell ref="AQ4:AV4"/>
    <mergeCell ref="AW4:BB4"/>
    <mergeCell ref="BC4:BH4"/>
    <mergeCell ref="B1:J1"/>
    <mergeCell ref="O1:R1"/>
    <mergeCell ref="S1:V2"/>
    <mergeCell ref="C2:J2"/>
    <mergeCell ref="O2:R2"/>
    <mergeCell ref="C4:J4"/>
    <mergeCell ref="K4:M4"/>
    <mergeCell ref="N4:V4"/>
  </mergeCells>
  <conditionalFormatting sqref="AC8:AC10 AC41:AC46 AC70 AC48:AC61 AI48:AI61 AO41:AO61 BG14:BG58 BT48:BT58 AU41:AU61 BA41:BA58 BN54:BN58 BZ56:BZ58 CF41:CF61 CF63:CF65 AC67:AC68 AI67:AI68 BG67:BG69 BA67:BA68 BN67:BN69 BZ67:BZ69">
    <cfRule type="colorScale" priority="119">
      <colorScale>
        <cfvo type="num" val="0.69"/>
        <cfvo type="num" val="0.8"/>
        <cfvo type="num" val="0.9"/>
        <color rgb="FFF8696B"/>
        <color rgb="FFFFEB84"/>
        <color rgb="FF63BE7B"/>
      </colorScale>
    </cfRule>
  </conditionalFormatting>
  <conditionalFormatting sqref="BG69">
    <cfRule type="colorScale" priority="118">
      <colorScale>
        <cfvo type="num" val="0.69"/>
        <cfvo type="num" val="0.8"/>
        <cfvo type="num" val="0.9"/>
        <color rgb="FFF8696B"/>
        <color rgb="FFFFEB84"/>
        <color rgb="FF63BE7B"/>
      </colorScale>
    </cfRule>
  </conditionalFormatting>
  <conditionalFormatting sqref="BT69">
    <cfRule type="colorScale" priority="117">
      <colorScale>
        <cfvo type="num" val="0.69"/>
        <cfvo type="num" val="0.8"/>
        <cfvo type="num" val="0.9"/>
        <color rgb="FFF8696B"/>
        <color rgb="FFFFEB84"/>
        <color rgb="FF63BE7B"/>
      </colorScale>
    </cfRule>
  </conditionalFormatting>
  <conditionalFormatting sqref="CF69">
    <cfRule type="colorScale" priority="116">
      <colorScale>
        <cfvo type="num" val="0.69"/>
        <cfvo type="num" val="0.8"/>
        <cfvo type="num" val="0.9"/>
        <color rgb="FFF8696B"/>
        <color rgb="FFFFEB84"/>
        <color rgb="FF63BE7B"/>
      </colorScale>
    </cfRule>
  </conditionalFormatting>
  <conditionalFormatting sqref="BO69">
    <cfRule type="colorScale" priority="115">
      <colorScale>
        <cfvo type="num" val="0.69"/>
        <cfvo type="num" val="0.8"/>
        <cfvo type="num" val="0.9"/>
        <color rgb="FFF8696B"/>
        <color rgb="FFFFEB84"/>
        <color rgb="FF63BE7B"/>
      </colorScale>
    </cfRule>
  </conditionalFormatting>
  <conditionalFormatting sqref="CA69">
    <cfRule type="colorScale" priority="114">
      <colorScale>
        <cfvo type="num" val="0.69"/>
        <cfvo type="num" val="0.8"/>
        <cfvo type="num" val="0.9"/>
        <color rgb="FFF8696B"/>
        <color rgb="FFFFEB84"/>
        <color rgb="FF63BE7B"/>
      </colorScale>
    </cfRule>
  </conditionalFormatting>
  <conditionalFormatting sqref="CM69">
    <cfRule type="colorScale" priority="113">
      <colorScale>
        <cfvo type="num" val="0.69"/>
        <cfvo type="num" val="0.8"/>
        <cfvo type="num" val="0.9"/>
        <color rgb="FFF8696B"/>
        <color rgb="FFFFEB84"/>
        <color rgb="FF63BE7B"/>
      </colorScale>
    </cfRule>
  </conditionalFormatting>
  <conditionalFormatting sqref="AC73:AC76">
    <cfRule type="colorScale" priority="112">
      <colorScale>
        <cfvo type="num" val="0.69"/>
        <cfvo type="num" val="0.8"/>
        <cfvo type="num" val="0.9"/>
        <color rgb="FFF8696B"/>
        <color rgb="FFFFEB84"/>
        <color rgb="FF63BE7B"/>
      </colorScale>
    </cfRule>
  </conditionalFormatting>
  <conditionalFormatting sqref="AO73:AO77 AO71">
    <cfRule type="colorScale" priority="111">
      <colorScale>
        <cfvo type="num" val="0.69"/>
        <cfvo type="num" val="0.8"/>
        <cfvo type="num" val="0.9"/>
        <color rgb="FFF8696B"/>
        <color rgb="FFFFEB84"/>
        <color rgb="FF63BE7B"/>
      </colorScale>
    </cfRule>
  </conditionalFormatting>
  <conditionalFormatting sqref="AU73:AU76 AU70">
    <cfRule type="colorScale" priority="110">
      <colorScale>
        <cfvo type="num" val="0.69"/>
        <cfvo type="num" val="0.8"/>
        <cfvo type="num" val="0.9"/>
        <color rgb="FFF8696B"/>
        <color rgb="FFFFEB84"/>
        <color rgb="FF63BE7B"/>
      </colorScale>
    </cfRule>
  </conditionalFormatting>
  <conditionalFormatting sqref="BG71:BG75 BG77">
    <cfRule type="colorScale" priority="109">
      <colorScale>
        <cfvo type="num" val="0.69"/>
        <cfvo type="num" val="0.8"/>
        <cfvo type="num" val="0.9"/>
        <color rgb="FFF8696B"/>
        <color rgb="FFFFEB84"/>
        <color rgb="FF63BE7B"/>
      </colorScale>
    </cfRule>
  </conditionalFormatting>
  <conditionalFormatting sqref="BN76">
    <cfRule type="colorScale" priority="108">
      <colorScale>
        <cfvo type="num" val="0.69"/>
        <cfvo type="num" val="0.8"/>
        <cfvo type="num" val="0.9"/>
        <color rgb="FFF8696B"/>
        <color rgb="FFFFEB84"/>
        <color rgb="FF63BE7B"/>
      </colorScale>
    </cfRule>
  </conditionalFormatting>
  <conditionalFormatting sqref="BT72:BT74">
    <cfRule type="colorScale" priority="107">
      <colorScale>
        <cfvo type="num" val="0.69"/>
        <cfvo type="num" val="0.8"/>
        <cfvo type="num" val="0.9"/>
        <color rgb="FFF8696B"/>
        <color rgb="FFFFEB84"/>
        <color rgb="FF63BE7B"/>
      </colorScale>
    </cfRule>
  </conditionalFormatting>
  <conditionalFormatting sqref="CF72:CF76">
    <cfRule type="colorScale" priority="106">
      <colorScale>
        <cfvo type="num" val="0.69"/>
        <cfvo type="num" val="0.8"/>
        <cfvo type="num" val="0.9"/>
        <color rgb="FFF8696B"/>
        <color rgb="FFFFEB84"/>
        <color rgb="FF63BE7B"/>
      </colorScale>
    </cfRule>
  </conditionalFormatting>
  <conditionalFormatting sqref="CL75:CL76">
    <cfRule type="colorScale" priority="105">
      <colorScale>
        <cfvo type="num" val="0.69"/>
        <cfvo type="num" val="0.8"/>
        <cfvo type="num" val="0.9"/>
        <color rgb="FFF8696B"/>
        <color rgb="FFFFEB84"/>
        <color rgb="FF63BE7B"/>
      </colorScale>
    </cfRule>
  </conditionalFormatting>
  <conditionalFormatting sqref="AU72">
    <cfRule type="colorScale" priority="104">
      <colorScale>
        <cfvo type="num" val="0.69"/>
        <cfvo type="num" val="0.8"/>
        <cfvo type="num" val="0.9"/>
        <color rgb="FFF8696B"/>
        <color rgb="FFFFEB84"/>
        <color rgb="FF63BE7B"/>
      </colorScale>
    </cfRule>
  </conditionalFormatting>
  <conditionalFormatting sqref="AC71">
    <cfRule type="colorScale" priority="103">
      <colorScale>
        <cfvo type="num" val="0.69"/>
        <cfvo type="num" val="0.8"/>
        <cfvo type="num" val="0.9"/>
        <color rgb="FFF8696B"/>
        <color rgb="FFFFEB84"/>
        <color rgb="FF63BE7B"/>
      </colorScale>
    </cfRule>
  </conditionalFormatting>
  <conditionalFormatting sqref="AC72">
    <cfRule type="colorScale" priority="102">
      <colorScale>
        <cfvo type="num" val="0.69"/>
        <cfvo type="num" val="0.8"/>
        <cfvo type="num" val="0.9"/>
        <color rgb="FFF8696B"/>
        <color rgb="FFFFEB84"/>
        <color rgb="FF63BE7B"/>
      </colorScale>
    </cfRule>
  </conditionalFormatting>
  <conditionalFormatting sqref="AC77">
    <cfRule type="colorScale" priority="101">
      <colorScale>
        <cfvo type="num" val="0.69"/>
        <cfvo type="num" val="0.8"/>
        <cfvo type="num" val="0.9"/>
        <color rgb="FFF8696B"/>
        <color rgb="FFFFEB84"/>
        <color rgb="FF63BE7B"/>
      </colorScale>
    </cfRule>
  </conditionalFormatting>
  <conditionalFormatting sqref="AI8:AI10 AI29:AI31 AI35:AI37 AI41:AI46 AI14:AI19 AI72:AI76">
    <cfRule type="colorScale" priority="100">
      <colorScale>
        <cfvo type="num" val="0.69"/>
        <cfvo type="num" val="0.8"/>
        <cfvo type="num" val="0.9"/>
        <color rgb="FFF8696B"/>
        <color rgb="FFFFEB84"/>
        <color rgb="FF63BE7B"/>
      </colorScale>
    </cfRule>
  </conditionalFormatting>
  <conditionalFormatting sqref="AO8:AO10 AO29:AO31 AO35:AO37 AO14:AO19">
    <cfRule type="colorScale" priority="99">
      <colorScale>
        <cfvo type="num" val="0.69"/>
        <cfvo type="num" val="0.8"/>
        <cfvo type="num" val="0.9"/>
        <color rgb="FFF8696B"/>
        <color rgb="FFFFEB84"/>
        <color rgb="FF63BE7B"/>
      </colorScale>
    </cfRule>
  </conditionalFormatting>
  <conditionalFormatting sqref="BG60:BG61 BG63:BG65 BG71:BG77">
    <cfRule type="colorScale" priority="98">
      <colorScale>
        <cfvo type="num" val="0.69"/>
        <cfvo type="num" val="0.8"/>
        <cfvo type="num" val="0.9"/>
        <color rgb="FFF8696B"/>
        <color rgb="FFFFEB84"/>
        <color rgb="FF63BE7B"/>
      </colorScale>
    </cfRule>
  </conditionalFormatting>
  <conditionalFormatting sqref="BN42:BN52 BN14 BN20 BN29">
    <cfRule type="colorScale" priority="97">
      <colorScale>
        <cfvo type="num" val="0.69"/>
        <cfvo type="num" val="0.8"/>
        <cfvo type="num" val="0.9"/>
        <color rgb="FFF8696B"/>
        <color rgb="FFFFEB84"/>
        <color rgb="FF63BE7B"/>
      </colorScale>
    </cfRule>
  </conditionalFormatting>
  <conditionalFormatting sqref="BT41:BT46 BT35">
    <cfRule type="colorScale" priority="96">
      <colorScale>
        <cfvo type="num" val="0.69"/>
        <cfvo type="num" val="0.8"/>
        <cfvo type="num" val="0.9"/>
        <color rgb="FFF8696B"/>
        <color rgb="FFFFEB84"/>
        <color rgb="FF63BE7B"/>
      </colorScale>
    </cfRule>
  </conditionalFormatting>
  <conditionalFormatting sqref="CF11 CF8 CF14 CF17 CF20 CF23 CF32 CF35">
    <cfRule type="colorScale" priority="95">
      <colorScale>
        <cfvo type="num" val="0.69"/>
        <cfvo type="num" val="0.8"/>
        <cfvo type="num" val="0.9"/>
        <color rgb="FFF8696B"/>
        <color rgb="FFFFEB84"/>
        <color rgb="FF63BE7B"/>
      </colorScale>
    </cfRule>
  </conditionalFormatting>
  <conditionalFormatting sqref="CL17:CL22 CL9 CL26:CL28 CL54:CL61 CL11:CL13 CL30 CL38:CL52">
    <cfRule type="colorScale" priority="94">
      <colorScale>
        <cfvo type="num" val="0.69"/>
        <cfvo type="num" val="0.8"/>
        <cfvo type="num" val="0.9"/>
        <color rgb="FFF8696B"/>
        <color rgb="FFFFEB84"/>
        <color rgb="FF63BE7B"/>
      </colorScale>
    </cfRule>
  </conditionalFormatting>
  <conditionalFormatting sqref="AU14:AU25 AU29:AU31 AU35:AU37">
    <cfRule type="colorScale" priority="93">
      <colorScale>
        <cfvo type="num" val="0.69"/>
        <cfvo type="num" val="0.8"/>
        <cfvo type="num" val="0.9"/>
        <color rgb="FFF8696B"/>
        <color rgb="FFFFEB84"/>
        <color rgb="FF63BE7B"/>
      </colorScale>
    </cfRule>
  </conditionalFormatting>
  <conditionalFormatting sqref="BA14:BA16 BA8 BA23:BA25 BA29:BA31 BA35:BA37 BA63 BA73:BA74 BA76">
    <cfRule type="colorScale" priority="92">
      <colorScale>
        <cfvo type="num" val="0.69"/>
        <cfvo type="num" val="0.8"/>
        <cfvo type="num" val="0.9"/>
        <color rgb="FFF8696B"/>
        <color rgb="FFFFEB84"/>
        <color rgb="FF63BE7B"/>
      </colorScale>
    </cfRule>
  </conditionalFormatting>
  <conditionalFormatting sqref="BA20:BA22">
    <cfRule type="colorScale" priority="91">
      <colorScale>
        <cfvo type="num" val="0.69"/>
        <cfvo type="num" val="0.8"/>
        <cfvo type="num" val="0.9"/>
        <color rgb="FFF8696B"/>
        <color rgb="FFFFEB84"/>
        <color rgb="FF63BE7B"/>
      </colorScale>
    </cfRule>
  </conditionalFormatting>
  <conditionalFormatting sqref="BG76">
    <cfRule type="colorScale" priority="90">
      <colorScale>
        <cfvo type="num" val="0.69"/>
        <cfvo type="num" val="0.8"/>
        <cfvo type="num" val="0.9"/>
        <color rgb="FFF8696B"/>
        <color rgb="FFFFEB84"/>
        <color rgb="FF63BE7B"/>
      </colorScale>
    </cfRule>
  </conditionalFormatting>
  <conditionalFormatting sqref="BN14:BN16 BN20:BN22 BN29:BN31 BN42:BN52 BN76">
    <cfRule type="colorScale" priority="89">
      <colorScale>
        <cfvo type="num" val="0.69"/>
        <cfvo type="num" val="0.8"/>
        <cfvo type="num" val="0.9"/>
        <color rgb="FFF8696B"/>
        <color rgb="FFFFEB84"/>
        <color rgb="FF63BE7B"/>
      </colorScale>
    </cfRule>
  </conditionalFormatting>
  <conditionalFormatting sqref="BT14:BT16 BT12">
    <cfRule type="colorScale" priority="88">
      <colorScale>
        <cfvo type="num" val="0.69"/>
        <cfvo type="num" val="0.8"/>
        <cfvo type="num" val="0.9"/>
        <color rgb="FFF8696B"/>
        <color rgb="FFFFEB84"/>
        <color rgb="FF63BE7B"/>
      </colorScale>
    </cfRule>
  </conditionalFormatting>
  <conditionalFormatting sqref="BN35">
    <cfRule type="colorScale" priority="87">
      <colorScale>
        <cfvo type="num" val="0.69"/>
        <cfvo type="num" val="0.8"/>
        <cfvo type="num" val="0.9"/>
        <color rgb="FFF8696B"/>
        <color rgb="FFFFEB84"/>
        <color rgb="FF63BE7B"/>
      </colorScale>
    </cfRule>
  </conditionalFormatting>
  <conditionalFormatting sqref="BN35:BN37">
    <cfRule type="colorScale" priority="86">
      <colorScale>
        <cfvo type="num" val="0.69"/>
        <cfvo type="num" val="0.8"/>
        <cfvo type="num" val="0.9"/>
        <color rgb="FFF8696B"/>
        <color rgb="FFFFEB84"/>
        <color rgb="FF63BE7B"/>
      </colorScale>
    </cfRule>
  </conditionalFormatting>
  <conditionalFormatting sqref="BN73:BN74">
    <cfRule type="colorScale" priority="85">
      <colorScale>
        <cfvo type="num" val="0.69"/>
        <cfvo type="num" val="0.8"/>
        <cfvo type="num" val="0.9"/>
        <color rgb="FFF8696B"/>
        <color rgb="FFFFEB84"/>
        <color rgb="FF63BE7B"/>
      </colorScale>
    </cfRule>
  </conditionalFormatting>
  <conditionalFormatting sqref="BN41">
    <cfRule type="colorScale" priority="84">
      <colorScale>
        <cfvo type="num" val="0.69"/>
        <cfvo type="num" val="0.8"/>
        <cfvo type="num" val="0.9"/>
        <color rgb="FFF8696B"/>
        <color rgb="FFFFEB84"/>
        <color rgb="FF63BE7B"/>
      </colorScale>
    </cfRule>
  </conditionalFormatting>
  <conditionalFormatting sqref="BN41">
    <cfRule type="colorScale" priority="83">
      <colorScale>
        <cfvo type="num" val="0.69"/>
        <cfvo type="num" val="0.8"/>
        <cfvo type="num" val="0.9"/>
        <color rgb="FFF8696B"/>
        <color rgb="FFFFEB84"/>
        <color rgb="FF63BE7B"/>
      </colorScale>
    </cfRule>
  </conditionalFormatting>
  <conditionalFormatting sqref="BN53">
    <cfRule type="colorScale" priority="82">
      <colorScale>
        <cfvo type="num" val="0.69"/>
        <cfvo type="num" val="0.8"/>
        <cfvo type="num" val="0.9"/>
        <color rgb="FFF8696B"/>
        <color rgb="FFFFEB84"/>
        <color rgb="FF63BE7B"/>
      </colorScale>
    </cfRule>
  </conditionalFormatting>
  <conditionalFormatting sqref="BN53">
    <cfRule type="colorScale" priority="81">
      <colorScale>
        <cfvo type="num" val="0.69"/>
        <cfvo type="num" val="0.8"/>
        <cfvo type="num" val="0.9"/>
        <color rgb="FFF8696B"/>
        <color rgb="FFFFEB84"/>
        <color rgb="FF63BE7B"/>
      </colorScale>
    </cfRule>
  </conditionalFormatting>
  <conditionalFormatting sqref="BT47">
    <cfRule type="colorScale" priority="80">
      <colorScale>
        <cfvo type="num" val="0.69"/>
        <cfvo type="num" val="0.8"/>
        <cfvo type="num" val="0.9"/>
        <color rgb="FFF8696B"/>
        <color rgb="FFFFEB84"/>
        <color rgb="FF63BE7B"/>
      </colorScale>
    </cfRule>
  </conditionalFormatting>
  <conditionalFormatting sqref="BT13">
    <cfRule type="colorScale" priority="79">
      <colorScale>
        <cfvo type="num" val="0.69"/>
        <cfvo type="num" val="0.8"/>
        <cfvo type="num" val="0.9"/>
        <color rgb="FFF8696B"/>
        <color rgb="FFFFEB84"/>
        <color rgb="FF63BE7B"/>
      </colorScale>
    </cfRule>
  </conditionalFormatting>
  <conditionalFormatting sqref="BT11">
    <cfRule type="colorScale" priority="78">
      <colorScale>
        <cfvo type="num" val="0.69"/>
        <cfvo type="num" val="0.8"/>
        <cfvo type="num" val="0.9"/>
        <color rgb="FFF8696B"/>
        <color rgb="FFFFEB84"/>
        <color rgb="FF63BE7B"/>
      </colorScale>
    </cfRule>
  </conditionalFormatting>
  <conditionalFormatting sqref="BT17:BT19">
    <cfRule type="colorScale" priority="77">
      <colorScale>
        <cfvo type="num" val="0.69"/>
        <cfvo type="num" val="0.8"/>
        <cfvo type="num" val="0.9"/>
        <color rgb="FFF8696B"/>
        <color rgb="FFFFEB84"/>
        <color rgb="FF63BE7B"/>
      </colorScale>
    </cfRule>
  </conditionalFormatting>
  <conditionalFormatting sqref="BT37">
    <cfRule type="colorScale" priority="76">
      <colorScale>
        <cfvo type="num" val="0.69"/>
        <cfvo type="num" val="0.8"/>
        <cfvo type="num" val="0.9"/>
        <color rgb="FFF8696B"/>
        <color rgb="FFFFEB84"/>
        <color rgb="FF63BE7B"/>
      </colorScale>
    </cfRule>
  </conditionalFormatting>
  <conditionalFormatting sqref="BT36">
    <cfRule type="colorScale" priority="75">
      <colorScale>
        <cfvo type="num" val="0.69"/>
        <cfvo type="num" val="0.8"/>
        <cfvo type="num" val="0.9"/>
        <color rgb="FFF8696B"/>
        <color rgb="FFFFEB84"/>
        <color rgb="FF63BE7B"/>
      </colorScale>
    </cfRule>
  </conditionalFormatting>
  <conditionalFormatting sqref="BT26:BT28">
    <cfRule type="colorScale" priority="74">
      <colorScale>
        <cfvo type="num" val="0.69"/>
        <cfvo type="num" val="0.8"/>
        <cfvo type="num" val="0.9"/>
        <color rgb="FFF8696B"/>
        <color rgb="FFFFEB84"/>
        <color rgb="FF63BE7B"/>
      </colorScale>
    </cfRule>
  </conditionalFormatting>
  <conditionalFormatting sqref="BT32:BT34">
    <cfRule type="colorScale" priority="73">
      <colorScale>
        <cfvo type="num" val="0.69"/>
        <cfvo type="num" val="0.8"/>
        <cfvo type="num" val="0.9"/>
        <color rgb="FFF8696B"/>
        <color rgb="FFFFEB84"/>
        <color rgb="FF63BE7B"/>
      </colorScale>
    </cfRule>
  </conditionalFormatting>
  <conditionalFormatting sqref="BT75:BT76">
    <cfRule type="colorScale" priority="72">
      <colorScale>
        <cfvo type="num" val="0.69"/>
        <cfvo type="num" val="0.8"/>
        <cfvo type="num" val="0.9"/>
        <color rgb="FFF8696B"/>
        <color rgb="FFFFEB84"/>
        <color rgb="FF63BE7B"/>
      </colorScale>
    </cfRule>
  </conditionalFormatting>
  <conditionalFormatting sqref="BT75:BT76">
    <cfRule type="colorScale" priority="71">
      <colorScale>
        <cfvo type="num" val="0.69"/>
        <cfvo type="num" val="0.8"/>
        <cfvo type="num" val="0.9"/>
        <color rgb="FFF8696B"/>
        <color rgb="FFFFEB84"/>
        <color rgb="FF63BE7B"/>
      </colorScale>
    </cfRule>
  </conditionalFormatting>
  <conditionalFormatting sqref="BZ20:BZ22 BZ32:BZ34 BZ71 BZ73:BZ77 BZ38:BZ46 BZ50:BZ53">
    <cfRule type="colorScale" priority="70">
      <colorScale>
        <cfvo type="num" val="0.69"/>
        <cfvo type="num" val="0.8"/>
        <cfvo type="num" val="0.9"/>
        <color rgb="FFF8696B"/>
        <color rgb="FFFFEB84"/>
        <color rgb="FF63BE7B"/>
      </colorScale>
    </cfRule>
  </conditionalFormatting>
  <conditionalFormatting sqref="BZ17:BZ19">
    <cfRule type="colorScale" priority="69">
      <colorScale>
        <cfvo type="num" val="0.69"/>
        <cfvo type="num" val="0.8"/>
        <cfvo type="num" val="0.9"/>
        <color rgb="FFF8696B"/>
        <color rgb="FFFFEB84"/>
        <color rgb="FF63BE7B"/>
      </colorScale>
    </cfRule>
  </conditionalFormatting>
  <conditionalFormatting sqref="BZ26:BZ28">
    <cfRule type="colorScale" priority="68">
      <colorScale>
        <cfvo type="num" val="0.69"/>
        <cfvo type="num" val="0.8"/>
        <cfvo type="num" val="0.9"/>
        <color rgb="FFF8696B"/>
        <color rgb="FFFFEB84"/>
        <color rgb="FF63BE7B"/>
      </colorScale>
    </cfRule>
  </conditionalFormatting>
  <conditionalFormatting sqref="BZ29">
    <cfRule type="colorScale" priority="67">
      <colorScale>
        <cfvo type="num" val="0.69"/>
        <cfvo type="num" val="0.8"/>
        <cfvo type="num" val="0.9"/>
        <color rgb="FFF8696B"/>
        <color rgb="FFFFEB84"/>
        <color rgb="FF63BE7B"/>
      </colorScale>
    </cfRule>
  </conditionalFormatting>
  <conditionalFormatting sqref="BZ31">
    <cfRule type="colorScale" priority="66">
      <colorScale>
        <cfvo type="num" val="0.69"/>
        <cfvo type="num" val="0.8"/>
        <cfvo type="num" val="0.9"/>
        <color rgb="FFF8696B"/>
        <color rgb="FFFFEB84"/>
        <color rgb="FF63BE7B"/>
      </colorScale>
    </cfRule>
  </conditionalFormatting>
  <conditionalFormatting sqref="BZ47">
    <cfRule type="colorScale" priority="65">
      <colorScale>
        <cfvo type="num" val="0.69"/>
        <cfvo type="num" val="0.8"/>
        <cfvo type="num" val="0.9"/>
        <color rgb="FFF8696B"/>
        <color rgb="FFFFEB84"/>
        <color rgb="FF63BE7B"/>
      </colorScale>
    </cfRule>
  </conditionalFormatting>
  <conditionalFormatting sqref="CF66">
    <cfRule type="colorScale" priority="63">
      <colorScale>
        <cfvo type="num" val="0.69"/>
        <cfvo type="num" val="0.8"/>
        <cfvo type="num" val="0.9"/>
        <color rgb="FFF8696B"/>
        <color rgb="FFFFEB84"/>
        <color rgb="FF63BE7B"/>
      </colorScale>
    </cfRule>
  </conditionalFormatting>
  <conditionalFormatting sqref="CF62">
    <cfRule type="colorScale" priority="64">
      <colorScale>
        <cfvo type="num" val="0.69"/>
        <cfvo type="num" val="0.8"/>
        <cfvo type="num" val="0.9"/>
        <color rgb="FFF8696B"/>
        <color rgb="FFFFEB84"/>
        <color rgb="FF63BE7B"/>
      </colorScale>
    </cfRule>
  </conditionalFormatting>
  <conditionalFormatting sqref="CF26">
    <cfRule type="colorScale" priority="62">
      <colorScale>
        <cfvo type="num" val="0.69"/>
        <cfvo type="num" val="0.8"/>
        <cfvo type="num" val="0.9"/>
        <color rgb="FFF8696B"/>
        <color rgb="FFFFEB84"/>
        <color rgb="FF63BE7B"/>
      </colorScale>
    </cfRule>
  </conditionalFormatting>
  <conditionalFormatting sqref="CF29">
    <cfRule type="colorScale" priority="61">
      <colorScale>
        <cfvo type="num" val="0.69"/>
        <cfvo type="num" val="0.8"/>
        <cfvo type="num" val="0.9"/>
        <color rgb="FFF8696B"/>
        <color rgb="FFFFEB84"/>
        <color rgb="FF63BE7B"/>
      </colorScale>
    </cfRule>
  </conditionalFormatting>
  <conditionalFormatting sqref="CF38">
    <cfRule type="colorScale" priority="60">
      <colorScale>
        <cfvo type="num" val="0.69"/>
        <cfvo type="num" val="0.8"/>
        <cfvo type="num" val="0.9"/>
        <color rgb="FFF8696B"/>
        <color rgb="FFFFEB84"/>
        <color rgb="FF63BE7B"/>
      </colorScale>
    </cfRule>
  </conditionalFormatting>
  <conditionalFormatting sqref="BA75">
    <cfRule type="colorScale" priority="59">
      <colorScale>
        <cfvo type="num" val="0.69"/>
        <cfvo type="num" val="0.8"/>
        <cfvo type="num" val="0.9"/>
        <color rgb="FFF8696B"/>
        <color rgb="FFFFEB84"/>
        <color rgb="FF63BE7B"/>
      </colorScale>
    </cfRule>
  </conditionalFormatting>
  <conditionalFormatting sqref="BN75">
    <cfRule type="colorScale" priority="58">
      <colorScale>
        <cfvo type="num" val="0.69"/>
        <cfvo type="num" val="0.8"/>
        <cfvo type="num" val="0.9"/>
        <color rgb="FFF8696B"/>
        <color rgb="FFFFEB84"/>
        <color rgb="FF63BE7B"/>
      </colorScale>
    </cfRule>
  </conditionalFormatting>
  <conditionalFormatting sqref="BN75">
    <cfRule type="colorScale" priority="57">
      <colorScale>
        <cfvo type="num" val="0.69"/>
        <cfvo type="num" val="0.8"/>
        <cfvo type="num" val="0.9"/>
        <color rgb="FFF8696B"/>
        <color rgb="FFFFEB84"/>
        <color rgb="FF63BE7B"/>
      </colorScale>
    </cfRule>
  </conditionalFormatting>
  <conditionalFormatting sqref="CL62">
    <cfRule type="colorScale" priority="56">
      <colorScale>
        <cfvo type="num" val="0.69"/>
        <cfvo type="num" val="0.8"/>
        <cfvo type="num" val="0.9"/>
        <color rgb="FFF8696B"/>
        <color rgb="FFFFEB84"/>
        <color rgb="FF63BE7B"/>
      </colorScale>
    </cfRule>
  </conditionalFormatting>
  <conditionalFormatting sqref="CL63">
    <cfRule type="colorScale" priority="55">
      <colorScale>
        <cfvo type="num" val="0.69"/>
        <cfvo type="num" val="0.8"/>
        <cfvo type="num" val="0.9"/>
        <color rgb="FFF8696B"/>
        <color rgb="FFFFEB84"/>
        <color rgb="FF63BE7B"/>
      </colorScale>
    </cfRule>
  </conditionalFormatting>
  <conditionalFormatting sqref="CL64">
    <cfRule type="colorScale" priority="54">
      <colorScale>
        <cfvo type="num" val="0.69"/>
        <cfvo type="num" val="0.8"/>
        <cfvo type="num" val="0.9"/>
        <color rgb="FFF8696B"/>
        <color rgb="FFFFEB84"/>
        <color rgb="FF63BE7B"/>
      </colorScale>
    </cfRule>
  </conditionalFormatting>
  <conditionalFormatting sqref="CL65">
    <cfRule type="colorScale" priority="53">
      <colorScale>
        <cfvo type="num" val="0.69"/>
        <cfvo type="num" val="0.8"/>
        <cfvo type="num" val="0.9"/>
        <color rgb="FFF8696B"/>
        <color rgb="FFFFEB84"/>
        <color rgb="FF63BE7B"/>
      </colorScale>
    </cfRule>
  </conditionalFormatting>
  <conditionalFormatting sqref="CL66">
    <cfRule type="colorScale" priority="52">
      <colorScale>
        <cfvo type="num" val="0.69"/>
        <cfvo type="num" val="0.8"/>
        <cfvo type="num" val="0.9"/>
        <color rgb="FFF8696B"/>
        <color rgb="FFFFEB84"/>
        <color rgb="FF63BE7B"/>
      </colorScale>
    </cfRule>
  </conditionalFormatting>
  <conditionalFormatting sqref="CL70">
    <cfRule type="colorScale" priority="51">
      <colorScale>
        <cfvo type="num" val="0.69"/>
        <cfvo type="num" val="0.8"/>
        <cfvo type="num" val="0.9"/>
        <color rgb="FFF8696B"/>
        <color rgb="FFFFEB84"/>
        <color rgb="FF63BE7B"/>
      </colorScale>
    </cfRule>
  </conditionalFormatting>
  <conditionalFormatting sqref="CL71">
    <cfRule type="colorScale" priority="50">
      <colorScale>
        <cfvo type="num" val="0.69"/>
        <cfvo type="num" val="0.8"/>
        <cfvo type="num" val="0.9"/>
        <color rgb="FFF8696B"/>
        <color rgb="FFFFEB84"/>
        <color rgb="FF63BE7B"/>
      </colorScale>
    </cfRule>
  </conditionalFormatting>
  <conditionalFormatting sqref="CL72">
    <cfRule type="colorScale" priority="49">
      <colorScale>
        <cfvo type="num" val="0.69"/>
        <cfvo type="num" val="0.8"/>
        <cfvo type="num" val="0.9"/>
        <color rgb="FFF8696B"/>
        <color rgb="FFFFEB84"/>
        <color rgb="FF63BE7B"/>
      </colorScale>
    </cfRule>
  </conditionalFormatting>
  <conditionalFormatting sqref="CL77">
    <cfRule type="colorScale" priority="48">
      <colorScale>
        <cfvo type="num" val="0.69"/>
        <cfvo type="num" val="0.8"/>
        <cfvo type="num" val="0.9"/>
        <color rgb="FFF8696B"/>
        <color rgb="FFFFEB84"/>
        <color rgb="FF63BE7B"/>
      </colorScale>
    </cfRule>
  </conditionalFormatting>
  <conditionalFormatting sqref="CL73:CL74">
    <cfRule type="colorScale" priority="47">
      <colorScale>
        <cfvo type="num" val="0.69"/>
        <cfvo type="num" val="0.8"/>
        <cfvo type="num" val="0.9"/>
        <color rgb="FFF8696B"/>
        <color rgb="FFFFEB84"/>
        <color rgb="FF63BE7B"/>
      </colorScale>
    </cfRule>
  </conditionalFormatting>
  <conditionalFormatting sqref="CL8">
    <cfRule type="colorScale" priority="46">
      <colorScale>
        <cfvo type="num" val="0.69"/>
        <cfvo type="num" val="0.8"/>
        <cfvo type="num" val="0.9"/>
        <color rgb="FFF8696B"/>
        <color rgb="FFFFEB84"/>
        <color rgb="FF63BE7B"/>
      </colorScale>
    </cfRule>
  </conditionalFormatting>
  <conditionalFormatting sqref="CL10">
    <cfRule type="colorScale" priority="45">
      <colorScale>
        <cfvo type="num" val="0.69"/>
        <cfvo type="num" val="0.8"/>
        <cfvo type="num" val="0.9"/>
        <color rgb="FFF8696B"/>
        <color rgb="FFFFEB84"/>
        <color rgb="FF63BE7B"/>
      </colorScale>
    </cfRule>
  </conditionalFormatting>
  <conditionalFormatting sqref="CL14:CL16">
    <cfRule type="colorScale" priority="44">
      <colorScale>
        <cfvo type="num" val="0.69"/>
        <cfvo type="num" val="0.8"/>
        <cfvo type="num" val="0.9"/>
        <color rgb="FFF8696B"/>
        <color rgb="FFFFEB84"/>
        <color rgb="FF63BE7B"/>
      </colorScale>
    </cfRule>
  </conditionalFormatting>
  <conditionalFormatting sqref="CL23:CL25">
    <cfRule type="colorScale" priority="43">
      <colorScale>
        <cfvo type="num" val="0.69"/>
        <cfvo type="num" val="0.8"/>
        <cfvo type="num" val="0.9"/>
        <color rgb="FFF8696B"/>
        <color rgb="FFFFEB84"/>
        <color rgb="FF63BE7B"/>
      </colorScale>
    </cfRule>
  </conditionalFormatting>
  <conditionalFormatting sqref="CL29">
    <cfRule type="colorScale" priority="42">
      <colorScale>
        <cfvo type="num" val="0.69"/>
        <cfvo type="num" val="0.8"/>
        <cfvo type="num" val="0.9"/>
        <color rgb="FFF8696B"/>
        <color rgb="FFFFEB84"/>
        <color rgb="FF63BE7B"/>
      </colorScale>
    </cfRule>
  </conditionalFormatting>
  <conditionalFormatting sqref="CL31">
    <cfRule type="colorScale" priority="41">
      <colorScale>
        <cfvo type="num" val="0.69"/>
        <cfvo type="num" val="0.8"/>
        <cfvo type="num" val="0.9"/>
        <color rgb="FFF8696B"/>
        <color rgb="FFFFEB84"/>
        <color rgb="FF63BE7B"/>
      </colorScale>
    </cfRule>
  </conditionalFormatting>
  <conditionalFormatting sqref="CL32:CL37">
    <cfRule type="colorScale" priority="40">
      <colorScale>
        <cfvo type="num" val="0.69"/>
        <cfvo type="num" val="0.8"/>
        <cfvo type="num" val="0.9"/>
        <color rgb="FFF8696B"/>
        <color rgb="FFFFEB84"/>
        <color rgb="FF63BE7B"/>
      </colorScale>
    </cfRule>
  </conditionalFormatting>
  <conditionalFormatting sqref="CR11:CR13 CR30 CR36 CR23:CR25 CR41:CR43 CR48:CR49 CR51:CR52 CR54:CR55 CR45:CR46 CR57:CR58 CR60:CR61 CR67:CR72 CR76:CR77">
    <cfRule type="colorScale" priority="39">
      <colorScale>
        <cfvo type="num" val="0.69"/>
        <cfvo type="num" val="0.8"/>
        <cfvo type="num" val="0.9"/>
        <color rgb="FFF8696B"/>
        <color rgb="FFFFEB84"/>
        <color rgb="FF63BE7B"/>
      </colorScale>
    </cfRule>
  </conditionalFormatting>
  <conditionalFormatting sqref="CR32:CR34">
    <cfRule type="colorScale" priority="38">
      <colorScale>
        <cfvo type="num" val="0.69"/>
        <cfvo type="num" val="0.8"/>
        <cfvo type="num" val="0.9"/>
        <color rgb="FFF8696B"/>
        <color rgb="FFFFEB84"/>
        <color rgb="FF63BE7B"/>
      </colorScale>
    </cfRule>
  </conditionalFormatting>
  <conditionalFormatting sqref="CR44">
    <cfRule type="colorScale" priority="37">
      <colorScale>
        <cfvo type="num" val="0.69"/>
        <cfvo type="num" val="0.8"/>
        <cfvo type="num" val="0.9"/>
        <color rgb="FFF8696B"/>
        <color rgb="FFFFEB84"/>
        <color rgb="FF63BE7B"/>
      </colorScale>
    </cfRule>
  </conditionalFormatting>
  <conditionalFormatting sqref="CR56">
    <cfRule type="colorScale" priority="36">
      <colorScale>
        <cfvo type="num" val="0.69"/>
        <cfvo type="num" val="0.8"/>
        <cfvo type="num" val="0.9"/>
        <color rgb="FFF8696B"/>
        <color rgb="FFFFEB84"/>
        <color rgb="FF63BE7B"/>
      </colorScale>
    </cfRule>
  </conditionalFormatting>
  <conditionalFormatting sqref="CR38:CR40">
    <cfRule type="colorScale" priority="35">
      <colorScale>
        <cfvo type="num" val="0.69"/>
        <cfvo type="num" val="0.8"/>
        <cfvo type="num" val="0.9"/>
        <color rgb="FFF8696B"/>
        <color rgb="FFFFEB84"/>
        <color rgb="FF63BE7B"/>
      </colorScale>
    </cfRule>
  </conditionalFormatting>
  <conditionalFormatting sqref="CR50">
    <cfRule type="colorScale" priority="34">
      <colorScale>
        <cfvo type="num" val="0.69"/>
        <cfvo type="num" val="0.8"/>
        <cfvo type="num" val="0.9"/>
        <color rgb="FFF8696B"/>
        <color rgb="FFFFEB84"/>
        <color rgb="FF63BE7B"/>
      </colorScale>
    </cfRule>
  </conditionalFormatting>
  <conditionalFormatting sqref="CR53">
    <cfRule type="colorScale" priority="33">
      <colorScale>
        <cfvo type="num" val="0.69"/>
        <cfvo type="num" val="0.8"/>
        <cfvo type="num" val="0.9"/>
        <color rgb="FFF8696B"/>
        <color rgb="FFFFEB84"/>
        <color rgb="FF63BE7B"/>
      </colorScale>
    </cfRule>
  </conditionalFormatting>
  <conditionalFormatting sqref="CX8">
    <cfRule type="colorScale" priority="32">
      <colorScale>
        <cfvo type="num" val="0.69"/>
        <cfvo type="num" val="0.8"/>
        <cfvo type="num" val="0.9"/>
        <color rgb="FFF8696B"/>
        <color rgb="FFFFEB84"/>
        <color rgb="FF63BE7B"/>
      </colorScale>
    </cfRule>
  </conditionalFormatting>
  <conditionalFormatting sqref="CX10">
    <cfRule type="colorScale" priority="31">
      <colorScale>
        <cfvo type="num" val="0.69"/>
        <cfvo type="num" val="0.8"/>
        <cfvo type="num" val="0.9"/>
        <color rgb="FFF8696B"/>
        <color rgb="FFFFEB84"/>
        <color rgb="FF63BE7B"/>
      </colorScale>
    </cfRule>
  </conditionalFormatting>
  <conditionalFormatting sqref="CX11">
    <cfRule type="colorScale" priority="30">
      <colorScale>
        <cfvo type="num" val="0.69"/>
        <cfvo type="num" val="0.8"/>
        <cfvo type="num" val="0.9"/>
        <color rgb="FFF8696B"/>
        <color rgb="FFFFEB84"/>
        <color rgb="FF63BE7B"/>
      </colorScale>
    </cfRule>
  </conditionalFormatting>
  <conditionalFormatting sqref="CX13">
    <cfRule type="colorScale" priority="29">
      <colorScale>
        <cfvo type="num" val="0.69"/>
        <cfvo type="num" val="0.8"/>
        <cfvo type="num" val="0.9"/>
        <color rgb="FFF8696B"/>
        <color rgb="FFFFEB84"/>
        <color rgb="FF63BE7B"/>
      </colorScale>
    </cfRule>
  </conditionalFormatting>
  <conditionalFormatting sqref="CX18">
    <cfRule type="colorScale" priority="28">
      <colorScale>
        <cfvo type="num" val="0.69"/>
        <cfvo type="num" val="0.8"/>
        <cfvo type="num" val="0.9"/>
        <color rgb="FFF8696B"/>
        <color rgb="FFFFEB84"/>
        <color rgb="FF63BE7B"/>
      </colorScale>
    </cfRule>
  </conditionalFormatting>
  <conditionalFormatting sqref="CX19">
    <cfRule type="colorScale" priority="27">
      <colorScale>
        <cfvo type="num" val="0.69"/>
        <cfvo type="num" val="0.8"/>
        <cfvo type="num" val="0.9"/>
        <color rgb="FFF8696B"/>
        <color rgb="FFFFEB84"/>
        <color rgb="FF63BE7B"/>
      </colorScale>
    </cfRule>
  </conditionalFormatting>
  <conditionalFormatting sqref="CX17">
    <cfRule type="colorScale" priority="26">
      <colorScale>
        <cfvo type="num" val="0.69"/>
        <cfvo type="num" val="0.8"/>
        <cfvo type="num" val="0.9"/>
        <color rgb="FFF8696B"/>
        <color rgb="FFFFEB84"/>
        <color rgb="FF63BE7B"/>
      </colorScale>
    </cfRule>
  </conditionalFormatting>
  <conditionalFormatting sqref="CX21">
    <cfRule type="colorScale" priority="25">
      <colorScale>
        <cfvo type="num" val="0.69"/>
        <cfvo type="num" val="0.8"/>
        <cfvo type="num" val="0.9"/>
        <color rgb="FFF8696B"/>
        <color rgb="FFFFEB84"/>
        <color rgb="FF63BE7B"/>
      </colorScale>
    </cfRule>
  </conditionalFormatting>
  <conditionalFormatting sqref="CX22">
    <cfRule type="colorScale" priority="24">
      <colorScale>
        <cfvo type="num" val="0.69"/>
        <cfvo type="num" val="0.8"/>
        <cfvo type="num" val="0.9"/>
        <color rgb="FFF8696B"/>
        <color rgb="FFFFEB84"/>
        <color rgb="FF63BE7B"/>
      </colorScale>
    </cfRule>
  </conditionalFormatting>
  <conditionalFormatting sqref="CX23:CX25">
    <cfRule type="colorScale" priority="23">
      <colorScale>
        <cfvo type="num" val="0.69"/>
        <cfvo type="num" val="0.8"/>
        <cfvo type="num" val="0.9"/>
        <color rgb="FFF8696B"/>
        <color rgb="FFFFEB84"/>
        <color rgb="FF63BE7B"/>
      </colorScale>
    </cfRule>
  </conditionalFormatting>
  <conditionalFormatting sqref="CX71:CX77">
    <cfRule type="colorScale" priority="16">
      <colorScale>
        <cfvo type="num" val="0.69"/>
        <cfvo type="num" val="0.8"/>
        <cfvo type="num" val="0.9"/>
        <color rgb="FFF8696B"/>
        <color rgb="FFFFEB84"/>
        <color rgb="FF63BE7B"/>
      </colorScale>
    </cfRule>
  </conditionalFormatting>
  <conditionalFormatting sqref="CX29">
    <cfRule type="colorScale" priority="22">
      <colorScale>
        <cfvo type="num" val="0.69"/>
        <cfvo type="num" val="0.8"/>
        <cfvo type="num" val="0.9"/>
        <color rgb="FFF8696B"/>
        <color rgb="FFFFEB84"/>
        <color rgb="FF63BE7B"/>
      </colorScale>
    </cfRule>
  </conditionalFormatting>
  <conditionalFormatting sqref="CX31">
    <cfRule type="colorScale" priority="21">
      <colorScale>
        <cfvo type="num" val="0.69"/>
        <cfvo type="num" val="0.8"/>
        <cfvo type="num" val="0.9"/>
        <color rgb="FFF8696B"/>
        <color rgb="FFFFEB84"/>
        <color rgb="FF63BE7B"/>
      </colorScale>
    </cfRule>
  </conditionalFormatting>
  <conditionalFormatting sqref="CX35">
    <cfRule type="colorScale" priority="20">
      <colorScale>
        <cfvo type="num" val="0.69"/>
        <cfvo type="num" val="0.8"/>
        <cfvo type="num" val="0.9"/>
        <color rgb="FFF8696B"/>
        <color rgb="FFFFEB84"/>
        <color rgb="FF63BE7B"/>
      </colorScale>
    </cfRule>
  </conditionalFormatting>
  <conditionalFormatting sqref="CX37">
    <cfRule type="colorScale" priority="19">
      <colorScale>
        <cfvo type="num" val="0.69"/>
        <cfvo type="num" val="0.8"/>
        <cfvo type="num" val="0.9"/>
        <color rgb="FFF8696B"/>
        <color rgb="FFFFEB84"/>
        <color rgb="FF63BE7B"/>
      </colorScale>
    </cfRule>
  </conditionalFormatting>
  <conditionalFormatting sqref="CX41:CX65">
    <cfRule type="colorScale" priority="18">
      <colorScale>
        <cfvo type="num" val="0.69"/>
        <cfvo type="num" val="0.8"/>
        <cfvo type="num" val="0.9"/>
        <color rgb="FFF8696B"/>
        <color rgb="FFFFEB84"/>
        <color rgb="FF63BE7B"/>
      </colorScale>
    </cfRule>
  </conditionalFormatting>
  <conditionalFormatting sqref="CX70">
    <cfRule type="colorScale" priority="17">
      <colorScale>
        <cfvo type="num" val="0.69"/>
        <cfvo type="num" val="0.8"/>
        <cfvo type="num" val="0.9"/>
        <color rgb="FFF8696B"/>
        <color rgb="FFFFEB84"/>
        <color rgb="FF63BE7B"/>
      </colorScale>
    </cfRule>
  </conditionalFormatting>
  <conditionalFormatting sqref="CR20:CR22">
    <cfRule type="colorScale" priority="13">
      <colorScale>
        <cfvo type="num" val="0.69"/>
        <cfvo type="num" val="0.8"/>
        <cfvo type="num" val="0.9"/>
        <color rgb="FFF8696B"/>
        <color rgb="FFFFEB84"/>
        <color rgb="FF63BE7B"/>
      </colorScale>
    </cfRule>
  </conditionalFormatting>
  <conditionalFormatting sqref="CX14">
    <cfRule type="colorScale" priority="15">
      <colorScale>
        <cfvo type="num" val="0.69"/>
        <cfvo type="num" val="0.8"/>
        <cfvo type="num" val="0.9"/>
        <color rgb="FFF8696B"/>
        <color rgb="FFFFEB84"/>
        <color rgb="FF63BE7B"/>
      </colorScale>
    </cfRule>
  </conditionalFormatting>
  <conditionalFormatting sqref="CX16">
    <cfRule type="colorScale" priority="14">
      <colorScale>
        <cfvo type="num" val="0.69"/>
        <cfvo type="num" val="0.8"/>
        <cfvo type="num" val="0.9"/>
        <color rgb="FFF8696B"/>
        <color rgb="FFFFEB84"/>
        <color rgb="FF63BE7B"/>
      </colorScale>
    </cfRule>
  </conditionalFormatting>
  <conditionalFormatting sqref="CX40">
    <cfRule type="colorScale" priority="7">
      <colorScale>
        <cfvo type="num" val="0.69"/>
        <cfvo type="num" val="0.8"/>
        <cfvo type="num" val="0.9"/>
        <color rgb="FFF8696B"/>
        <color rgb="FFFFEB84"/>
        <color rgb="FF63BE7B"/>
      </colorScale>
    </cfRule>
  </conditionalFormatting>
  <conditionalFormatting sqref="CX20">
    <cfRule type="colorScale" priority="12">
      <colorScale>
        <cfvo type="num" val="0.69"/>
        <cfvo type="num" val="0.8"/>
        <cfvo type="num" val="0.9"/>
        <color rgb="FFF8696B"/>
        <color rgb="FFFFEB84"/>
        <color rgb="FF63BE7B"/>
      </colorScale>
    </cfRule>
  </conditionalFormatting>
  <conditionalFormatting sqref="CX26">
    <cfRule type="colorScale" priority="11">
      <colorScale>
        <cfvo type="num" val="0.69"/>
        <cfvo type="num" val="0.8"/>
        <cfvo type="num" val="0.9"/>
        <color rgb="FFF8696B"/>
        <color rgb="FFFFEB84"/>
        <color rgb="FF63BE7B"/>
      </colorScale>
    </cfRule>
  </conditionalFormatting>
  <conditionalFormatting sqref="CX28">
    <cfRule type="colorScale" priority="10">
      <colorScale>
        <cfvo type="num" val="0.69"/>
        <cfvo type="num" val="0.8"/>
        <cfvo type="num" val="0.9"/>
        <color rgb="FFF8696B"/>
        <color rgb="FFFFEB84"/>
        <color rgb="FF63BE7B"/>
      </colorScale>
    </cfRule>
  </conditionalFormatting>
  <conditionalFormatting sqref="CX32">
    <cfRule type="colorScale" priority="9">
      <colorScale>
        <cfvo type="num" val="0.69"/>
        <cfvo type="num" val="0.8"/>
        <cfvo type="num" val="0.9"/>
        <color rgb="FFF8696B"/>
        <color rgb="FFFFEB84"/>
        <color rgb="FF63BE7B"/>
      </colorScale>
    </cfRule>
  </conditionalFormatting>
  <conditionalFormatting sqref="CX34">
    <cfRule type="colorScale" priority="8">
      <colorScale>
        <cfvo type="num" val="0.69"/>
        <cfvo type="num" val="0.8"/>
        <cfvo type="num" val="0.9"/>
        <color rgb="FFF8696B"/>
        <color rgb="FFFFEB84"/>
        <color rgb="FF63BE7B"/>
      </colorScale>
    </cfRule>
  </conditionalFormatting>
  <conditionalFormatting sqref="CX38">
    <cfRule type="colorScale" priority="6">
      <colorScale>
        <cfvo type="num" val="0.69"/>
        <cfvo type="num" val="0.8"/>
        <cfvo type="num" val="0.9"/>
        <color rgb="FFF8696B"/>
        <color rgb="FFFFEB84"/>
        <color rgb="FF63BE7B"/>
      </colorScale>
    </cfRule>
  </conditionalFormatting>
  <conditionalFormatting sqref="CR73">
    <cfRule type="colorScale" priority="5">
      <colorScale>
        <cfvo type="num" val="0.69"/>
        <cfvo type="num" val="0.8"/>
        <cfvo type="num" val="0.9"/>
        <color rgb="FFF8696B"/>
        <color rgb="FFFFEB84"/>
        <color rgb="FF63BE7B"/>
      </colorScale>
    </cfRule>
  </conditionalFormatting>
  <conditionalFormatting sqref="CR75">
    <cfRule type="colorScale" priority="4">
      <colorScale>
        <cfvo type="num" val="0.69"/>
        <cfvo type="num" val="0.8"/>
        <cfvo type="num" val="0.9"/>
        <color rgb="FFF8696B"/>
        <color rgb="FFFFEB84"/>
        <color rgb="FF63BE7B"/>
      </colorScale>
    </cfRule>
  </conditionalFormatting>
  <conditionalFormatting sqref="CR74">
    <cfRule type="colorScale" priority="3">
      <colorScale>
        <cfvo type="num" val="0.69"/>
        <cfvo type="num" val="0.8"/>
        <cfvo type="num" val="0.9"/>
        <color rgb="FFF8696B"/>
        <color rgb="FFFFEB84"/>
        <color rgb="FF63BE7B"/>
      </colorScale>
    </cfRule>
  </conditionalFormatting>
  <conditionalFormatting sqref="CR26:CR28">
    <cfRule type="colorScale" priority="2">
      <colorScale>
        <cfvo type="num" val="0.69"/>
        <cfvo type="num" val="0.8"/>
        <cfvo type="num" val="0.9"/>
        <color rgb="FFF8696B"/>
        <color rgb="FFFFEB84"/>
        <color rgb="FF63BE7B"/>
      </colorScale>
    </cfRule>
  </conditionalFormatting>
  <conditionalFormatting sqref="CX66">
    <cfRule type="colorScale" priority="1">
      <colorScale>
        <cfvo type="num" val="0.69"/>
        <cfvo type="num" val="0.8"/>
        <cfvo type="num" val="0.9"/>
        <color rgb="FFF8696B"/>
        <color rgb="FFFFEB84"/>
        <color rgb="FF63BE7B"/>
      </colorScale>
    </cfRule>
  </conditionalFormatting>
  <printOptions horizontalCentered="1"/>
  <pageMargins left="0.19685039370078741" right="0.19685039370078741" top="0.19685039370078741" bottom="0.19685039370078741" header="0.31496062992125984" footer="0.31496062992125984"/>
  <pageSetup paperSize="14" scale="60" orientation="landscape" r:id="rId1"/>
  <headerFooter alignWithMargins="0">
    <oddFooter>&amp;A&amp;RPágina &amp;P</oddFooter>
  </headerFooter>
  <rowBreaks count="2" manualBreakCount="2">
    <brk id="41" max="102" man="1"/>
    <brk id="68" max="102"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W33"/>
  <sheetViews>
    <sheetView showGridLines="0" topLeftCell="B1" zoomScale="70" zoomScaleNormal="70" zoomScaleSheetLayoutView="40" workbookViewId="0">
      <selection activeCell="G8" sqref="G8"/>
    </sheetView>
  </sheetViews>
  <sheetFormatPr baseColWidth="10" defaultRowHeight="14.25"/>
  <cols>
    <col min="1" max="1" width="5.5703125" style="419" hidden="1" customWidth="1"/>
    <col min="2" max="2" width="17.5703125" style="419" customWidth="1"/>
    <col min="3" max="3" width="10.42578125" style="419" customWidth="1"/>
    <col min="4" max="4" width="20.5703125" style="419" customWidth="1"/>
    <col min="5" max="5" width="14.42578125" style="419" customWidth="1"/>
    <col min="6" max="6" width="19.140625" style="419" customWidth="1"/>
    <col min="7" max="7" width="10.28515625" style="419" customWidth="1"/>
    <col min="8" max="8" width="19.85546875" style="419" customWidth="1"/>
    <col min="9" max="9" width="22.85546875" style="419" customWidth="1"/>
    <col min="10" max="10" width="10.5703125" style="419" customWidth="1"/>
    <col min="11" max="15" width="6.7109375" style="419" customWidth="1"/>
    <col min="16" max="16" width="6.7109375" style="420" customWidth="1"/>
    <col min="17" max="19" width="6.7109375" style="419" customWidth="1"/>
    <col min="20" max="20" width="8.7109375" style="419" customWidth="1"/>
    <col min="21" max="21" width="7.5703125" style="419" customWidth="1"/>
    <col min="22" max="22" width="9" style="419" customWidth="1"/>
    <col min="23" max="23" width="11.140625" style="419" customWidth="1"/>
    <col min="24" max="24" width="9.85546875" style="419" hidden="1" customWidth="1"/>
    <col min="25" max="25" width="11" style="419" hidden="1" customWidth="1"/>
    <col min="26" max="27" width="8.140625" style="419" hidden="1" customWidth="1"/>
    <col min="28" max="28" width="11.5703125" style="419" hidden="1" customWidth="1"/>
    <col min="29" max="29" width="40.7109375" style="419" hidden="1" customWidth="1"/>
    <col min="30" max="33" width="8" style="419" hidden="1" customWidth="1"/>
    <col min="34" max="34" width="11.5703125" style="419" hidden="1" customWidth="1"/>
    <col min="35" max="35" width="55.42578125" style="419" hidden="1" customWidth="1"/>
    <col min="36" max="36" width="9.28515625" style="419" hidden="1" customWidth="1"/>
    <col min="37" max="37" width="11" style="419" hidden="1" customWidth="1"/>
    <col min="38" max="39" width="8.140625" style="419" hidden="1" customWidth="1"/>
    <col min="40" max="40" width="11.5703125" style="419" hidden="1" customWidth="1"/>
    <col min="41" max="41" width="55.42578125" style="419" hidden="1" customWidth="1"/>
    <col min="42" max="42" width="9.28515625" style="419" hidden="1" customWidth="1"/>
    <col min="43" max="43" width="11" style="419" hidden="1" customWidth="1"/>
    <col min="44" max="45" width="8.140625" style="419" hidden="1" customWidth="1"/>
    <col min="46" max="46" width="11.5703125" style="419" hidden="1" customWidth="1"/>
    <col min="47" max="47" width="55.42578125" style="419" hidden="1" customWidth="1"/>
    <col min="48" max="48" width="9.28515625" style="419" hidden="1" customWidth="1"/>
    <col min="49" max="49" width="11" style="419" hidden="1" customWidth="1"/>
    <col min="50" max="51" width="8.140625" style="419" hidden="1" customWidth="1"/>
    <col min="52" max="52" width="11.5703125" style="419" hidden="1" customWidth="1"/>
    <col min="53" max="53" width="55.42578125" style="419" hidden="1" customWidth="1"/>
    <col min="54" max="54" width="9.28515625" style="419" hidden="1" customWidth="1"/>
    <col min="55" max="55" width="11" style="419" hidden="1" customWidth="1"/>
    <col min="56" max="57" width="8.140625" style="419" hidden="1" customWidth="1"/>
    <col min="58" max="58" width="11.5703125" style="419" hidden="1" customWidth="1"/>
    <col min="59" max="59" width="70.140625" style="419" hidden="1" customWidth="1"/>
    <col min="60" max="60" width="9.28515625" style="420" hidden="1" customWidth="1"/>
    <col min="61" max="61" width="11" style="420" hidden="1" customWidth="1"/>
    <col min="62" max="63" width="8.140625" style="420" hidden="1" customWidth="1"/>
    <col min="64" max="64" width="11.5703125" style="420" hidden="1" customWidth="1"/>
    <col min="65" max="65" width="60.7109375" style="420" hidden="1" customWidth="1"/>
    <col min="66" max="66" width="9.28515625" style="420" hidden="1" customWidth="1"/>
    <col min="67" max="67" width="11" style="420" hidden="1" customWidth="1"/>
    <col min="68" max="69" width="8.140625" style="420" hidden="1" customWidth="1"/>
    <col min="70" max="70" width="11.5703125" style="420" hidden="1" customWidth="1"/>
    <col min="71" max="71" width="55.42578125" style="420" hidden="1" customWidth="1"/>
    <col min="72" max="72" width="12.42578125" style="419" hidden="1" customWidth="1"/>
    <col min="73" max="73" width="16.28515625" style="419" hidden="1" customWidth="1"/>
    <col min="74" max="74" width="11.85546875" style="419" hidden="1" customWidth="1"/>
    <col min="75" max="75" width="10.42578125" style="419" hidden="1" customWidth="1"/>
    <col min="76" max="76" width="11.5703125" style="419" hidden="1" customWidth="1"/>
    <col min="77" max="77" width="55.42578125" style="419" hidden="1" customWidth="1"/>
    <col min="78" max="78" width="9.28515625" style="419" hidden="1" customWidth="1"/>
    <col min="79" max="79" width="11" style="419" hidden="1" customWidth="1"/>
    <col min="80" max="81" width="8.140625" style="419" hidden="1" customWidth="1"/>
    <col min="82" max="82" width="11.5703125" style="419" hidden="1" customWidth="1"/>
    <col min="83" max="83" width="55.42578125" style="419" hidden="1" customWidth="1"/>
    <col min="84" max="84" width="9.28515625" style="419" hidden="1" customWidth="1"/>
    <col min="85" max="85" width="11" style="419" hidden="1" customWidth="1"/>
    <col min="86" max="87" width="8.140625" style="419" hidden="1" customWidth="1"/>
    <col min="88" max="88" width="11.5703125" style="419" hidden="1" customWidth="1"/>
    <col min="89" max="89" width="55.42578125" style="419" hidden="1" customWidth="1"/>
    <col min="90" max="90" width="12.5703125" style="419" hidden="1" customWidth="1"/>
    <col min="91" max="91" width="11" style="419" hidden="1" customWidth="1"/>
    <col min="92" max="93" width="8.140625" style="419" hidden="1" customWidth="1"/>
    <col min="94" max="94" width="14" style="419" hidden="1" customWidth="1"/>
    <col min="95" max="95" width="112.42578125" style="419" hidden="1" customWidth="1"/>
    <col min="96" max="96" width="11.28515625" style="419" customWidth="1"/>
    <col min="97" max="97" width="13.85546875" style="419" customWidth="1"/>
    <col min="98" max="98" width="18.7109375" style="419" customWidth="1"/>
    <col min="99" max="99" width="17" style="419" customWidth="1"/>
    <col min="100" max="100" width="15.85546875" style="419" customWidth="1"/>
    <col min="101" max="101" width="111.85546875" style="419" customWidth="1"/>
    <col min="102" max="103" width="38.42578125" style="419" customWidth="1"/>
    <col min="104" max="16384" width="11.42578125" style="419"/>
  </cols>
  <sheetData>
    <row r="1" spans="1:101" s="415" customFormat="1" ht="28.5" customHeight="1">
      <c r="A1" s="414"/>
      <c r="B1" s="2133" t="s">
        <v>794</v>
      </c>
      <c r="C1" s="2133"/>
      <c r="D1" s="2133"/>
      <c r="E1" s="2133"/>
      <c r="F1" s="2133"/>
      <c r="G1" s="2133"/>
      <c r="H1" s="2133"/>
      <c r="I1" s="2133"/>
      <c r="J1" s="2133"/>
      <c r="K1" s="2133"/>
      <c r="L1" s="2133"/>
      <c r="M1" s="2133"/>
      <c r="N1" s="2133"/>
      <c r="O1" s="2134"/>
      <c r="P1" s="2135"/>
      <c r="Q1" s="2135"/>
      <c r="R1" s="2135"/>
      <c r="S1" s="2136"/>
      <c r="T1" s="2136"/>
      <c r="U1" s="2136"/>
      <c r="V1" s="2136"/>
      <c r="BH1" s="416"/>
      <c r="BI1" s="416"/>
      <c r="BJ1" s="416"/>
      <c r="BK1" s="416"/>
      <c r="BL1" s="416"/>
      <c r="BM1" s="416"/>
      <c r="BN1" s="416"/>
      <c r="BO1" s="416"/>
      <c r="BP1" s="416"/>
      <c r="BQ1" s="416"/>
      <c r="BR1" s="416"/>
      <c r="BS1" s="416"/>
    </row>
    <row r="2" spans="1:101" ht="25.5" customHeight="1">
      <c r="A2" s="2137" t="s">
        <v>795</v>
      </c>
      <c r="B2" s="2138"/>
      <c r="C2" s="417"/>
      <c r="D2" s="2139" t="s">
        <v>796</v>
      </c>
      <c r="E2" s="2139"/>
      <c r="F2" s="2139"/>
      <c r="G2" s="2139"/>
      <c r="H2" s="2139"/>
      <c r="I2" s="2139"/>
      <c r="J2" s="2139"/>
      <c r="K2" s="2139"/>
      <c r="L2" s="2139"/>
      <c r="M2" s="2139"/>
      <c r="N2" s="2138"/>
      <c r="O2" s="2140" t="s">
        <v>797</v>
      </c>
      <c r="P2" s="2140"/>
      <c r="Q2" s="2140"/>
      <c r="R2" s="2140"/>
      <c r="S2" s="2136"/>
      <c r="T2" s="2136"/>
      <c r="U2" s="2136"/>
      <c r="V2" s="2136"/>
    </row>
    <row r="3" spans="1:101" ht="5.25" customHeight="1"/>
    <row r="4" spans="1:101" ht="19.5" customHeight="1">
      <c r="B4" s="421" t="s">
        <v>18</v>
      </c>
      <c r="C4" s="2140" t="s">
        <v>798</v>
      </c>
      <c r="D4" s="2140"/>
      <c r="E4" s="2140"/>
      <c r="F4" s="2140"/>
      <c r="G4" s="2140"/>
      <c r="H4" s="2140"/>
      <c r="I4" s="2140"/>
      <c r="J4" s="2140"/>
      <c r="K4" s="2144" t="s">
        <v>21</v>
      </c>
      <c r="L4" s="2144"/>
      <c r="M4" s="2144"/>
      <c r="N4" s="2145">
        <v>2014</v>
      </c>
      <c r="O4" s="2146"/>
      <c r="P4" s="2146"/>
      <c r="Q4" s="2146"/>
      <c r="R4" s="2146"/>
      <c r="S4" s="2146"/>
      <c r="T4" s="2146"/>
      <c r="U4" s="2146"/>
      <c r="V4" s="2147"/>
      <c r="W4" s="422"/>
      <c r="X4" s="2148" t="s">
        <v>29</v>
      </c>
      <c r="Y4" s="2148"/>
      <c r="Z4" s="2148"/>
      <c r="AA4" s="2148"/>
      <c r="AB4" s="2148"/>
      <c r="AC4" s="2148"/>
      <c r="AD4" s="2141" t="s">
        <v>29</v>
      </c>
      <c r="AE4" s="2142"/>
      <c r="AF4" s="2142"/>
      <c r="AG4" s="2142"/>
      <c r="AH4" s="2142"/>
      <c r="AI4" s="2143"/>
      <c r="AJ4" s="2141" t="s">
        <v>29</v>
      </c>
      <c r="AK4" s="2142"/>
      <c r="AL4" s="2142"/>
      <c r="AM4" s="2142"/>
      <c r="AN4" s="2142"/>
      <c r="AO4" s="2143"/>
      <c r="AP4" s="2141" t="s">
        <v>29</v>
      </c>
      <c r="AQ4" s="2142"/>
      <c r="AR4" s="2142"/>
      <c r="AS4" s="2142"/>
      <c r="AT4" s="2142"/>
      <c r="AU4" s="2143"/>
      <c r="AV4" s="2141" t="s">
        <v>29</v>
      </c>
      <c r="AW4" s="2142"/>
      <c r="AX4" s="2142"/>
      <c r="AY4" s="2142"/>
      <c r="AZ4" s="2142"/>
      <c r="BA4" s="2143"/>
      <c r="BH4" s="2154" t="s">
        <v>29</v>
      </c>
      <c r="BI4" s="2155"/>
      <c r="BJ4" s="2155"/>
      <c r="BK4" s="2155"/>
      <c r="BL4" s="2155"/>
      <c r="BM4" s="2156"/>
      <c r="BN4" s="2154" t="s">
        <v>29</v>
      </c>
      <c r="BO4" s="2155"/>
      <c r="BP4" s="2155"/>
      <c r="BQ4" s="2155"/>
      <c r="BR4" s="2155"/>
      <c r="BS4" s="2156"/>
      <c r="BT4" s="2141" t="s">
        <v>29</v>
      </c>
      <c r="BU4" s="2142"/>
      <c r="BV4" s="2142"/>
      <c r="BW4" s="2142"/>
      <c r="BX4" s="2142"/>
      <c r="BY4" s="2143"/>
      <c r="BZ4" s="2141" t="s">
        <v>29</v>
      </c>
      <c r="CA4" s="2142"/>
      <c r="CB4" s="2142"/>
      <c r="CC4" s="2142"/>
      <c r="CD4" s="2142"/>
      <c r="CE4" s="2143"/>
      <c r="CF4" s="2141" t="s">
        <v>29</v>
      </c>
      <c r="CG4" s="2142"/>
      <c r="CH4" s="2142"/>
      <c r="CI4" s="2142"/>
      <c r="CJ4" s="2142"/>
      <c r="CK4" s="2143"/>
      <c r="CL4" s="2141" t="s">
        <v>29</v>
      </c>
      <c r="CM4" s="2142"/>
      <c r="CN4" s="2142"/>
      <c r="CO4" s="2142"/>
      <c r="CP4" s="2142"/>
      <c r="CQ4" s="2143"/>
      <c r="CR4" s="2141" t="s">
        <v>30</v>
      </c>
      <c r="CS4" s="2142"/>
      <c r="CT4" s="2142"/>
      <c r="CU4" s="2142"/>
      <c r="CV4" s="2142"/>
      <c r="CW4" s="2142"/>
    </row>
    <row r="5" spans="1:101" ht="38.25" customHeight="1">
      <c r="A5" s="422"/>
      <c r="B5" s="422"/>
      <c r="C5" s="423"/>
      <c r="D5" s="422"/>
      <c r="E5" s="422"/>
      <c r="F5" s="422"/>
      <c r="G5" s="422"/>
      <c r="H5" s="422"/>
      <c r="I5" s="422"/>
      <c r="J5" s="422"/>
      <c r="K5" s="422"/>
      <c r="L5" s="422"/>
      <c r="M5" s="422"/>
      <c r="N5" s="422"/>
      <c r="O5" s="422"/>
      <c r="P5" s="424"/>
      <c r="Q5" s="422"/>
      <c r="R5" s="422"/>
      <c r="S5" s="422"/>
      <c r="T5" s="422"/>
      <c r="U5" s="422"/>
      <c r="V5" s="422"/>
      <c r="W5" s="422"/>
      <c r="BB5" s="2141" t="s">
        <v>29</v>
      </c>
      <c r="BC5" s="2142"/>
      <c r="BD5" s="2142"/>
      <c r="BE5" s="2142"/>
      <c r="BF5" s="2142"/>
      <c r="BG5" s="2143"/>
    </row>
    <row r="6" spans="1:101" ht="13.5" customHeight="1">
      <c r="B6" s="2149" t="s">
        <v>26</v>
      </c>
      <c r="C6" s="2149" t="s">
        <v>10</v>
      </c>
      <c r="D6" s="2149" t="s">
        <v>23</v>
      </c>
      <c r="E6" s="2149" t="s">
        <v>19</v>
      </c>
      <c r="F6" s="2149" t="s">
        <v>11</v>
      </c>
      <c r="G6" s="2149" t="s">
        <v>15</v>
      </c>
      <c r="H6" s="2149" t="s">
        <v>12</v>
      </c>
      <c r="I6" s="2149" t="s">
        <v>20</v>
      </c>
      <c r="J6" s="2149" t="s">
        <v>16</v>
      </c>
      <c r="K6" s="2149" t="s">
        <v>24</v>
      </c>
      <c r="L6" s="2149"/>
      <c r="M6" s="2149"/>
      <c r="N6" s="2149"/>
      <c r="O6" s="2149"/>
      <c r="P6" s="2149"/>
      <c r="Q6" s="2149"/>
      <c r="R6" s="2149"/>
      <c r="S6" s="2149"/>
      <c r="T6" s="2149"/>
      <c r="U6" s="2149"/>
      <c r="V6" s="2149"/>
      <c r="W6" s="425"/>
      <c r="X6" s="2150" t="s">
        <v>37</v>
      </c>
      <c r="Y6" s="2151"/>
      <c r="Z6" s="2151"/>
      <c r="AA6" s="2151"/>
      <c r="AB6" s="2151"/>
      <c r="AC6" s="2151"/>
      <c r="AD6" s="2152" t="s">
        <v>38</v>
      </c>
      <c r="AE6" s="2153"/>
      <c r="AF6" s="2153"/>
      <c r="AG6" s="2153"/>
      <c r="AH6" s="2153"/>
      <c r="AI6" s="2153"/>
      <c r="AJ6" s="2163" t="s">
        <v>39</v>
      </c>
      <c r="AK6" s="2164"/>
      <c r="AL6" s="2164"/>
      <c r="AM6" s="2164"/>
      <c r="AN6" s="2164"/>
      <c r="AO6" s="2164"/>
      <c r="AP6" s="2157" t="s">
        <v>40</v>
      </c>
      <c r="AQ6" s="2158"/>
      <c r="AR6" s="2158"/>
      <c r="AS6" s="2158"/>
      <c r="AT6" s="2158"/>
      <c r="AU6" s="2158"/>
      <c r="AV6" s="2159" t="s">
        <v>41</v>
      </c>
      <c r="AW6" s="2151"/>
      <c r="AX6" s="2151"/>
      <c r="AY6" s="2151"/>
      <c r="AZ6" s="2151"/>
      <c r="BA6" s="2151"/>
      <c r="BB6" s="2165" t="s">
        <v>42</v>
      </c>
      <c r="BC6" s="2166"/>
      <c r="BD6" s="2166"/>
      <c r="BE6" s="2166"/>
      <c r="BF6" s="2166"/>
      <c r="BG6" s="2166"/>
      <c r="BH6" s="2167" t="s">
        <v>43</v>
      </c>
      <c r="BI6" s="2168"/>
      <c r="BJ6" s="2168"/>
      <c r="BK6" s="2168"/>
      <c r="BL6" s="2168"/>
      <c r="BM6" s="2168"/>
      <c r="BN6" s="2167" t="s">
        <v>44</v>
      </c>
      <c r="BO6" s="2168"/>
      <c r="BP6" s="2168"/>
      <c r="BQ6" s="2168"/>
      <c r="BR6" s="2168"/>
      <c r="BS6" s="2168"/>
      <c r="BT6" s="2152" t="s">
        <v>45</v>
      </c>
      <c r="BU6" s="2153"/>
      <c r="BV6" s="2153"/>
      <c r="BW6" s="2153"/>
      <c r="BX6" s="2153"/>
      <c r="BY6" s="2153"/>
      <c r="BZ6" s="2163" t="s">
        <v>46</v>
      </c>
      <c r="CA6" s="2164"/>
      <c r="CB6" s="2164"/>
      <c r="CC6" s="2164"/>
      <c r="CD6" s="2164"/>
      <c r="CE6" s="2164"/>
      <c r="CF6" s="2157" t="s">
        <v>47</v>
      </c>
      <c r="CG6" s="2158"/>
      <c r="CH6" s="2158"/>
      <c r="CI6" s="2158"/>
      <c r="CJ6" s="2158"/>
      <c r="CK6" s="2158"/>
      <c r="CL6" s="2159" t="s">
        <v>87</v>
      </c>
      <c r="CM6" s="2151"/>
      <c r="CN6" s="2151"/>
      <c r="CO6" s="2151"/>
      <c r="CP6" s="2151"/>
      <c r="CQ6" s="2151"/>
      <c r="CR6" s="2160" t="s">
        <v>51</v>
      </c>
      <c r="CS6" s="2161"/>
      <c r="CT6" s="2161"/>
      <c r="CU6" s="2161"/>
      <c r="CV6" s="2161"/>
      <c r="CW6" s="2161"/>
    </row>
    <row r="7" spans="1:101" ht="63" customHeight="1">
      <c r="B7" s="2149"/>
      <c r="C7" s="2149"/>
      <c r="D7" s="2149"/>
      <c r="E7" s="2149"/>
      <c r="F7" s="2149"/>
      <c r="G7" s="2149"/>
      <c r="H7" s="2173"/>
      <c r="I7" s="2149"/>
      <c r="J7" s="2149"/>
      <c r="K7" s="426" t="s">
        <v>13</v>
      </c>
      <c r="L7" s="426" t="s">
        <v>0</v>
      </c>
      <c r="M7" s="426" t="s">
        <v>1</v>
      </c>
      <c r="N7" s="426" t="s">
        <v>14</v>
      </c>
      <c r="O7" s="426" t="s">
        <v>2</v>
      </c>
      <c r="P7" s="426" t="s">
        <v>3</v>
      </c>
      <c r="Q7" s="426" t="s">
        <v>4</v>
      </c>
      <c r="R7" s="426" t="s">
        <v>5</v>
      </c>
      <c r="S7" s="426" t="s">
        <v>6</v>
      </c>
      <c r="T7" s="426" t="s">
        <v>7</v>
      </c>
      <c r="U7" s="426" t="s">
        <v>8</v>
      </c>
      <c r="V7" s="426" t="s">
        <v>9</v>
      </c>
      <c r="W7" s="249" t="s">
        <v>799</v>
      </c>
      <c r="X7" s="113" t="s">
        <v>31</v>
      </c>
      <c r="Y7" s="113" t="s">
        <v>32</v>
      </c>
      <c r="Z7" s="113" t="s">
        <v>33</v>
      </c>
      <c r="AA7" s="113" t="s">
        <v>34</v>
      </c>
      <c r="AB7" s="113" t="s">
        <v>35</v>
      </c>
      <c r="AC7" s="113" t="s">
        <v>36</v>
      </c>
      <c r="AD7" s="113" t="s">
        <v>31</v>
      </c>
      <c r="AE7" s="113" t="s">
        <v>32</v>
      </c>
      <c r="AF7" s="113" t="s">
        <v>33</v>
      </c>
      <c r="AG7" s="113" t="s">
        <v>34</v>
      </c>
      <c r="AH7" s="113" t="s">
        <v>35</v>
      </c>
      <c r="AI7" s="113" t="s">
        <v>36</v>
      </c>
      <c r="AJ7" s="113" t="s">
        <v>31</v>
      </c>
      <c r="AK7" s="113" t="s">
        <v>32</v>
      </c>
      <c r="AL7" s="113" t="s">
        <v>33</v>
      </c>
      <c r="AM7" s="113" t="s">
        <v>34</v>
      </c>
      <c r="AN7" s="113" t="s">
        <v>35</v>
      </c>
      <c r="AO7" s="113" t="s">
        <v>36</v>
      </c>
      <c r="AP7" s="113" t="s">
        <v>31</v>
      </c>
      <c r="AQ7" s="113" t="s">
        <v>32</v>
      </c>
      <c r="AR7" s="113" t="s">
        <v>33</v>
      </c>
      <c r="AS7" s="113" t="s">
        <v>34</v>
      </c>
      <c r="AT7" s="113" t="s">
        <v>35</v>
      </c>
      <c r="AU7" s="113" t="s">
        <v>36</v>
      </c>
      <c r="AV7" s="113" t="s">
        <v>31</v>
      </c>
      <c r="AW7" s="113" t="s">
        <v>32</v>
      </c>
      <c r="AX7" s="113" t="s">
        <v>33</v>
      </c>
      <c r="AY7" s="113" t="s">
        <v>34</v>
      </c>
      <c r="AZ7" s="113" t="s">
        <v>35</v>
      </c>
      <c r="BA7" s="113" t="s">
        <v>36</v>
      </c>
      <c r="BB7" s="113" t="s">
        <v>31</v>
      </c>
      <c r="BC7" s="113" t="s">
        <v>32</v>
      </c>
      <c r="BD7" s="113" t="s">
        <v>33</v>
      </c>
      <c r="BE7" s="113" t="s">
        <v>34</v>
      </c>
      <c r="BF7" s="113" t="s">
        <v>35</v>
      </c>
      <c r="BG7" s="113" t="s">
        <v>36</v>
      </c>
      <c r="BH7" s="427" t="s">
        <v>31</v>
      </c>
      <c r="BI7" s="427" t="s">
        <v>32</v>
      </c>
      <c r="BJ7" s="427" t="s">
        <v>33</v>
      </c>
      <c r="BK7" s="427" t="s">
        <v>34</v>
      </c>
      <c r="BL7" s="427" t="s">
        <v>35</v>
      </c>
      <c r="BM7" s="427" t="s">
        <v>36</v>
      </c>
      <c r="BN7" s="427" t="s">
        <v>31</v>
      </c>
      <c r="BO7" s="427" t="s">
        <v>32</v>
      </c>
      <c r="BP7" s="427" t="s">
        <v>33</v>
      </c>
      <c r="BQ7" s="427" t="s">
        <v>34</v>
      </c>
      <c r="BR7" s="427" t="s">
        <v>35</v>
      </c>
      <c r="BS7" s="427" t="s">
        <v>36</v>
      </c>
      <c r="BT7" s="113" t="s">
        <v>31</v>
      </c>
      <c r="BU7" s="113" t="s">
        <v>32</v>
      </c>
      <c r="BV7" s="113" t="s">
        <v>33</v>
      </c>
      <c r="BW7" s="113" t="s">
        <v>34</v>
      </c>
      <c r="BX7" s="113" t="s">
        <v>35</v>
      </c>
      <c r="BY7" s="113" t="s">
        <v>36</v>
      </c>
      <c r="BZ7" s="113" t="s">
        <v>31</v>
      </c>
      <c r="CA7" s="113" t="s">
        <v>32</v>
      </c>
      <c r="CB7" s="113" t="s">
        <v>33</v>
      </c>
      <c r="CC7" s="113" t="s">
        <v>34</v>
      </c>
      <c r="CD7" s="113" t="s">
        <v>35</v>
      </c>
      <c r="CE7" s="113" t="s">
        <v>36</v>
      </c>
      <c r="CF7" s="113" t="s">
        <v>31</v>
      </c>
      <c r="CG7" s="113" t="s">
        <v>32</v>
      </c>
      <c r="CH7" s="113" t="s">
        <v>33</v>
      </c>
      <c r="CI7" s="113" t="s">
        <v>34</v>
      </c>
      <c r="CJ7" s="113" t="s">
        <v>35</v>
      </c>
      <c r="CK7" s="428" t="s">
        <v>36</v>
      </c>
      <c r="CL7" s="428" t="s">
        <v>31</v>
      </c>
      <c r="CM7" s="428" t="s">
        <v>32</v>
      </c>
      <c r="CN7" s="428" t="s">
        <v>33</v>
      </c>
      <c r="CO7" s="428" t="s">
        <v>34</v>
      </c>
      <c r="CP7" s="428" t="s">
        <v>35</v>
      </c>
      <c r="CQ7" s="428" t="s">
        <v>36</v>
      </c>
      <c r="CR7" s="428" t="s">
        <v>31</v>
      </c>
      <c r="CS7" s="428" t="s">
        <v>32</v>
      </c>
      <c r="CT7" s="428" t="s">
        <v>33</v>
      </c>
      <c r="CU7" s="428" t="s">
        <v>34</v>
      </c>
      <c r="CV7" s="428" t="s">
        <v>35</v>
      </c>
      <c r="CW7" s="428" t="s">
        <v>36</v>
      </c>
    </row>
    <row r="8" spans="1:101" ht="202.5" customHeight="1">
      <c r="B8" s="429" t="s">
        <v>416</v>
      </c>
      <c r="C8" s="429"/>
      <c r="D8" s="430" t="s">
        <v>800</v>
      </c>
      <c r="E8" s="430" t="s">
        <v>801</v>
      </c>
      <c r="F8" s="429" t="s">
        <v>802</v>
      </c>
      <c r="G8" s="429" t="s">
        <v>53</v>
      </c>
      <c r="H8" s="430" t="s">
        <v>803</v>
      </c>
      <c r="I8" s="429" t="s">
        <v>804</v>
      </c>
      <c r="J8" s="431" t="s">
        <v>54</v>
      </c>
      <c r="K8" s="432">
        <v>0</v>
      </c>
      <c r="L8" s="433">
        <v>8</v>
      </c>
      <c r="M8" s="433">
        <v>16</v>
      </c>
      <c r="N8" s="433">
        <v>18</v>
      </c>
      <c r="O8" s="433">
        <v>22</v>
      </c>
      <c r="P8" s="433">
        <v>4</v>
      </c>
      <c r="Q8" s="433">
        <v>6</v>
      </c>
      <c r="R8" s="433">
        <v>14</v>
      </c>
      <c r="S8" s="433">
        <v>8</v>
      </c>
      <c r="T8" s="433">
        <v>4</v>
      </c>
      <c r="U8" s="433">
        <v>4</v>
      </c>
      <c r="V8" s="433">
        <v>4</v>
      </c>
      <c r="W8" s="429">
        <f>SUM(K8:V8)</f>
        <v>108</v>
      </c>
      <c r="X8" s="434">
        <f>[6]Seguimiento!$D7</f>
        <v>0</v>
      </c>
      <c r="Y8" s="435">
        <f t="shared" ref="Y8:Y23" si="0">$W8</f>
        <v>108</v>
      </c>
      <c r="Z8" s="436">
        <f>IF(Y8=0,"",X8/Y8)</f>
        <v>0</v>
      </c>
      <c r="AA8" s="437">
        <f>[6]Seguimiento!$C7</f>
        <v>0</v>
      </c>
      <c r="AB8" s="438" t="str">
        <f>IF(AA8=0,"",Z8/AA8)</f>
        <v/>
      </c>
      <c r="AC8" s="439" t="s">
        <v>805</v>
      </c>
      <c r="AD8" s="434">
        <f>[6]Seguimiento!$D8</f>
        <v>8</v>
      </c>
      <c r="AE8" s="435">
        <f t="shared" ref="AE8:AE23" si="1">$W8</f>
        <v>108</v>
      </c>
      <c r="AF8" s="436">
        <f>IF(AE8=0,"",AD8/AE8)</f>
        <v>7.407407407407407E-2</v>
      </c>
      <c r="AG8" s="437">
        <f>[6]Seguimiento!$C8</f>
        <v>7.407407407407407E-2</v>
      </c>
      <c r="AH8" s="438">
        <f>IF(AG8=0,"",AF8/AG8)</f>
        <v>1</v>
      </c>
      <c r="AI8" s="439" t="s">
        <v>806</v>
      </c>
      <c r="AJ8" s="434">
        <f>[6]Seguimiento!$D9</f>
        <v>16</v>
      </c>
      <c r="AK8" s="435">
        <f t="shared" ref="AK8:AK23" si="2">$W8</f>
        <v>108</v>
      </c>
      <c r="AL8" s="436">
        <f>IF(AK8=0,"",AJ8/AK8)</f>
        <v>0.14814814814814814</v>
      </c>
      <c r="AM8" s="437">
        <f>[6]Seguimiento!$C9</f>
        <v>0.14814814814814814</v>
      </c>
      <c r="AN8" s="438">
        <f>IF(AM8=0,"",AL8/AM8)</f>
        <v>1</v>
      </c>
      <c r="AO8" s="439" t="s">
        <v>807</v>
      </c>
      <c r="AP8" s="434">
        <f>[6]Seguimiento!$D10</f>
        <v>2</v>
      </c>
      <c r="AQ8" s="435">
        <f t="shared" ref="AQ8:AQ23" si="3">$W8</f>
        <v>108</v>
      </c>
      <c r="AR8" s="436">
        <f>IF(AQ8=0,"",AP8/AQ8)</f>
        <v>1.8518518518518517E-2</v>
      </c>
      <c r="AS8" s="437">
        <f>[6]Seguimiento!$C10</f>
        <v>0.16666666666666666</v>
      </c>
      <c r="AT8" s="438">
        <f>IF(AS8=0,"",AR8/AS8)</f>
        <v>0.1111111111111111</v>
      </c>
      <c r="AU8" s="439" t="s">
        <v>808</v>
      </c>
      <c r="AV8" s="434">
        <f>[6]Seguimiento!$D11</f>
        <v>8</v>
      </c>
      <c r="AW8" s="435">
        <f t="shared" ref="AW8:AW24" si="4">$W8</f>
        <v>108</v>
      </c>
      <c r="AX8" s="436">
        <f>IF(AW8=0,"",AV8/AW8)</f>
        <v>7.407407407407407E-2</v>
      </c>
      <c r="AY8" s="437">
        <f>[6]Seguimiento!$C11</f>
        <v>0.20370370370370369</v>
      </c>
      <c r="AZ8" s="438">
        <f>IF(AY8=0,"",AX8/AY8)</f>
        <v>0.36363636363636365</v>
      </c>
      <c r="BA8" s="439" t="s">
        <v>809</v>
      </c>
      <c r="BB8" s="434">
        <f>[6]Seguimiento!$D12</f>
        <v>14</v>
      </c>
      <c r="BC8" s="435">
        <f t="shared" ref="BC8:BC23" si="5">$W8</f>
        <v>108</v>
      </c>
      <c r="BD8" s="436">
        <f>IF(BC8=0,"",BB8/BC8)</f>
        <v>0.12962962962962962</v>
      </c>
      <c r="BE8" s="437">
        <f>[6]Seguimiento!$C12</f>
        <v>3.7037037037037035E-2</v>
      </c>
      <c r="BF8" s="438">
        <f>IF(BE8=0,"",BD8/BE8)</f>
        <v>3.5</v>
      </c>
      <c r="BG8" s="440" t="s">
        <v>810</v>
      </c>
      <c r="BH8" s="441">
        <f>[6]Seguimiento!$D13</f>
        <v>4</v>
      </c>
      <c r="BI8" s="442">
        <f t="shared" ref="BI8:BI24" si="6">$W8</f>
        <v>108</v>
      </c>
      <c r="BJ8" s="443">
        <f>IF(BI8=0,"",BH8/BI8)</f>
        <v>3.7037037037037035E-2</v>
      </c>
      <c r="BK8" s="444">
        <f>[6]Seguimiento!$C13</f>
        <v>5.5555555555555552E-2</v>
      </c>
      <c r="BL8" s="444">
        <f>IF(BK8=0,"",BJ8/BK8)</f>
        <v>0.66666666666666663</v>
      </c>
      <c r="BM8" s="445" t="s">
        <v>811</v>
      </c>
      <c r="BN8" s="441">
        <f>[6]Seguimiento!$D14</f>
        <v>17</v>
      </c>
      <c r="BO8" s="442">
        <f t="shared" ref="BO8:BO24" si="7">$W8</f>
        <v>108</v>
      </c>
      <c r="BP8" s="443">
        <f>IF(BO8=0,"",BN8/BO8)</f>
        <v>0.15740740740740741</v>
      </c>
      <c r="BQ8" s="444">
        <f>[6]Seguimiento!$C14</f>
        <v>0.12962962962962962</v>
      </c>
      <c r="BR8" s="444">
        <f>IF(BQ8=0,"",BP8/BQ8)</f>
        <v>1.2142857142857144</v>
      </c>
      <c r="BS8" s="445" t="s">
        <v>812</v>
      </c>
      <c r="BT8" s="441">
        <f>[6]Seguimiento!$D15</f>
        <v>9</v>
      </c>
      <c r="BU8" s="442">
        <f t="shared" ref="BU8:BU24" si="8">$W8</f>
        <v>108</v>
      </c>
      <c r="BV8" s="443">
        <f>IF(BU8=0,"",BT8/BU8)</f>
        <v>8.3333333333333329E-2</v>
      </c>
      <c r="BW8" s="444">
        <f>[6]Seguimiento!$C15</f>
        <v>7.407407407407407E-2</v>
      </c>
      <c r="BX8" s="444">
        <f>IF(BW8=0,"",BV8/BW8)</f>
        <v>1.125</v>
      </c>
      <c r="BY8" s="445" t="s">
        <v>813</v>
      </c>
      <c r="BZ8" s="446">
        <f>[6]Seguimiento!$D16</f>
        <v>14</v>
      </c>
      <c r="CA8" s="447">
        <f t="shared" ref="CA8:CA24" si="9">$W8</f>
        <v>108</v>
      </c>
      <c r="CB8" s="448">
        <f>IF(CA8=0,"",BZ8/CA8)</f>
        <v>0.12962962962962962</v>
      </c>
      <c r="CC8" s="437">
        <f>[6]Seguimiento!$C16</f>
        <v>3.7037037037037035E-2</v>
      </c>
      <c r="CD8" s="437">
        <f>IF(CC8=0,"",CB8/CC8)</f>
        <v>3.5</v>
      </c>
      <c r="CE8" s="449" t="s">
        <v>814</v>
      </c>
      <c r="CF8" s="434">
        <f>[6]Seguimiento!$D17</f>
        <v>2</v>
      </c>
      <c r="CG8" s="435">
        <f t="shared" ref="CG8:CG24" si="10">$W8</f>
        <v>108</v>
      </c>
      <c r="CH8" s="436">
        <f>IF(CG8=0,"",CF8/CG8)</f>
        <v>1.8518518518518517E-2</v>
      </c>
      <c r="CI8" s="437">
        <f>[6]Seguimiento!$C17</f>
        <v>3.7037037037037035E-2</v>
      </c>
      <c r="CJ8" s="438">
        <f>IF(CI8=0,"",CH8/CI8)</f>
        <v>0.5</v>
      </c>
      <c r="CK8" s="445" t="s">
        <v>815</v>
      </c>
      <c r="CL8" s="446">
        <f>[6]Seguimiento!$D18</f>
        <v>1</v>
      </c>
      <c r="CM8" s="447">
        <f t="shared" ref="CM8:CM24" si="11">$W8</f>
        <v>108</v>
      </c>
      <c r="CN8" s="448">
        <f>IF(CM8=0,"",CL8/CM8)</f>
        <v>9.2592592592592587E-3</v>
      </c>
      <c r="CO8" s="437">
        <f>[6]Seguimiento!$C18</f>
        <v>3.7037037037037035E-2</v>
      </c>
      <c r="CP8" s="450">
        <f>IF(CO8=0,"",CN8/CO8)</f>
        <v>0.25</v>
      </c>
      <c r="CQ8" s="451" t="s">
        <v>816</v>
      </c>
      <c r="CR8" s="446">
        <f>[6]Seguimiento!$D19</f>
        <v>95</v>
      </c>
      <c r="CS8" s="447">
        <f t="shared" ref="CS8:CS24" si="12">$W8</f>
        <v>108</v>
      </c>
      <c r="CT8" s="448">
        <f>IF(CS8=0,"",CR8/CS8)</f>
        <v>0.87962962962962965</v>
      </c>
      <c r="CU8" s="437">
        <f>[6]Seguimiento!$C19</f>
        <v>1</v>
      </c>
      <c r="CV8" s="452">
        <f>IF(CU8=0,"",CT8/CU8)</f>
        <v>0.87962962962962965</v>
      </c>
      <c r="CW8" s="453" t="s">
        <v>817</v>
      </c>
    </row>
    <row r="9" spans="1:101" ht="409.6" customHeight="1">
      <c r="B9" s="429" t="s">
        <v>416</v>
      </c>
      <c r="C9" s="429"/>
      <c r="D9" s="430" t="s">
        <v>818</v>
      </c>
      <c r="E9" s="430" t="s">
        <v>819</v>
      </c>
      <c r="F9" s="429" t="s">
        <v>820</v>
      </c>
      <c r="G9" s="429" t="s">
        <v>53</v>
      </c>
      <c r="H9" s="430" t="s">
        <v>420</v>
      </c>
      <c r="I9" s="429" t="s">
        <v>821</v>
      </c>
      <c r="J9" s="431" t="s">
        <v>54</v>
      </c>
      <c r="K9" s="432">
        <v>1</v>
      </c>
      <c r="L9" s="432">
        <v>4</v>
      </c>
      <c r="M9" s="432">
        <v>2</v>
      </c>
      <c r="N9" s="432">
        <v>1</v>
      </c>
      <c r="O9" s="432">
        <v>0</v>
      </c>
      <c r="P9" s="433">
        <v>0</v>
      </c>
      <c r="Q9" s="432">
        <v>10</v>
      </c>
      <c r="R9" s="432">
        <v>2</v>
      </c>
      <c r="S9" s="432">
        <v>12</v>
      </c>
      <c r="T9" s="432">
        <v>22</v>
      </c>
      <c r="U9" s="432">
        <v>0</v>
      </c>
      <c r="V9" s="432">
        <v>2</v>
      </c>
      <c r="W9" s="429">
        <f>SUM(K9:V9)</f>
        <v>56</v>
      </c>
      <c r="X9" s="434">
        <f>[6]Seguimiento!$J7</f>
        <v>1</v>
      </c>
      <c r="Y9" s="435">
        <f t="shared" si="0"/>
        <v>56</v>
      </c>
      <c r="Z9" s="436">
        <f t="shared" ref="Z9:Z22" si="13">IF(Y9=0,"",X9/Y9)</f>
        <v>1.7857142857142856E-2</v>
      </c>
      <c r="AA9" s="437">
        <v>1.7899999999999999E-2</v>
      </c>
      <c r="AB9" s="438">
        <f t="shared" ref="AB9:AB23" si="14">IF(AA9=0,"",Z9/AA9)</f>
        <v>0.99760574620909814</v>
      </c>
      <c r="AC9" s="439" t="s">
        <v>822</v>
      </c>
      <c r="AD9" s="434">
        <f>[6]Seguimiento!$J8</f>
        <v>4</v>
      </c>
      <c r="AE9" s="435">
        <f t="shared" si="1"/>
        <v>56</v>
      </c>
      <c r="AF9" s="436">
        <f t="shared" ref="AF9:AF22" si="15">IF(AE9=0,"",AD9/AE9)</f>
        <v>7.1428571428571425E-2</v>
      </c>
      <c r="AG9" s="437">
        <f>[6]Seguimiento!$I8</f>
        <v>7.1428571428571425E-2</v>
      </c>
      <c r="AH9" s="438">
        <f t="shared" ref="AH9:AH23" si="16">IF(AG9=0,"",AF9/AG9)</f>
        <v>1</v>
      </c>
      <c r="AI9" s="440" t="s">
        <v>823</v>
      </c>
      <c r="AJ9" s="434">
        <f>[6]Seguimiento!$J9</f>
        <v>2</v>
      </c>
      <c r="AK9" s="435">
        <f t="shared" si="2"/>
        <v>56</v>
      </c>
      <c r="AL9" s="436">
        <f t="shared" ref="AL9:AL23" si="17">IF(AK9=0,"",AJ9/AK9)</f>
        <v>3.5714285714285712E-2</v>
      </c>
      <c r="AM9" s="437">
        <f>[6]Seguimiento!$I9</f>
        <v>3.5714285714285712E-2</v>
      </c>
      <c r="AN9" s="438">
        <f t="shared" ref="AN9:AN23" si="18">IF(AM9=0,"",AL9/AM9)</f>
        <v>1</v>
      </c>
      <c r="AO9" s="439" t="s">
        <v>824</v>
      </c>
      <c r="AP9" s="434">
        <f>[6]Seguimiento!$J10</f>
        <v>1</v>
      </c>
      <c r="AQ9" s="435">
        <f t="shared" si="3"/>
        <v>56</v>
      </c>
      <c r="AR9" s="436">
        <f t="shared" ref="AR9:AR23" si="19">IF(AQ9=0,"",AP9/AQ9)</f>
        <v>1.7857142857142856E-2</v>
      </c>
      <c r="AS9" s="437">
        <f>[6]Seguimiento!$I10</f>
        <v>1.7857142857142856E-2</v>
      </c>
      <c r="AT9" s="438">
        <f t="shared" ref="AT9:AT23" si="20">IF(AS9=0,"",AR9/AS9)</f>
        <v>1</v>
      </c>
      <c r="AU9" s="439" t="s">
        <v>825</v>
      </c>
      <c r="AV9" s="434">
        <f>[6]Seguimiento!$J11</f>
        <v>0</v>
      </c>
      <c r="AW9" s="435">
        <f t="shared" si="4"/>
        <v>56</v>
      </c>
      <c r="AX9" s="436">
        <f t="shared" ref="AX9:AX24" si="21">IF(AW9=0,"",AV9/AW9)</f>
        <v>0</v>
      </c>
      <c r="AY9" s="437">
        <f>[6]Seguimiento!$I11</f>
        <v>0</v>
      </c>
      <c r="AZ9" s="438" t="str">
        <f t="shared" ref="AZ9:AZ24" si="22">IF(AY9=0,"",AX9/AY9)</f>
        <v/>
      </c>
      <c r="BA9" s="439" t="s">
        <v>826</v>
      </c>
      <c r="BB9" s="454">
        <f>[6]Seguimiento!$J12</f>
        <v>0</v>
      </c>
      <c r="BC9" s="455">
        <f t="shared" si="5"/>
        <v>56</v>
      </c>
      <c r="BD9" s="456">
        <f t="shared" ref="BD9:BD24" si="23">IF(BC9=0,"",BB9/BC9)</f>
        <v>0</v>
      </c>
      <c r="BE9" s="457">
        <f>[6]Seguimiento!$I12</f>
        <v>0</v>
      </c>
      <c r="BF9" s="457" t="str">
        <f t="shared" ref="BF9:BF24" si="24">IF(BE9=0,"",BD9/BE9)</f>
        <v/>
      </c>
      <c r="BG9" s="458" t="s">
        <v>827</v>
      </c>
      <c r="BH9" s="441">
        <f>[6]Seguimiento!$J13</f>
        <v>0</v>
      </c>
      <c r="BI9" s="442">
        <f t="shared" si="6"/>
        <v>56</v>
      </c>
      <c r="BJ9" s="443">
        <f t="shared" ref="BJ9:BJ24" si="25">IF(BI9=0,"",BH9/BI9)</f>
        <v>0</v>
      </c>
      <c r="BK9" s="444">
        <f>[6]Seguimiento!$I13</f>
        <v>0.17857142857142858</v>
      </c>
      <c r="BL9" s="444">
        <f>IF(BK9=0,"",BJ9/BK9)</f>
        <v>0</v>
      </c>
      <c r="BM9" s="445" t="s">
        <v>828</v>
      </c>
      <c r="BN9" s="441">
        <f>[6]Seguimiento!$J14</f>
        <v>0</v>
      </c>
      <c r="BO9" s="442">
        <f t="shared" si="7"/>
        <v>56</v>
      </c>
      <c r="BP9" s="443">
        <f t="shared" ref="BP9:BP24" si="26">IF(BO9=0,"",BN9/BO9)</f>
        <v>0</v>
      </c>
      <c r="BQ9" s="444">
        <f>[6]Seguimiento!$I14</f>
        <v>3.5714285714285712E-2</v>
      </c>
      <c r="BR9" s="444">
        <f t="shared" ref="BR9:BR23" si="27">IF(BQ9=0,"",BP9/BQ9)</f>
        <v>0</v>
      </c>
      <c r="BS9" s="445" t="s">
        <v>829</v>
      </c>
      <c r="BT9" s="441">
        <f>[6]Seguimiento!$J15</f>
        <v>0</v>
      </c>
      <c r="BU9" s="442">
        <f t="shared" si="8"/>
        <v>56</v>
      </c>
      <c r="BV9" s="443">
        <f t="shared" ref="BV9:BV24" si="28">IF(BU9=0,"",BT9/BU9)</f>
        <v>0</v>
      </c>
      <c r="BW9" s="444">
        <f>[6]Seguimiento!$I15</f>
        <v>0.21428571428571427</v>
      </c>
      <c r="BX9" s="444">
        <f t="shared" ref="BX9:BX24" si="29">IF(BW9=0,"",BV9/BW9)</f>
        <v>0</v>
      </c>
      <c r="BY9" s="445" t="s">
        <v>830</v>
      </c>
      <c r="BZ9" s="446">
        <f>[6]Seguimiento!$J16</f>
        <v>6</v>
      </c>
      <c r="CA9" s="447">
        <f t="shared" si="9"/>
        <v>56</v>
      </c>
      <c r="CB9" s="448">
        <f t="shared" ref="CB9:CB24" si="30">IF(CA9=0,"",BZ9/CA9)</f>
        <v>0.10714285714285714</v>
      </c>
      <c r="CC9" s="437">
        <f>[6]Seguimiento!$I16</f>
        <v>0.39285714285714285</v>
      </c>
      <c r="CD9" s="437">
        <f t="shared" ref="CD9:CD23" si="31">IF(CC9=0,"",CB9/CC9)</f>
        <v>0.27272727272727271</v>
      </c>
      <c r="CE9" s="449" t="s">
        <v>831</v>
      </c>
      <c r="CF9" s="434">
        <f>[6]Seguimiento!$J17</f>
        <v>0</v>
      </c>
      <c r="CG9" s="435">
        <f t="shared" si="10"/>
        <v>56</v>
      </c>
      <c r="CH9" s="436">
        <f t="shared" ref="CH9:CH24" si="32">IF(CG9=0,"",CF9/CG9)</f>
        <v>0</v>
      </c>
      <c r="CI9" s="437">
        <f>[6]Seguimiento!$I17</f>
        <v>0</v>
      </c>
      <c r="CJ9" s="438">
        <v>0</v>
      </c>
      <c r="CK9" s="445" t="s">
        <v>832</v>
      </c>
      <c r="CL9" s="446">
        <f>[6]Seguimiento!$J18</f>
        <v>18</v>
      </c>
      <c r="CM9" s="447">
        <f t="shared" si="11"/>
        <v>56</v>
      </c>
      <c r="CN9" s="448">
        <f t="shared" ref="CN9:CN24" si="33">IF(CM9=0,"",CL9/CM9)</f>
        <v>0.32142857142857145</v>
      </c>
      <c r="CO9" s="437">
        <f>[6]Seguimiento!$I18</f>
        <v>3.5714285714285712E-2</v>
      </c>
      <c r="CP9" s="450">
        <f>IF(CO9=0,"",CN9/CO9)</f>
        <v>9.0000000000000018</v>
      </c>
      <c r="CQ9" s="451" t="s">
        <v>833</v>
      </c>
      <c r="CR9" s="446">
        <f>[6]Seguimiento!$J19</f>
        <v>32</v>
      </c>
      <c r="CS9" s="447">
        <f t="shared" si="12"/>
        <v>56</v>
      </c>
      <c r="CT9" s="448">
        <f t="shared" ref="CT9:CT23" si="34">IF(CS9=0,"",CR9/CS9)</f>
        <v>0.5714285714285714</v>
      </c>
      <c r="CU9" s="437">
        <f>[6]Seguimiento!$I19</f>
        <v>1</v>
      </c>
      <c r="CV9" s="452">
        <f>IF(CU9=0,"",CT9/CU9)</f>
        <v>0.5714285714285714</v>
      </c>
      <c r="CW9" s="459" t="s">
        <v>834</v>
      </c>
    </row>
    <row r="10" spans="1:101" ht="223.5" customHeight="1">
      <c r="B10" s="429" t="s">
        <v>416</v>
      </c>
      <c r="C10" s="429"/>
      <c r="D10" s="430" t="s">
        <v>835</v>
      </c>
      <c r="E10" s="430" t="s">
        <v>836</v>
      </c>
      <c r="F10" s="429" t="s">
        <v>837</v>
      </c>
      <c r="G10" s="429" t="s">
        <v>53</v>
      </c>
      <c r="H10" s="430" t="s">
        <v>474</v>
      </c>
      <c r="I10" s="429" t="s">
        <v>838</v>
      </c>
      <c r="J10" s="431" t="s">
        <v>54</v>
      </c>
      <c r="K10" s="432"/>
      <c r="L10" s="432"/>
      <c r="M10" s="432"/>
      <c r="N10" s="432">
        <v>1</v>
      </c>
      <c r="O10" s="432"/>
      <c r="P10" s="433"/>
      <c r="Q10" s="432">
        <v>2</v>
      </c>
      <c r="R10" s="432">
        <v>1</v>
      </c>
      <c r="S10" s="432">
        <v>4</v>
      </c>
      <c r="T10" s="432">
        <v>2</v>
      </c>
      <c r="U10" s="432">
        <v>0</v>
      </c>
      <c r="V10" s="432">
        <v>1</v>
      </c>
      <c r="W10" s="429">
        <f>SUM(K10:V10)</f>
        <v>11</v>
      </c>
      <c r="X10" s="434">
        <f>[6]Seguimiento!$P7</f>
        <v>0</v>
      </c>
      <c r="Y10" s="435">
        <f t="shared" si="0"/>
        <v>11</v>
      </c>
      <c r="Z10" s="436">
        <f t="shared" si="13"/>
        <v>0</v>
      </c>
      <c r="AA10" s="437">
        <f>[6]Seguimiento!$O7</f>
        <v>0</v>
      </c>
      <c r="AB10" s="438" t="str">
        <f t="shared" si="14"/>
        <v/>
      </c>
      <c r="AC10" s="439" t="s">
        <v>839</v>
      </c>
      <c r="AD10" s="434">
        <f>[6]Seguimiento!$P8</f>
        <v>0</v>
      </c>
      <c r="AE10" s="435">
        <f t="shared" si="1"/>
        <v>11</v>
      </c>
      <c r="AF10" s="436">
        <f t="shared" si="15"/>
        <v>0</v>
      </c>
      <c r="AG10" s="437">
        <f>[6]Seguimiento!$O8</f>
        <v>0</v>
      </c>
      <c r="AH10" s="438" t="str">
        <f t="shared" si="16"/>
        <v/>
      </c>
      <c r="AI10" s="439" t="s">
        <v>840</v>
      </c>
      <c r="AJ10" s="434">
        <f>[6]Seguimiento!$P9</f>
        <v>0</v>
      </c>
      <c r="AK10" s="435">
        <f t="shared" si="2"/>
        <v>11</v>
      </c>
      <c r="AL10" s="436">
        <f t="shared" si="17"/>
        <v>0</v>
      </c>
      <c r="AM10" s="437">
        <f>[6]Seguimiento!$O9</f>
        <v>0</v>
      </c>
      <c r="AN10" s="438" t="str">
        <f t="shared" si="18"/>
        <v/>
      </c>
      <c r="AO10" s="439" t="s">
        <v>841</v>
      </c>
      <c r="AP10" s="434">
        <f>[6]Seguimiento!$P10</f>
        <v>0</v>
      </c>
      <c r="AQ10" s="435">
        <f t="shared" si="3"/>
        <v>11</v>
      </c>
      <c r="AR10" s="436">
        <f t="shared" si="19"/>
        <v>0</v>
      </c>
      <c r="AS10" s="437">
        <f>[6]Seguimiento!$O10</f>
        <v>9.0909090909090912E-2</v>
      </c>
      <c r="AT10" s="438">
        <f t="shared" si="20"/>
        <v>0</v>
      </c>
      <c r="AU10" s="439" t="s">
        <v>842</v>
      </c>
      <c r="AV10" s="434">
        <f>[6]Seguimiento!$P11</f>
        <v>0</v>
      </c>
      <c r="AW10" s="435">
        <f t="shared" si="4"/>
        <v>11</v>
      </c>
      <c r="AX10" s="436">
        <f t="shared" si="21"/>
        <v>0</v>
      </c>
      <c r="AY10" s="437">
        <f>[6]Seguimiento!$O11</f>
        <v>0</v>
      </c>
      <c r="AZ10" s="438" t="str">
        <f t="shared" si="22"/>
        <v/>
      </c>
      <c r="BA10" s="439" t="s">
        <v>843</v>
      </c>
      <c r="BB10" s="441">
        <f>[6]Seguimiento!$P12</f>
        <v>1</v>
      </c>
      <c r="BC10" s="442">
        <f t="shared" si="5"/>
        <v>11</v>
      </c>
      <c r="BD10" s="443">
        <f t="shared" si="23"/>
        <v>9.0909090909090912E-2</v>
      </c>
      <c r="BE10" s="444">
        <f>[6]Seguimiento!$O12</f>
        <v>0</v>
      </c>
      <c r="BF10" s="444" t="str">
        <f t="shared" si="24"/>
        <v/>
      </c>
      <c r="BG10" s="445" t="s">
        <v>844</v>
      </c>
      <c r="BH10" s="441">
        <f>[6]Seguimiento!$P13</f>
        <v>0</v>
      </c>
      <c r="BI10" s="442">
        <f t="shared" si="6"/>
        <v>11</v>
      </c>
      <c r="BJ10" s="443">
        <f t="shared" si="25"/>
        <v>0</v>
      </c>
      <c r="BK10" s="444">
        <f>[6]Seguimiento!$O13</f>
        <v>0.18181818181818182</v>
      </c>
      <c r="BL10" s="444">
        <f>IF(BK10=0,"",BJ10/BK10)</f>
        <v>0</v>
      </c>
      <c r="BM10" s="445" t="s">
        <v>845</v>
      </c>
      <c r="BN10" s="441">
        <f>[6]Seguimiento!$P14</f>
        <v>0</v>
      </c>
      <c r="BO10" s="442">
        <f>$W10</f>
        <v>11</v>
      </c>
      <c r="BP10" s="443">
        <f t="shared" si="26"/>
        <v>0</v>
      </c>
      <c r="BQ10" s="444">
        <f>[6]Seguimiento!$O14</f>
        <v>9.0909090909090912E-2</v>
      </c>
      <c r="BR10" s="444">
        <f t="shared" si="27"/>
        <v>0</v>
      </c>
      <c r="BS10" s="445" t="s">
        <v>846</v>
      </c>
      <c r="BT10" s="441">
        <f>[6]Seguimiento!$P15</f>
        <v>1</v>
      </c>
      <c r="BU10" s="442">
        <f t="shared" si="8"/>
        <v>11</v>
      </c>
      <c r="BV10" s="443">
        <f t="shared" si="28"/>
        <v>9.0909090909090912E-2</v>
      </c>
      <c r="BW10" s="444">
        <f>[6]Seguimiento!$O15</f>
        <v>0.36363636363636365</v>
      </c>
      <c r="BX10" s="444">
        <f>IF(BW10=0,"",BV10/BW10)</f>
        <v>0.25</v>
      </c>
      <c r="BY10" s="445" t="s">
        <v>847</v>
      </c>
      <c r="BZ10" s="446">
        <f>[6]Seguimiento!$P16</f>
        <v>0</v>
      </c>
      <c r="CA10" s="447">
        <f t="shared" si="9"/>
        <v>11</v>
      </c>
      <c r="CB10" s="448">
        <f t="shared" si="30"/>
        <v>0</v>
      </c>
      <c r="CC10" s="437">
        <f>[6]Seguimiento!$O16</f>
        <v>0.18181818181818182</v>
      </c>
      <c r="CD10" s="437">
        <f t="shared" si="31"/>
        <v>0</v>
      </c>
      <c r="CE10" s="449" t="s">
        <v>848</v>
      </c>
      <c r="CF10" s="434">
        <f>[6]Seguimiento!$P17</f>
        <v>0</v>
      </c>
      <c r="CG10" s="435">
        <f t="shared" si="10"/>
        <v>11</v>
      </c>
      <c r="CH10" s="436">
        <f t="shared" si="32"/>
        <v>0</v>
      </c>
      <c r="CI10" s="437">
        <f>[6]Seguimiento!$O17</f>
        <v>0</v>
      </c>
      <c r="CJ10" s="438">
        <v>0</v>
      </c>
      <c r="CK10" s="445" t="s">
        <v>849</v>
      </c>
      <c r="CL10" s="446">
        <f>[6]Seguimiento!$P18</f>
        <v>2</v>
      </c>
      <c r="CM10" s="447">
        <f t="shared" si="11"/>
        <v>11</v>
      </c>
      <c r="CN10" s="448">
        <f t="shared" si="33"/>
        <v>0.18181818181818182</v>
      </c>
      <c r="CO10" s="437">
        <f>[6]Seguimiento!$O18</f>
        <v>9.0909090909090912E-2</v>
      </c>
      <c r="CP10" s="452">
        <f t="shared" ref="CP10:CP24" si="35">IF(CO10=0,"",CN10/CO10)</f>
        <v>2</v>
      </c>
      <c r="CQ10" s="451" t="s">
        <v>850</v>
      </c>
      <c r="CR10" s="446">
        <f>[6]Seguimiento!$P19</f>
        <v>4</v>
      </c>
      <c r="CS10" s="447">
        <f t="shared" si="12"/>
        <v>11</v>
      </c>
      <c r="CT10" s="448">
        <f t="shared" si="34"/>
        <v>0.36363636363636365</v>
      </c>
      <c r="CU10" s="437">
        <f>[6]Seguimiento!$O19</f>
        <v>1</v>
      </c>
      <c r="CV10" s="452">
        <f t="shared" ref="CV10:CV23" si="36">IF(CU10=0,"",CT10/CU10)</f>
        <v>0.36363636363636365</v>
      </c>
      <c r="CW10" s="453" t="s">
        <v>851</v>
      </c>
    </row>
    <row r="11" spans="1:101" ht="287.25" customHeight="1">
      <c r="B11" s="429" t="s">
        <v>416</v>
      </c>
      <c r="C11" s="429"/>
      <c r="D11" s="430" t="s">
        <v>852</v>
      </c>
      <c r="E11" s="430" t="s">
        <v>853</v>
      </c>
      <c r="F11" s="429" t="s">
        <v>854</v>
      </c>
      <c r="G11" s="429" t="s">
        <v>53</v>
      </c>
      <c r="H11" s="430" t="s">
        <v>855</v>
      </c>
      <c r="I11" s="429" t="s">
        <v>856</v>
      </c>
      <c r="J11" s="431" t="s">
        <v>54</v>
      </c>
      <c r="K11" s="432">
        <v>0</v>
      </c>
      <c r="L11" s="432"/>
      <c r="M11" s="432"/>
      <c r="N11" s="432"/>
      <c r="O11" s="432"/>
      <c r="P11" s="433"/>
      <c r="Q11" s="432"/>
      <c r="R11" s="432">
        <v>4</v>
      </c>
      <c r="S11" s="432"/>
      <c r="T11" s="432"/>
      <c r="U11" s="432"/>
      <c r="V11" s="432"/>
      <c r="W11" s="429">
        <f>SUM(L11:V11)</f>
        <v>4</v>
      </c>
      <c r="X11" s="460">
        <f>[6]Seguimiento!$D24</f>
        <v>0</v>
      </c>
      <c r="Y11" s="435">
        <f t="shared" si="0"/>
        <v>4</v>
      </c>
      <c r="Z11" s="436">
        <f t="shared" si="13"/>
        <v>0</v>
      </c>
      <c r="AA11" s="437">
        <f>[6]Seguimiento!$C24</f>
        <v>0</v>
      </c>
      <c r="AB11" s="438" t="str">
        <f t="shared" si="14"/>
        <v/>
      </c>
      <c r="AC11" s="439" t="s">
        <v>857</v>
      </c>
      <c r="AD11" s="460">
        <f>[6]Seguimiento!$D25</f>
        <v>0</v>
      </c>
      <c r="AE11" s="435">
        <f t="shared" si="1"/>
        <v>4</v>
      </c>
      <c r="AF11" s="436">
        <f t="shared" si="15"/>
        <v>0</v>
      </c>
      <c r="AG11" s="437">
        <f>[6]Seguimiento!$C25</f>
        <v>0</v>
      </c>
      <c r="AH11" s="438" t="str">
        <f t="shared" si="16"/>
        <v/>
      </c>
      <c r="AI11" s="439" t="s">
        <v>858</v>
      </c>
      <c r="AJ11" s="460">
        <f>[6]Seguimiento!$D26</f>
        <v>0</v>
      </c>
      <c r="AK11" s="435">
        <f t="shared" si="2"/>
        <v>4</v>
      </c>
      <c r="AL11" s="436">
        <f t="shared" si="17"/>
        <v>0</v>
      </c>
      <c r="AM11" s="437">
        <f>[6]Seguimiento!$C26</f>
        <v>0</v>
      </c>
      <c r="AN11" s="438" t="str">
        <f t="shared" si="18"/>
        <v/>
      </c>
      <c r="AO11" s="439" t="s">
        <v>859</v>
      </c>
      <c r="AP11" s="460">
        <f>[6]Seguimiento!$D27</f>
        <v>0</v>
      </c>
      <c r="AQ11" s="435">
        <f t="shared" si="3"/>
        <v>4</v>
      </c>
      <c r="AR11" s="436">
        <f t="shared" si="19"/>
        <v>0</v>
      </c>
      <c r="AS11" s="437">
        <f>[6]Seguimiento!$C27</f>
        <v>0</v>
      </c>
      <c r="AT11" s="438" t="str">
        <f t="shared" si="20"/>
        <v/>
      </c>
      <c r="AU11" s="439" t="s">
        <v>860</v>
      </c>
      <c r="AV11" s="460">
        <f>[6]Seguimiento!$D28</f>
        <v>0</v>
      </c>
      <c r="AW11" s="435">
        <f t="shared" si="4"/>
        <v>4</v>
      </c>
      <c r="AX11" s="436">
        <f t="shared" si="21"/>
        <v>0</v>
      </c>
      <c r="AY11" s="437">
        <f>[6]Seguimiento!$C28</f>
        <v>0</v>
      </c>
      <c r="AZ11" s="438" t="str">
        <f t="shared" si="22"/>
        <v/>
      </c>
      <c r="BA11" s="439" t="s">
        <v>861</v>
      </c>
      <c r="BB11" s="441">
        <f>[6]Seguimiento!$D29</f>
        <v>0</v>
      </c>
      <c r="BC11" s="442">
        <f t="shared" si="5"/>
        <v>4</v>
      </c>
      <c r="BD11" s="443">
        <f t="shared" si="23"/>
        <v>0</v>
      </c>
      <c r="BE11" s="444">
        <f>[6]Seguimiento!$C29</f>
        <v>0</v>
      </c>
      <c r="BF11" s="444" t="str">
        <f t="shared" si="24"/>
        <v/>
      </c>
      <c r="BG11" s="445" t="s">
        <v>862</v>
      </c>
      <c r="BH11" s="461">
        <f>[6]Seguimiento!$D30</f>
        <v>0</v>
      </c>
      <c r="BI11" s="442">
        <f t="shared" si="6"/>
        <v>4</v>
      </c>
      <c r="BJ11" s="443">
        <f t="shared" si="25"/>
        <v>0</v>
      </c>
      <c r="BK11" s="444">
        <f>[6]Seguimiento!$C30</f>
        <v>0</v>
      </c>
      <c r="BL11" s="444">
        <f>IF(BK11=0,0,BJ11/BK11)</f>
        <v>0</v>
      </c>
      <c r="BM11" s="445" t="s">
        <v>863</v>
      </c>
      <c r="BN11" s="461">
        <f>[6]Seguimiento!$D31</f>
        <v>0</v>
      </c>
      <c r="BO11" s="442">
        <f t="shared" si="7"/>
        <v>4</v>
      </c>
      <c r="BP11" s="443">
        <f t="shared" si="26"/>
        <v>0</v>
      </c>
      <c r="BQ11" s="444">
        <f>[6]Seguimiento!$C31</f>
        <v>1</v>
      </c>
      <c r="BR11" s="444">
        <f t="shared" si="27"/>
        <v>0</v>
      </c>
      <c r="BS11" s="445" t="s">
        <v>864</v>
      </c>
      <c r="BT11" s="461">
        <f>[6]Seguimiento!$D32</f>
        <v>0</v>
      </c>
      <c r="BU11" s="442">
        <f t="shared" si="8"/>
        <v>4</v>
      </c>
      <c r="BV11" s="443">
        <f t="shared" si="28"/>
        <v>0</v>
      </c>
      <c r="BW11" s="444">
        <f>[6]Seguimiento!$C32</f>
        <v>0</v>
      </c>
      <c r="BX11" s="444">
        <v>0</v>
      </c>
      <c r="BY11" s="462" t="s">
        <v>865</v>
      </c>
      <c r="BZ11" s="463">
        <f>[6]Seguimiento!$D33</f>
        <v>0</v>
      </c>
      <c r="CA11" s="447">
        <f t="shared" si="9"/>
        <v>4</v>
      </c>
      <c r="CB11" s="448">
        <f t="shared" si="30"/>
        <v>0</v>
      </c>
      <c r="CC11" s="437">
        <f>[6]Seguimiento!$C33</f>
        <v>0</v>
      </c>
      <c r="CD11" s="437">
        <v>0</v>
      </c>
      <c r="CE11" s="464" t="s">
        <v>866</v>
      </c>
      <c r="CF11" s="460">
        <f>[6]Seguimiento!$D34</f>
        <v>0</v>
      </c>
      <c r="CG11" s="435">
        <f t="shared" si="10"/>
        <v>4</v>
      </c>
      <c r="CH11" s="436">
        <f t="shared" si="32"/>
        <v>0</v>
      </c>
      <c r="CI11" s="437">
        <f>[6]Seguimiento!$C34</f>
        <v>0</v>
      </c>
      <c r="CJ11" s="438">
        <v>0</v>
      </c>
      <c r="CK11" s="462" t="s">
        <v>867</v>
      </c>
      <c r="CL11" s="463">
        <f>[6]Seguimiento!$D35</f>
        <v>0</v>
      </c>
      <c r="CM11" s="447">
        <f t="shared" si="11"/>
        <v>4</v>
      </c>
      <c r="CN11" s="448">
        <f t="shared" si="33"/>
        <v>0</v>
      </c>
      <c r="CO11" s="437">
        <f>[6]Seguimiento!$C35</f>
        <v>0</v>
      </c>
      <c r="CP11" s="452">
        <v>0</v>
      </c>
      <c r="CQ11" s="465" t="s">
        <v>868</v>
      </c>
      <c r="CR11" s="463">
        <f>[6]Seguimiento!$D36</f>
        <v>0</v>
      </c>
      <c r="CS11" s="447">
        <f t="shared" si="12"/>
        <v>4</v>
      </c>
      <c r="CT11" s="448">
        <f t="shared" si="34"/>
        <v>0</v>
      </c>
      <c r="CU11" s="437">
        <f>[6]Seguimiento!$C36</f>
        <v>1</v>
      </c>
      <c r="CV11" s="452">
        <f t="shared" si="36"/>
        <v>0</v>
      </c>
      <c r="CW11" s="466" t="s">
        <v>868</v>
      </c>
    </row>
    <row r="12" spans="1:101" ht="273.75" customHeight="1">
      <c r="B12" s="429" t="s">
        <v>416</v>
      </c>
      <c r="C12" s="429"/>
      <c r="D12" s="430" t="s">
        <v>869</v>
      </c>
      <c r="E12" s="430" t="s">
        <v>870</v>
      </c>
      <c r="F12" s="429" t="s">
        <v>871</v>
      </c>
      <c r="G12" s="429" t="s">
        <v>53</v>
      </c>
      <c r="H12" s="430" t="s">
        <v>872</v>
      </c>
      <c r="I12" s="429" t="s">
        <v>873</v>
      </c>
      <c r="J12" s="431" t="s">
        <v>54</v>
      </c>
      <c r="K12" s="467"/>
      <c r="L12" s="467"/>
      <c r="M12" s="467"/>
      <c r="N12" s="467"/>
      <c r="O12" s="467"/>
      <c r="P12" s="468"/>
      <c r="Q12" s="467"/>
      <c r="R12" s="467"/>
      <c r="S12" s="467"/>
      <c r="T12" s="467">
        <v>1</v>
      </c>
      <c r="U12" s="467">
        <v>1</v>
      </c>
      <c r="V12" s="467">
        <v>1</v>
      </c>
      <c r="W12" s="469">
        <f>SUM(K12:V12)</f>
        <v>3</v>
      </c>
      <c r="X12" s="434">
        <f>[6]Seguimiento!$J24</f>
        <v>0</v>
      </c>
      <c r="Y12" s="435">
        <f t="shared" si="0"/>
        <v>3</v>
      </c>
      <c r="Z12" s="436">
        <f t="shared" si="13"/>
        <v>0</v>
      </c>
      <c r="AA12" s="437">
        <f>[6]Seguimiento!$I24</f>
        <v>0</v>
      </c>
      <c r="AB12" s="438" t="str">
        <f>IF(AA12=0,"",Z12/AA12)</f>
        <v/>
      </c>
      <c r="AC12" s="439" t="s">
        <v>874</v>
      </c>
      <c r="AD12" s="434">
        <f>[6]Seguimiento!$J25</f>
        <v>0</v>
      </c>
      <c r="AE12" s="435">
        <f t="shared" si="1"/>
        <v>3</v>
      </c>
      <c r="AF12" s="436">
        <f t="shared" si="15"/>
        <v>0</v>
      </c>
      <c r="AG12" s="437">
        <f>[6]Seguimiento!$I25</f>
        <v>0</v>
      </c>
      <c r="AH12" s="438" t="str">
        <f t="shared" si="16"/>
        <v/>
      </c>
      <c r="AI12" s="439" t="s">
        <v>875</v>
      </c>
      <c r="AJ12" s="434">
        <f>[6]Seguimiento!$J26</f>
        <v>0</v>
      </c>
      <c r="AK12" s="435">
        <f t="shared" si="2"/>
        <v>3</v>
      </c>
      <c r="AL12" s="436">
        <f t="shared" si="17"/>
        <v>0</v>
      </c>
      <c r="AM12" s="437">
        <f>[6]Seguimiento!$I26</f>
        <v>0</v>
      </c>
      <c r="AN12" s="438" t="str">
        <f t="shared" si="18"/>
        <v/>
      </c>
      <c r="AO12" s="439" t="s">
        <v>876</v>
      </c>
      <c r="AP12" s="434">
        <f>[6]Seguimiento!$J27</f>
        <v>0</v>
      </c>
      <c r="AQ12" s="435">
        <f t="shared" si="3"/>
        <v>3</v>
      </c>
      <c r="AR12" s="436">
        <f t="shared" si="19"/>
        <v>0</v>
      </c>
      <c r="AS12" s="437">
        <f>[6]Seguimiento!$I27</f>
        <v>0</v>
      </c>
      <c r="AT12" s="438" t="str">
        <f t="shared" si="20"/>
        <v/>
      </c>
      <c r="AU12" s="439" t="s">
        <v>877</v>
      </c>
      <c r="AV12" s="434">
        <f>[6]Seguimiento!$J28</f>
        <v>0</v>
      </c>
      <c r="AW12" s="435">
        <f t="shared" si="4"/>
        <v>3</v>
      </c>
      <c r="AX12" s="436">
        <f t="shared" si="21"/>
        <v>0</v>
      </c>
      <c r="AY12" s="437">
        <f>[6]Seguimiento!$I28</f>
        <v>0</v>
      </c>
      <c r="AZ12" s="438" t="str">
        <f t="shared" si="22"/>
        <v/>
      </c>
      <c r="BA12" s="439" t="s">
        <v>878</v>
      </c>
      <c r="BB12" s="441">
        <f>[6]Seguimiento!$J29</f>
        <v>0</v>
      </c>
      <c r="BC12" s="442">
        <f t="shared" si="5"/>
        <v>3</v>
      </c>
      <c r="BD12" s="443">
        <f t="shared" si="23"/>
        <v>0</v>
      </c>
      <c r="BE12" s="444">
        <f>[6]Seguimiento!$I29</f>
        <v>0</v>
      </c>
      <c r="BF12" s="444" t="str">
        <f t="shared" si="24"/>
        <v/>
      </c>
      <c r="BG12" s="445" t="s">
        <v>879</v>
      </c>
      <c r="BH12" s="441">
        <f>[6]Seguimiento!$J30</f>
        <v>0</v>
      </c>
      <c r="BI12" s="442">
        <f t="shared" si="6"/>
        <v>3</v>
      </c>
      <c r="BJ12" s="443">
        <f t="shared" si="25"/>
        <v>0</v>
      </c>
      <c r="BK12" s="444">
        <f>[6]Seguimiento!$I30</f>
        <v>0</v>
      </c>
      <c r="BL12" s="444">
        <f>IF(BK12=0,0,BJ12/BK12)</f>
        <v>0</v>
      </c>
      <c r="BM12" s="445" t="s">
        <v>880</v>
      </c>
      <c r="BN12" s="441">
        <f>[6]Seguimiento!$J31</f>
        <v>0</v>
      </c>
      <c r="BO12" s="442">
        <f t="shared" si="7"/>
        <v>3</v>
      </c>
      <c r="BP12" s="443">
        <f t="shared" si="26"/>
        <v>0</v>
      </c>
      <c r="BQ12" s="444">
        <f>[6]Seguimiento!$I31</f>
        <v>0</v>
      </c>
      <c r="BR12" s="444">
        <v>0</v>
      </c>
      <c r="BS12" s="445" t="s">
        <v>881</v>
      </c>
      <c r="BT12" s="441">
        <f>[6]Seguimiento!$J32</f>
        <v>0</v>
      </c>
      <c r="BU12" s="442">
        <f t="shared" si="8"/>
        <v>3</v>
      </c>
      <c r="BV12" s="443">
        <f t="shared" si="28"/>
        <v>0</v>
      </c>
      <c r="BW12" s="444">
        <f>[6]Seguimiento!$I32</f>
        <v>0</v>
      </c>
      <c r="BX12" s="444">
        <v>0</v>
      </c>
      <c r="BY12" s="445" t="s">
        <v>882</v>
      </c>
      <c r="BZ12" s="446">
        <f>[6]Seguimiento!$J33</f>
        <v>0</v>
      </c>
      <c r="CA12" s="447">
        <f t="shared" si="9"/>
        <v>3</v>
      </c>
      <c r="CB12" s="448">
        <f t="shared" si="30"/>
        <v>0</v>
      </c>
      <c r="CC12" s="437">
        <f>[6]Seguimiento!$I33</f>
        <v>0.33333333333333331</v>
      </c>
      <c r="CD12" s="437">
        <f t="shared" si="31"/>
        <v>0</v>
      </c>
      <c r="CE12" s="449" t="s">
        <v>883</v>
      </c>
      <c r="CF12" s="434">
        <f>[6]Seguimiento!$J34</f>
        <v>0</v>
      </c>
      <c r="CG12" s="435">
        <f t="shared" si="10"/>
        <v>3</v>
      </c>
      <c r="CH12" s="436">
        <f t="shared" si="32"/>
        <v>0</v>
      </c>
      <c r="CI12" s="437">
        <f>[6]Seguimiento!$I34</f>
        <v>0.33333333333333331</v>
      </c>
      <c r="CJ12" s="438">
        <v>0</v>
      </c>
      <c r="CK12" s="445" t="s">
        <v>884</v>
      </c>
      <c r="CL12" s="446">
        <f>[6]Seguimiento!$J35</f>
        <v>0</v>
      </c>
      <c r="CM12" s="447">
        <f t="shared" si="11"/>
        <v>3</v>
      </c>
      <c r="CN12" s="448">
        <f t="shared" si="33"/>
        <v>0</v>
      </c>
      <c r="CO12" s="437">
        <f>[6]Seguimiento!$I35</f>
        <v>0.33333333333333331</v>
      </c>
      <c r="CP12" s="452">
        <f t="shared" si="35"/>
        <v>0</v>
      </c>
      <c r="CQ12" s="451" t="s">
        <v>885</v>
      </c>
      <c r="CR12" s="446">
        <f>[6]Seguimiento!$J36</f>
        <v>0</v>
      </c>
      <c r="CS12" s="447">
        <f t="shared" si="12"/>
        <v>3</v>
      </c>
      <c r="CT12" s="448">
        <f t="shared" si="34"/>
        <v>0</v>
      </c>
      <c r="CU12" s="437">
        <f>[6]Seguimiento!$I36</f>
        <v>1</v>
      </c>
      <c r="CV12" s="452">
        <f t="shared" si="36"/>
        <v>0</v>
      </c>
      <c r="CW12" s="470" t="s">
        <v>886</v>
      </c>
    </row>
    <row r="13" spans="1:101" ht="132" customHeight="1">
      <c r="B13" s="429" t="s">
        <v>416</v>
      </c>
      <c r="C13" s="429"/>
      <c r="D13" s="430" t="s">
        <v>887</v>
      </c>
      <c r="E13" s="429" t="s">
        <v>888</v>
      </c>
      <c r="F13" s="429" t="s">
        <v>889</v>
      </c>
      <c r="G13" s="430" t="s">
        <v>53</v>
      </c>
      <c r="H13" s="430" t="s">
        <v>890</v>
      </c>
      <c r="I13" s="429" t="s">
        <v>891</v>
      </c>
      <c r="J13" s="431" t="s">
        <v>54</v>
      </c>
      <c r="K13" s="467"/>
      <c r="L13" s="467"/>
      <c r="M13" s="467"/>
      <c r="N13" s="467"/>
      <c r="O13" s="467"/>
      <c r="P13" s="471"/>
      <c r="Q13" s="472"/>
      <c r="R13" s="472"/>
      <c r="S13" s="472"/>
      <c r="T13" s="472"/>
      <c r="U13" s="472"/>
      <c r="V13" s="473">
        <v>0.64</v>
      </c>
      <c r="W13" s="473">
        <f>SUM(K13:V13)</f>
        <v>0.64</v>
      </c>
      <c r="X13" s="434">
        <f>[6]Seguimiento!$P24</f>
        <v>0</v>
      </c>
      <c r="Y13" s="435">
        <f t="shared" si="0"/>
        <v>0.64</v>
      </c>
      <c r="Z13" s="436">
        <f t="shared" si="13"/>
        <v>0</v>
      </c>
      <c r="AA13" s="437">
        <f>[6]Seguimiento!$O24</f>
        <v>0</v>
      </c>
      <c r="AB13" s="438" t="str">
        <f t="shared" si="14"/>
        <v/>
      </c>
      <c r="AC13" s="439" t="s">
        <v>892</v>
      </c>
      <c r="AD13" s="434">
        <f>[6]Seguimiento!$P25</f>
        <v>0</v>
      </c>
      <c r="AE13" s="435">
        <f t="shared" si="1"/>
        <v>0.64</v>
      </c>
      <c r="AF13" s="436">
        <f t="shared" si="15"/>
        <v>0</v>
      </c>
      <c r="AG13" s="437">
        <f>[6]Seguimiento!$O25</f>
        <v>0</v>
      </c>
      <c r="AH13" s="438" t="str">
        <f t="shared" si="16"/>
        <v/>
      </c>
      <c r="AI13" s="439" t="s">
        <v>893</v>
      </c>
      <c r="AJ13" s="434">
        <f>[6]Seguimiento!$P26</f>
        <v>0</v>
      </c>
      <c r="AK13" s="435">
        <f t="shared" si="2"/>
        <v>0.64</v>
      </c>
      <c r="AL13" s="436">
        <f t="shared" si="17"/>
        <v>0</v>
      </c>
      <c r="AM13" s="437">
        <f>[6]Seguimiento!$O26</f>
        <v>0</v>
      </c>
      <c r="AN13" s="438" t="str">
        <f t="shared" si="18"/>
        <v/>
      </c>
      <c r="AO13" s="439" t="s">
        <v>894</v>
      </c>
      <c r="AP13" s="434">
        <f>[6]Seguimiento!$P27</f>
        <v>0</v>
      </c>
      <c r="AQ13" s="435">
        <f t="shared" si="3"/>
        <v>0.64</v>
      </c>
      <c r="AR13" s="436">
        <f t="shared" si="19"/>
        <v>0</v>
      </c>
      <c r="AS13" s="437">
        <f>[6]Seguimiento!$O27</f>
        <v>0</v>
      </c>
      <c r="AT13" s="438" t="str">
        <f t="shared" si="20"/>
        <v/>
      </c>
      <c r="AU13" s="439" t="s">
        <v>895</v>
      </c>
      <c r="AV13" s="434">
        <f>[6]Seguimiento!$P28</f>
        <v>0</v>
      </c>
      <c r="AW13" s="435">
        <f t="shared" si="4"/>
        <v>0.64</v>
      </c>
      <c r="AX13" s="436">
        <f t="shared" si="21"/>
        <v>0</v>
      </c>
      <c r="AY13" s="437">
        <f>[6]Seguimiento!$O28</f>
        <v>0</v>
      </c>
      <c r="AZ13" s="438"/>
      <c r="BA13" s="439" t="s">
        <v>896</v>
      </c>
      <c r="BB13" s="441">
        <f>[6]Seguimiento!$P29</f>
        <v>0</v>
      </c>
      <c r="BC13" s="442">
        <f t="shared" si="5"/>
        <v>0.64</v>
      </c>
      <c r="BD13" s="443">
        <f t="shared" si="23"/>
        <v>0</v>
      </c>
      <c r="BE13" s="444">
        <f>[6]Seguimiento!$O29</f>
        <v>0</v>
      </c>
      <c r="BF13" s="444" t="str">
        <f t="shared" si="24"/>
        <v/>
      </c>
      <c r="BG13" s="445" t="s">
        <v>897</v>
      </c>
      <c r="BH13" s="441">
        <f>[6]Seguimiento!$P30</f>
        <v>0</v>
      </c>
      <c r="BI13" s="442">
        <f>$W13</f>
        <v>0.64</v>
      </c>
      <c r="BJ13" s="443">
        <f t="shared" si="25"/>
        <v>0</v>
      </c>
      <c r="BK13" s="444">
        <f>[6]Seguimiento!$O30</f>
        <v>0</v>
      </c>
      <c r="BL13" s="444">
        <f>IF(BK13=0,0,BJ13/BK13)</f>
        <v>0</v>
      </c>
      <c r="BM13" s="445" t="s">
        <v>898</v>
      </c>
      <c r="BN13" s="441">
        <f>[6]Seguimiento!$P31</f>
        <v>0</v>
      </c>
      <c r="BO13" s="442">
        <f t="shared" si="7"/>
        <v>0.64</v>
      </c>
      <c r="BP13" s="443">
        <f t="shared" si="26"/>
        <v>0</v>
      </c>
      <c r="BQ13" s="444">
        <f>[6]Seguimiento!$O31</f>
        <v>0</v>
      </c>
      <c r="BR13" s="444">
        <v>0</v>
      </c>
      <c r="BS13" s="445" t="s">
        <v>899</v>
      </c>
      <c r="BT13" s="441">
        <f>[6]Seguimiento!$P32</f>
        <v>0</v>
      </c>
      <c r="BU13" s="442">
        <f t="shared" si="8"/>
        <v>0.64</v>
      </c>
      <c r="BV13" s="443">
        <f t="shared" si="28"/>
        <v>0</v>
      </c>
      <c r="BW13" s="444">
        <f>[6]Seguimiento!$O32</f>
        <v>0</v>
      </c>
      <c r="BX13" s="444">
        <v>0</v>
      </c>
      <c r="BY13" s="445" t="s">
        <v>900</v>
      </c>
      <c r="BZ13" s="446">
        <f>[6]Seguimiento!$P33</f>
        <v>0</v>
      </c>
      <c r="CA13" s="447">
        <f t="shared" si="9"/>
        <v>0.64</v>
      </c>
      <c r="CB13" s="448">
        <f t="shared" si="30"/>
        <v>0</v>
      </c>
      <c r="CC13" s="437">
        <f>[6]Seguimiento!$O33</f>
        <v>0</v>
      </c>
      <c r="CD13" s="437">
        <v>0</v>
      </c>
      <c r="CE13" s="449" t="s">
        <v>901</v>
      </c>
      <c r="CF13" s="434">
        <f>[6]Seguimiento!$P34</f>
        <v>0</v>
      </c>
      <c r="CG13" s="435">
        <f t="shared" si="10"/>
        <v>0.64</v>
      </c>
      <c r="CH13" s="436">
        <f t="shared" si="32"/>
        <v>0</v>
      </c>
      <c r="CI13" s="437">
        <f>[6]Seguimiento!$O34</f>
        <v>0</v>
      </c>
      <c r="CJ13" s="438">
        <v>0</v>
      </c>
      <c r="CK13" s="445" t="s">
        <v>902</v>
      </c>
      <c r="CL13" s="437">
        <f>[6]Seguimiento!$P35</f>
        <v>0.55000000000000004</v>
      </c>
      <c r="CM13" s="447">
        <f t="shared" si="11"/>
        <v>0.64</v>
      </c>
      <c r="CN13" s="448">
        <f t="shared" si="33"/>
        <v>0.859375</v>
      </c>
      <c r="CO13" s="437">
        <f>[6]Seguimiento!$O35</f>
        <v>1</v>
      </c>
      <c r="CP13" s="452">
        <f t="shared" si="35"/>
        <v>0.859375</v>
      </c>
      <c r="CQ13" s="451" t="s">
        <v>903</v>
      </c>
      <c r="CR13" s="437">
        <f>[6]Seguimiento!$P36</f>
        <v>0.55000000000000004</v>
      </c>
      <c r="CS13" s="437">
        <f t="shared" si="12"/>
        <v>0.64</v>
      </c>
      <c r="CT13" s="448">
        <f t="shared" si="34"/>
        <v>0.859375</v>
      </c>
      <c r="CU13" s="437">
        <f>[6]Seguimiento!$O36</f>
        <v>1</v>
      </c>
      <c r="CV13" s="452">
        <f t="shared" si="36"/>
        <v>0.859375</v>
      </c>
      <c r="CW13" s="459" t="s">
        <v>904</v>
      </c>
    </row>
    <row r="14" spans="1:101" ht="212.25" customHeight="1">
      <c r="B14" s="429" t="s">
        <v>905</v>
      </c>
      <c r="C14" s="429"/>
      <c r="D14" s="430" t="s">
        <v>906</v>
      </c>
      <c r="E14" s="429" t="s">
        <v>907</v>
      </c>
      <c r="F14" s="474" t="s">
        <v>908</v>
      </c>
      <c r="G14" s="430" t="s">
        <v>53</v>
      </c>
      <c r="H14" s="430" t="s">
        <v>909</v>
      </c>
      <c r="I14" s="429" t="s">
        <v>910</v>
      </c>
      <c r="J14" s="431" t="s">
        <v>54</v>
      </c>
      <c r="K14" s="467"/>
      <c r="L14" s="467"/>
      <c r="M14" s="467"/>
      <c r="N14" s="467"/>
      <c r="O14" s="467"/>
      <c r="P14" s="471"/>
      <c r="Q14" s="472"/>
      <c r="R14" s="472"/>
      <c r="S14" s="472"/>
      <c r="T14" s="472"/>
      <c r="U14" s="472"/>
      <c r="V14" s="473">
        <v>1</v>
      </c>
      <c r="W14" s="473">
        <f>SUM(K14:V14)</f>
        <v>1</v>
      </c>
      <c r="X14" s="475">
        <f>[6]Seguimiento!$D41</f>
        <v>0</v>
      </c>
      <c r="Y14" s="476">
        <f t="shared" si="0"/>
        <v>1</v>
      </c>
      <c r="Z14" s="436">
        <f t="shared" si="13"/>
        <v>0</v>
      </c>
      <c r="AA14" s="437">
        <f>[6]Seguimiento!$C41</f>
        <v>0</v>
      </c>
      <c r="AB14" s="438" t="str">
        <f t="shared" si="14"/>
        <v/>
      </c>
      <c r="AC14" s="439" t="s">
        <v>911</v>
      </c>
      <c r="AD14" s="475">
        <f>[6]Seguimiento!$D42</f>
        <v>0</v>
      </c>
      <c r="AE14" s="476">
        <f t="shared" si="1"/>
        <v>1</v>
      </c>
      <c r="AF14" s="436">
        <f t="shared" si="15"/>
        <v>0</v>
      </c>
      <c r="AG14" s="437">
        <f>[6]Seguimiento!$C42</f>
        <v>0</v>
      </c>
      <c r="AH14" s="438" t="str">
        <f t="shared" si="16"/>
        <v/>
      </c>
      <c r="AI14" s="439" t="s">
        <v>912</v>
      </c>
      <c r="AJ14" s="475">
        <f>[6]Seguimiento!$D43</f>
        <v>0</v>
      </c>
      <c r="AK14" s="476">
        <f t="shared" si="2"/>
        <v>1</v>
      </c>
      <c r="AL14" s="436">
        <f t="shared" si="17"/>
        <v>0</v>
      </c>
      <c r="AM14" s="437">
        <f>[6]Seguimiento!$C43</f>
        <v>0</v>
      </c>
      <c r="AN14" s="438" t="str">
        <f t="shared" si="18"/>
        <v/>
      </c>
      <c r="AO14" s="439" t="s">
        <v>913</v>
      </c>
      <c r="AP14" s="475">
        <f>[6]Seguimiento!$D44</f>
        <v>0</v>
      </c>
      <c r="AQ14" s="476">
        <f>$W14</f>
        <v>1</v>
      </c>
      <c r="AR14" s="436">
        <f t="shared" si="19"/>
        <v>0</v>
      </c>
      <c r="AS14" s="437">
        <f>[6]Seguimiento!$C44</f>
        <v>0</v>
      </c>
      <c r="AT14" s="438" t="str">
        <f t="shared" si="20"/>
        <v/>
      </c>
      <c r="AU14" s="439" t="s">
        <v>914</v>
      </c>
      <c r="AV14" s="475">
        <f>[6]Seguimiento!$D45</f>
        <v>0</v>
      </c>
      <c r="AW14" s="476">
        <f t="shared" si="4"/>
        <v>1</v>
      </c>
      <c r="AX14" s="436">
        <f t="shared" si="21"/>
        <v>0</v>
      </c>
      <c r="AY14" s="437">
        <f>[6]Seguimiento!$C45</f>
        <v>0</v>
      </c>
      <c r="AZ14" s="438" t="str">
        <f t="shared" si="22"/>
        <v/>
      </c>
      <c r="BA14" s="439" t="s">
        <v>915</v>
      </c>
      <c r="BB14" s="441">
        <f>[6]Seguimiento!$D46</f>
        <v>0</v>
      </c>
      <c r="BC14" s="442">
        <f t="shared" si="5"/>
        <v>1</v>
      </c>
      <c r="BD14" s="443">
        <f t="shared" si="23"/>
        <v>0</v>
      </c>
      <c r="BE14" s="444">
        <f>[6]Seguimiento!$C46</f>
        <v>0</v>
      </c>
      <c r="BF14" s="444" t="str">
        <f t="shared" si="24"/>
        <v/>
      </c>
      <c r="BG14" s="445" t="s">
        <v>916</v>
      </c>
      <c r="BH14" s="477">
        <f>[6]Seguimiento!$D47</f>
        <v>0</v>
      </c>
      <c r="BI14" s="444">
        <f t="shared" si="6"/>
        <v>1</v>
      </c>
      <c r="BJ14" s="443">
        <f t="shared" si="25"/>
        <v>0</v>
      </c>
      <c r="BK14" s="444">
        <f>[6]Seguimiento!$C47</f>
        <v>0</v>
      </c>
      <c r="BL14" s="444">
        <f>IF(BK14=0,0,BJ14/BK14)</f>
        <v>0</v>
      </c>
      <c r="BM14" s="445" t="s">
        <v>917</v>
      </c>
      <c r="BN14" s="477">
        <f>[6]Seguimiento!$D48</f>
        <v>0</v>
      </c>
      <c r="BO14" s="444">
        <f t="shared" si="7"/>
        <v>1</v>
      </c>
      <c r="BP14" s="443">
        <f t="shared" si="26"/>
        <v>0</v>
      </c>
      <c r="BQ14" s="444">
        <f>[6]Seguimiento!$C48</f>
        <v>0</v>
      </c>
      <c r="BR14" s="444">
        <v>0</v>
      </c>
      <c r="BS14" s="445" t="s">
        <v>918</v>
      </c>
      <c r="BT14" s="477">
        <f>[6]Seguimiento!$D49</f>
        <v>0</v>
      </c>
      <c r="BU14" s="444">
        <f t="shared" si="8"/>
        <v>1</v>
      </c>
      <c r="BV14" s="443">
        <f t="shared" si="28"/>
        <v>0</v>
      </c>
      <c r="BW14" s="444">
        <f>[6]Seguimiento!$C49</f>
        <v>0</v>
      </c>
      <c r="BX14" s="444">
        <v>0</v>
      </c>
      <c r="BY14" s="445" t="s">
        <v>919</v>
      </c>
      <c r="BZ14" s="478">
        <f>[6]Seguimiento!$D50</f>
        <v>0</v>
      </c>
      <c r="CA14" s="437">
        <f t="shared" si="9"/>
        <v>1</v>
      </c>
      <c r="CB14" s="448">
        <f t="shared" si="30"/>
        <v>0</v>
      </c>
      <c r="CC14" s="437">
        <f>[6]Seguimiento!$C50</f>
        <v>0</v>
      </c>
      <c r="CD14" s="437">
        <v>0</v>
      </c>
      <c r="CE14" s="449" t="s">
        <v>920</v>
      </c>
      <c r="CF14" s="475">
        <f>[6]Seguimiento!$D51</f>
        <v>0</v>
      </c>
      <c r="CG14" s="476">
        <f t="shared" si="10"/>
        <v>1</v>
      </c>
      <c r="CH14" s="436">
        <f t="shared" si="32"/>
        <v>0</v>
      </c>
      <c r="CI14" s="437">
        <f>[6]Seguimiento!$C51</f>
        <v>0</v>
      </c>
      <c r="CJ14" s="438">
        <v>0</v>
      </c>
      <c r="CK14" s="445" t="s">
        <v>921</v>
      </c>
      <c r="CL14" s="478">
        <f>[6]Seguimiento!$D52</f>
        <v>0.96</v>
      </c>
      <c r="CM14" s="437">
        <f t="shared" si="11"/>
        <v>1</v>
      </c>
      <c r="CN14" s="448">
        <f t="shared" si="33"/>
        <v>0.96</v>
      </c>
      <c r="CO14" s="437">
        <f>[6]Seguimiento!$C52</f>
        <v>1</v>
      </c>
      <c r="CP14" s="452">
        <f t="shared" si="35"/>
        <v>0.96</v>
      </c>
      <c r="CQ14" s="479" t="s">
        <v>922</v>
      </c>
      <c r="CR14" s="480">
        <f>[6]Seguimiento!$D53</f>
        <v>0.96</v>
      </c>
      <c r="CS14" s="437">
        <f t="shared" si="12"/>
        <v>1</v>
      </c>
      <c r="CT14" s="448">
        <f t="shared" si="34"/>
        <v>0.96</v>
      </c>
      <c r="CU14" s="437">
        <f>[6]Seguimiento!$C53</f>
        <v>1</v>
      </c>
      <c r="CV14" s="452">
        <f t="shared" si="36"/>
        <v>0.96</v>
      </c>
      <c r="CW14" s="470" t="s">
        <v>922</v>
      </c>
    </row>
    <row r="15" spans="1:101" ht="409.5" customHeight="1">
      <c r="B15" s="429" t="s">
        <v>905</v>
      </c>
      <c r="C15" s="429"/>
      <c r="D15" s="430" t="s">
        <v>923</v>
      </c>
      <c r="E15" s="429" t="s">
        <v>924</v>
      </c>
      <c r="F15" s="474" t="s">
        <v>925</v>
      </c>
      <c r="G15" s="430" t="s">
        <v>53</v>
      </c>
      <c r="H15" s="430" t="s">
        <v>926</v>
      </c>
      <c r="I15" s="429" t="s">
        <v>927</v>
      </c>
      <c r="J15" s="431" t="s">
        <v>54</v>
      </c>
      <c r="K15" s="467"/>
      <c r="L15" s="467"/>
      <c r="M15" s="467"/>
      <c r="N15" s="467"/>
      <c r="O15" s="467"/>
      <c r="P15" s="471"/>
      <c r="Q15" s="472"/>
      <c r="R15" s="472"/>
      <c r="S15" s="472"/>
      <c r="T15" s="472"/>
      <c r="U15" s="472"/>
      <c r="V15" s="473">
        <v>1</v>
      </c>
      <c r="W15" s="473">
        <f>SUM(K15:V15)</f>
        <v>1</v>
      </c>
      <c r="X15" s="476">
        <f>[6]Seguimiento!$J41</f>
        <v>0</v>
      </c>
      <c r="Y15" s="476">
        <f t="shared" si="0"/>
        <v>1</v>
      </c>
      <c r="Z15" s="436">
        <f t="shared" si="13"/>
        <v>0</v>
      </c>
      <c r="AA15" s="437">
        <f>[6]Seguimiento!$I41</f>
        <v>0</v>
      </c>
      <c r="AB15" s="438" t="str">
        <f t="shared" si="14"/>
        <v/>
      </c>
      <c r="AC15" s="439" t="s">
        <v>928</v>
      </c>
      <c r="AD15" s="476">
        <f>[6]Seguimiento!$J42</f>
        <v>0</v>
      </c>
      <c r="AE15" s="476">
        <f t="shared" si="1"/>
        <v>1</v>
      </c>
      <c r="AF15" s="436">
        <f t="shared" si="15"/>
        <v>0</v>
      </c>
      <c r="AG15" s="437">
        <f>[6]Seguimiento!$I42</f>
        <v>0</v>
      </c>
      <c r="AH15" s="438" t="str">
        <f t="shared" si="16"/>
        <v/>
      </c>
      <c r="AI15" s="439" t="s">
        <v>929</v>
      </c>
      <c r="AJ15" s="476">
        <f>[6]Seguimiento!$J43</f>
        <v>0</v>
      </c>
      <c r="AK15" s="476">
        <f t="shared" si="2"/>
        <v>1</v>
      </c>
      <c r="AL15" s="436">
        <f t="shared" si="17"/>
        <v>0</v>
      </c>
      <c r="AM15" s="437">
        <f>[6]Seguimiento!$I43</f>
        <v>0</v>
      </c>
      <c r="AN15" s="438" t="str">
        <f t="shared" si="18"/>
        <v/>
      </c>
      <c r="AO15" s="439" t="s">
        <v>930</v>
      </c>
      <c r="AP15" s="476">
        <f>[6]Seguimiento!$J44</f>
        <v>0</v>
      </c>
      <c r="AQ15" s="476">
        <f t="shared" si="3"/>
        <v>1</v>
      </c>
      <c r="AR15" s="436">
        <f t="shared" si="19"/>
        <v>0</v>
      </c>
      <c r="AS15" s="437">
        <f>[6]Seguimiento!$I44</f>
        <v>0</v>
      </c>
      <c r="AT15" s="438" t="str">
        <f t="shared" si="20"/>
        <v/>
      </c>
      <c r="AU15" s="439" t="s">
        <v>931</v>
      </c>
      <c r="AV15" s="476">
        <f>[6]Seguimiento!$J45</f>
        <v>0</v>
      </c>
      <c r="AW15" s="476">
        <f t="shared" si="4"/>
        <v>1</v>
      </c>
      <c r="AX15" s="436">
        <f t="shared" si="21"/>
        <v>0</v>
      </c>
      <c r="AY15" s="437">
        <f>[6]Seguimiento!$I45</f>
        <v>0</v>
      </c>
      <c r="AZ15" s="438" t="str">
        <f t="shared" si="22"/>
        <v/>
      </c>
      <c r="BA15" s="439" t="s">
        <v>932</v>
      </c>
      <c r="BB15" s="441">
        <f>[6]Seguimiento!$J46</f>
        <v>0</v>
      </c>
      <c r="BC15" s="442">
        <f t="shared" si="5"/>
        <v>1</v>
      </c>
      <c r="BD15" s="443">
        <f t="shared" si="23"/>
        <v>0</v>
      </c>
      <c r="BE15" s="444">
        <f>[6]Seguimiento!$I46</f>
        <v>0</v>
      </c>
      <c r="BF15" s="444" t="str">
        <f t="shared" si="24"/>
        <v/>
      </c>
      <c r="BG15" s="445" t="s">
        <v>933</v>
      </c>
      <c r="BH15" s="444">
        <f>[6]Seguimiento!$J47</f>
        <v>0</v>
      </c>
      <c r="BI15" s="444">
        <f t="shared" si="6"/>
        <v>1</v>
      </c>
      <c r="BJ15" s="443">
        <f t="shared" si="25"/>
        <v>0</v>
      </c>
      <c r="BK15" s="444">
        <f>[6]Seguimiento!$I47</f>
        <v>0</v>
      </c>
      <c r="BL15" s="444">
        <f>IF(BK15=0,0,BJ15/BK15)</f>
        <v>0</v>
      </c>
      <c r="BM15" s="445" t="s">
        <v>934</v>
      </c>
      <c r="BN15" s="444">
        <f>[6]Seguimiento!$J48</f>
        <v>0</v>
      </c>
      <c r="BO15" s="444">
        <f t="shared" si="7"/>
        <v>1</v>
      </c>
      <c r="BP15" s="443">
        <f t="shared" si="26"/>
        <v>0</v>
      </c>
      <c r="BQ15" s="444">
        <f>[6]Seguimiento!$I48</f>
        <v>0</v>
      </c>
      <c r="BR15" s="444">
        <v>0</v>
      </c>
      <c r="BS15" s="445" t="s">
        <v>935</v>
      </c>
      <c r="BT15" s="444">
        <f>[6]Seguimiento!$J49</f>
        <v>0</v>
      </c>
      <c r="BU15" s="444">
        <f t="shared" si="8"/>
        <v>1</v>
      </c>
      <c r="BV15" s="443">
        <f t="shared" si="28"/>
        <v>0</v>
      </c>
      <c r="BW15" s="444">
        <f>[6]Seguimiento!$I49</f>
        <v>0</v>
      </c>
      <c r="BX15" s="444">
        <v>0</v>
      </c>
      <c r="BY15" s="445" t="s">
        <v>936</v>
      </c>
      <c r="BZ15" s="437">
        <f>[6]Seguimiento!$J50</f>
        <v>0</v>
      </c>
      <c r="CA15" s="437">
        <f t="shared" si="9"/>
        <v>1</v>
      </c>
      <c r="CB15" s="448">
        <f t="shared" si="30"/>
        <v>0</v>
      </c>
      <c r="CC15" s="437">
        <f>[6]Seguimiento!$I50</f>
        <v>0</v>
      </c>
      <c r="CD15" s="437">
        <v>0</v>
      </c>
      <c r="CE15" s="449" t="s">
        <v>937</v>
      </c>
      <c r="CF15" s="476">
        <f>[6]Seguimiento!$J51</f>
        <v>0</v>
      </c>
      <c r="CG15" s="476">
        <f t="shared" si="10"/>
        <v>1</v>
      </c>
      <c r="CH15" s="436">
        <f t="shared" si="32"/>
        <v>0</v>
      </c>
      <c r="CI15" s="437">
        <f>[6]Seguimiento!$I51</f>
        <v>0</v>
      </c>
      <c r="CJ15" s="438">
        <v>0</v>
      </c>
      <c r="CK15" s="445" t="s">
        <v>938</v>
      </c>
      <c r="CL15" s="437">
        <f>[6]Seguimiento!$J52</f>
        <v>0.8</v>
      </c>
      <c r="CM15" s="437">
        <f t="shared" si="11"/>
        <v>1</v>
      </c>
      <c r="CN15" s="448">
        <f t="shared" si="33"/>
        <v>0.8</v>
      </c>
      <c r="CO15" s="437">
        <f>[6]Seguimiento!$I52</f>
        <v>1</v>
      </c>
      <c r="CP15" s="452">
        <f t="shared" si="35"/>
        <v>0.8</v>
      </c>
      <c r="CQ15" s="470" t="s">
        <v>939</v>
      </c>
      <c r="CR15" s="437">
        <f>[6]Seguimiento!$J53</f>
        <v>0.8</v>
      </c>
      <c r="CS15" s="437">
        <f t="shared" si="12"/>
        <v>1</v>
      </c>
      <c r="CT15" s="448">
        <f t="shared" si="34"/>
        <v>0.8</v>
      </c>
      <c r="CU15" s="437">
        <f>[6]Seguimiento!$I53</f>
        <v>1</v>
      </c>
      <c r="CV15" s="452">
        <f t="shared" si="36"/>
        <v>0.8</v>
      </c>
      <c r="CW15" s="470" t="s">
        <v>940</v>
      </c>
    </row>
    <row r="16" spans="1:101" ht="40.5" customHeight="1">
      <c r="B16" s="481"/>
      <c r="C16" s="482"/>
      <c r="D16" s="483"/>
      <c r="E16" s="483"/>
      <c r="F16" s="482"/>
      <c r="G16" s="482"/>
      <c r="H16" s="483" t="s">
        <v>49</v>
      </c>
      <c r="I16" s="482"/>
      <c r="J16" s="482"/>
      <c r="K16" s="484"/>
      <c r="L16" s="484"/>
      <c r="M16" s="485"/>
      <c r="N16" s="484"/>
      <c r="O16" s="484"/>
      <c r="P16" s="486"/>
      <c r="Q16" s="486"/>
      <c r="R16" s="486"/>
      <c r="S16" s="486"/>
      <c r="T16" s="486"/>
      <c r="U16" s="486"/>
      <c r="V16" s="486"/>
      <c r="W16" s="481"/>
      <c r="X16" s="483"/>
      <c r="Y16" s="483"/>
      <c r="Z16" s="436"/>
      <c r="AA16" s="483"/>
      <c r="AB16" s="438"/>
      <c r="AC16" s="482"/>
      <c r="AD16" s="483"/>
      <c r="AE16" s="483"/>
      <c r="AF16" s="436"/>
      <c r="AG16" s="483"/>
      <c r="AH16" s="438"/>
      <c r="AI16" s="482"/>
      <c r="AJ16" s="483"/>
      <c r="AK16" s="483"/>
      <c r="AL16" s="436"/>
      <c r="AM16" s="483"/>
      <c r="AN16" s="438"/>
      <c r="AO16" s="482"/>
      <c r="AP16" s="483"/>
      <c r="AQ16" s="483"/>
      <c r="AR16" s="436"/>
      <c r="AS16" s="483"/>
      <c r="AT16" s="438"/>
      <c r="AU16" s="482"/>
      <c r="AV16" s="483"/>
      <c r="AW16" s="483"/>
      <c r="AX16" s="436"/>
      <c r="AY16" s="483"/>
      <c r="AZ16" s="438"/>
      <c r="BA16" s="482"/>
      <c r="BB16" s="483"/>
      <c r="BC16" s="483"/>
      <c r="BD16" s="436"/>
      <c r="BE16" s="483"/>
      <c r="BF16" s="438"/>
      <c r="BG16" s="487"/>
      <c r="BH16" s="488"/>
      <c r="BI16" s="488"/>
      <c r="BJ16" s="443"/>
      <c r="BK16" s="488"/>
      <c r="BL16" s="444"/>
      <c r="BM16" s="474"/>
      <c r="BN16" s="488"/>
      <c r="BO16" s="488"/>
      <c r="BP16" s="443"/>
      <c r="BQ16" s="488"/>
      <c r="BR16" s="444"/>
      <c r="BS16" s="474"/>
      <c r="BT16" s="488"/>
      <c r="BU16" s="488"/>
      <c r="BV16" s="443"/>
      <c r="BW16" s="488"/>
      <c r="BX16" s="444"/>
      <c r="BY16" s="474"/>
      <c r="BZ16" s="430"/>
      <c r="CA16" s="430"/>
      <c r="CB16" s="448"/>
      <c r="CC16" s="430"/>
      <c r="CD16" s="437"/>
      <c r="CE16" s="429"/>
      <c r="CF16" s="483"/>
      <c r="CG16" s="483"/>
      <c r="CH16" s="436"/>
      <c r="CI16" s="483"/>
      <c r="CJ16" s="438"/>
      <c r="CK16" s="474"/>
      <c r="CL16" s="430"/>
      <c r="CM16" s="430"/>
      <c r="CN16" s="448"/>
      <c r="CO16" s="430"/>
      <c r="CP16" s="452"/>
      <c r="CQ16" s="489"/>
      <c r="CR16" s="430"/>
      <c r="CS16" s="430"/>
      <c r="CT16" s="448"/>
      <c r="CU16" s="430"/>
      <c r="CV16" s="452"/>
      <c r="CW16" s="429"/>
    </row>
    <row r="17" spans="2:101" ht="165.75" customHeight="1">
      <c r="B17" s="429" t="s">
        <v>250</v>
      </c>
      <c r="C17" s="429" t="s">
        <v>156</v>
      </c>
      <c r="D17" s="430" t="s">
        <v>941</v>
      </c>
      <c r="E17" s="430" t="s">
        <v>158</v>
      </c>
      <c r="F17" s="429" t="s">
        <v>251</v>
      </c>
      <c r="G17" s="429" t="s">
        <v>53</v>
      </c>
      <c r="H17" s="430" t="s">
        <v>160</v>
      </c>
      <c r="I17" s="429" t="s">
        <v>161</v>
      </c>
      <c r="J17" s="429" t="s">
        <v>54</v>
      </c>
      <c r="K17" s="432"/>
      <c r="L17" s="432"/>
      <c r="M17" s="473"/>
      <c r="N17" s="473">
        <v>1</v>
      </c>
      <c r="O17" s="432"/>
      <c r="P17" s="490">
        <v>1</v>
      </c>
      <c r="Q17" s="491"/>
      <c r="R17" s="491"/>
      <c r="S17" s="473">
        <v>1</v>
      </c>
      <c r="T17" s="491"/>
      <c r="U17" s="491"/>
      <c r="V17" s="473">
        <v>1</v>
      </c>
      <c r="W17" s="473">
        <v>1</v>
      </c>
      <c r="X17" s="492">
        <v>0</v>
      </c>
      <c r="Y17" s="435"/>
      <c r="Z17" s="436" t="str">
        <f>IF(Y17=0," ",X17/Y17)</f>
        <v xml:space="preserve"> </v>
      </c>
      <c r="AA17" s="493">
        <v>0</v>
      </c>
      <c r="AB17" s="436" t="str">
        <f>IF(Y17=0," ",Z17/AA17)</f>
        <v xml:space="preserve"> </v>
      </c>
      <c r="AC17" s="439" t="s">
        <v>942</v>
      </c>
      <c r="AD17" s="476">
        <f>[6]Seguimiento!$D61</f>
        <v>0</v>
      </c>
      <c r="AE17" s="476">
        <f t="shared" si="1"/>
        <v>1</v>
      </c>
      <c r="AF17" s="436">
        <f t="shared" si="15"/>
        <v>0</v>
      </c>
      <c r="AG17" s="437">
        <f>[6]Seguimiento!$C61</f>
        <v>0</v>
      </c>
      <c r="AH17" s="438" t="str">
        <f t="shared" si="16"/>
        <v/>
      </c>
      <c r="AI17" s="439" t="s">
        <v>943</v>
      </c>
      <c r="AJ17" s="476">
        <f>[6]Seguimiento!$D62</f>
        <v>0</v>
      </c>
      <c r="AK17" s="476">
        <f t="shared" si="2"/>
        <v>1</v>
      </c>
      <c r="AL17" s="436">
        <f t="shared" si="17"/>
        <v>0</v>
      </c>
      <c r="AM17" s="437">
        <f>[6]Seguimiento!$C62</f>
        <v>0</v>
      </c>
      <c r="AN17" s="438" t="str">
        <f t="shared" si="18"/>
        <v/>
      </c>
      <c r="AO17" s="439" t="s">
        <v>944</v>
      </c>
      <c r="AP17" s="435">
        <v>4</v>
      </c>
      <c r="AQ17" s="435">
        <v>4</v>
      </c>
      <c r="AR17" s="436">
        <f>IF(AQ17=0," ",AP17/AQ17)</f>
        <v>1</v>
      </c>
      <c r="AS17" s="437">
        <v>1</v>
      </c>
      <c r="AT17" s="438">
        <f>IF(AQ17=0," ",AR17/AS17)</f>
        <v>1</v>
      </c>
      <c r="AU17" s="439" t="s">
        <v>945</v>
      </c>
      <c r="AV17" s="476">
        <f>[6]Seguimiento!$D64</f>
        <v>0</v>
      </c>
      <c r="AW17" s="476">
        <f t="shared" si="4"/>
        <v>1</v>
      </c>
      <c r="AX17" s="436">
        <f t="shared" si="21"/>
        <v>0</v>
      </c>
      <c r="AY17" s="437">
        <f>[6]Seguimiento!$C64</f>
        <v>0</v>
      </c>
      <c r="AZ17" s="438" t="str">
        <f t="shared" si="22"/>
        <v/>
      </c>
      <c r="BA17" s="439" t="s">
        <v>946</v>
      </c>
      <c r="BB17" s="442">
        <v>6</v>
      </c>
      <c r="BC17" s="442">
        <v>6</v>
      </c>
      <c r="BD17" s="443">
        <f t="shared" si="23"/>
        <v>1</v>
      </c>
      <c r="BE17" s="444">
        <f>[6]Seguimiento!$C65</f>
        <v>1</v>
      </c>
      <c r="BF17" s="494">
        <f t="shared" si="24"/>
        <v>1</v>
      </c>
      <c r="BG17" s="445" t="s">
        <v>947</v>
      </c>
      <c r="BH17" s="444">
        <f>[6]Seguimiento!$D66</f>
        <v>0</v>
      </c>
      <c r="BI17" s="444">
        <f t="shared" si="6"/>
        <v>1</v>
      </c>
      <c r="BJ17" s="443">
        <f t="shared" si="25"/>
        <v>0</v>
      </c>
      <c r="BK17" s="444">
        <f>[6]Seguimiento!$C66</f>
        <v>0</v>
      </c>
      <c r="BL17" s="444">
        <f>IF(BK17=0,0,BJ17/BK17)</f>
        <v>0</v>
      </c>
      <c r="BM17" s="445" t="s">
        <v>948</v>
      </c>
      <c r="BN17" s="444">
        <f>[6]Seguimiento!$D67</f>
        <v>0</v>
      </c>
      <c r="BO17" s="444">
        <f t="shared" si="7"/>
        <v>1</v>
      </c>
      <c r="BP17" s="443">
        <f t="shared" si="26"/>
        <v>0</v>
      </c>
      <c r="BQ17" s="444">
        <f>[6]Seguimiento!$C67</f>
        <v>0</v>
      </c>
      <c r="BR17" s="444">
        <v>0</v>
      </c>
      <c r="BS17" s="445" t="s">
        <v>949</v>
      </c>
      <c r="BT17" s="444">
        <f>[6]Seguimiento!$D68</f>
        <v>0.65</v>
      </c>
      <c r="BU17" s="444">
        <f t="shared" si="8"/>
        <v>1</v>
      </c>
      <c r="BV17" s="443">
        <f t="shared" si="28"/>
        <v>0.65</v>
      </c>
      <c r="BW17" s="444">
        <f>[6]Seguimiento!$C68</f>
        <v>1</v>
      </c>
      <c r="BX17" s="444">
        <f t="shared" si="29"/>
        <v>0.65</v>
      </c>
      <c r="BY17" s="495" t="s">
        <v>950</v>
      </c>
      <c r="BZ17" s="437">
        <f>[6]Seguimiento!$D69</f>
        <v>0</v>
      </c>
      <c r="CA17" s="437">
        <f t="shared" si="9"/>
        <v>1</v>
      </c>
      <c r="CB17" s="448">
        <f t="shared" si="30"/>
        <v>0</v>
      </c>
      <c r="CC17" s="437">
        <f>[6]Seguimiento!$C69</f>
        <v>0</v>
      </c>
      <c r="CD17" s="437">
        <v>0</v>
      </c>
      <c r="CE17" s="449" t="s">
        <v>951</v>
      </c>
      <c r="CF17" s="476">
        <f>[6]Seguimiento!$D70</f>
        <v>0</v>
      </c>
      <c r="CG17" s="476">
        <f t="shared" si="10"/>
        <v>1</v>
      </c>
      <c r="CH17" s="436">
        <f t="shared" si="32"/>
        <v>0</v>
      </c>
      <c r="CI17" s="437">
        <f>[6]Seguimiento!$C70</f>
        <v>0</v>
      </c>
      <c r="CJ17" s="438">
        <v>0</v>
      </c>
      <c r="CK17" s="445" t="s">
        <v>952</v>
      </c>
      <c r="CL17" s="437">
        <f>[6]Seguimiento!$D71</f>
        <v>1.0699999999999987</v>
      </c>
      <c r="CM17" s="437">
        <f t="shared" si="11"/>
        <v>1</v>
      </c>
      <c r="CN17" s="448">
        <f t="shared" si="33"/>
        <v>1.0699999999999987</v>
      </c>
      <c r="CO17" s="437">
        <f>[6]Seguimiento!$C71</f>
        <v>1</v>
      </c>
      <c r="CP17" s="452">
        <f t="shared" si="35"/>
        <v>1.0699999999999987</v>
      </c>
      <c r="CQ17" s="479" t="s">
        <v>953</v>
      </c>
      <c r="CR17" s="437">
        <f>[6]Seguimiento!$D72</f>
        <v>0.92999999999999972</v>
      </c>
      <c r="CS17" s="437">
        <f t="shared" si="12"/>
        <v>1</v>
      </c>
      <c r="CT17" s="448">
        <f t="shared" si="34"/>
        <v>0.92999999999999972</v>
      </c>
      <c r="CU17" s="437">
        <f>[6]Seguimiento!$C72</f>
        <v>1</v>
      </c>
      <c r="CV17" s="452">
        <f t="shared" si="36"/>
        <v>0.92999999999999972</v>
      </c>
      <c r="CW17" s="470" t="s">
        <v>954</v>
      </c>
    </row>
    <row r="18" spans="2:101" ht="280.5" customHeight="1">
      <c r="B18" s="429" t="s">
        <v>383</v>
      </c>
      <c r="C18" s="429" t="s">
        <v>89</v>
      </c>
      <c r="D18" s="429" t="s">
        <v>56</v>
      </c>
      <c r="E18" s="429" t="s">
        <v>57</v>
      </c>
      <c r="F18" s="429" t="s">
        <v>58</v>
      </c>
      <c r="G18" s="429" t="s">
        <v>53</v>
      </c>
      <c r="H18" s="496" t="s">
        <v>59</v>
      </c>
      <c r="I18" s="429" t="s">
        <v>60</v>
      </c>
      <c r="J18" s="429" t="s">
        <v>54</v>
      </c>
      <c r="K18" s="432"/>
      <c r="L18" s="432"/>
      <c r="M18" s="473">
        <v>1</v>
      </c>
      <c r="N18" s="432"/>
      <c r="O18" s="432"/>
      <c r="P18" s="490">
        <v>1</v>
      </c>
      <c r="Q18" s="473"/>
      <c r="R18" s="432"/>
      <c r="S18" s="473">
        <v>1</v>
      </c>
      <c r="T18" s="473"/>
      <c r="U18" s="432"/>
      <c r="V18" s="473">
        <v>1</v>
      </c>
      <c r="W18" s="473">
        <v>1</v>
      </c>
      <c r="X18" s="492">
        <v>0</v>
      </c>
      <c r="Y18" s="435"/>
      <c r="Z18" s="436" t="str">
        <f>IF(Y18=0," ",X18/Y18)</f>
        <v xml:space="preserve"> </v>
      </c>
      <c r="AA18" s="493">
        <v>0</v>
      </c>
      <c r="AB18" s="436" t="str">
        <f>IF(Y18=0," ",Z18/AA18)</f>
        <v xml:space="preserve"> </v>
      </c>
      <c r="AC18" s="439" t="s">
        <v>955</v>
      </c>
      <c r="AD18" s="492">
        <v>0</v>
      </c>
      <c r="AE18" s="435"/>
      <c r="AF18" s="436" t="str">
        <f>IF(AE18=0," ",AD18/AE18)</f>
        <v xml:space="preserve"> </v>
      </c>
      <c r="AG18" s="493">
        <v>0</v>
      </c>
      <c r="AH18" s="436" t="str">
        <f>IF(AE18=0," ",AF18/AG18)</f>
        <v xml:space="preserve"> </v>
      </c>
      <c r="AI18" s="439" t="s">
        <v>956</v>
      </c>
      <c r="AJ18" s="435" t="s">
        <v>957</v>
      </c>
      <c r="AK18" s="435">
        <v>1</v>
      </c>
      <c r="AL18" s="436">
        <v>0</v>
      </c>
      <c r="AM18" s="497">
        <v>1</v>
      </c>
      <c r="AN18" s="438">
        <v>0</v>
      </c>
      <c r="AO18" s="439" t="s">
        <v>958</v>
      </c>
      <c r="AP18" s="492">
        <v>0</v>
      </c>
      <c r="AQ18" s="435"/>
      <c r="AR18" s="436" t="str">
        <f>IF(AQ18=0," ",AP18/AQ18)</f>
        <v xml:space="preserve"> </v>
      </c>
      <c r="AS18" s="493">
        <v>0</v>
      </c>
      <c r="AT18" s="436" t="str">
        <f>IF(AQ18=0," ",AR18/AS18)</f>
        <v xml:space="preserve"> </v>
      </c>
      <c r="AU18" s="439" t="s">
        <v>959</v>
      </c>
      <c r="AV18" s="476">
        <f>[6]Seguimiento!$J64</f>
        <v>0</v>
      </c>
      <c r="AW18" s="476">
        <f t="shared" si="4"/>
        <v>1</v>
      </c>
      <c r="AX18" s="436">
        <f t="shared" si="21"/>
        <v>0</v>
      </c>
      <c r="AY18" s="437">
        <f>[6]Seguimiento!$I64</f>
        <v>0</v>
      </c>
      <c r="AZ18" s="438" t="str">
        <f t="shared" si="22"/>
        <v/>
      </c>
      <c r="BA18" s="439" t="s">
        <v>960</v>
      </c>
      <c r="BB18" s="476">
        <f>[6]Seguimiento!$J65</f>
        <v>1</v>
      </c>
      <c r="BC18" s="476">
        <f t="shared" si="5"/>
        <v>1</v>
      </c>
      <c r="BD18" s="436">
        <f t="shared" si="23"/>
        <v>1</v>
      </c>
      <c r="BE18" s="437">
        <f>[6]Seguimiento!$I65</f>
        <v>1</v>
      </c>
      <c r="BF18" s="438">
        <f t="shared" si="24"/>
        <v>1</v>
      </c>
      <c r="BG18" s="440" t="s">
        <v>961</v>
      </c>
      <c r="BH18" s="444">
        <f>[6]Seguimiento!$J66</f>
        <v>0</v>
      </c>
      <c r="BI18" s="444">
        <f t="shared" si="6"/>
        <v>1</v>
      </c>
      <c r="BJ18" s="443">
        <f t="shared" si="25"/>
        <v>0</v>
      </c>
      <c r="BK18" s="444">
        <f>[6]Seguimiento!$I66</f>
        <v>0</v>
      </c>
      <c r="BL18" s="444">
        <f>IF(BK18=0,0,BJ18/BK18)</f>
        <v>0</v>
      </c>
      <c r="BM18" s="445" t="s">
        <v>962</v>
      </c>
      <c r="BN18" s="444">
        <f>[6]Seguimiento!$J67</f>
        <v>0</v>
      </c>
      <c r="BO18" s="444">
        <f t="shared" si="7"/>
        <v>1</v>
      </c>
      <c r="BP18" s="443">
        <f t="shared" si="26"/>
        <v>0</v>
      </c>
      <c r="BQ18" s="444">
        <f>[6]Seguimiento!$I67</f>
        <v>0</v>
      </c>
      <c r="BR18" s="444">
        <v>0</v>
      </c>
      <c r="BS18" s="445" t="s">
        <v>963</v>
      </c>
      <c r="BT18" s="444">
        <f>[6]Seguimiento!$J68</f>
        <v>0</v>
      </c>
      <c r="BU18" s="444">
        <f t="shared" si="8"/>
        <v>1</v>
      </c>
      <c r="BV18" s="443">
        <f t="shared" si="28"/>
        <v>0</v>
      </c>
      <c r="BW18" s="444">
        <f>[6]Seguimiento!$I68</f>
        <v>0</v>
      </c>
      <c r="BX18" s="444" t="str">
        <f t="shared" si="29"/>
        <v/>
      </c>
      <c r="BY18" s="495" t="s">
        <v>324</v>
      </c>
      <c r="BZ18" s="437">
        <f>[6]Seguimiento!$J69</f>
        <v>0</v>
      </c>
      <c r="CA18" s="437">
        <f t="shared" si="9"/>
        <v>1</v>
      </c>
      <c r="CB18" s="448">
        <f t="shared" si="30"/>
        <v>0</v>
      </c>
      <c r="CC18" s="437">
        <f>[6]Seguimiento!$I69</f>
        <v>0</v>
      </c>
      <c r="CD18" s="437">
        <v>0</v>
      </c>
      <c r="CE18" s="449" t="s">
        <v>964</v>
      </c>
      <c r="CF18" s="476">
        <f>[6]Seguimiento!$J70</f>
        <v>0</v>
      </c>
      <c r="CG18" s="476">
        <f t="shared" si="10"/>
        <v>1</v>
      </c>
      <c r="CH18" s="436">
        <f t="shared" si="32"/>
        <v>0</v>
      </c>
      <c r="CI18" s="437">
        <f>[6]Seguimiento!$I70</f>
        <v>0</v>
      </c>
      <c r="CJ18" s="438">
        <v>0</v>
      </c>
      <c r="CK18" s="445" t="s">
        <v>965</v>
      </c>
      <c r="CL18" s="437">
        <f>[6]Seguimiento!$J71</f>
        <v>1</v>
      </c>
      <c r="CM18" s="437">
        <f t="shared" si="11"/>
        <v>1</v>
      </c>
      <c r="CN18" s="448">
        <f t="shared" si="33"/>
        <v>1</v>
      </c>
      <c r="CO18" s="437">
        <f>[6]Seguimiento!$I71</f>
        <v>1</v>
      </c>
      <c r="CP18" s="452">
        <f t="shared" si="35"/>
        <v>1</v>
      </c>
      <c r="CQ18" s="479" t="s">
        <v>326</v>
      </c>
      <c r="CR18" s="437">
        <f>[6]Seguimiento!$J72</f>
        <v>0.66666666666666663</v>
      </c>
      <c r="CS18" s="437">
        <f t="shared" si="12"/>
        <v>1</v>
      </c>
      <c r="CT18" s="448">
        <f t="shared" si="34"/>
        <v>0.66666666666666663</v>
      </c>
      <c r="CU18" s="437">
        <f>[6]Seguimiento!$I72</f>
        <v>1</v>
      </c>
      <c r="CV18" s="452">
        <f t="shared" si="36"/>
        <v>0.66666666666666663</v>
      </c>
      <c r="CW18" s="470" t="s">
        <v>966</v>
      </c>
    </row>
    <row r="19" spans="2:101" ht="270.75" customHeight="1">
      <c r="B19" s="429" t="s">
        <v>383</v>
      </c>
      <c r="C19" s="429" t="s">
        <v>88</v>
      </c>
      <c r="D19" s="429" t="s">
        <v>61</v>
      </c>
      <c r="E19" s="429" t="s">
        <v>57</v>
      </c>
      <c r="F19" s="429" t="s">
        <v>62</v>
      </c>
      <c r="G19" s="429" t="s">
        <v>53</v>
      </c>
      <c r="H19" s="429" t="s">
        <v>63</v>
      </c>
      <c r="I19" s="429" t="s">
        <v>64</v>
      </c>
      <c r="J19" s="429" t="s">
        <v>54</v>
      </c>
      <c r="K19" s="498"/>
      <c r="L19" s="499">
        <v>1</v>
      </c>
      <c r="M19" s="499"/>
      <c r="N19" s="499">
        <v>1</v>
      </c>
      <c r="O19" s="498"/>
      <c r="P19" s="490">
        <v>1</v>
      </c>
      <c r="Q19" s="500"/>
      <c r="R19" s="473">
        <v>1</v>
      </c>
      <c r="S19" s="500"/>
      <c r="T19" s="473">
        <v>1</v>
      </c>
      <c r="U19" s="501"/>
      <c r="V19" s="473">
        <v>1</v>
      </c>
      <c r="W19" s="473">
        <v>1</v>
      </c>
      <c r="X19" s="492">
        <v>0</v>
      </c>
      <c r="Y19" s="435"/>
      <c r="Z19" s="436" t="str">
        <f>IF(Y19=0," ",X19/Y19)</f>
        <v xml:space="preserve"> </v>
      </c>
      <c r="AA19" s="493">
        <v>0</v>
      </c>
      <c r="AB19" s="436" t="str">
        <f>IF(Y19=0," ",Z19/AA19)</f>
        <v xml:space="preserve"> </v>
      </c>
      <c r="AC19" s="439" t="s">
        <v>967</v>
      </c>
      <c r="AD19" s="492">
        <v>0</v>
      </c>
      <c r="AE19" s="435"/>
      <c r="AF19" s="436" t="str">
        <f>IF(AE19=0," ",AD19/AE19)</f>
        <v xml:space="preserve"> </v>
      </c>
      <c r="AG19" s="493">
        <v>0</v>
      </c>
      <c r="AH19" s="436" t="str">
        <f>IF(AE19=0," ",AF19/AG19)</f>
        <v xml:space="preserve"> </v>
      </c>
      <c r="AI19" s="439" t="s">
        <v>968</v>
      </c>
      <c r="AJ19" s="492">
        <v>0</v>
      </c>
      <c r="AK19" s="435"/>
      <c r="AL19" s="436" t="str">
        <f>IF(AK19=0," ",AJ19/AK19)</f>
        <v xml:space="preserve"> </v>
      </c>
      <c r="AM19" s="493">
        <v>0</v>
      </c>
      <c r="AN19" s="436" t="str">
        <f>IF(AK19=0," ",AL19/AM19)</f>
        <v xml:space="preserve"> </v>
      </c>
      <c r="AO19" s="439" t="s">
        <v>969</v>
      </c>
      <c r="AP19" s="492">
        <v>0</v>
      </c>
      <c r="AQ19" s="435"/>
      <c r="AR19" s="436" t="str">
        <f>IF(AQ19=0," ",AP19/AQ19)</f>
        <v xml:space="preserve"> </v>
      </c>
      <c r="AS19" s="493">
        <v>0</v>
      </c>
      <c r="AT19" s="436" t="str">
        <f>IF(AQ19=0," ",AR19/AS19)</f>
        <v xml:space="preserve"> </v>
      </c>
      <c r="AU19" s="439" t="s">
        <v>970</v>
      </c>
      <c r="AV19" s="476">
        <f>[6]Seguimiento!$P64</f>
        <v>0</v>
      </c>
      <c r="AW19" s="476">
        <f t="shared" si="4"/>
        <v>1</v>
      </c>
      <c r="AX19" s="436">
        <f t="shared" si="21"/>
        <v>0</v>
      </c>
      <c r="AY19" s="437">
        <f>[6]Seguimiento!$O64</f>
        <v>0</v>
      </c>
      <c r="AZ19" s="438" t="str">
        <f t="shared" si="22"/>
        <v/>
      </c>
      <c r="BA19" s="439" t="s">
        <v>971</v>
      </c>
      <c r="BB19" s="476">
        <f>[6]Seguimiento!$P65</f>
        <v>0</v>
      </c>
      <c r="BC19" s="476">
        <f t="shared" si="5"/>
        <v>1</v>
      </c>
      <c r="BD19" s="436">
        <f t="shared" si="23"/>
        <v>0</v>
      </c>
      <c r="BE19" s="437">
        <f>[6]Seguimiento!$O65</f>
        <v>1</v>
      </c>
      <c r="BF19" s="438">
        <f t="shared" si="24"/>
        <v>0</v>
      </c>
      <c r="BG19" s="440" t="s">
        <v>972</v>
      </c>
      <c r="BH19" s="444">
        <f>[6]Seguimiento!$P66</f>
        <v>0</v>
      </c>
      <c r="BI19" s="444">
        <f t="shared" si="6"/>
        <v>1</v>
      </c>
      <c r="BJ19" s="443">
        <f t="shared" si="25"/>
        <v>0</v>
      </c>
      <c r="BK19" s="444">
        <f>[6]Seguimiento!$O66</f>
        <v>0</v>
      </c>
      <c r="BL19" s="444">
        <f>IF(BK19=0,0,BJ19/BK19)</f>
        <v>0</v>
      </c>
      <c r="BM19" s="445" t="s">
        <v>973</v>
      </c>
      <c r="BN19" s="444">
        <f>[6]Seguimiento!$P67</f>
        <v>0</v>
      </c>
      <c r="BO19" s="444">
        <f t="shared" si="7"/>
        <v>1</v>
      </c>
      <c r="BP19" s="443">
        <f t="shared" si="26"/>
        <v>0</v>
      </c>
      <c r="BQ19" s="444">
        <f>[6]Seguimiento!$O67</f>
        <v>1</v>
      </c>
      <c r="BR19" s="444">
        <f t="shared" si="27"/>
        <v>0</v>
      </c>
      <c r="BS19" s="445" t="s">
        <v>974</v>
      </c>
      <c r="BT19" s="444">
        <f>[6]Seguimiento!$P68</f>
        <v>0</v>
      </c>
      <c r="BU19" s="444">
        <f t="shared" si="8"/>
        <v>1</v>
      </c>
      <c r="BV19" s="443">
        <f t="shared" si="28"/>
        <v>0</v>
      </c>
      <c r="BW19" s="444">
        <f>[6]Seguimiento!$O68</f>
        <v>0</v>
      </c>
      <c r="BX19" s="444">
        <v>0</v>
      </c>
      <c r="BY19" s="445" t="s">
        <v>975</v>
      </c>
      <c r="BZ19" s="437">
        <f>[6]Seguimiento!$P69</f>
        <v>1</v>
      </c>
      <c r="CA19" s="437">
        <f t="shared" si="9"/>
        <v>1</v>
      </c>
      <c r="CB19" s="448">
        <f t="shared" si="30"/>
        <v>1</v>
      </c>
      <c r="CC19" s="437">
        <f>[6]Seguimiento!$O69</f>
        <v>1</v>
      </c>
      <c r="CD19" s="437">
        <f t="shared" si="31"/>
        <v>1</v>
      </c>
      <c r="CE19" s="502" t="s">
        <v>976</v>
      </c>
      <c r="CF19" s="476">
        <f>[6]Seguimiento!$P70</f>
        <v>0</v>
      </c>
      <c r="CG19" s="476">
        <f t="shared" si="10"/>
        <v>1</v>
      </c>
      <c r="CH19" s="436">
        <f t="shared" si="32"/>
        <v>0</v>
      </c>
      <c r="CI19" s="437">
        <f>[6]Seguimiento!$O70</f>
        <v>0</v>
      </c>
      <c r="CJ19" s="438">
        <v>0</v>
      </c>
      <c r="CK19" s="445" t="s">
        <v>965</v>
      </c>
      <c r="CL19" s="437">
        <f>[6]Seguimiento!$P71</f>
        <v>1</v>
      </c>
      <c r="CM19" s="437">
        <f t="shared" si="11"/>
        <v>1</v>
      </c>
      <c r="CN19" s="448">
        <f t="shared" si="33"/>
        <v>1</v>
      </c>
      <c r="CO19" s="437">
        <f>[6]Seguimiento!$O71</f>
        <v>1</v>
      </c>
      <c r="CP19" s="452">
        <f t="shared" si="35"/>
        <v>1</v>
      </c>
      <c r="CQ19" s="479" t="s">
        <v>977</v>
      </c>
      <c r="CR19" s="437">
        <f>[6]Seguimiento!$P72</f>
        <v>0.5</v>
      </c>
      <c r="CS19" s="437">
        <f t="shared" si="12"/>
        <v>1</v>
      </c>
      <c r="CT19" s="448">
        <f t="shared" si="34"/>
        <v>0.5</v>
      </c>
      <c r="CU19" s="437">
        <f>[6]Seguimiento!$O72</f>
        <v>1</v>
      </c>
      <c r="CV19" s="452">
        <f t="shared" si="36"/>
        <v>0.5</v>
      </c>
      <c r="CW19" s="470" t="s">
        <v>978</v>
      </c>
    </row>
    <row r="20" spans="2:101" ht="174.75" customHeight="1">
      <c r="B20" s="503" t="s">
        <v>979</v>
      </c>
      <c r="C20" s="429" t="s">
        <v>261</v>
      </c>
      <c r="D20" s="429" t="s">
        <v>980</v>
      </c>
      <c r="E20" s="429" t="s">
        <v>263</v>
      </c>
      <c r="F20" s="429" t="s">
        <v>730</v>
      </c>
      <c r="G20" s="429" t="s">
        <v>98</v>
      </c>
      <c r="H20" s="503" t="s">
        <v>731</v>
      </c>
      <c r="I20" s="429" t="s">
        <v>267</v>
      </c>
      <c r="J20" s="429" t="s">
        <v>391</v>
      </c>
      <c r="K20" s="504">
        <v>0</v>
      </c>
      <c r="L20" s="504">
        <v>0</v>
      </c>
      <c r="M20" s="504">
        <v>0.01</v>
      </c>
      <c r="N20" s="504">
        <v>0.08</v>
      </c>
      <c r="O20" s="504">
        <v>0.08</v>
      </c>
      <c r="P20" s="505">
        <v>0.08</v>
      </c>
      <c r="Q20" s="504">
        <v>0.08</v>
      </c>
      <c r="R20" s="504">
        <v>0.08</v>
      </c>
      <c r="S20" s="504">
        <v>0.08</v>
      </c>
      <c r="T20" s="504">
        <v>0.08</v>
      </c>
      <c r="U20" s="504">
        <v>0.08</v>
      </c>
      <c r="V20" s="504">
        <v>0.35</v>
      </c>
      <c r="W20" s="473">
        <v>1</v>
      </c>
      <c r="X20" s="476">
        <f>[6]Seguimiento!$E77</f>
        <v>0</v>
      </c>
      <c r="Y20" s="476">
        <f t="shared" si="0"/>
        <v>1</v>
      </c>
      <c r="Z20" s="436">
        <f t="shared" si="13"/>
        <v>0</v>
      </c>
      <c r="AA20" s="437">
        <f>[6]Seguimiento!$C77</f>
        <v>0</v>
      </c>
      <c r="AB20" s="438" t="str">
        <f t="shared" si="14"/>
        <v/>
      </c>
      <c r="AC20" s="439" t="s">
        <v>981</v>
      </c>
      <c r="AD20" s="476">
        <f>[6]Seguimiento!$E78</f>
        <v>6.4617876826509671E-3</v>
      </c>
      <c r="AE20" s="476">
        <f t="shared" si="1"/>
        <v>1</v>
      </c>
      <c r="AF20" s="436">
        <f t="shared" si="15"/>
        <v>6.4617876826509671E-3</v>
      </c>
      <c r="AG20" s="437">
        <f>[6]Seguimiento!$C78</f>
        <v>0</v>
      </c>
      <c r="AH20" s="438" t="str">
        <f t="shared" si="16"/>
        <v/>
      </c>
      <c r="AI20" s="439" t="s">
        <v>982</v>
      </c>
      <c r="AJ20" s="476">
        <f>[6]Seguimiento!$E79</f>
        <v>3.6472971750237317E-2</v>
      </c>
      <c r="AK20" s="476">
        <f t="shared" si="2"/>
        <v>1</v>
      </c>
      <c r="AL20" s="436">
        <f t="shared" si="17"/>
        <v>3.6472971750237317E-2</v>
      </c>
      <c r="AM20" s="437">
        <f>[6]Seguimiento!$C79</f>
        <v>0.01</v>
      </c>
      <c r="AN20" s="438">
        <f t="shared" si="18"/>
        <v>3.6472971750237315</v>
      </c>
      <c r="AO20" s="439" t="s">
        <v>983</v>
      </c>
      <c r="AP20" s="476">
        <f>[6]Seguimiento!$E80</f>
        <v>5.8466421792567162E-2</v>
      </c>
      <c r="AQ20" s="476">
        <f t="shared" si="3"/>
        <v>1</v>
      </c>
      <c r="AR20" s="436">
        <f t="shared" si="19"/>
        <v>5.8466421792567162E-2</v>
      </c>
      <c r="AS20" s="437">
        <f>[6]Seguimiento!$C80</f>
        <v>0.08</v>
      </c>
      <c r="AT20" s="438">
        <f t="shared" si="20"/>
        <v>0.73083027240708953</v>
      </c>
      <c r="AU20" s="439" t="s">
        <v>984</v>
      </c>
      <c r="AV20" s="476">
        <f>[6]Seguimiento!$E81</f>
        <v>4.2148322201736421E-2</v>
      </c>
      <c r="AW20" s="476">
        <f t="shared" si="4"/>
        <v>1</v>
      </c>
      <c r="AX20" s="436">
        <f t="shared" si="21"/>
        <v>4.2148322201736421E-2</v>
      </c>
      <c r="AY20" s="437">
        <f>[6]Seguimiento!$C81</f>
        <v>0.08</v>
      </c>
      <c r="AZ20" s="438">
        <f t="shared" si="22"/>
        <v>0.52685402752170529</v>
      </c>
      <c r="BA20" s="439" t="s">
        <v>985</v>
      </c>
      <c r="BB20" s="444">
        <f>[6]Seguimiento!$E82</f>
        <v>5.5002907437346399E-2</v>
      </c>
      <c r="BC20" s="444">
        <f t="shared" si="5"/>
        <v>1</v>
      </c>
      <c r="BD20" s="443">
        <f t="shared" si="23"/>
        <v>5.5002907437346399E-2</v>
      </c>
      <c r="BE20" s="444">
        <f>[6]Seguimiento!$C82</f>
        <v>0.08</v>
      </c>
      <c r="BF20" s="444">
        <f t="shared" si="24"/>
        <v>0.68753634296682997</v>
      </c>
      <c r="BG20" s="445" t="s">
        <v>986</v>
      </c>
      <c r="BH20" s="444">
        <f>[6]Seguimiento!$E83</f>
        <v>0</v>
      </c>
      <c r="BI20" s="444">
        <f t="shared" si="6"/>
        <v>1</v>
      </c>
      <c r="BJ20" s="443">
        <f t="shared" si="25"/>
        <v>0</v>
      </c>
      <c r="BK20" s="444">
        <f>[6]Seguimiento!$C83</f>
        <v>0.08</v>
      </c>
      <c r="BL20" s="444">
        <f>IF(BK20=0,"",BJ20/BK20)</f>
        <v>0</v>
      </c>
      <c r="BM20" s="445" t="s">
        <v>987</v>
      </c>
      <c r="BN20" s="444">
        <f>[6]Seguimiento!$E84</f>
        <v>0</v>
      </c>
      <c r="BO20" s="444">
        <f t="shared" si="7"/>
        <v>1</v>
      </c>
      <c r="BP20" s="443">
        <f t="shared" si="26"/>
        <v>0</v>
      </c>
      <c r="BQ20" s="444">
        <f>[6]Seguimiento!$C84</f>
        <v>0.08</v>
      </c>
      <c r="BR20" s="444">
        <f t="shared" si="27"/>
        <v>0</v>
      </c>
      <c r="BS20" s="445" t="s">
        <v>988</v>
      </c>
      <c r="BT20" s="444">
        <f>[6]Seguimiento!$E85</f>
        <v>6.9553670006774052E-2</v>
      </c>
      <c r="BU20" s="444">
        <f t="shared" si="8"/>
        <v>1</v>
      </c>
      <c r="BV20" s="443">
        <f t="shared" si="28"/>
        <v>6.9553670006774052E-2</v>
      </c>
      <c r="BW20" s="444">
        <f>[6]Seguimiento!$C85</f>
        <v>0.08</v>
      </c>
      <c r="BX20" s="444">
        <f t="shared" si="29"/>
        <v>0.86942087508467558</v>
      </c>
      <c r="BY20" s="445" t="s">
        <v>989</v>
      </c>
      <c r="BZ20" s="437">
        <f>[6]Seguimiento!$E86</f>
        <v>3.5053652544482908E-2</v>
      </c>
      <c r="CA20" s="437">
        <f t="shared" si="9"/>
        <v>1</v>
      </c>
      <c r="CB20" s="448">
        <f t="shared" si="30"/>
        <v>3.5053652544482908E-2</v>
      </c>
      <c r="CC20" s="437">
        <f>[6]Seguimiento!$C86</f>
        <v>0.08</v>
      </c>
      <c r="CD20" s="437">
        <f t="shared" si="31"/>
        <v>0.43817065680603634</v>
      </c>
      <c r="CE20" s="449" t="s">
        <v>990</v>
      </c>
      <c r="CF20" s="476">
        <f>[6]Seguimiento!$E87</f>
        <v>4.8982511075414431E-2</v>
      </c>
      <c r="CG20" s="476">
        <f t="shared" si="10"/>
        <v>1</v>
      </c>
      <c r="CH20" s="436">
        <f t="shared" si="32"/>
        <v>4.8982511075414431E-2</v>
      </c>
      <c r="CI20" s="437">
        <f>[6]Seguimiento!$C87</f>
        <v>0.08</v>
      </c>
      <c r="CJ20" s="438">
        <f>IF(CI20=0,"",CH20/CI20)</f>
        <v>0.61228138844268043</v>
      </c>
      <c r="CK20" s="445" t="s">
        <v>991</v>
      </c>
      <c r="CL20" s="437">
        <f>[6]Seguimiento!$E88</f>
        <v>2.3340967213039691E-2</v>
      </c>
      <c r="CM20" s="437">
        <f t="shared" si="11"/>
        <v>1</v>
      </c>
      <c r="CN20" s="448">
        <f t="shared" si="33"/>
        <v>2.3340967213039691E-2</v>
      </c>
      <c r="CO20" s="437">
        <f>[6]Seguimiento!$C88</f>
        <v>0.35</v>
      </c>
      <c r="CP20" s="452">
        <f t="shared" si="35"/>
        <v>6.6688477751541977E-2</v>
      </c>
      <c r="CQ20" s="479" t="s">
        <v>992</v>
      </c>
      <c r="CR20" s="437">
        <f>[6]Seguimiento!$E89</f>
        <v>0.37548321170424936</v>
      </c>
      <c r="CS20" s="437">
        <f t="shared" si="12"/>
        <v>1</v>
      </c>
      <c r="CT20" s="448">
        <f t="shared" si="34"/>
        <v>0.37548321170424936</v>
      </c>
      <c r="CU20" s="437">
        <f>[6]Seguimiento!$C89</f>
        <v>1</v>
      </c>
      <c r="CV20" s="450">
        <f t="shared" si="36"/>
        <v>0.37548321170424936</v>
      </c>
      <c r="CW20" s="470" t="s">
        <v>993</v>
      </c>
    </row>
    <row r="21" spans="2:101" ht="178.5" customHeight="1">
      <c r="B21" s="503" t="s">
        <v>979</v>
      </c>
      <c r="C21" s="429" t="s">
        <v>273</v>
      </c>
      <c r="D21" s="429" t="s">
        <v>994</v>
      </c>
      <c r="E21" s="429" t="s">
        <v>275</v>
      </c>
      <c r="F21" s="429" t="s">
        <v>749</v>
      </c>
      <c r="G21" s="429" t="s">
        <v>98</v>
      </c>
      <c r="H21" s="503" t="s">
        <v>750</v>
      </c>
      <c r="I21" s="429" t="s">
        <v>267</v>
      </c>
      <c r="J21" s="429" t="s">
        <v>391</v>
      </c>
      <c r="K21" s="504">
        <v>0.05</v>
      </c>
      <c r="L21" s="504">
        <v>0.04</v>
      </c>
      <c r="M21" s="504">
        <v>0.01</v>
      </c>
      <c r="N21" s="504">
        <v>0.01</v>
      </c>
      <c r="O21" s="504">
        <v>0.17</v>
      </c>
      <c r="P21" s="505">
        <v>0.14000000000000001</v>
      </c>
      <c r="Q21" s="504">
        <v>0.11</v>
      </c>
      <c r="R21" s="504">
        <v>0.1</v>
      </c>
      <c r="S21" s="504">
        <v>0.08</v>
      </c>
      <c r="T21" s="504">
        <v>0.05</v>
      </c>
      <c r="U21" s="504">
        <v>0.02</v>
      </c>
      <c r="V21" s="504">
        <v>0.22</v>
      </c>
      <c r="W21" s="473">
        <v>1</v>
      </c>
      <c r="X21" s="476">
        <f>[6]Seguimiento!$K77</f>
        <v>4.627765097251426E-2</v>
      </c>
      <c r="Y21" s="476">
        <f t="shared" si="0"/>
        <v>1</v>
      </c>
      <c r="Z21" s="436">
        <f t="shared" si="13"/>
        <v>4.627765097251426E-2</v>
      </c>
      <c r="AA21" s="437">
        <f>[6]Seguimiento!$I77</f>
        <v>0.05</v>
      </c>
      <c r="AB21" s="438">
        <f t="shared" si="14"/>
        <v>0.92555301945028512</v>
      </c>
      <c r="AC21" s="439" t="s">
        <v>995</v>
      </c>
      <c r="AD21" s="476">
        <f>[6]Seguimiento!$K78</f>
        <v>4.5126008249142681E-2</v>
      </c>
      <c r="AE21" s="476">
        <f t="shared" si="1"/>
        <v>1</v>
      </c>
      <c r="AF21" s="436">
        <f t="shared" si="15"/>
        <v>4.5126008249142681E-2</v>
      </c>
      <c r="AG21" s="437">
        <f>[6]Seguimiento!$I78</f>
        <v>0.04</v>
      </c>
      <c r="AH21" s="438">
        <f t="shared" si="16"/>
        <v>1.1281502062285671</v>
      </c>
      <c r="AI21" s="439" t="s">
        <v>996</v>
      </c>
      <c r="AJ21" s="476">
        <f>[6]Seguimiento!$K79</f>
        <v>6.0423516195983818E-3</v>
      </c>
      <c r="AK21" s="476">
        <f t="shared" si="2"/>
        <v>1</v>
      </c>
      <c r="AL21" s="436">
        <f t="shared" si="17"/>
        <v>6.0423516195983818E-3</v>
      </c>
      <c r="AM21" s="437">
        <f>[6]Seguimiento!$I79</f>
        <v>0.01</v>
      </c>
      <c r="AN21" s="438">
        <f t="shared" si="18"/>
        <v>0.60423516195983817</v>
      </c>
      <c r="AO21" s="439" t="s">
        <v>997</v>
      </c>
      <c r="AP21" s="476">
        <f>[6]Seguimiento!$K80</f>
        <v>6.4340105766120996E-3</v>
      </c>
      <c r="AQ21" s="476">
        <f t="shared" si="3"/>
        <v>1</v>
      </c>
      <c r="AR21" s="436">
        <f t="shared" si="19"/>
        <v>6.4340105766120996E-3</v>
      </c>
      <c r="AS21" s="437">
        <f>[6]Seguimiento!$I80</f>
        <v>0.01</v>
      </c>
      <c r="AT21" s="438">
        <f t="shared" si="20"/>
        <v>0.64340105766120992</v>
      </c>
      <c r="AU21" s="439" t="s">
        <v>998</v>
      </c>
      <c r="AV21" s="476">
        <f>[6]Seguimiento!$K81</f>
        <v>5.4909465981453276E-3</v>
      </c>
      <c r="AW21" s="476">
        <f t="shared" si="4"/>
        <v>1</v>
      </c>
      <c r="AX21" s="436">
        <f t="shared" si="21"/>
        <v>5.4909465981453276E-3</v>
      </c>
      <c r="AY21" s="437">
        <f>[6]Seguimiento!$I81</f>
        <v>0.17</v>
      </c>
      <c r="AZ21" s="438">
        <f t="shared" si="22"/>
        <v>3.22996858714431E-2</v>
      </c>
      <c r="BA21" s="439" t="s">
        <v>999</v>
      </c>
      <c r="BB21" s="444">
        <f>[6]Seguimiento!$K82</f>
        <v>0.15842712990509392</v>
      </c>
      <c r="BC21" s="444">
        <f t="shared" si="5"/>
        <v>1</v>
      </c>
      <c r="BD21" s="443">
        <f t="shared" si="23"/>
        <v>0.15842712990509392</v>
      </c>
      <c r="BE21" s="444">
        <f>[6]Seguimiento!$I82</f>
        <v>0.14000000000000001</v>
      </c>
      <c r="BF21" s="444">
        <f t="shared" si="24"/>
        <v>1.1316223564649563</v>
      </c>
      <c r="BG21" s="445" t="s">
        <v>1000</v>
      </c>
      <c r="BH21" s="444">
        <f>[6]Seguimiento!$K83</f>
        <v>8.1241050127392623E-3</v>
      </c>
      <c r="BI21" s="444">
        <f t="shared" si="6"/>
        <v>1</v>
      </c>
      <c r="BJ21" s="443">
        <f t="shared" si="25"/>
        <v>8.1241050127392623E-3</v>
      </c>
      <c r="BK21" s="444">
        <f>[6]Seguimiento!$I83</f>
        <v>0.11</v>
      </c>
      <c r="BL21" s="444">
        <f>IF(BK21=0,"",BJ21/BK21)</f>
        <v>7.3855500115811476E-2</v>
      </c>
      <c r="BM21" s="445" t="s">
        <v>1001</v>
      </c>
      <c r="BN21" s="444">
        <f>[6]Seguimiento!$K84</f>
        <v>4.546856638395038E-2</v>
      </c>
      <c r="BO21" s="444">
        <f t="shared" si="7"/>
        <v>1</v>
      </c>
      <c r="BP21" s="443">
        <f t="shared" si="26"/>
        <v>4.546856638395038E-2</v>
      </c>
      <c r="BQ21" s="444">
        <f>[6]Seguimiento!$I84</f>
        <v>0.1</v>
      </c>
      <c r="BR21" s="444">
        <f t="shared" si="27"/>
        <v>0.45468566383950376</v>
      </c>
      <c r="BS21" s="445" t="s">
        <v>1002</v>
      </c>
      <c r="BT21" s="444">
        <f>[6]Seguimiento!$K85</f>
        <v>0.16469086811651046</v>
      </c>
      <c r="BU21" s="444">
        <f t="shared" si="8"/>
        <v>1</v>
      </c>
      <c r="BV21" s="443">
        <f t="shared" si="28"/>
        <v>0.16469086811651046</v>
      </c>
      <c r="BW21" s="444">
        <f>[6]Seguimiento!$I85</f>
        <v>0.08</v>
      </c>
      <c r="BX21" s="444">
        <f t="shared" si="29"/>
        <v>2.0586358514563807</v>
      </c>
      <c r="BY21" s="445" t="s">
        <v>1003</v>
      </c>
      <c r="BZ21" s="437">
        <f>[6]Seguimiento!$K86</f>
        <v>7.4871904450070541E-3</v>
      </c>
      <c r="CA21" s="437">
        <f t="shared" si="9"/>
        <v>1</v>
      </c>
      <c r="CB21" s="448">
        <f t="shared" si="30"/>
        <v>7.4871904450070541E-3</v>
      </c>
      <c r="CC21" s="437">
        <f>[6]Seguimiento!$I86</f>
        <v>0.05</v>
      </c>
      <c r="CD21" s="437">
        <f t="shared" si="31"/>
        <v>0.14974380890014108</v>
      </c>
      <c r="CE21" s="449" t="s">
        <v>1004</v>
      </c>
      <c r="CF21" s="476">
        <f>[6]Seguimiento!$K87</f>
        <v>7.6240511935143696E-2</v>
      </c>
      <c r="CG21" s="476">
        <f t="shared" si="10"/>
        <v>1</v>
      </c>
      <c r="CH21" s="436">
        <f t="shared" si="32"/>
        <v>7.6240511935143696E-2</v>
      </c>
      <c r="CI21" s="437">
        <f>[6]Seguimiento!$I87</f>
        <v>0.02</v>
      </c>
      <c r="CJ21" s="438">
        <f>IF(CI21=0,"",CH21/CI21)</f>
        <v>3.8120255967571848</v>
      </c>
      <c r="CK21" s="445" t="s">
        <v>1005</v>
      </c>
      <c r="CL21" s="437">
        <f>[6]Seguimiento!$K88</f>
        <v>0.2636421351902728</v>
      </c>
      <c r="CM21" s="437">
        <f t="shared" si="11"/>
        <v>1</v>
      </c>
      <c r="CN21" s="448">
        <f t="shared" si="33"/>
        <v>0.2636421351902728</v>
      </c>
      <c r="CO21" s="437">
        <f>[6]Seguimiento!$I88</f>
        <v>0.22</v>
      </c>
      <c r="CP21" s="452">
        <f t="shared" si="35"/>
        <v>1.1983733417739673</v>
      </c>
      <c r="CQ21" s="479" t="s">
        <v>1006</v>
      </c>
      <c r="CR21" s="437">
        <f>[6]Seguimiento!$K89</f>
        <v>0.83345147500473027</v>
      </c>
      <c r="CS21" s="437">
        <f t="shared" si="12"/>
        <v>1</v>
      </c>
      <c r="CT21" s="448">
        <f t="shared" si="34"/>
        <v>0.83345147500473027</v>
      </c>
      <c r="CU21" s="437">
        <f>[6]Seguimiento!$I89</f>
        <v>1</v>
      </c>
      <c r="CV21" s="452">
        <f t="shared" si="36"/>
        <v>0.83345147500473027</v>
      </c>
      <c r="CW21" s="470" t="s">
        <v>1007</v>
      </c>
    </row>
    <row r="22" spans="2:101" ht="176.25" customHeight="1">
      <c r="B22" s="503" t="s">
        <v>1008</v>
      </c>
      <c r="C22" s="474" t="s">
        <v>90</v>
      </c>
      <c r="D22" s="474" t="s">
        <v>1009</v>
      </c>
      <c r="E22" s="474" t="s">
        <v>68</v>
      </c>
      <c r="F22" s="474" t="s">
        <v>69</v>
      </c>
      <c r="G22" s="474" t="s">
        <v>53</v>
      </c>
      <c r="H22" s="474" t="s">
        <v>70</v>
      </c>
      <c r="I22" s="474" t="s">
        <v>71</v>
      </c>
      <c r="J22" s="474" t="s">
        <v>54</v>
      </c>
      <c r="K22" s="504">
        <v>0</v>
      </c>
      <c r="L22" s="504">
        <v>0</v>
      </c>
      <c r="M22" s="504">
        <v>0</v>
      </c>
      <c r="N22" s="504">
        <v>0</v>
      </c>
      <c r="O22" s="504">
        <v>0</v>
      </c>
      <c r="P22" s="505">
        <v>0</v>
      </c>
      <c r="Q22" s="504">
        <v>0</v>
      </c>
      <c r="R22" s="504">
        <v>0.05</v>
      </c>
      <c r="S22" s="504">
        <v>0.09</v>
      </c>
      <c r="T22" s="504">
        <v>0.25</v>
      </c>
      <c r="U22" s="504">
        <v>0.27</v>
      </c>
      <c r="V22" s="504">
        <v>0.34</v>
      </c>
      <c r="W22" s="473">
        <v>1</v>
      </c>
      <c r="X22" s="476">
        <f>[6]Seguimiento!$Q77</f>
        <v>0</v>
      </c>
      <c r="Y22" s="476">
        <f t="shared" si="0"/>
        <v>1</v>
      </c>
      <c r="Z22" s="436">
        <f t="shared" si="13"/>
        <v>0</v>
      </c>
      <c r="AA22" s="437">
        <f>[6]Seguimiento!$O77</f>
        <v>0</v>
      </c>
      <c r="AB22" s="438" t="str">
        <f t="shared" si="14"/>
        <v/>
      </c>
      <c r="AC22" s="439" t="s">
        <v>1010</v>
      </c>
      <c r="AD22" s="476">
        <f>[6]Seguimiento!$Q78</f>
        <v>0</v>
      </c>
      <c r="AE22" s="476">
        <f t="shared" si="1"/>
        <v>1</v>
      </c>
      <c r="AF22" s="436">
        <f t="shared" si="15"/>
        <v>0</v>
      </c>
      <c r="AG22" s="437">
        <f>[6]Seguimiento!$O78</f>
        <v>0</v>
      </c>
      <c r="AH22" s="438" t="str">
        <f t="shared" si="16"/>
        <v/>
      </c>
      <c r="AI22" s="439" t="s">
        <v>1011</v>
      </c>
      <c r="AJ22" s="476">
        <f>[6]Seguimiento!$Q79</f>
        <v>0</v>
      </c>
      <c r="AK22" s="476">
        <f t="shared" si="2"/>
        <v>1</v>
      </c>
      <c r="AL22" s="436">
        <f t="shared" si="17"/>
        <v>0</v>
      </c>
      <c r="AM22" s="437">
        <f>[6]Seguimiento!$O79</f>
        <v>0</v>
      </c>
      <c r="AN22" s="438"/>
      <c r="AO22" s="439" t="s">
        <v>1012</v>
      </c>
      <c r="AP22" s="476">
        <f>[6]Seguimiento!$Q80</f>
        <v>0</v>
      </c>
      <c r="AQ22" s="476">
        <f t="shared" si="3"/>
        <v>1</v>
      </c>
      <c r="AR22" s="436">
        <f t="shared" si="19"/>
        <v>0</v>
      </c>
      <c r="AS22" s="437">
        <f>[6]Seguimiento!$O80</f>
        <v>0</v>
      </c>
      <c r="AT22" s="438" t="str">
        <f t="shared" si="20"/>
        <v/>
      </c>
      <c r="AU22" s="439" t="s">
        <v>1013</v>
      </c>
      <c r="AV22" s="476">
        <f>[6]Seguimiento!$Q81</f>
        <v>0</v>
      </c>
      <c r="AW22" s="476">
        <f t="shared" si="4"/>
        <v>1</v>
      </c>
      <c r="AX22" s="436">
        <f t="shared" si="21"/>
        <v>0</v>
      </c>
      <c r="AY22" s="437">
        <f>[6]Seguimiento!$O81</f>
        <v>0</v>
      </c>
      <c r="AZ22" s="438" t="s">
        <v>332</v>
      </c>
      <c r="BA22" s="439" t="s">
        <v>1014</v>
      </c>
      <c r="BB22" s="444">
        <f>[6]Seguimiento!$Q82</f>
        <v>0</v>
      </c>
      <c r="BC22" s="444">
        <f t="shared" si="5"/>
        <v>1</v>
      </c>
      <c r="BD22" s="443">
        <f t="shared" si="23"/>
        <v>0</v>
      </c>
      <c r="BE22" s="444">
        <f>[6]Seguimiento!$O82</f>
        <v>0</v>
      </c>
      <c r="BF22" s="444">
        <f>IF(BE22=0,0,BD22/BE22)</f>
        <v>0</v>
      </c>
      <c r="BG22" s="445" t="s">
        <v>1015</v>
      </c>
      <c r="BH22" s="444">
        <f>[6]Seguimiento!$Q83</f>
        <v>1.9823726994765346E-2</v>
      </c>
      <c r="BI22" s="444">
        <f t="shared" si="6"/>
        <v>1</v>
      </c>
      <c r="BJ22" s="443">
        <f t="shared" si="25"/>
        <v>1.9823726994765346E-2</v>
      </c>
      <c r="BK22" s="444">
        <f>[6]Seguimiento!$O83</f>
        <v>0</v>
      </c>
      <c r="BL22" s="444">
        <f>IF(BK22=0,0,BJ22/BK22)</f>
        <v>0</v>
      </c>
      <c r="BM22" s="445" t="s">
        <v>1016</v>
      </c>
      <c r="BN22" s="444">
        <f>[6]Seguimiento!$Q84</f>
        <v>6.6328430731426025E-3</v>
      </c>
      <c r="BO22" s="444">
        <f t="shared" si="7"/>
        <v>1</v>
      </c>
      <c r="BP22" s="443">
        <f t="shared" si="26"/>
        <v>6.6328430731426025E-3</v>
      </c>
      <c r="BQ22" s="444">
        <f>[6]Seguimiento!$O84</f>
        <v>0.05</v>
      </c>
      <c r="BR22" s="444">
        <f t="shared" si="27"/>
        <v>0.13265686146285205</v>
      </c>
      <c r="BS22" s="445" t="s">
        <v>1017</v>
      </c>
      <c r="BT22" s="444">
        <f>[6]Seguimiento!$Q85</f>
        <v>0.18638051721118404</v>
      </c>
      <c r="BU22" s="444">
        <f t="shared" si="8"/>
        <v>1</v>
      </c>
      <c r="BV22" s="443">
        <f t="shared" si="28"/>
        <v>0.18638051721118404</v>
      </c>
      <c r="BW22" s="444">
        <f>[6]Seguimiento!$O85</f>
        <v>0.09</v>
      </c>
      <c r="BX22" s="444">
        <f t="shared" si="29"/>
        <v>2.0708946356798226</v>
      </c>
      <c r="BY22" s="445" t="s">
        <v>1018</v>
      </c>
      <c r="BZ22" s="437">
        <f>[6]Seguimiento!$Q86</f>
        <v>0.20886621972215891</v>
      </c>
      <c r="CA22" s="437">
        <f t="shared" si="9"/>
        <v>1</v>
      </c>
      <c r="CB22" s="448">
        <f>IF(CA22=0,"",BZ22/CA22)</f>
        <v>0.20886621972215891</v>
      </c>
      <c r="CC22" s="437">
        <f>[6]Seguimiento!$O86</f>
        <v>0.25</v>
      </c>
      <c r="CD22" s="437">
        <f t="shared" si="31"/>
        <v>0.83546487888863563</v>
      </c>
      <c r="CE22" s="449" t="s">
        <v>1019</v>
      </c>
      <c r="CF22" s="476">
        <f>[6]Seguimiento!$Q87</f>
        <v>5.528705407901733E-2</v>
      </c>
      <c r="CG22" s="476">
        <f t="shared" si="10"/>
        <v>1</v>
      </c>
      <c r="CH22" s="436">
        <f t="shared" si="32"/>
        <v>5.528705407901733E-2</v>
      </c>
      <c r="CI22" s="437">
        <f>[6]Seguimiento!$O87</f>
        <v>0.27</v>
      </c>
      <c r="CJ22" s="438">
        <f>IF(CI22=0,"",CH22/CI22)</f>
        <v>0.20476686695932342</v>
      </c>
      <c r="CK22" s="445" t="s">
        <v>1020</v>
      </c>
      <c r="CL22" s="437">
        <f>[6]Seguimiento!$Q88</f>
        <v>0.30065395105119841</v>
      </c>
      <c r="CM22" s="437">
        <f t="shared" si="11"/>
        <v>1</v>
      </c>
      <c r="CN22" s="448">
        <f t="shared" si="33"/>
        <v>0.30065395105119841</v>
      </c>
      <c r="CO22" s="437">
        <f>[6]Seguimiento!$O88</f>
        <v>0.34</v>
      </c>
      <c r="CP22" s="452">
        <f t="shared" si="35"/>
        <v>0.88427632662117173</v>
      </c>
      <c r="CQ22" s="451" t="s">
        <v>1021</v>
      </c>
      <c r="CR22" s="437">
        <f>[6]Seguimiento!$Q89</f>
        <v>0.77764431213146668</v>
      </c>
      <c r="CS22" s="437">
        <f t="shared" si="12"/>
        <v>1</v>
      </c>
      <c r="CT22" s="448">
        <f t="shared" si="34"/>
        <v>0.77764431213146668</v>
      </c>
      <c r="CU22" s="437">
        <f>[6]Seguimiento!$O89</f>
        <v>1</v>
      </c>
      <c r="CV22" s="452">
        <f t="shared" si="36"/>
        <v>0.77764431213146668</v>
      </c>
      <c r="CW22" s="459" t="s">
        <v>1022</v>
      </c>
    </row>
    <row r="23" spans="2:101" ht="172.5" customHeight="1">
      <c r="B23" s="503" t="s">
        <v>73</v>
      </c>
      <c r="C23" s="429" t="s">
        <v>91</v>
      </c>
      <c r="D23" s="429" t="s">
        <v>74</v>
      </c>
      <c r="E23" s="429" t="s">
        <v>75</v>
      </c>
      <c r="F23" s="429" t="s">
        <v>296</v>
      </c>
      <c r="G23" s="429" t="s">
        <v>53</v>
      </c>
      <c r="H23" s="429" t="s">
        <v>776</v>
      </c>
      <c r="I23" s="429" t="s">
        <v>78</v>
      </c>
      <c r="J23" s="429" t="s">
        <v>54</v>
      </c>
      <c r="K23" s="473">
        <v>0.8</v>
      </c>
      <c r="L23" s="473">
        <v>0.8</v>
      </c>
      <c r="M23" s="473">
        <v>0.8</v>
      </c>
      <c r="N23" s="473">
        <v>0.8</v>
      </c>
      <c r="O23" s="473">
        <v>0.8</v>
      </c>
      <c r="P23" s="490">
        <v>0.8</v>
      </c>
      <c r="Q23" s="473">
        <v>0.8</v>
      </c>
      <c r="R23" s="473">
        <v>0.8</v>
      </c>
      <c r="S23" s="473">
        <v>0.8</v>
      </c>
      <c r="T23" s="473">
        <v>0.8</v>
      </c>
      <c r="U23" s="473">
        <v>0.8</v>
      </c>
      <c r="V23" s="473">
        <v>0.8</v>
      </c>
      <c r="W23" s="473">
        <v>1</v>
      </c>
      <c r="X23" s="476">
        <f>[6]Seguimiento!$D94</f>
        <v>1</v>
      </c>
      <c r="Y23" s="476">
        <f t="shared" si="0"/>
        <v>1</v>
      </c>
      <c r="Z23" s="436">
        <f>IF(Y23=0,"",X23/Y23)</f>
        <v>1</v>
      </c>
      <c r="AA23" s="437">
        <f>[6]Seguimiento!$C94</f>
        <v>1</v>
      </c>
      <c r="AB23" s="438">
        <f t="shared" si="14"/>
        <v>1</v>
      </c>
      <c r="AC23" s="439" t="s">
        <v>1023</v>
      </c>
      <c r="AD23" s="476">
        <f>[6]Seguimiento!$D95</f>
        <v>0.55000000000000004</v>
      </c>
      <c r="AE23" s="476">
        <f t="shared" si="1"/>
        <v>1</v>
      </c>
      <c r="AF23" s="436">
        <f>IF(AE23=0,"",AD23/AE23)</f>
        <v>0.55000000000000004</v>
      </c>
      <c r="AG23" s="437">
        <f>[6]Seguimiento!$C95</f>
        <v>1</v>
      </c>
      <c r="AH23" s="438">
        <f t="shared" si="16"/>
        <v>0.55000000000000004</v>
      </c>
      <c r="AI23" s="439" t="s">
        <v>1024</v>
      </c>
      <c r="AJ23" s="476">
        <f>[6]Seguimiento!$D96</f>
        <v>0.05</v>
      </c>
      <c r="AK23" s="476">
        <f t="shared" si="2"/>
        <v>1</v>
      </c>
      <c r="AL23" s="436">
        <f t="shared" si="17"/>
        <v>0.05</v>
      </c>
      <c r="AM23" s="437">
        <f>[6]Seguimiento!$C96</f>
        <v>1</v>
      </c>
      <c r="AN23" s="438">
        <f t="shared" si="18"/>
        <v>0.05</v>
      </c>
      <c r="AO23" s="439" t="s">
        <v>1025</v>
      </c>
      <c r="AP23" s="476">
        <f>[6]Seguimiento!$D97</f>
        <v>0.4</v>
      </c>
      <c r="AQ23" s="476">
        <f t="shared" si="3"/>
        <v>1</v>
      </c>
      <c r="AR23" s="436">
        <f t="shared" si="19"/>
        <v>0.4</v>
      </c>
      <c r="AS23" s="437">
        <f>[6]Seguimiento!$C97</f>
        <v>1</v>
      </c>
      <c r="AT23" s="438">
        <f t="shared" si="20"/>
        <v>0.4</v>
      </c>
      <c r="AU23" s="440" t="s">
        <v>1026</v>
      </c>
      <c r="AV23" s="476">
        <f>[6]Seguimiento!$D98</f>
        <v>0.25</v>
      </c>
      <c r="AW23" s="476">
        <f t="shared" si="4"/>
        <v>1</v>
      </c>
      <c r="AX23" s="436">
        <f t="shared" si="21"/>
        <v>0.25</v>
      </c>
      <c r="AY23" s="437">
        <f>[6]Seguimiento!$C98</f>
        <v>1</v>
      </c>
      <c r="AZ23" s="438">
        <f t="shared" si="22"/>
        <v>0.25</v>
      </c>
      <c r="BA23" s="439" t="s">
        <v>1027</v>
      </c>
      <c r="BB23" s="444">
        <f>[6]Seguimiento!$D99</f>
        <v>0.45</v>
      </c>
      <c r="BC23" s="444">
        <f t="shared" si="5"/>
        <v>1</v>
      </c>
      <c r="BD23" s="443">
        <f t="shared" si="23"/>
        <v>0.45</v>
      </c>
      <c r="BE23" s="444">
        <f>[6]Seguimiento!$C99</f>
        <v>0.8</v>
      </c>
      <c r="BF23" s="444">
        <f t="shared" si="24"/>
        <v>0.5625</v>
      </c>
      <c r="BG23" s="445" t="s">
        <v>1028</v>
      </c>
      <c r="BH23" s="444">
        <f>[6]Seguimiento!$D100</f>
        <v>0.15</v>
      </c>
      <c r="BI23" s="444">
        <f t="shared" si="6"/>
        <v>1</v>
      </c>
      <c r="BJ23" s="443">
        <f t="shared" si="25"/>
        <v>0.15</v>
      </c>
      <c r="BK23" s="444">
        <f>[6]Seguimiento!$C100</f>
        <v>1</v>
      </c>
      <c r="BL23" s="444">
        <f>IF(BK23=0,"",BJ23/BK23)</f>
        <v>0.15</v>
      </c>
      <c r="BM23" s="445" t="s">
        <v>1029</v>
      </c>
      <c r="BN23" s="444">
        <f>[6]Seguimiento!$D101</f>
        <v>0.45</v>
      </c>
      <c r="BO23" s="444">
        <f t="shared" si="7"/>
        <v>1</v>
      </c>
      <c r="BP23" s="443">
        <f t="shared" si="26"/>
        <v>0.45</v>
      </c>
      <c r="BQ23" s="444">
        <f>[6]Seguimiento!$C101</f>
        <v>1</v>
      </c>
      <c r="BR23" s="444">
        <f t="shared" si="27"/>
        <v>0.45</v>
      </c>
      <c r="BS23" s="445" t="s">
        <v>1030</v>
      </c>
      <c r="BT23" s="444">
        <f>[6]Seguimiento!$D102</f>
        <v>0.55000000000000004</v>
      </c>
      <c r="BU23" s="444">
        <f t="shared" si="8"/>
        <v>1</v>
      </c>
      <c r="BV23" s="443">
        <f t="shared" si="28"/>
        <v>0.55000000000000004</v>
      </c>
      <c r="BW23" s="444">
        <f>[6]Seguimiento!$C102</f>
        <v>1</v>
      </c>
      <c r="BX23" s="444">
        <f t="shared" si="29"/>
        <v>0.55000000000000004</v>
      </c>
      <c r="BY23" s="445" t="s">
        <v>1031</v>
      </c>
      <c r="BZ23" s="437">
        <f>[6]Seguimiento!$D103</f>
        <v>0.05</v>
      </c>
      <c r="CA23" s="437">
        <f t="shared" si="9"/>
        <v>1</v>
      </c>
      <c r="CB23" s="448">
        <f t="shared" si="30"/>
        <v>0.05</v>
      </c>
      <c r="CC23" s="437">
        <f>[6]Seguimiento!$C103</f>
        <v>1</v>
      </c>
      <c r="CD23" s="437">
        <f t="shared" si="31"/>
        <v>0.05</v>
      </c>
      <c r="CE23" s="502" t="s">
        <v>1032</v>
      </c>
      <c r="CF23" s="476">
        <f>[6]Seguimiento!$D104</f>
        <v>0.4</v>
      </c>
      <c r="CG23" s="476">
        <f t="shared" si="10"/>
        <v>1</v>
      </c>
      <c r="CH23" s="436">
        <f t="shared" si="32"/>
        <v>0.4</v>
      </c>
      <c r="CI23" s="437">
        <f>[6]Seguimiento!$C104</f>
        <v>1</v>
      </c>
      <c r="CJ23" s="438">
        <f>IF(CI23=0,"",CH23/CI23)</f>
        <v>0.4</v>
      </c>
      <c r="CK23" s="462" t="s">
        <v>1033</v>
      </c>
      <c r="CL23" s="437">
        <f>[6]Seguimiento!$D105</f>
        <v>0.3</v>
      </c>
      <c r="CM23" s="437">
        <f t="shared" si="11"/>
        <v>1</v>
      </c>
      <c r="CN23" s="448">
        <f t="shared" si="33"/>
        <v>0.3</v>
      </c>
      <c r="CO23" s="437">
        <f>[6]Seguimiento!$C105</f>
        <v>1</v>
      </c>
      <c r="CP23" s="452">
        <f t="shared" si="35"/>
        <v>0.3</v>
      </c>
      <c r="CQ23" s="479" t="s">
        <v>1034</v>
      </c>
      <c r="CR23" s="437">
        <f>[6]Seguimiento!$D106</f>
        <v>0.38333333333333336</v>
      </c>
      <c r="CS23" s="437">
        <f t="shared" si="12"/>
        <v>1</v>
      </c>
      <c r="CT23" s="448">
        <f t="shared" si="34"/>
        <v>0.38333333333333336</v>
      </c>
      <c r="CU23" s="437">
        <f>[6]Seguimiento!$C106</f>
        <v>1</v>
      </c>
      <c r="CV23" s="452">
        <f t="shared" si="36"/>
        <v>0.38333333333333336</v>
      </c>
      <c r="CW23" s="470" t="s">
        <v>1035</v>
      </c>
    </row>
    <row r="24" spans="2:101" ht="220.5" customHeight="1">
      <c r="B24" s="503" t="s">
        <v>81</v>
      </c>
      <c r="C24" s="429" t="s">
        <v>92</v>
      </c>
      <c r="D24" s="418" t="s">
        <v>83</v>
      </c>
      <c r="E24" s="429" t="s">
        <v>84</v>
      </c>
      <c r="F24" s="496" t="s">
        <v>82</v>
      </c>
      <c r="G24" s="429" t="s">
        <v>98</v>
      </c>
      <c r="H24" s="429" t="s">
        <v>86</v>
      </c>
      <c r="I24" s="429" t="s">
        <v>85</v>
      </c>
      <c r="J24" s="429" t="s">
        <v>54</v>
      </c>
      <c r="K24" s="473"/>
      <c r="L24" s="473"/>
      <c r="M24" s="473">
        <v>1</v>
      </c>
      <c r="N24" s="473"/>
      <c r="O24" s="473"/>
      <c r="P24" s="490">
        <v>1</v>
      </c>
      <c r="Q24" s="473"/>
      <c r="R24" s="473"/>
      <c r="S24" s="473">
        <v>1</v>
      </c>
      <c r="T24" s="473"/>
      <c r="U24" s="473"/>
      <c r="V24" s="473">
        <v>1</v>
      </c>
      <c r="W24" s="473">
        <v>1</v>
      </c>
      <c r="X24" s="492">
        <v>0</v>
      </c>
      <c r="Y24" s="435"/>
      <c r="Z24" s="436" t="str">
        <f>IF(Y24=0," ",X24/Y24)</f>
        <v xml:space="preserve"> </v>
      </c>
      <c r="AA24" s="493">
        <v>0</v>
      </c>
      <c r="AB24" s="436" t="str">
        <f>IF(Y24=0," ",Z24/AA24)</f>
        <v xml:space="preserve"> </v>
      </c>
      <c r="AC24" s="439" t="s">
        <v>1036</v>
      </c>
      <c r="AD24" s="492">
        <v>0</v>
      </c>
      <c r="AE24" s="435"/>
      <c r="AF24" s="436" t="str">
        <f>IF(AE24=0," ",AD24/AE24)</f>
        <v xml:space="preserve"> </v>
      </c>
      <c r="AG24" s="493">
        <v>0</v>
      </c>
      <c r="AH24" s="436" t="str">
        <f>IF(AE24=0," ",AF24/AG24)</f>
        <v xml:space="preserve"> </v>
      </c>
      <c r="AI24" s="439" t="s">
        <v>1037</v>
      </c>
      <c r="AJ24" s="506">
        <v>152</v>
      </c>
      <c r="AK24" s="506">
        <v>152</v>
      </c>
      <c r="AL24" s="476">
        <f>AJ24/AK24</f>
        <v>1</v>
      </c>
      <c r="AM24" s="476">
        <v>1</v>
      </c>
      <c r="AN24" s="476">
        <f>AL24/AM24</f>
        <v>1</v>
      </c>
      <c r="AO24" s="439" t="s">
        <v>1038</v>
      </c>
      <c r="AP24" s="492">
        <v>0</v>
      </c>
      <c r="AQ24" s="435"/>
      <c r="AR24" s="436" t="str">
        <f>IF(AQ24=0," ",AP24/AQ24)</f>
        <v xml:space="preserve"> </v>
      </c>
      <c r="AS24" s="493">
        <v>0</v>
      </c>
      <c r="AT24" s="436" t="str">
        <f>IF(AQ24=0," ",AR24/AS24)</f>
        <v xml:space="preserve"> </v>
      </c>
      <c r="AU24" s="440" t="s">
        <v>1039</v>
      </c>
      <c r="AV24" s="476">
        <f>[6]Seguimiento!$J98</f>
        <v>0</v>
      </c>
      <c r="AW24" s="476">
        <f t="shared" si="4"/>
        <v>1</v>
      </c>
      <c r="AX24" s="436">
        <f t="shared" si="21"/>
        <v>0</v>
      </c>
      <c r="AY24" s="437">
        <f>[6]Seguimiento!$I98</f>
        <v>0</v>
      </c>
      <c r="AZ24" s="438" t="str">
        <f t="shared" si="22"/>
        <v/>
      </c>
      <c r="BA24" s="439" t="s">
        <v>1040</v>
      </c>
      <c r="BB24" s="444">
        <v>1.52</v>
      </c>
      <c r="BC24" s="444">
        <v>1.52</v>
      </c>
      <c r="BD24" s="443">
        <f t="shared" si="23"/>
        <v>1</v>
      </c>
      <c r="BE24" s="444">
        <f>[6]Seguimiento!$I99</f>
        <v>1</v>
      </c>
      <c r="BF24" s="444">
        <f t="shared" si="24"/>
        <v>1</v>
      </c>
      <c r="BG24" s="445" t="s">
        <v>1041</v>
      </c>
      <c r="BH24" s="444">
        <f>[6]Seguimiento!$J100</f>
        <v>0</v>
      </c>
      <c r="BI24" s="444">
        <f t="shared" si="6"/>
        <v>1</v>
      </c>
      <c r="BJ24" s="443">
        <f t="shared" si="25"/>
        <v>0</v>
      </c>
      <c r="BK24" s="444">
        <f>[6]Seguimiento!$I100</f>
        <v>0</v>
      </c>
      <c r="BL24" s="444">
        <f>IF(BK24=0,0,BJ24/BK24)</f>
        <v>0</v>
      </c>
      <c r="BM24" s="445" t="s">
        <v>1042</v>
      </c>
      <c r="BN24" s="444">
        <f>[6]Seguimiento!$J101</f>
        <v>0</v>
      </c>
      <c r="BO24" s="444">
        <f t="shared" si="7"/>
        <v>1</v>
      </c>
      <c r="BP24" s="443">
        <f t="shared" si="26"/>
        <v>0</v>
      </c>
      <c r="BQ24" s="444">
        <f>[6]Seguimiento!$I101</f>
        <v>0</v>
      </c>
      <c r="BR24" s="444">
        <v>0</v>
      </c>
      <c r="BS24" s="445" t="s">
        <v>1043</v>
      </c>
      <c r="BT24" s="444">
        <f>[6]Seguimiento!$J102</f>
        <v>0.93</v>
      </c>
      <c r="BU24" s="444">
        <f t="shared" si="8"/>
        <v>1</v>
      </c>
      <c r="BV24" s="443">
        <f t="shared" si="28"/>
        <v>0.93</v>
      </c>
      <c r="BW24" s="444">
        <f>[6]Seguimiento!$I102</f>
        <v>1</v>
      </c>
      <c r="BX24" s="444">
        <f t="shared" si="29"/>
        <v>0.93</v>
      </c>
      <c r="BY24" s="445" t="s">
        <v>1044</v>
      </c>
      <c r="BZ24" s="437">
        <f>[6]Seguimiento!$J103</f>
        <v>0</v>
      </c>
      <c r="CA24" s="437">
        <f t="shared" si="9"/>
        <v>1</v>
      </c>
      <c r="CB24" s="448">
        <f t="shared" si="30"/>
        <v>0</v>
      </c>
      <c r="CC24" s="437">
        <f>[6]Seguimiento!$I103</f>
        <v>0</v>
      </c>
      <c r="CD24" s="437">
        <v>0</v>
      </c>
      <c r="CE24" s="449" t="s">
        <v>1045</v>
      </c>
      <c r="CF24" s="476">
        <f>[6]Seguimiento!$J104</f>
        <v>0</v>
      </c>
      <c r="CG24" s="476">
        <f t="shared" si="10"/>
        <v>1</v>
      </c>
      <c r="CH24" s="436">
        <f t="shared" si="32"/>
        <v>0</v>
      </c>
      <c r="CI24" s="437">
        <f>[6]Seguimiento!$I104</f>
        <v>0</v>
      </c>
      <c r="CJ24" s="438">
        <v>0</v>
      </c>
      <c r="CK24" s="445" t="s">
        <v>1046</v>
      </c>
      <c r="CL24" s="437">
        <f>[6]Seguimiento!$J105</f>
        <v>0.99</v>
      </c>
      <c r="CM24" s="437">
        <f t="shared" si="11"/>
        <v>1</v>
      </c>
      <c r="CN24" s="448">
        <f t="shared" si="33"/>
        <v>0.99</v>
      </c>
      <c r="CO24" s="437">
        <f>[6]Seguimiento!$I105</f>
        <v>1</v>
      </c>
      <c r="CP24" s="452">
        <f t="shared" si="35"/>
        <v>0.99</v>
      </c>
      <c r="CQ24" s="479" t="s">
        <v>1047</v>
      </c>
      <c r="CR24" s="437">
        <f>[6]Seguimiento!$J106</f>
        <v>0.98</v>
      </c>
      <c r="CS24" s="437">
        <f t="shared" si="12"/>
        <v>1</v>
      </c>
      <c r="CT24" s="448">
        <f>IF(CS24=0,"",CR24/CS24)</f>
        <v>0.98</v>
      </c>
      <c r="CU24" s="437">
        <f>[6]Seguimiento!$I106</f>
        <v>1</v>
      </c>
      <c r="CV24" s="452">
        <f>IF(CU24=0,"",CT24/CU24)</f>
        <v>0.98</v>
      </c>
      <c r="CW24" s="470" t="s">
        <v>1048</v>
      </c>
    </row>
    <row r="25" spans="2:101" ht="32.25" customHeight="1">
      <c r="B25" s="2162"/>
      <c r="C25" s="2162"/>
      <c r="D25" s="2162"/>
      <c r="E25" s="2162"/>
      <c r="F25" s="507"/>
      <c r="G25" s="507"/>
      <c r="H25" s="507"/>
      <c r="I25" s="507"/>
      <c r="J25" s="508"/>
      <c r="K25" s="509"/>
      <c r="L25" s="509"/>
      <c r="M25" s="509"/>
      <c r="N25" s="509"/>
      <c r="O25" s="509"/>
      <c r="P25" s="510"/>
      <c r="Q25" s="509"/>
      <c r="R25" s="509"/>
      <c r="S25" s="509"/>
      <c r="T25" s="509"/>
      <c r="U25" s="509"/>
      <c r="V25" s="509"/>
    </row>
    <row r="26" spans="2:101" ht="21.75" customHeight="1">
      <c r="B26" s="2169" t="s">
        <v>17</v>
      </c>
      <c r="C26" s="2169"/>
      <c r="D26" s="2169"/>
      <c r="E26" s="511"/>
      <c r="F26" s="511"/>
      <c r="G26" s="511"/>
      <c r="H26" s="511"/>
      <c r="I26" s="511"/>
    </row>
    <row r="27" spans="2:101" ht="18.75">
      <c r="B27" s="511"/>
      <c r="C27" s="511"/>
      <c r="D27" s="511"/>
      <c r="E27" s="2170"/>
      <c r="F27" s="2170"/>
      <c r="G27" s="2170"/>
      <c r="H27" s="2170"/>
      <c r="I27" s="511"/>
      <c r="K27" s="419" t="s">
        <v>28</v>
      </c>
    </row>
    <row r="28" spans="2:101" ht="20.25" customHeight="1">
      <c r="B28" s="511"/>
      <c r="C28" s="511"/>
      <c r="D28" s="2171" t="s">
        <v>1049</v>
      </c>
      <c r="E28" s="2171"/>
      <c r="F28" s="2171"/>
      <c r="G28" s="2171"/>
      <c r="H28" s="2171"/>
      <c r="I28" s="2171"/>
    </row>
    <row r="29" spans="2:101" ht="26.25" customHeight="1">
      <c r="B29" s="511"/>
      <c r="C29" s="511"/>
      <c r="D29" s="2172" t="s">
        <v>1050</v>
      </c>
      <c r="E29" s="2172"/>
      <c r="F29" s="2172"/>
      <c r="G29" s="2172"/>
      <c r="H29" s="2172"/>
      <c r="I29" s="2172"/>
    </row>
    <row r="30" spans="2:101">
      <c r="E30" s="422"/>
      <c r="F30" s="422"/>
      <c r="G30" s="422"/>
      <c r="H30" s="422"/>
    </row>
    <row r="31" spans="2:101" ht="19.5" customHeight="1"/>
    <row r="32" spans="2:101" ht="12.75" customHeight="1"/>
    <row r="33" ht="12.75" customHeight="1"/>
  </sheetData>
  <mergeCells count="50">
    <mergeCell ref="B26:D26"/>
    <mergeCell ref="E27:H27"/>
    <mergeCell ref="D28:I28"/>
    <mergeCell ref="D29:I29"/>
    <mergeCell ref="BT6:BY6"/>
    <mergeCell ref="BZ6:CE6"/>
    <mergeCell ref="H6:H7"/>
    <mergeCell ref="I6:I7"/>
    <mergeCell ref="J6:J7"/>
    <mergeCell ref="K6:V6"/>
    <mergeCell ref="CF6:CK6"/>
    <mergeCell ref="CL6:CQ6"/>
    <mergeCell ref="CR6:CW6"/>
    <mergeCell ref="B25:E25"/>
    <mergeCell ref="AJ6:AO6"/>
    <mergeCell ref="AP6:AU6"/>
    <mergeCell ref="AV6:BA6"/>
    <mergeCell ref="BB6:BG6"/>
    <mergeCell ref="BH6:BM6"/>
    <mergeCell ref="BN6:BS6"/>
    <mergeCell ref="X6:AC6"/>
    <mergeCell ref="AD6:AI6"/>
    <mergeCell ref="CF4:CK4"/>
    <mergeCell ref="CL4:CQ4"/>
    <mergeCell ref="CR4:CW4"/>
    <mergeCell ref="BB5:BG5"/>
    <mergeCell ref="AP4:AU4"/>
    <mergeCell ref="AV4:BA4"/>
    <mergeCell ref="BH4:BM4"/>
    <mergeCell ref="BN4:BS4"/>
    <mergeCell ref="B6:B7"/>
    <mergeCell ref="C6:C7"/>
    <mergeCell ref="D6:D7"/>
    <mergeCell ref="E6:E7"/>
    <mergeCell ref="F6:F7"/>
    <mergeCell ref="G6:G7"/>
    <mergeCell ref="BT4:BY4"/>
    <mergeCell ref="BZ4:CE4"/>
    <mergeCell ref="C4:J4"/>
    <mergeCell ref="K4:M4"/>
    <mergeCell ref="N4:V4"/>
    <mergeCell ref="X4:AC4"/>
    <mergeCell ref="AD4:AI4"/>
    <mergeCell ref="AJ4:AO4"/>
    <mergeCell ref="B1:N1"/>
    <mergeCell ref="O1:R1"/>
    <mergeCell ref="S1:V2"/>
    <mergeCell ref="A2:B2"/>
    <mergeCell ref="D2:N2"/>
    <mergeCell ref="O2:R2"/>
  </mergeCells>
  <conditionalFormatting sqref="AB8">
    <cfRule type="colorScale" priority="69">
      <colorScale>
        <cfvo type="num" val="0.69"/>
        <cfvo type="num" val="0.8"/>
        <cfvo type="num" val="0.9"/>
        <color rgb="FFF8696B"/>
        <color rgb="FFFFEB84"/>
        <color rgb="FF63BE7B"/>
      </colorScale>
    </cfRule>
  </conditionalFormatting>
  <conditionalFormatting sqref="AB9:AB16 AB20:AB23">
    <cfRule type="colorScale" priority="68">
      <colorScale>
        <cfvo type="num" val="0.69"/>
        <cfvo type="num" val="0.8"/>
        <cfvo type="num" val="0.9"/>
        <color rgb="FFF8696B"/>
        <color rgb="FFFFEB84"/>
        <color rgb="FF63BE7B"/>
      </colorScale>
    </cfRule>
  </conditionalFormatting>
  <conditionalFormatting sqref="AH8 AN8 AT8 AZ8 BF8 BL8 BR8 BX8 CD8 CJ8 CV8">
    <cfRule type="colorScale" priority="67">
      <colorScale>
        <cfvo type="num" val="0.69"/>
        <cfvo type="num" val="0.8"/>
        <cfvo type="num" val="0.9"/>
        <color rgb="FFF8696B"/>
        <color rgb="FFFFEB84"/>
        <color rgb="FF63BE7B"/>
      </colorScale>
    </cfRule>
  </conditionalFormatting>
  <conditionalFormatting sqref="AH9:AH17 AN9:AN17 AT9:AT16 AZ9:AZ24 BF9:BF10 BR9:BR24 CP9:CP24 CV9:CV24 AH20:AH23 AN20:AN23 AT20:AT23 BF16:BF24 BL9:BL24 BX9:BX24 CD9:CD24 CJ10:CJ24">
    <cfRule type="colorScale" priority="66">
      <colorScale>
        <cfvo type="num" val="0.69"/>
        <cfvo type="num" val="0.8"/>
        <cfvo type="num" val="0.9"/>
        <color rgb="FFF8696B"/>
        <color rgb="FFFFEB84"/>
        <color rgb="FF63BE7B"/>
      </colorScale>
    </cfRule>
  </conditionalFormatting>
  <conditionalFormatting sqref="AT17">
    <cfRule type="colorScale" priority="65">
      <colorScale>
        <cfvo type="num" val="0.69"/>
        <cfvo type="num" val="0.8"/>
        <cfvo type="num" val="0.9"/>
        <color rgb="FFF8696B"/>
        <color rgb="FFFFEB84"/>
        <color rgb="FF63BE7B"/>
      </colorScale>
    </cfRule>
  </conditionalFormatting>
  <conditionalFormatting sqref="AB19">
    <cfRule type="colorScale" priority="64">
      <colorScale>
        <cfvo type="num" val="0.69"/>
        <cfvo type="num" val="0.8"/>
        <cfvo type="num" val="0.9"/>
        <color rgb="FFF8696B"/>
        <color rgb="FFFFEB84"/>
        <color rgb="FF63BE7B"/>
      </colorScale>
    </cfRule>
  </conditionalFormatting>
  <conditionalFormatting sqref="AB19">
    <cfRule type="colorScale" priority="63">
      <colorScale>
        <cfvo type="num" val="0.69"/>
        <cfvo type="num" val="0.8"/>
        <cfvo type="num" val="0.9"/>
        <color rgb="FFF8696B"/>
        <color rgb="FFFFEB84"/>
        <color rgb="FF63BE7B"/>
      </colorScale>
    </cfRule>
  </conditionalFormatting>
  <conditionalFormatting sqref="AB19">
    <cfRule type="colorScale" priority="62">
      <colorScale>
        <cfvo type="num" val="0.69"/>
        <cfvo type="num" val="0.8"/>
        <cfvo type="num" val="0.9"/>
        <color rgb="FFF8696B"/>
        <color rgb="FFFFEB84"/>
        <color rgb="FF63BE7B"/>
      </colorScale>
    </cfRule>
  </conditionalFormatting>
  <conditionalFormatting sqref="AB19">
    <cfRule type="colorScale" priority="61">
      <colorScale>
        <cfvo type="num" val="0.69"/>
        <cfvo type="num" val="0.8"/>
        <cfvo type="num" val="0.9"/>
        <color rgb="FFF8696B"/>
        <color rgb="FFFFEB84"/>
        <color rgb="FF63BE7B"/>
      </colorScale>
    </cfRule>
  </conditionalFormatting>
  <conditionalFormatting sqref="AB19">
    <cfRule type="colorScale" priority="60">
      <colorScale>
        <cfvo type="num" val="0.69"/>
        <cfvo type="num" val="0.8"/>
        <cfvo type="num" val="0.9"/>
        <color rgb="FFF8696B"/>
        <color rgb="FFFFEB84"/>
        <color rgb="FF63BE7B"/>
      </colorScale>
    </cfRule>
  </conditionalFormatting>
  <conditionalFormatting sqref="AB17">
    <cfRule type="colorScale" priority="59">
      <colorScale>
        <cfvo type="num" val="0.69"/>
        <cfvo type="num" val="0.8"/>
        <cfvo type="num" val="0.9"/>
        <color rgb="FFF8696B"/>
        <color rgb="FFFFEB84"/>
        <color rgb="FF63BE7B"/>
      </colorScale>
    </cfRule>
  </conditionalFormatting>
  <conditionalFormatting sqref="AB17">
    <cfRule type="colorScale" priority="58">
      <colorScale>
        <cfvo type="num" val="0.69"/>
        <cfvo type="num" val="0.8"/>
        <cfvo type="num" val="0.9"/>
        <color rgb="FFF8696B"/>
        <color rgb="FFFFEB84"/>
        <color rgb="FF63BE7B"/>
      </colorScale>
    </cfRule>
  </conditionalFormatting>
  <conditionalFormatting sqref="AB17">
    <cfRule type="colorScale" priority="57">
      <colorScale>
        <cfvo type="num" val="0.69"/>
        <cfvo type="num" val="0.8"/>
        <cfvo type="num" val="0.9"/>
        <color rgb="FFF8696B"/>
        <color rgb="FFFFEB84"/>
        <color rgb="FF63BE7B"/>
      </colorScale>
    </cfRule>
  </conditionalFormatting>
  <conditionalFormatting sqref="AB17">
    <cfRule type="colorScale" priority="56">
      <colorScale>
        <cfvo type="num" val="0.69"/>
        <cfvo type="num" val="0.8"/>
        <cfvo type="num" val="0.9"/>
        <color rgb="FFF8696B"/>
        <color rgb="FFFFEB84"/>
        <color rgb="FF63BE7B"/>
      </colorScale>
    </cfRule>
  </conditionalFormatting>
  <conditionalFormatting sqref="AB17">
    <cfRule type="colorScale" priority="55">
      <colorScale>
        <cfvo type="num" val="0.69"/>
        <cfvo type="num" val="0.8"/>
        <cfvo type="num" val="0.9"/>
        <color rgb="FFF8696B"/>
        <color rgb="FFFFEB84"/>
        <color rgb="FF63BE7B"/>
      </colorScale>
    </cfRule>
  </conditionalFormatting>
  <conditionalFormatting sqref="AH19">
    <cfRule type="colorScale" priority="54">
      <colorScale>
        <cfvo type="num" val="0.69"/>
        <cfvo type="num" val="0.8"/>
        <cfvo type="num" val="0.9"/>
        <color rgb="FFF8696B"/>
        <color rgb="FFFFEB84"/>
        <color rgb="FF63BE7B"/>
      </colorScale>
    </cfRule>
  </conditionalFormatting>
  <conditionalFormatting sqref="AH19">
    <cfRule type="colorScale" priority="53">
      <colorScale>
        <cfvo type="num" val="0.69"/>
        <cfvo type="num" val="0.8"/>
        <cfvo type="num" val="0.9"/>
        <color rgb="FFF8696B"/>
        <color rgb="FFFFEB84"/>
        <color rgb="FF63BE7B"/>
      </colorScale>
    </cfRule>
  </conditionalFormatting>
  <conditionalFormatting sqref="AH19">
    <cfRule type="colorScale" priority="52">
      <colorScale>
        <cfvo type="num" val="0.69"/>
        <cfvo type="num" val="0.8"/>
        <cfvo type="num" val="0.9"/>
        <color rgb="FFF8696B"/>
        <color rgb="FFFFEB84"/>
        <color rgb="FF63BE7B"/>
      </colorScale>
    </cfRule>
  </conditionalFormatting>
  <conditionalFormatting sqref="AH19">
    <cfRule type="colorScale" priority="51">
      <colorScale>
        <cfvo type="num" val="0.69"/>
        <cfvo type="num" val="0.8"/>
        <cfvo type="num" val="0.9"/>
        <color rgb="FFF8696B"/>
        <color rgb="FFFFEB84"/>
        <color rgb="FF63BE7B"/>
      </colorScale>
    </cfRule>
  </conditionalFormatting>
  <conditionalFormatting sqref="AH19">
    <cfRule type="colorScale" priority="50">
      <colorScale>
        <cfvo type="num" val="0.69"/>
        <cfvo type="num" val="0.8"/>
        <cfvo type="num" val="0.9"/>
        <color rgb="FFF8696B"/>
        <color rgb="FFFFEB84"/>
        <color rgb="FF63BE7B"/>
      </colorScale>
    </cfRule>
  </conditionalFormatting>
  <conditionalFormatting sqref="AN19">
    <cfRule type="colorScale" priority="49">
      <colorScale>
        <cfvo type="num" val="0.69"/>
        <cfvo type="num" val="0.8"/>
        <cfvo type="num" val="0.9"/>
        <color rgb="FFF8696B"/>
        <color rgb="FFFFEB84"/>
        <color rgb="FF63BE7B"/>
      </colorScale>
    </cfRule>
  </conditionalFormatting>
  <conditionalFormatting sqref="AN19">
    <cfRule type="colorScale" priority="48">
      <colorScale>
        <cfvo type="num" val="0.69"/>
        <cfvo type="num" val="0.8"/>
        <cfvo type="num" val="0.9"/>
        <color rgb="FFF8696B"/>
        <color rgb="FFFFEB84"/>
        <color rgb="FF63BE7B"/>
      </colorScale>
    </cfRule>
  </conditionalFormatting>
  <conditionalFormatting sqref="AN19">
    <cfRule type="colorScale" priority="47">
      <colorScale>
        <cfvo type="num" val="0.69"/>
        <cfvo type="num" val="0.8"/>
        <cfvo type="num" val="0.9"/>
        <color rgb="FFF8696B"/>
        <color rgb="FFFFEB84"/>
        <color rgb="FF63BE7B"/>
      </colorScale>
    </cfRule>
  </conditionalFormatting>
  <conditionalFormatting sqref="AN19">
    <cfRule type="colorScale" priority="46">
      <colorScale>
        <cfvo type="num" val="0.69"/>
        <cfvo type="num" val="0.8"/>
        <cfvo type="num" val="0.9"/>
        <color rgb="FFF8696B"/>
        <color rgb="FFFFEB84"/>
        <color rgb="FF63BE7B"/>
      </colorScale>
    </cfRule>
  </conditionalFormatting>
  <conditionalFormatting sqref="AN19">
    <cfRule type="colorScale" priority="45">
      <colorScale>
        <cfvo type="num" val="0.69"/>
        <cfvo type="num" val="0.8"/>
        <cfvo type="num" val="0.9"/>
        <color rgb="FFF8696B"/>
        <color rgb="FFFFEB84"/>
        <color rgb="FF63BE7B"/>
      </colorScale>
    </cfRule>
  </conditionalFormatting>
  <conditionalFormatting sqref="AT19">
    <cfRule type="colorScale" priority="44">
      <colorScale>
        <cfvo type="num" val="0.69"/>
        <cfvo type="num" val="0.8"/>
        <cfvo type="num" val="0.9"/>
        <color rgb="FFF8696B"/>
        <color rgb="FFFFEB84"/>
        <color rgb="FF63BE7B"/>
      </colorScale>
    </cfRule>
  </conditionalFormatting>
  <conditionalFormatting sqref="AT19">
    <cfRule type="colorScale" priority="43">
      <colorScale>
        <cfvo type="num" val="0.69"/>
        <cfvo type="num" val="0.8"/>
        <cfvo type="num" val="0.9"/>
        <color rgb="FFF8696B"/>
        <color rgb="FFFFEB84"/>
        <color rgb="FF63BE7B"/>
      </colorScale>
    </cfRule>
  </conditionalFormatting>
  <conditionalFormatting sqref="AT19">
    <cfRule type="colorScale" priority="42">
      <colorScale>
        <cfvo type="num" val="0.69"/>
        <cfvo type="num" val="0.8"/>
        <cfvo type="num" val="0.9"/>
        <color rgb="FFF8696B"/>
        <color rgb="FFFFEB84"/>
        <color rgb="FF63BE7B"/>
      </colorScale>
    </cfRule>
  </conditionalFormatting>
  <conditionalFormatting sqref="AT19">
    <cfRule type="colorScale" priority="41">
      <colorScale>
        <cfvo type="num" val="0.69"/>
        <cfvo type="num" val="0.8"/>
        <cfvo type="num" val="0.9"/>
        <color rgb="FFF8696B"/>
        <color rgb="FFFFEB84"/>
        <color rgb="FF63BE7B"/>
      </colorScale>
    </cfRule>
  </conditionalFormatting>
  <conditionalFormatting sqref="AT19">
    <cfRule type="colorScale" priority="40">
      <colorScale>
        <cfvo type="num" val="0.69"/>
        <cfvo type="num" val="0.8"/>
        <cfvo type="num" val="0.9"/>
        <color rgb="FFF8696B"/>
        <color rgb="FFFFEB84"/>
        <color rgb="FF63BE7B"/>
      </colorScale>
    </cfRule>
  </conditionalFormatting>
  <conditionalFormatting sqref="AN18">
    <cfRule type="colorScale" priority="39">
      <colorScale>
        <cfvo type="num" val="0.69"/>
        <cfvo type="num" val="0.8"/>
        <cfvo type="num" val="0.9"/>
        <color rgb="FFF8696B"/>
        <color rgb="FFFFEB84"/>
        <color rgb="FF63BE7B"/>
      </colorScale>
    </cfRule>
  </conditionalFormatting>
  <conditionalFormatting sqref="AN18">
    <cfRule type="colorScale" priority="38">
      <colorScale>
        <cfvo type="num" val="0.69"/>
        <cfvo type="num" val="0.8"/>
        <cfvo type="num" val="0.9"/>
        <color rgb="FFF8696B"/>
        <color rgb="FFFFEB84"/>
        <color rgb="FF63BE7B"/>
      </colorScale>
    </cfRule>
  </conditionalFormatting>
  <conditionalFormatting sqref="AB18">
    <cfRule type="colorScale" priority="37">
      <colorScale>
        <cfvo type="num" val="0.69"/>
        <cfvo type="num" val="0.8"/>
        <cfvo type="num" val="0.9"/>
        <color rgb="FFF8696B"/>
        <color rgb="FFFFEB84"/>
        <color rgb="FF63BE7B"/>
      </colorScale>
    </cfRule>
  </conditionalFormatting>
  <conditionalFormatting sqref="AB18">
    <cfRule type="colorScale" priority="36">
      <colorScale>
        <cfvo type="num" val="0.69"/>
        <cfvo type="num" val="0.8"/>
        <cfvo type="num" val="0.9"/>
        <color rgb="FFF8696B"/>
        <color rgb="FFFFEB84"/>
        <color rgb="FF63BE7B"/>
      </colorScale>
    </cfRule>
  </conditionalFormatting>
  <conditionalFormatting sqref="AB18">
    <cfRule type="colorScale" priority="35">
      <colorScale>
        <cfvo type="num" val="0.69"/>
        <cfvo type="num" val="0.8"/>
        <cfvo type="num" val="0.9"/>
        <color rgb="FFF8696B"/>
        <color rgb="FFFFEB84"/>
        <color rgb="FF63BE7B"/>
      </colorScale>
    </cfRule>
  </conditionalFormatting>
  <conditionalFormatting sqref="AB18">
    <cfRule type="colorScale" priority="34">
      <colorScale>
        <cfvo type="num" val="0.69"/>
        <cfvo type="num" val="0.8"/>
        <cfvo type="num" val="0.9"/>
        <color rgb="FFF8696B"/>
        <color rgb="FFFFEB84"/>
        <color rgb="FF63BE7B"/>
      </colorScale>
    </cfRule>
  </conditionalFormatting>
  <conditionalFormatting sqref="AB18">
    <cfRule type="colorScale" priority="33">
      <colorScale>
        <cfvo type="num" val="0.69"/>
        <cfvo type="num" val="0.8"/>
        <cfvo type="num" val="0.9"/>
        <color rgb="FFF8696B"/>
        <color rgb="FFFFEB84"/>
        <color rgb="FF63BE7B"/>
      </colorScale>
    </cfRule>
  </conditionalFormatting>
  <conditionalFormatting sqref="AH18">
    <cfRule type="colorScale" priority="32">
      <colorScale>
        <cfvo type="num" val="0.69"/>
        <cfvo type="num" val="0.8"/>
        <cfvo type="num" val="0.9"/>
        <color rgb="FFF8696B"/>
        <color rgb="FFFFEB84"/>
        <color rgb="FF63BE7B"/>
      </colorScale>
    </cfRule>
  </conditionalFormatting>
  <conditionalFormatting sqref="AH18">
    <cfRule type="colorScale" priority="31">
      <colorScale>
        <cfvo type="num" val="0.69"/>
        <cfvo type="num" val="0.8"/>
        <cfvo type="num" val="0.9"/>
        <color rgb="FFF8696B"/>
        <color rgb="FFFFEB84"/>
        <color rgb="FF63BE7B"/>
      </colorScale>
    </cfRule>
  </conditionalFormatting>
  <conditionalFormatting sqref="AH18">
    <cfRule type="colorScale" priority="30">
      <colorScale>
        <cfvo type="num" val="0.69"/>
        <cfvo type="num" val="0.8"/>
        <cfvo type="num" val="0.9"/>
        <color rgb="FFF8696B"/>
        <color rgb="FFFFEB84"/>
        <color rgb="FF63BE7B"/>
      </colorScale>
    </cfRule>
  </conditionalFormatting>
  <conditionalFormatting sqref="AH18">
    <cfRule type="colorScale" priority="29">
      <colorScale>
        <cfvo type="num" val="0.69"/>
        <cfvo type="num" val="0.8"/>
        <cfvo type="num" val="0.9"/>
        <color rgb="FFF8696B"/>
        <color rgb="FFFFEB84"/>
        <color rgb="FF63BE7B"/>
      </colorScale>
    </cfRule>
  </conditionalFormatting>
  <conditionalFormatting sqref="AH18">
    <cfRule type="colorScale" priority="28">
      <colorScale>
        <cfvo type="num" val="0.69"/>
        <cfvo type="num" val="0.8"/>
        <cfvo type="num" val="0.9"/>
        <color rgb="FFF8696B"/>
        <color rgb="FFFFEB84"/>
        <color rgb="FF63BE7B"/>
      </colorScale>
    </cfRule>
  </conditionalFormatting>
  <conditionalFormatting sqref="AT18">
    <cfRule type="colorScale" priority="27">
      <colorScale>
        <cfvo type="num" val="0.69"/>
        <cfvo type="num" val="0.8"/>
        <cfvo type="num" val="0.9"/>
        <color rgb="FFF8696B"/>
        <color rgb="FFFFEB84"/>
        <color rgb="FF63BE7B"/>
      </colorScale>
    </cfRule>
  </conditionalFormatting>
  <conditionalFormatting sqref="AT18">
    <cfRule type="colorScale" priority="26">
      <colorScale>
        <cfvo type="num" val="0.69"/>
        <cfvo type="num" val="0.8"/>
        <cfvo type="num" val="0.9"/>
        <color rgb="FFF8696B"/>
        <color rgb="FFFFEB84"/>
        <color rgb="FF63BE7B"/>
      </colorScale>
    </cfRule>
  </conditionalFormatting>
  <conditionalFormatting sqref="AT18">
    <cfRule type="colorScale" priority="25">
      <colorScale>
        <cfvo type="num" val="0.69"/>
        <cfvo type="num" val="0.8"/>
        <cfvo type="num" val="0.9"/>
        <color rgb="FFF8696B"/>
        <color rgb="FFFFEB84"/>
        <color rgb="FF63BE7B"/>
      </colorScale>
    </cfRule>
  </conditionalFormatting>
  <conditionalFormatting sqref="AT18">
    <cfRule type="colorScale" priority="24">
      <colorScale>
        <cfvo type="num" val="0.69"/>
        <cfvo type="num" val="0.8"/>
        <cfvo type="num" val="0.9"/>
        <color rgb="FFF8696B"/>
        <color rgb="FFFFEB84"/>
        <color rgb="FF63BE7B"/>
      </colorScale>
    </cfRule>
  </conditionalFormatting>
  <conditionalFormatting sqref="AT18">
    <cfRule type="colorScale" priority="23">
      <colorScale>
        <cfvo type="num" val="0.69"/>
        <cfvo type="num" val="0.8"/>
        <cfvo type="num" val="0.9"/>
        <color rgb="FFF8696B"/>
        <color rgb="FFFFEB84"/>
        <color rgb="FF63BE7B"/>
      </colorScale>
    </cfRule>
  </conditionalFormatting>
  <conditionalFormatting sqref="AB24">
    <cfRule type="colorScale" priority="22">
      <colorScale>
        <cfvo type="num" val="0.69"/>
        <cfvo type="num" val="0.8"/>
        <cfvo type="num" val="0.9"/>
        <color rgb="FFF8696B"/>
        <color rgb="FFFFEB84"/>
        <color rgb="FF63BE7B"/>
      </colorScale>
    </cfRule>
  </conditionalFormatting>
  <conditionalFormatting sqref="AB24">
    <cfRule type="colorScale" priority="21">
      <colorScale>
        <cfvo type="num" val="0.69"/>
        <cfvo type="num" val="0.8"/>
        <cfvo type="num" val="0.9"/>
        <color rgb="FFF8696B"/>
        <color rgb="FFFFEB84"/>
        <color rgb="FF63BE7B"/>
      </colorScale>
    </cfRule>
  </conditionalFormatting>
  <conditionalFormatting sqref="AB24">
    <cfRule type="colorScale" priority="20">
      <colorScale>
        <cfvo type="num" val="0.69"/>
        <cfvo type="num" val="0.8"/>
        <cfvo type="num" val="0.9"/>
        <color rgb="FFF8696B"/>
        <color rgb="FFFFEB84"/>
        <color rgb="FF63BE7B"/>
      </colorScale>
    </cfRule>
  </conditionalFormatting>
  <conditionalFormatting sqref="AB24">
    <cfRule type="colorScale" priority="19">
      <colorScale>
        <cfvo type="num" val="0.69"/>
        <cfvo type="num" val="0.8"/>
        <cfvo type="num" val="0.9"/>
        <color rgb="FFF8696B"/>
        <color rgb="FFFFEB84"/>
        <color rgb="FF63BE7B"/>
      </colorScale>
    </cfRule>
  </conditionalFormatting>
  <conditionalFormatting sqref="AB24">
    <cfRule type="colorScale" priority="18">
      <colorScale>
        <cfvo type="num" val="0.69"/>
        <cfvo type="num" val="0.8"/>
        <cfvo type="num" val="0.9"/>
        <color rgb="FFF8696B"/>
        <color rgb="FFFFEB84"/>
        <color rgb="FF63BE7B"/>
      </colorScale>
    </cfRule>
  </conditionalFormatting>
  <conditionalFormatting sqref="AH24">
    <cfRule type="colorScale" priority="17">
      <colorScale>
        <cfvo type="num" val="0.69"/>
        <cfvo type="num" val="0.8"/>
        <cfvo type="num" val="0.9"/>
        <color rgb="FFF8696B"/>
        <color rgb="FFFFEB84"/>
        <color rgb="FF63BE7B"/>
      </colorScale>
    </cfRule>
  </conditionalFormatting>
  <conditionalFormatting sqref="AH24">
    <cfRule type="colorScale" priority="16">
      <colorScale>
        <cfvo type="num" val="0.69"/>
        <cfvo type="num" val="0.8"/>
        <cfvo type="num" val="0.9"/>
        <color rgb="FFF8696B"/>
        <color rgb="FFFFEB84"/>
        <color rgb="FF63BE7B"/>
      </colorScale>
    </cfRule>
  </conditionalFormatting>
  <conditionalFormatting sqref="AH24">
    <cfRule type="colorScale" priority="15">
      <colorScale>
        <cfvo type="num" val="0.69"/>
        <cfvo type="num" val="0.8"/>
        <cfvo type="num" val="0.9"/>
        <color rgb="FFF8696B"/>
        <color rgb="FFFFEB84"/>
        <color rgb="FF63BE7B"/>
      </colorScale>
    </cfRule>
  </conditionalFormatting>
  <conditionalFormatting sqref="AH24">
    <cfRule type="colorScale" priority="14">
      <colorScale>
        <cfvo type="num" val="0.69"/>
        <cfvo type="num" val="0.8"/>
        <cfvo type="num" val="0.9"/>
        <color rgb="FFF8696B"/>
        <color rgb="FFFFEB84"/>
        <color rgb="FF63BE7B"/>
      </colorScale>
    </cfRule>
  </conditionalFormatting>
  <conditionalFormatting sqref="AH24">
    <cfRule type="colorScale" priority="13">
      <colorScale>
        <cfvo type="num" val="0.69"/>
        <cfvo type="num" val="0.8"/>
        <cfvo type="num" val="0.9"/>
        <color rgb="FFF8696B"/>
        <color rgb="FFFFEB84"/>
        <color rgb="FF63BE7B"/>
      </colorScale>
    </cfRule>
  </conditionalFormatting>
  <conditionalFormatting sqref="AT24">
    <cfRule type="colorScale" priority="12">
      <colorScale>
        <cfvo type="num" val="0.69"/>
        <cfvo type="num" val="0.8"/>
        <cfvo type="num" val="0.9"/>
        <color rgb="FFF8696B"/>
        <color rgb="FFFFEB84"/>
        <color rgb="FF63BE7B"/>
      </colorScale>
    </cfRule>
  </conditionalFormatting>
  <conditionalFormatting sqref="AT24">
    <cfRule type="colorScale" priority="11">
      <colorScale>
        <cfvo type="num" val="0.69"/>
        <cfvo type="num" val="0.8"/>
        <cfvo type="num" val="0.9"/>
        <color rgb="FFF8696B"/>
        <color rgb="FFFFEB84"/>
        <color rgb="FF63BE7B"/>
      </colorScale>
    </cfRule>
  </conditionalFormatting>
  <conditionalFormatting sqref="AT24">
    <cfRule type="colorScale" priority="10">
      <colorScale>
        <cfvo type="num" val="0.69"/>
        <cfvo type="num" val="0.8"/>
        <cfvo type="num" val="0.9"/>
        <color rgb="FFF8696B"/>
        <color rgb="FFFFEB84"/>
        <color rgb="FF63BE7B"/>
      </colorScale>
    </cfRule>
  </conditionalFormatting>
  <conditionalFormatting sqref="AT24">
    <cfRule type="colorScale" priority="9">
      <colorScale>
        <cfvo type="num" val="0.69"/>
        <cfvo type="num" val="0.8"/>
        <cfvo type="num" val="0.9"/>
        <color rgb="FFF8696B"/>
        <color rgb="FFFFEB84"/>
        <color rgb="FF63BE7B"/>
      </colorScale>
    </cfRule>
  </conditionalFormatting>
  <conditionalFormatting sqref="AT24">
    <cfRule type="colorScale" priority="8">
      <colorScale>
        <cfvo type="num" val="0.69"/>
        <cfvo type="num" val="0.8"/>
        <cfvo type="num" val="0.9"/>
        <color rgb="FFF8696B"/>
        <color rgb="FFFFEB84"/>
        <color rgb="FF63BE7B"/>
      </colorScale>
    </cfRule>
  </conditionalFormatting>
  <conditionalFormatting sqref="BF11">
    <cfRule type="colorScale" priority="7">
      <colorScale>
        <cfvo type="num" val="0.69"/>
        <cfvo type="num" val="0.8"/>
        <cfvo type="num" val="0.9"/>
        <color rgb="FFF8696B"/>
        <color rgb="FFFFEB84"/>
        <color rgb="FF63BE7B"/>
      </colorScale>
    </cfRule>
  </conditionalFormatting>
  <conditionalFormatting sqref="BF12">
    <cfRule type="colorScale" priority="6">
      <colorScale>
        <cfvo type="num" val="0.69"/>
        <cfvo type="num" val="0.8"/>
        <cfvo type="num" val="0.9"/>
        <color rgb="FFF8696B"/>
        <color rgb="FFFFEB84"/>
        <color rgb="FF63BE7B"/>
      </colorScale>
    </cfRule>
  </conditionalFormatting>
  <conditionalFormatting sqref="BF13">
    <cfRule type="colorScale" priority="5">
      <colorScale>
        <cfvo type="num" val="0.69"/>
        <cfvo type="num" val="0.8"/>
        <cfvo type="num" val="0.9"/>
        <color rgb="FFF8696B"/>
        <color rgb="FFFFEB84"/>
        <color rgb="FF63BE7B"/>
      </colorScale>
    </cfRule>
  </conditionalFormatting>
  <conditionalFormatting sqref="BF14">
    <cfRule type="colorScale" priority="4">
      <colorScale>
        <cfvo type="num" val="0.69"/>
        <cfvo type="num" val="0.8"/>
        <cfvo type="num" val="0.9"/>
        <color rgb="FFF8696B"/>
        <color rgb="FFFFEB84"/>
        <color rgb="FF63BE7B"/>
      </colorScale>
    </cfRule>
  </conditionalFormatting>
  <conditionalFormatting sqref="BF15">
    <cfRule type="colorScale" priority="3">
      <colorScale>
        <cfvo type="num" val="0.69"/>
        <cfvo type="num" val="0.8"/>
        <cfvo type="num" val="0.9"/>
        <color rgb="FFF8696B"/>
        <color rgb="FFFFEB84"/>
        <color rgb="FF63BE7B"/>
      </colorScale>
    </cfRule>
  </conditionalFormatting>
  <conditionalFormatting sqref="CJ9">
    <cfRule type="colorScale" priority="2">
      <colorScale>
        <cfvo type="num" val="0.69"/>
        <cfvo type="num" val="0.8"/>
        <cfvo type="num" val="0.9"/>
        <color rgb="FFF8696B"/>
        <color rgb="FFFFEB84"/>
        <color rgb="FF63BE7B"/>
      </colorScale>
    </cfRule>
  </conditionalFormatting>
  <conditionalFormatting sqref="CP8">
    <cfRule type="colorScale" priority="1">
      <colorScale>
        <cfvo type="num" val="0.69"/>
        <cfvo type="num" val="0.8"/>
        <cfvo type="num" val="0.9"/>
        <color rgb="FFF8696B"/>
        <color rgb="FFFFEB84"/>
        <color rgb="FF63BE7B"/>
      </colorScale>
    </cfRule>
  </conditionalFormatting>
  <printOptions horizontalCentered="1" verticalCentered="1"/>
  <pageMargins left="0" right="0" top="0" bottom="0" header="0.19685039370078741" footer="0.31496062992125984"/>
  <pageSetup paperSize="137" scale="38" fitToHeight="2" orientation="landscape" r:id="rId1"/>
  <headerFooter alignWithMargins="0"/>
  <rowBreaks count="3" manualBreakCount="3">
    <brk id="11" max="113" man="1"/>
    <brk id="15" max="100" man="1"/>
    <brk id="20" max="10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W43"/>
  <sheetViews>
    <sheetView view="pageBreakPreview" zoomScale="87" zoomScaleNormal="40" zoomScaleSheetLayoutView="87" workbookViewId="0">
      <selection activeCell="H8" sqref="H8:H9"/>
    </sheetView>
  </sheetViews>
  <sheetFormatPr baseColWidth="10" defaultRowHeight="12.75"/>
  <cols>
    <col min="1" max="1" width="1.140625" style="516" customWidth="1"/>
    <col min="2" max="2" width="14.140625" style="516" customWidth="1"/>
    <col min="3" max="3" width="5.42578125" style="517" customWidth="1"/>
    <col min="4" max="4" width="16.140625" style="516" customWidth="1"/>
    <col min="5" max="5" width="14.7109375" style="516" customWidth="1"/>
    <col min="6" max="6" width="15" style="516" customWidth="1"/>
    <col min="7" max="7" width="10.28515625" style="516" customWidth="1"/>
    <col min="8" max="8" width="17.140625" style="516" customWidth="1"/>
    <col min="9" max="9" width="16.7109375" style="516" customWidth="1"/>
    <col min="10" max="10" width="10" style="516" customWidth="1"/>
    <col min="11" max="22" width="4.7109375" style="516" customWidth="1"/>
    <col min="23" max="23" width="9.5703125" style="516" customWidth="1"/>
    <col min="24" max="24" width="13" style="516" customWidth="1"/>
    <col min="25" max="25" width="18" style="516" customWidth="1"/>
    <col min="26" max="27" width="8.140625" style="516" customWidth="1"/>
    <col min="28" max="28" width="12.7109375" style="516" customWidth="1"/>
    <col min="29" max="29" width="55.42578125" style="516" customWidth="1"/>
    <col min="30" max="30" width="13.28515625" style="516" customWidth="1"/>
    <col min="31" max="31" width="19.7109375" style="516" customWidth="1"/>
    <col min="32" max="32" width="14" style="516" customWidth="1"/>
    <col min="33" max="33" width="8.140625" style="516" customWidth="1"/>
    <col min="34" max="34" width="11.5703125" style="516" customWidth="1"/>
    <col min="35" max="35" width="52.5703125" style="516" customWidth="1"/>
    <col min="36" max="36" width="14.7109375" style="516" customWidth="1"/>
    <col min="37" max="37" width="18.140625" style="516" customWidth="1"/>
    <col min="38" max="39" width="8.140625" style="516" customWidth="1"/>
    <col min="40" max="40" width="11.5703125" style="516" customWidth="1"/>
    <col min="41" max="41" width="72.85546875" style="516" customWidth="1"/>
    <col min="42" max="42" width="17.5703125" style="516" customWidth="1"/>
    <col min="43" max="43" width="15.42578125" style="516" customWidth="1"/>
    <col min="44" max="44" width="9.140625" style="516" customWidth="1"/>
    <col min="45" max="45" width="8.140625" style="516" customWidth="1"/>
    <col min="46" max="46" width="11.5703125" style="516" customWidth="1"/>
    <col min="47" max="47" width="74.28515625" style="516" customWidth="1"/>
    <col min="48" max="48" width="15" style="516" customWidth="1"/>
    <col min="49" max="49" width="17.85546875" style="516" customWidth="1"/>
    <col min="50" max="50" width="10.85546875" style="516" customWidth="1"/>
    <col min="51" max="51" width="8.140625" style="516" customWidth="1"/>
    <col min="52" max="52" width="11.5703125" style="516" customWidth="1"/>
    <col min="53" max="53" width="55.42578125" style="516" customWidth="1"/>
    <col min="54" max="54" width="14.85546875" style="516" customWidth="1"/>
    <col min="55" max="55" width="15.5703125" style="516" customWidth="1"/>
    <col min="56" max="57" width="8.140625" style="516" customWidth="1"/>
    <col min="58" max="58" width="11.5703125" style="516" customWidth="1"/>
    <col min="59" max="59" width="88.42578125" style="516" customWidth="1"/>
    <col min="60" max="60" width="18.42578125" style="516" customWidth="1"/>
    <col min="61" max="61" width="25.28515625" style="516" customWidth="1"/>
    <col min="62" max="62" width="11.85546875" style="516" customWidth="1"/>
    <col min="63" max="63" width="8.140625" style="516" customWidth="1"/>
    <col min="64" max="64" width="11.5703125" style="516" customWidth="1"/>
    <col min="65" max="65" width="55.42578125" style="516" customWidth="1"/>
    <col min="66" max="66" width="14.7109375" style="516" customWidth="1"/>
    <col min="67" max="67" width="17.42578125" style="516" customWidth="1"/>
    <col min="68" max="68" width="8.7109375" style="516" customWidth="1"/>
    <col min="69" max="69" width="8.140625" style="516" customWidth="1"/>
    <col min="70" max="70" width="12.7109375" style="516" customWidth="1"/>
    <col min="71" max="71" width="77.85546875" style="516" customWidth="1"/>
    <col min="72" max="72" width="16" style="516" customWidth="1"/>
    <col min="73" max="73" width="17" style="516" customWidth="1"/>
    <col min="74" max="74" width="16.140625" style="516" customWidth="1"/>
    <col min="75" max="75" width="18" style="516" customWidth="1"/>
    <col min="76" max="76" width="11.5703125" style="516" customWidth="1"/>
    <col min="77" max="77" width="70.5703125" style="516" customWidth="1"/>
    <col min="78" max="78" width="15.7109375" style="516" customWidth="1"/>
    <col min="79" max="79" width="16.140625" style="516" customWidth="1"/>
    <col min="80" max="81" width="8.140625" style="516" customWidth="1"/>
    <col min="82" max="82" width="11.5703125" style="516" customWidth="1"/>
    <col min="83" max="83" width="93.140625" style="516" customWidth="1"/>
    <col min="84" max="84" width="21.28515625" style="516" customWidth="1"/>
    <col min="85" max="85" width="18.140625" style="516" customWidth="1"/>
    <col min="86" max="87" width="8.140625" style="516" customWidth="1"/>
    <col min="88" max="88" width="11.5703125" style="516" customWidth="1"/>
    <col min="89" max="89" width="55.42578125" style="516" customWidth="1"/>
    <col min="90" max="90" width="18" style="516" customWidth="1"/>
    <col min="91" max="91" width="16.7109375" style="516" customWidth="1"/>
    <col min="92" max="93" width="8.140625" style="516" customWidth="1"/>
    <col min="94" max="94" width="11.5703125" style="516" customWidth="1"/>
    <col min="95" max="95" width="75.42578125" style="516" customWidth="1"/>
    <col min="96" max="96" width="9.28515625" style="516" bestFit="1" customWidth="1"/>
    <col min="97" max="97" width="11" style="516" customWidth="1"/>
    <col min="98" max="98" width="8.140625" style="516" customWidth="1"/>
    <col min="99" max="99" width="9.140625" style="516" customWidth="1"/>
    <col min="100" max="100" width="12.85546875" style="516" customWidth="1"/>
    <col min="101" max="101" width="85.85546875" style="516" customWidth="1"/>
    <col min="102" max="16384" width="11.42578125" style="516"/>
  </cols>
  <sheetData>
    <row r="1" spans="1:101" s="513" customFormat="1" ht="24.75" customHeight="1">
      <c r="A1" s="512"/>
      <c r="B1" s="2174" t="s">
        <v>22</v>
      </c>
      <c r="C1" s="2174"/>
      <c r="D1" s="2174"/>
      <c r="E1" s="2174"/>
      <c r="F1" s="2174"/>
      <c r="G1" s="2174"/>
      <c r="H1" s="2174"/>
      <c r="I1" s="2174"/>
      <c r="J1" s="2174"/>
      <c r="K1" s="2174"/>
      <c r="L1" s="2174"/>
      <c r="M1" s="2174"/>
      <c r="N1" s="2174"/>
      <c r="O1" s="2175"/>
      <c r="P1" s="2176"/>
      <c r="Q1" s="2176"/>
      <c r="R1" s="2176"/>
      <c r="S1" s="2177"/>
      <c r="T1" s="2177"/>
      <c r="U1" s="2177"/>
      <c r="V1" s="2177"/>
    </row>
    <row r="2" spans="1:101" s="515" customFormat="1" ht="22.5" customHeight="1">
      <c r="A2" s="2178" t="s">
        <v>52</v>
      </c>
      <c r="B2" s="2179"/>
      <c r="C2" s="514"/>
      <c r="D2" s="2180" t="s">
        <v>50</v>
      </c>
      <c r="E2" s="2180"/>
      <c r="F2" s="2180"/>
      <c r="G2" s="2180"/>
      <c r="H2" s="2180"/>
      <c r="I2" s="2180"/>
      <c r="J2" s="2180"/>
      <c r="K2" s="2180"/>
      <c r="L2" s="2180"/>
      <c r="M2" s="2180"/>
      <c r="N2" s="2179"/>
      <c r="O2" s="2181" t="s">
        <v>48</v>
      </c>
      <c r="P2" s="2181"/>
      <c r="Q2" s="2181"/>
      <c r="R2" s="2181"/>
      <c r="S2" s="2177"/>
      <c r="T2" s="2177"/>
      <c r="U2" s="2177"/>
      <c r="V2" s="2177"/>
      <c r="AU2" s="515" t="s">
        <v>332</v>
      </c>
    </row>
    <row r="3" spans="1:101" ht="5.25" customHeight="1"/>
    <row r="4" spans="1:101" ht="19.5" customHeight="1">
      <c r="B4" s="518" t="s">
        <v>18</v>
      </c>
      <c r="C4" s="2182" t="s">
        <v>1051</v>
      </c>
      <c r="D4" s="2182"/>
      <c r="E4" s="2182"/>
      <c r="F4" s="2182"/>
      <c r="G4" s="2182"/>
      <c r="H4" s="2182"/>
      <c r="I4" s="2182"/>
      <c r="J4" s="2182"/>
      <c r="K4" s="2183" t="s">
        <v>21</v>
      </c>
      <c r="L4" s="2183"/>
      <c r="M4" s="2183"/>
      <c r="N4" s="2184">
        <v>2014</v>
      </c>
      <c r="O4" s="2185"/>
      <c r="P4" s="2185"/>
      <c r="Q4" s="2185"/>
      <c r="R4" s="2185"/>
      <c r="S4" s="2185"/>
      <c r="T4" s="2185"/>
      <c r="U4" s="2185"/>
      <c r="V4" s="2186"/>
      <c r="W4" s="519"/>
      <c r="X4" s="2187" t="s">
        <v>29</v>
      </c>
      <c r="Y4" s="2187"/>
      <c r="Z4" s="2187"/>
      <c r="AA4" s="2187"/>
      <c r="AB4" s="2187"/>
      <c r="AC4" s="2188"/>
      <c r="AD4" s="2189" t="s">
        <v>29</v>
      </c>
      <c r="AE4" s="2187"/>
      <c r="AF4" s="2187"/>
      <c r="AG4" s="2187"/>
      <c r="AH4" s="2187"/>
      <c r="AI4" s="2188"/>
      <c r="AJ4" s="2189" t="s">
        <v>29</v>
      </c>
      <c r="AK4" s="2187"/>
      <c r="AL4" s="2187"/>
      <c r="AM4" s="2187"/>
      <c r="AN4" s="2187"/>
      <c r="AO4" s="2188"/>
      <c r="AP4" s="2189" t="s">
        <v>29</v>
      </c>
      <c r="AQ4" s="2187"/>
      <c r="AR4" s="2187"/>
      <c r="AS4" s="2187"/>
      <c r="AT4" s="2187"/>
      <c r="AU4" s="2188"/>
      <c r="AV4" s="2189" t="s">
        <v>29</v>
      </c>
      <c r="AW4" s="2187"/>
      <c r="AX4" s="2187"/>
      <c r="AY4" s="2187"/>
      <c r="AZ4" s="2187"/>
      <c r="BA4" s="2188"/>
      <c r="BB4" s="2189" t="s">
        <v>29</v>
      </c>
      <c r="BC4" s="2187"/>
      <c r="BD4" s="2187"/>
      <c r="BE4" s="2187"/>
      <c r="BF4" s="2187"/>
      <c r="BG4" s="2188"/>
      <c r="BH4" s="2189" t="s">
        <v>29</v>
      </c>
      <c r="BI4" s="2187"/>
      <c r="BJ4" s="2187"/>
      <c r="BK4" s="2187"/>
      <c r="BL4" s="2187"/>
      <c r="BM4" s="2188"/>
      <c r="BN4" s="2189" t="s">
        <v>29</v>
      </c>
      <c r="BO4" s="2187"/>
      <c r="BP4" s="2187"/>
      <c r="BQ4" s="2187"/>
      <c r="BR4" s="2187"/>
      <c r="BS4" s="2188"/>
      <c r="BT4" s="2189" t="s">
        <v>29</v>
      </c>
      <c r="BU4" s="2187"/>
      <c r="BV4" s="2187"/>
      <c r="BW4" s="2187"/>
      <c r="BX4" s="2187"/>
      <c r="BY4" s="2188"/>
      <c r="BZ4" s="2189" t="s">
        <v>29</v>
      </c>
      <c r="CA4" s="2187"/>
      <c r="CB4" s="2187"/>
      <c r="CC4" s="2187"/>
      <c r="CD4" s="2187"/>
      <c r="CE4" s="2188"/>
      <c r="CF4" s="2189" t="s">
        <v>29</v>
      </c>
      <c r="CG4" s="2187"/>
      <c r="CH4" s="2187"/>
      <c r="CI4" s="2187"/>
      <c r="CJ4" s="2187"/>
      <c r="CK4" s="2188"/>
      <c r="CL4" s="2189" t="s">
        <v>29</v>
      </c>
      <c r="CM4" s="2187"/>
      <c r="CN4" s="2187"/>
      <c r="CO4" s="2187"/>
      <c r="CP4" s="2187"/>
      <c r="CQ4" s="2188"/>
      <c r="CR4" s="2189" t="s">
        <v>30</v>
      </c>
      <c r="CS4" s="2187"/>
      <c r="CT4" s="2187"/>
      <c r="CU4" s="2187"/>
      <c r="CV4" s="2187"/>
      <c r="CW4" s="2187"/>
    </row>
    <row r="5" spans="1:101" ht="6" customHeight="1">
      <c r="A5" s="519"/>
      <c r="B5" s="519"/>
      <c r="C5" s="520"/>
      <c r="D5" s="519"/>
      <c r="E5" s="519"/>
      <c r="F5" s="519"/>
      <c r="G5" s="519"/>
      <c r="H5" s="519"/>
      <c r="I5" s="519"/>
      <c r="J5" s="519"/>
      <c r="K5" s="519"/>
      <c r="L5" s="519"/>
      <c r="M5" s="519"/>
      <c r="N5" s="519"/>
      <c r="O5" s="519"/>
      <c r="P5" s="519"/>
      <c r="Q5" s="519"/>
      <c r="R5" s="519"/>
      <c r="S5" s="519"/>
      <c r="T5" s="519"/>
      <c r="U5" s="519"/>
      <c r="V5" s="519"/>
      <c r="W5" s="519"/>
    </row>
    <row r="6" spans="1:101" s="517" customFormat="1" ht="13.5" customHeight="1">
      <c r="B6" s="2190" t="s">
        <v>26</v>
      </c>
      <c r="C6" s="2190" t="s">
        <v>10</v>
      </c>
      <c r="D6" s="2190" t="s">
        <v>23</v>
      </c>
      <c r="E6" s="2190" t="s">
        <v>19</v>
      </c>
      <c r="F6" s="2190" t="s">
        <v>11</v>
      </c>
      <c r="G6" s="2190" t="s">
        <v>15</v>
      </c>
      <c r="H6" s="2190" t="s">
        <v>12</v>
      </c>
      <c r="I6" s="2190" t="s">
        <v>20</v>
      </c>
      <c r="J6" s="2190" t="s">
        <v>16</v>
      </c>
      <c r="K6" s="2190" t="s">
        <v>24</v>
      </c>
      <c r="L6" s="2190"/>
      <c r="M6" s="2190"/>
      <c r="N6" s="2190"/>
      <c r="O6" s="2190"/>
      <c r="P6" s="2190"/>
      <c r="Q6" s="2190"/>
      <c r="R6" s="2190"/>
      <c r="S6" s="2190"/>
      <c r="T6" s="2190"/>
      <c r="U6" s="2190"/>
      <c r="V6" s="2190"/>
      <c r="W6" s="521"/>
      <c r="X6" s="2192" t="s">
        <v>37</v>
      </c>
      <c r="Y6" s="2193"/>
      <c r="Z6" s="2193"/>
      <c r="AA6" s="2193"/>
      <c r="AB6" s="2193"/>
      <c r="AC6" s="2193"/>
      <c r="AD6" s="2194" t="s">
        <v>38</v>
      </c>
      <c r="AE6" s="2195"/>
      <c r="AF6" s="2195"/>
      <c r="AG6" s="2195"/>
      <c r="AH6" s="2195"/>
      <c r="AI6" s="2195"/>
      <c r="AJ6" s="2196" t="s">
        <v>39</v>
      </c>
      <c r="AK6" s="2197"/>
      <c r="AL6" s="2197"/>
      <c r="AM6" s="2197"/>
      <c r="AN6" s="2197"/>
      <c r="AO6" s="2197"/>
      <c r="AP6" s="2198" t="s">
        <v>40</v>
      </c>
      <c r="AQ6" s="2199"/>
      <c r="AR6" s="2199"/>
      <c r="AS6" s="2199"/>
      <c r="AT6" s="2199"/>
      <c r="AU6" s="2199"/>
      <c r="AV6" s="2200" t="s">
        <v>41</v>
      </c>
      <c r="AW6" s="2193"/>
      <c r="AX6" s="2193"/>
      <c r="AY6" s="2193"/>
      <c r="AZ6" s="2193"/>
      <c r="BA6" s="2193"/>
      <c r="BB6" s="2201" t="s">
        <v>42</v>
      </c>
      <c r="BC6" s="2202"/>
      <c r="BD6" s="2202"/>
      <c r="BE6" s="2202"/>
      <c r="BF6" s="2202"/>
      <c r="BG6" s="2202"/>
      <c r="BH6" s="2203" t="s">
        <v>43</v>
      </c>
      <c r="BI6" s="2204"/>
      <c r="BJ6" s="2204"/>
      <c r="BK6" s="2204"/>
      <c r="BL6" s="2204"/>
      <c r="BM6" s="2204"/>
      <c r="BN6" s="2205" t="s">
        <v>44</v>
      </c>
      <c r="BO6" s="2206"/>
      <c r="BP6" s="2206"/>
      <c r="BQ6" s="2206"/>
      <c r="BR6" s="2206"/>
      <c r="BS6" s="2206"/>
      <c r="BT6" s="2194" t="s">
        <v>45</v>
      </c>
      <c r="BU6" s="2195"/>
      <c r="BV6" s="2195"/>
      <c r="BW6" s="2195"/>
      <c r="BX6" s="2195"/>
      <c r="BY6" s="2195"/>
      <c r="BZ6" s="2196" t="s">
        <v>46</v>
      </c>
      <c r="CA6" s="2197"/>
      <c r="CB6" s="2197"/>
      <c r="CC6" s="2197"/>
      <c r="CD6" s="2197"/>
      <c r="CE6" s="2197"/>
      <c r="CF6" s="2198" t="s">
        <v>47</v>
      </c>
      <c r="CG6" s="2199"/>
      <c r="CH6" s="2199"/>
      <c r="CI6" s="2199"/>
      <c r="CJ6" s="2199"/>
      <c r="CK6" s="2199"/>
      <c r="CL6" s="2200" t="s">
        <v>87</v>
      </c>
      <c r="CM6" s="2193"/>
      <c r="CN6" s="2193"/>
      <c r="CO6" s="2193"/>
      <c r="CP6" s="2193"/>
      <c r="CQ6" s="2193"/>
      <c r="CR6" s="2207" t="s">
        <v>51</v>
      </c>
      <c r="CS6" s="2208"/>
      <c r="CT6" s="2208"/>
      <c r="CU6" s="2208"/>
      <c r="CV6" s="2208"/>
      <c r="CW6" s="2208"/>
    </row>
    <row r="7" spans="1:101" s="517" customFormat="1" ht="30.75" customHeight="1">
      <c r="B7" s="2190"/>
      <c r="C7" s="2190"/>
      <c r="D7" s="2190"/>
      <c r="E7" s="2190"/>
      <c r="F7" s="2190"/>
      <c r="G7" s="2190"/>
      <c r="H7" s="2191"/>
      <c r="I7" s="2190"/>
      <c r="J7" s="2190"/>
      <c r="K7" s="522" t="s">
        <v>13</v>
      </c>
      <c r="L7" s="522" t="s">
        <v>0</v>
      </c>
      <c r="M7" s="522" t="s">
        <v>1</v>
      </c>
      <c r="N7" s="522" t="s">
        <v>14</v>
      </c>
      <c r="O7" s="522" t="s">
        <v>2</v>
      </c>
      <c r="P7" s="522" t="s">
        <v>3</v>
      </c>
      <c r="Q7" s="522" t="s">
        <v>4</v>
      </c>
      <c r="R7" s="522" t="s">
        <v>5</v>
      </c>
      <c r="S7" s="522" t="s">
        <v>6</v>
      </c>
      <c r="T7" s="522" t="s">
        <v>7</v>
      </c>
      <c r="U7" s="522" t="s">
        <v>8</v>
      </c>
      <c r="V7" s="523" t="s">
        <v>9</v>
      </c>
      <c r="W7" s="524" t="s">
        <v>412</v>
      </c>
      <c r="X7" s="525" t="s">
        <v>31</v>
      </c>
      <c r="Y7" s="525" t="s">
        <v>32</v>
      </c>
      <c r="Z7" s="526" t="s">
        <v>33</v>
      </c>
      <c r="AA7" s="525" t="s">
        <v>34</v>
      </c>
      <c r="AB7" s="527" t="s">
        <v>35</v>
      </c>
      <c r="AC7" s="526" t="s">
        <v>36</v>
      </c>
      <c r="AD7" s="525" t="s">
        <v>31</v>
      </c>
      <c r="AE7" s="525" t="s">
        <v>32</v>
      </c>
      <c r="AF7" s="526" t="s">
        <v>33</v>
      </c>
      <c r="AG7" s="525" t="s">
        <v>34</v>
      </c>
      <c r="AH7" s="527" t="s">
        <v>35</v>
      </c>
      <c r="AI7" s="526" t="s">
        <v>36</v>
      </c>
      <c r="AJ7" s="525" t="s">
        <v>31</v>
      </c>
      <c r="AK7" s="525" t="s">
        <v>32</v>
      </c>
      <c r="AL7" s="526" t="s">
        <v>33</v>
      </c>
      <c r="AM7" s="525" t="s">
        <v>34</v>
      </c>
      <c r="AN7" s="527" t="s">
        <v>35</v>
      </c>
      <c r="AO7" s="526" t="s">
        <v>36</v>
      </c>
      <c r="AP7" s="525" t="s">
        <v>31</v>
      </c>
      <c r="AQ7" s="525" t="s">
        <v>32</v>
      </c>
      <c r="AR7" s="526" t="s">
        <v>33</v>
      </c>
      <c r="AS7" s="525" t="s">
        <v>34</v>
      </c>
      <c r="AT7" s="527" t="s">
        <v>35</v>
      </c>
      <c r="AU7" s="526" t="s">
        <v>36</v>
      </c>
      <c r="AV7" s="525" t="s">
        <v>31</v>
      </c>
      <c r="AW7" s="525" t="s">
        <v>32</v>
      </c>
      <c r="AX7" s="526" t="s">
        <v>33</v>
      </c>
      <c r="AY7" s="525" t="s">
        <v>34</v>
      </c>
      <c r="AZ7" s="527" t="s">
        <v>35</v>
      </c>
      <c r="BA7" s="526" t="s">
        <v>36</v>
      </c>
      <c r="BB7" s="525" t="s">
        <v>31</v>
      </c>
      <c r="BC7" s="525" t="s">
        <v>32</v>
      </c>
      <c r="BD7" s="526" t="s">
        <v>33</v>
      </c>
      <c r="BE7" s="525" t="s">
        <v>34</v>
      </c>
      <c r="BF7" s="527" t="s">
        <v>35</v>
      </c>
      <c r="BG7" s="526" t="s">
        <v>36</v>
      </c>
      <c r="BH7" s="525" t="s">
        <v>31</v>
      </c>
      <c r="BI7" s="525" t="s">
        <v>32</v>
      </c>
      <c r="BJ7" s="526" t="s">
        <v>33</v>
      </c>
      <c r="BK7" s="525" t="s">
        <v>34</v>
      </c>
      <c r="BL7" s="527" t="s">
        <v>35</v>
      </c>
      <c r="BM7" s="526" t="s">
        <v>36</v>
      </c>
      <c r="BN7" s="525" t="s">
        <v>31</v>
      </c>
      <c r="BO7" s="525" t="s">
        <v>32</v>
      </c>
      <c r="BP7" s="526" t="s">
        <v>33</v>
      </c>
      <c r="BQ7" s="525" t="s">
        <v>34</v>
      </c>
      <c r="BR7" s="527" t="s">
        <v>35</v>
      </c>
      <c r="BS7" s="526" t="s">
        <v>36</v>
      </c>
      <c r="BT7" s="525" t="s">
        <v>31</v>
      </c>
      <c r="BU7" s="525" t="s">
        <v>32</v>
      </c>
      <c r="BV7" s="526" t="s">
        <v>33</v>
      </c>
      <c r="BW7" s="525" t="s">
        <v>34</v>
      </c>
      <c r="BX7" s="527" t="s">
        <v>35</v>
      </c>
      <c r="BY7" s="526" t="s">
        <v>36</v>
      </c>
      <c r="BZ7" s="525" t="s">
        <v>31</v>
      </c>
      <c r="CA7" s="525" t="s">
        <v>32</v>
      </c>
      <c r="CB7" s="526" t="s">
        <v>33</v>
      </c>
      <c r="CC7" s="525" t="s">
        <v>34</v>
      </c>
      <c r="CD7" s="527" t="s">
        <v>35</v>
      </c>
      <c r="CE7" s="526" t="s">
        <v>36</v>
      </c>
      <c r="CF7" s="525" t="s">
        <v>31</v>
      </c>
      <c r="CG7" s="525" t="s">
        <v>32</v>
      </c>
      <c r="CH7" s="526" t="s">
        <v>33</v>
      </c>
      <c r="CI7" s="525" t="s">
        <v>34</v>
      </c>
      <c r="CJ7" s="527" t="s">
        <v>35</v>
      </c>
      <c r="CK7" s="526" t="s">
        <v>36</v>
      </c>
      <c r="CL7" s="525" t="s">
        <v>31</v>
      </c>
      <c r="CM7" s="525" t="s">
        <v>32</v>
      </c>
      <c r="CN7" s="526" t="s">
        <v>33</v>
      </c>
      <c r="CO7" s="525" t="s">
        <v>34</v>
      </c>
      <c r="CP7" s="527" t="s">
        <v>35</v>
      </c>
      <c r="CQ7" s="526" t="s">
        <v>36</v>
      </c>
      <c r="CR7" s="525" t="s">
        <v>31</v>
      </c>
      <c r="CS7" s="525" t="s">
        <v>32</v>
      </c>
      <c r="CT7" s="526" t="s">
        <v>33</v>
      </c>
      <c r="CU7" s="525" t="s">
        <v>34</v>
      </c>
      <c r="CV7" s="527" t="s">
        <v>35</v>
      </c>
      <c r="CW7" s="526" t="s">
        <v>36</v>
      </c>
    </row>
    <row r="8" spans="1:101" s="517" customFormat="1" ht="218.25" customHeight="1">
      <c r="B8" s="2209" t="s">
        <v>416</v>
      </c>
      <c r="C8" s="2211"/>
      <c r="D8" s="2213" t="s">
        <v>1052</v>
      </c>
      <c r="E8" s="2213" t="s">
        <v>1053</v>
      </c>
      <c r="F8" s="2209" t="s">
        <v>1054</v>
      </c>
      <c r="G8" s="2209" t="s">
        <v>53</v>
      </c>
      <c r="H8" s="2213" t="s">
        <v>1055</v>
      </c>
      <c r="I8" s="2209" t="s">
        <v>1056</v>
      </c>
      <c r="J8" s="2209" t="s">
        <v>54</v>
      </c>
      <c r="K8" s="2215"/>
      <c r="L8" s="2215"/>
      <c r="M8" s="2217">
        <v>0.1</v>
      </c>
      <c r="N8" s="2215"/>
      <c r="O8" s="2215"/>
      <c r="P8" s="2219">
        <v>0.4</v>
      </c>
      <c r="Q8" s="2215"/>
      <c r="R8" s="2215"/>
      <c r="S8" s="2219">
        <v>0.6</v>
      </c>
      <c r="T8" s="2215"/>
      <c r="U8" s="2215"/>
      <c r="V8" s="2219">
        <v>1</v>
      </c>
      <c r="W8" s="2209" t="s">
        <v>1057</v>
      </c>
      <c r="X8" s="2221">
        <v>0</v>
      </c>
      <c r="Y8" s="2221">
        <v>0</v>
      </c>
      <c r="Z8" s="2052" t="str">
        <f>IF(Y8=0," ",X8/Y8)</f>
        <v xml:space="preserve"> </v>
      </c>
      <c r="AA8" s="2223"/>
      <c r="AB8" s="2225" t="str">
        <f>IF(Y8=0," ",Z8/AA9)</f>
        <v xml:space="preserve"> </v>
      </c>
      <c r="AC8" s="2227"/>
      <c r="AD8" s="2223"/>
      <c r="AE8" s="2223"/>
      <c r="AF8" s="2052" t="str">
        <f>IF(AE9=0," ",AD9/AE9)</f>
        <v xml:space="preserve"> </v>
      </c>
      <c r="AG8" s="2223"/>
      <c r="AH8" s="2225" t="str">
        <f>IF(AE9=0," ",AF8/AG9)</f>
        <v xml:space="preserve"> </v>
      </c>
      <c r="AI8" s="2227"/>
      <c r="AJ8" s="2221">
        <v>10</v>
      </c>
      <c r="AK8" s="2221">
        <v>100</v>
      </c>
      <c r="AL8" s="2052">
        <f>IF(AK8=0," ",AJ8/AK8)</f>
        <v>0.1</v>
      </c>
      <c r="AM8" s="2229">
        <f>M8</f>
        <v>0.1</v>
      </c>
      <c r="AN8" s="2225">
        <f>IF(AK8=0," ",AL8/AM8)</f>
        <v>1</v>
      </c>
      <c r="AO8" s="2231" t="s">
        <v>1058</v>
      </c>
      <c r="AP8" s="2223"/>
      <c r="AQ8" s="2223"/>
      <c r="AR8" s="2052" t="str">
        <f>IF(AQ9=0," ",AP9/AQ9)</f>
        <v xml:space="preserve"> </v>
      </c>
      <c r="AS8" s="2223"/>
      <c r="AT8" s="2225" t="str">
        <f>IF(AQ9=0," ",AR8/AS9)</f>
        <v xml:space="preserve"> </v>
      </c>
      <c r="AU8" s="2227"/>
      <c r="AV8" s="2223"/>
      <c r="AW8" s="2223"/>
      <c r="AX8" s="2052" t="str">
        <f>IF(AW9=0," ",AV9/AW9)</f>
        <v xml:space="preserve"> </v>
      </c>
      <c r="AY8" s="2223"/>
      <c r="AZ8" s="2225" t="str">
        <f>IF(AW9=0," ",AX8/AY9)</f>
        <v xml:space="preserve"> </v>
      </c>
      <c r="BA8" s="2227"/>
      <c r="BB8" s="2221">
        <v>65.83</v>
      </c>
      <c r="BC8" s="2221">
        <v>100</v>
      </c>
      <c r="BD8" s="2052">
        <f>IF(BC8=0," ",BB8/BC8)</f>
        <v>0.6583</v>
      </c>
      <c r="BE8" s="2229">
        <f>P8</f>
        <v>0.4</v>
      </c>
      <c r="BF8" s="2225">
        <f>IF(BC8=0," ",BD8/BE8)</f>
        <v>1.6457499999999998</v>
      </c>
      <c r="BG8" s="2231" t="s">
        <v>1059</v>
      </c>
      <c r="BH8" s="2223"/>
      <c r="BI8" s="2223"/>
      <c r="BJ8" s="2052" t="str">
        <f>IF(BI9=0," ",BH9/BI9)</f>
        <v xml:space="preserve"> </v>
      </c>
      <c r="BK8" s="2223"/>
      <c r="BL8" s="2225" t="str">
        <f>IF(BI9=0," ",BJ8/BK9)</f>
        <v xml:space="preserve"> </v>
      </c>
      <c r="BM8" s="2227"/>
      <c r="BN8" s="2223"/>
      <c r="BO8" s="2223"/>
      <c r="BP8" s="2052" t="str">
        <f>IF(BO9=0," ",BN9/BO9)</f>
        <v xml:space="preserve"> </v>
      </c>
      <c r="BQ8" s="2223"/>
      <c r="BR8" s="2225" t="str">
        <f>IF(BO9=0," ",BP8/BQ9)</f>
        <v xml:space="preserve"> </v>
      </c>
      <c r="BS8" s="2227"/>
      <c r="BT8" s="2221">
        <v>103</v>
      </c>
      <c r="BU8" s="2221">
        <v>100</v>
      </c>
      <c r="BV8" s="2052">
        <f>IF(BU8=0," ",BT8/BU8)</f>
        <v>1.03</v>
      </c>
      <c r="BW8" s="2229">
        <f>S8</f>
        <v>0.6</v>
      </c>
      <c r="BX8" s="2225">
        <f>IF(BU8=0," ",BV8/BW8)</f>
        <v>1.7166666666666668</v>
      </c>
      <c r="BY8" s="2231" t="s">
        <v>1060</v>
      </c>
      <c r="BZ8" s="2223"/>
      <c r="CA8" s="2223"/>
      <c r="CB8" s="2052" t="str">
        <f>IF(CA9=0," ",BZ9/CA9)</f>
        <v xml:space="preserve"> </v>
      </c>
      <c r="CC8" s="2223"/>
      <c r="CD8" s="2225" t="str">
        <f>IF(CA9=0," ",CB8/CC9)</f>
        <v xml:space="preserve"> </v>
      </c>
      <c r="CE8" s="2227" t="s">
        <v>1061</v>
      </c>
      <c r="CF8" s="2223"/>
      <c r="CG8" s="2223"/>
      <c r="CH8" s="2052" t="str">
        <f>IF(CG9=0," ",CF9/CG9)</f>
        <v xml:space="preserve"> </v>
      </c>
      <c r="CI8" s="2223"/>
      <c r="CJ8" s="2225" t="str">
        <f>IF(CG9=0," ",CH8/CI9)</f>
        <v xml:space="preserve"> </v>
      </c>
      <c r="CK8" s="2227" t="s">
        <v>1061</v>
      </c>
      <c r="CL8" s="2223"/>
      <c r="CM8" s="2223"/>
      <c r="CN8" s="2052" t="str">
        <f>IF(CM9=0," ",CL9/CM9)</f>
        <v xml:space="preserve"> </v>
      </c>
      <c r="CO8" s="2223"/>
      <c r="CP8" s="2225" t="str">
        <f>IF(CM9=0," ",CN8/CO9)</f>
        <v xml:space="preserve"> </v>
      </c>
      <c r="CQ8" s="2233" t="s">
        <v>1062</v>
      </c>
      <c r="CR8" s="2223">
        <v>100</v>
      </c>
      <c r="CS8" s="2223">
        <v>100</v>
      </c>
      <c r="CT8" s="2052">
        <f>CR8/CS8</f>
        <v>1</v>
      </c>
      <c r="CU8" s="2235">
        <f>V8</f>
        <v>1</v>
      </c>
      <c r="CV8" s="2225">
        <f>IF(CS8=0," ",CT8/CU8)</f>
        <v>1</v>
      </c>
      <c r="CW8" s="2231" t="s">
        <v>1063</v>
      </c>
    </row>
    <row r="9" spans="1:101" ht="281.25" customHeight="1">
      <c r="B9" s="2210"/>
      <c r="C9" s="2212"/>
      <c r="D9" s="2214"/>
      <c r="E9" s="2214"/>
      <c r="F9" s="2210"/>
      <c r="G9" s="2210"/>
      <c r="H9" s="2214"/>
      <c r="I9" s="2210"/>
      <c r="J9" s="2210"/>
      <c r="K9" s="2216"/>
      <c r="L9" s="2216"/>
      <c r="M9" s="2218"/>
      <c r="N9" s="2216"/>
      <c r="O9" s="2216"/>
      <c r="P9" s="2220"/>
      <c r="Q9" s="2216"/>
      <c r="R9" s="2216"/>
      <c r="S9" s="2220"/>
      <c r="T9" s="2216"/>
      <c r="U9" s="2216"/>
      <c r="V9" s="2220"/>
      <c r="W9" s="2210"/>
      <c r="X9" s="2222"/>
      <c r="Y9" s="2222"/>
      <c r="Z9" s="2053"/>
      <c r="AA9" s="2224"/>
      <c r="AB9" s="2226"/>
      <c r="AC9" s="2228"/>
      <c r="AD9" s="2224"/>
      <c r="AE9" s="2224"/>
      <c r="AF9" s="2053"/>
      <c r="AG9" s="2224"/>
      <c r="AH9" s="2226"/>
      <c r="AI9" s="2228"/>
      <c r="AJ9" s="2222"/>
      <c r="AK9" s="2222"/>
      <c r="AL9" s="2053"/>
      <c r="AM9" s="2230"/>
      <c r="AN9" s="2226"/>
      <c r="AO9" s="2232"/>
      <c r="AP9" s="2224"/>
      <c r="AQ9" s="2224"/>
      <c r="AR9" s="2053"/>
      <c r="AS9" s="2224"/>
      <c r="AT9" s="2226"/>
      <c r="AU9" s="2228"/>
      <c r="AV9" s="2224"/>
      <c r="AW9" s="2224"/>
      <c r="AX9" s="2053"/>
      <c r="AY9" s="2224"/>
      <c r="AZ9" s="2226"/>
      <c r="BA9" s="2228"/>
      <c r="BB9" s="2222"/>
      <c r="BC9" s="2222"/>
      <c r="BD9" s="2053"/>
      <c r="BE9" s="2230"/>
      <c r="BF9" s="2226"/>
      <c r="BG9" s="2232"/>
      <c r="BH9" s="2224"/>
      <c r="BI9" s="2224"/>
      <c r="BJ9" s="2053"/>
      <c r="BK9" s="2224"/>
      <c r="BL9" s="2226"/>
      <c r="BM9" s="2228"/>
      <c r="BN9" s="2224"/>
      <c r="BO9" s="2224"/>
      <c r="BP9" s="2053"/>
      <c r="BQ9" s="2224"/>
      <c r="BR9" s="2226"/>
      <c r="BS9" s="2228"/>
      <c r="BT9" s="2222"/>
      <c r="BU9" s="2222"/>
      <c r="BV9" s="2053"/>
      <c r="BW9" s="2230"/>
      <c r="BX9" s="2226"/>
      <c r="BY9" s="2232"/>
      <c r="BZ9" s="2224"/>
      <c r="CA9" s="2224"/>
      <c r="CB9" s="2053"/>
      <c r="CC9" s="2224"/>
      <c r="CD9" s="2226"/>
      <c r="CE9" s="2228"/>
      <c r="CF9" s="2224"/>
      <c r="CG9" s="2224"/>
      <c r="CH9" s="2053"/>
      <c r="CI9" s="2224"/>
      <c r="CJ9" s="2226"/>
      <c r="CK9" s="2228"/>
      <c r="CL9" s="2224"/>
      <c r="CM9" s="2224"/>
      <c r="CN9" s="2053"/>
      <c r="CO9" s="2224"/>
      <c r="CP9" s="2226"/>
      <c r="CQ9" s="2234"/>
      <c r="CR9" s="2224"/>
      <c r="CS9" s="2224"/>
      <c r="CT9" s="2053"/>
      <c r="CU9" s="2224"/>
      <c r="CV9" s="2226"/>
      <c r="CW9" s="2232"/>
    </row>
    <row r="10" spans="1:101" ht="276.75" customHeight="1">
      <c r="B10" s="348" t="s">
        <v>416</v>
      </c>
      <c r="C10" s="531"/>
      <c r="D10" s="349" t="s">
        <v>1064</v>
      </c>
      <c r="E10" s="349" t="s">
        <v>1065</v>
      </c>
      <c r="F10" s="348" t="s">
        <v>1066</v>
      </c>
      <c r="G10" s="348" t="s">
        <v>53</v>
      </c>
      <c r="H10" s="349" t="s">
        <v>1067</v>
      </c>
      <c r="I10" s="348" t="s">
        <v>1068</v>
      </c>
      <c r="J10" s="348" t="s">
        <v>1069</v>
      </c>
      <c r="K10" s="7"/>
      <c r="L10" s="7"/>
      <c r="M10" s="12"/>
      <c r="N10" s="7"/>
      <c r="O10" s="7"/>
      <c r="P10" s="14"/>
      <c r="Q10" s="14"/>
      <c r="R10" s="14"/>
      <c r="S10" s="14"/>
      <c r="T10" s="14"/>
      <c r="U10" s="14"/>
      <c r="V10" s="532">
        <v>1</v>
      </c>
      <c r="W10" s="348" t="s">
        <v>1057</v>
      </c>
      <c r="X10" s="533"/>
      <c r="Y10" s="533"/>
      <c r="Z10" s="22" t="str">
        <f>IF(Y10=0," ",X10/Y10)</f>
        <v xml:space="preserve"> </v>
      </c>
      <c r="AA10" s="58"/>
      <c r="AB10" s="24" t="str">
        <f>IF(Y10=0," ",Z10/AA10)</f>
        <v xml:space="preserve"> </v>
      </c>
      <c r="AC10" s="162"/>
      <c r="AD10" s="533"/>
      <c r="AE10" s="533"/>
      <c r="AF10" s="22" t="str">
        <f>IF(AE10=0," ",AD10/AE10)</f>
        <v xml:space="preserve"> </v>
      </c>
      <c r="AG10" s="58"/>
      <c r="AH10" s="24" t="str">
        <f>IF(AE10=0," ",AF10/AG10)</f>
        <v xml:space="preserve"> </v>
      </c>
      <c r="AI10" s="162"/>
      <c r="AJ10" s="533"/>
      <c r="AK10" s="533"/>
      <c r="AL10" s="22" t="str">
        <f>IF(AK10=0," ",AJ10/AK10)</f>
        <v xml:space="preserve"> </v>
      </c>
      <c r="AM10" s="58"/>
      <c r="AN10" s="24" t="str">
        <f>IF(AK10=0," ",AL10/AM10)</f>
        <v xml:space="preserve"> </v>
      </c>
      <c r="AO10" s="162" t="s">
        <v>1070</v>
      </c>
      <c r="AP10" s="533"/>
      <c r="AQ10" s="533"/>
      <c r="AR10" s="22" t="str">
        <f>IF(AQ10=0," ",AP10/AQ10)</f>
        <v xml:space="preserve"> </v>
      </c>
      <c r="AS10" s="58"/>
      <c r="AT10" s="24" t="str">
        <f>IF(AQ10=0," ",AR10/AS10)</f>
        <v xml:space="preserve"> </v>
      </c>
      <c r="AU10" s="162"/>
      <c r="AV10" s="533"/>
      <c r="AW10" s="533"/>
      <c r="AX10" s="22" t="str">
        <f>IF(AW10=0," ",AV10/AW10)</f>
        <v xml:space="preserve"> </v>
      </c>
      <c r="AY10" s="58"/>
      <c r="AZ10" s="24" t="str">
        <f>IF(AW10=0," ",AX10/AY10)</f>
        <v xml:space="preserve"> </v>
      </c>
      <c r="BA10" s="162"/>
      <c r="BB10" s="533"/>
      <c r="BC10" s="533"/>
      <c r="BD10" s="22" t="str">
        <f>IF(BC10=0," ",BB10/BC10)</f>
        <v xml:space="preserve"> </v>
      </c>
      <c r="BE10" s="58"/>
      <c r="BF10" s="24" t="str">
        <f>IF(BC10=0," ",BD10/BE10)</f>
        <v xml:space="preserve"> </v>
      </c>
      <c r="BG10" s="162" t="s">
        <v>1071</v>
      </c>
      <c r="BH10" s="533"/>
      <c r="BI10" s="533"/>
      <c r="BJ10" s="22" t="str">
        <f>IF(BI10=0," ",BH10/BI10)</f>
        <v xml:space="preserve"> </v>
      </c>
      <c r="BK10" s="58"/>
      <c r="BL10" s="24" t="str">
        <f>IF(BI10=0," ",BJ10/BK10)</f>
        <v xml:space="preserve"> </v>
      </c>
      <c r="BM10" s="162"/>
      <c r="BN10" s="533"/>
      <c r="BO10" s="533"/>
      <c r="BP10" s="22" t="str">
        <f>IF(BO10=0," ",BN10/BO10)</f>
        <v xml:space="preserve"> </v>
      </c>
      <c r="BQ10" s="58"/>
      <c r="BR10" s="24" t="str">
        <f>IF(BO10=0," ",BP10/BQ10)</f>
        <v xml:space="preserve"> </v>
      </c>
      <c r="BS10" s="162"/>
      <c r="BT10" s="533"/>
      <c r="BU10" s="533"/>
      <c r="BV10" s="22" t="str">
        <f>IF(BU10=0," ",BT10/BU10)</f>
        <v xml:space="preserve"> </v>
      </c>
      <c r="BW10" s="58"/>
      <c r="BX10" s="24" t="str">
        <f>IF(BU10=0," ",BV10/BW10)</f>
        <v xml:space="preserve"> </v>
      </c>
      <c r="BY10" s="163" t="s">
        <v>1061</v>
      </c>
      <c r="BZ10" s="533"/>
      <c r="CA10" s="533"/>
      <c r="CB10" s="22" t="str">
        <f>IF(CA10=0," ",BZ10/CA10)</f>
        <v xml:space="preserve"> </v>
      </c>
      <c r="CC10" s="58"/>
      <c r="CD10" s="24" t="str">
        <f>IF(CA10=0," ",CB10/CC10)</f>
        <v xml:space="preserve"> </v>
      </c>
      <c r="CE10" s="162" t="s">
        <v>1072</v>
      </c>
      <c r="CF10" s="533">
        <v>1</v>
      </c>
      <c r="CG10" s="533">
        <v>1</v>
      </c>
      <c r="CH10" s="22">
        <f>IF(CG10=0," ",CF10/CG10)</f>
        <v>1</v>
      </c>
      <c r="CI10" s="58">
        <v>1</v>
      </c>
      <c r="CJ10" s="24">
        <f>IF(CG10=0," ",CH10/CI10)</f>
        <v>1</v>
      </c>
      <c r="CK10" s="534" t="s">
        <v>1073</v>
      </c>
      <c r="CL10" s="533">
        <v>1</v>
      </c>
      <c r="CM10" s="533">
        <v>1</v>
      </c>
      <c r="CN10" s="22">
        <f>IF(CM10=0," ",CL10/CM10)</f>
        <v>1</v>
      </c>
      <c r="CO10" s="535">
        <f>V10</f>
        <v>1</v>
      </c>
      <c r="CP10" s="24">
        <f>IF(CM10=0," ",CN10/CO10)</f>
        <v>1</v>
      </c>
      <c r="CQ10" s="162" t="s">
        <v>1074</v>
      </c>
      <c r="CR10" s="533">
        <v>1</v>
      </c>
      <c r="CS10" s="533">
        <v>1</v>
      </c>
      <c r="CT10" s="22">
        <f>IF(CS10=0," ",CR10/CS10)</f>
        <v>1</v>
      </c>
      <c r="CU10" s="535">
        <f>V10</f>
        <v>1</v>
      </c>
      <c r="CV10" s="24">
        <f>IF(CS10=0," ",CT10/CU10)</f>
        <v>1</v>
      </c>
      <c r="CW10" s="162" t="s">
        <v>1075</v>
      </c>
    </row>
    <row r="11" spans="1:101" ht="401.25" customHeight="1">
      <c r="B11" s="348" t="s">
        <v>416</v>
      </c>
      <c r="C11" s="531"/>
      <c r="D11" s="349" t="s">
        <v>1076</v>
      </c>
      <c r="E11" s="349" t="s">
        <v>1077</v>
      </c>
      <c r="F11" s="348" t="s">
        <v>1078</v>
      </c>
      <c r="G11" s="348" t="s">
        <v>53</v>
      </c>
      <c r="H11" s="349" t="s">
        <v>1079</v>
      </c>
      <c r="I11" s="348" t="s">
        <v>1068</v>
      </c>
      <c r="J11" s="348" t="s">
        <v>54</v>
      </c>
      <c r="K11" s="7"/>
      <c r="L11" s="7"/>
      <c r="M11" s="12">
        <v>0.1</v>
      </c>
      <c r="N11" s="7"/>
      <c r="O11" s="7"/>
      <c r="P11" s="14">
        <v>0.4</v>
      </c>
      <c r="Q11" s="14"/>
      <c r="R11" s="14"/>
      <c r="S11" s="14">
        <v>0.6</v>
      </c>
      <c r="T11" s="14"/>
      <c r="U11" s="14"/>
      <c r="V11" s="536">
        <v>1</v>
      </c>
      <c r="W11" s="348" t="s">
        <v>1057</v>
      </c>
      <c r="X11" s="533"/>
      <c r="Y11" s="533"/>
      <c r="Z11" s="22" t="str">
        <f>IF(Y11=0," ",X11/Y11)</f>
        <v xml:space="preserve"> </v>
      </c>
      <c r="AA11" s="58"/>
      <c r="AB11" s="24" t="str">
        <f>IF(Y11=0," ",Z11/AA11)</f>
        <v xml:space="preserve"> </v>
      </c>
      <c r="AC11" s="162"/>
      <c r="AD11" s="533"/>
      <c r="AE11" s="533"/>
      <c r="AF11" s="22" t="str">
        <f>IF(AE11=0," ",AD11/AE11)</f>
        <v xml:space="preserve"> </v>
      </c>
      <c r="AG11" s="58"/>
      <c r="AH11" s="24" t="str">
        <f>IF(AE11=0," ",AF11/AG11)</f>
        <v xml:space="preserve"> </v>
      </c>
      <c r="AI11" s="162"/>
      <c r="AJ11" s="533">
        <v>10</v>
      </c>
      <c r="AK11" s="533">
        <v>100</v>
      </c>
      <c r="AL11" s="22">
        <f>IF(AK11=0," ",AJ11/AK11)</f>
        <v>0.1</v>
      </c>
      <c r="AM11" s="58">
        <f>M11</f>
        <v>0.1</v>
      </c>
      <c r="AN11" s="24">
        <f>IF(AK11=0," ",AL11/AM11)</f>
        <v>1</v>
      </c>
      <c r="AO11" s="162" t="s">
        <v>1080</v>
      </c>
      <c r="AP11" s="533"/>
      <c r="AQ11" s="533"/>
      <c r="AR11" s="22" t="str">
        <f>IF(AQ11=0," ",AP11/AQ11)</f>
        <v xml:space="preserve"> </v>
      </c>
      <c r="AS11" s="58"/>
      <c r="AT11" s="24" t="str">
        <f>IF(AQ11=0," ",AR11/AS11)</f>
        <v xml:space="preserve"> </v>
      </c>
      <c r="AU11" s="162"/>
      <c r="AV11" s="533"/>
      <c r="AW11" s="533"/>
      <c r="AX11" s="22" t="str">
        <f>IF(AW11=0," ",AV11/AW11)</f>
        <v xml:space="preserve"> </v>
      </c>
      <c r="AY11" s="58"/>
      <c r="AZ11" s="24" t="str">
        <f>IF(AW11=0," ",AX11/AY11)</f>
        <v xml:space="preserve"> </v>
      </c>
      <c r="BA11" s="162"/>
      <c r="BB11" s="533">
        <v>46.58</v>
      </c>
      <c r="BC11" s="533">
        <v>100</v>
      </c>
      <c r="BD11" s="22">
        <f>IF(BC11=0," ",BB11/BC11)</f>
        <v>0.46579999999999999</v>
      </c>
      <c r="BE11" s="58">
        <v>0.4</v>
      </c>
      <c r="BF11" s="24">
        <f>IF(BC11=0," ",BD11/BE11)</f>
        <v>1.1644999999999999</v>
      </c>
      <c r="BG11" s="162" t="s">
        <v>1081</v>
      </c>
      <c r="BH11" s="533"/>
      <c r="BI11" s="533"/>
      <c r="BJ11" s="22" t="str">
        <f>IF(BI11=0," ",BH11/BI11)</f>
        <v xml:space="preserve"> </v>
      </c>
      <c r="BK11" s="58"/>
      <c r="BL11" s="24" t="str">
        <f>IF(BI11=0," ",BJ11/BK11)</f>
        <v xml:space="preserve"> </v>
      </c>
      <c r="BM11" s="162" t="s">
        <v>1082</v>
      </c>
      <c r="BN11" s="533"/>
      <c r="BO11" s="533"/>
      <c r="BP11" s="22" t="str">
        <f>IF(BO11=0," ",BN11/BO11)</f>
        <v xml:space="preserve"> </v>
      </c>
      <c r="BQ11" s="58"/>
      <c r="BR11" s="24" t="str">
        <f>IF(BO11=0," ",BP11/BQ11)</f>
        <v xml:space="preserve"> </v>
      </c>
      <c r="BS11" s="162"/>
      <c r="BT11" s="533">
        <v>76.84</v>
      </c>
      <c r="BU11" s="533">
        <v>100</v>
      </c>
      <c r="BV11" s="22">
        <f>IF(BU11=0," ",BT11/BU11)</f>
        <v>0.76840000000000008</v>
      </c>
      <c r="BW11" s="58">
        <f>S11</f>
        <v>0.6</v>
      </c>
      <c r="BX11" s="24">
        <f>IF(BU11=0," ",BV11/BW11)</f>
        <v>1.2806666666666668</v>
      </c>
      <c r="BY11" s="163" t="s">
        <v>1083</v>
      </c>
      <c r="BZ11" s="533"/>
      <c r="CA11" s="533"/>
      <c r="CB11" s="22" t="str">
        <f>IF(CA11=0," ",BZ11/CA11)</f>
        <v xml:space="preserve"> </v>
      </c>
      <c r="CC11" s="58"/>
      <c r="CD11" s="24" t="str">
        <f>IF(CA11=0," ",CB11/CC11)</f>
        <v xml:space="preserve"> </v>
      </c>
      <c r="CE11" s="537" t="s">
        <v>1084</v>
      </c>
      <c r="CF11" s="533"/>
      <c r="CG11" s="533"/>
      <c r="CH11" s="22" t="str">
        <f>IF(CG11=0," ",CF11/CG11)</f>
        <v xml:space="preserve"> </v>
      </c>
      <c r="CI11" s="58"/>
      <c r="CJ11" s="24" t="str">
        <f>IF(CG11=0," ",CH11/CI11)</f>
        <v xml:space="preserve"> </v>
      </c>
      <c r="CK11" s="538" t="s">
        <v>1061</v>
      </c>
      <c r="CL11" s="533"/>
      <c r="CM11" s="533"/>
      <c r="CN11" s="22" t="str">
        <f>IF(CM11=0," ",CL11/CM11)</f>
        <v xml:space="preserve"> </v>
      </c>
      <c r="CO11" s="58">
        <f>V11</f>
        <v>1</v>
      </c>
      <c r="CP11" s="24" t="str">
        <f>IF(CM11=0," ",CN11/CO11)</f>
        <v xml:space="preserve"> </v>
      </c>
      <c r="CQ11" s="162" t="s">
        <v>1085</v>
      </c>
      <c r="CR11" s="533">
        <v>80.540000000000006</v>
      </c>
      <c r="CS11" s="533">
        <v>100</v>
      </c>
      <c r="CT11" s="22">
        <f>IF(CS11=0," ",CR11/CS11)</f>
        <v>0.80540000000000012</v>
      </c>
      <c r="CU11" s="58">
        <f>V11</f>
        <v>1</v>
      </c>
      <c r="CV11" s="24">
        <f>IF(CS11=0," ",CT11/CU11)</f>
        <v>0.80540000000000012</v>
      </c>
      <c r="CW11" s="162" t="s">
        <v>1086</v>
      </c>
    </row>
    <row r="12" spans="1:101" ht="409.6" customHeight="1">
      <c r="B12" s="348" t="s">
        <v>1087</v>
      </c>
      <c r="C12" s="531"/>
      <c r="D12" s="349" t="s">
        <v>1088</v>
      </c>
      <c r="E12" s="349" t="s">
        <v>1089</v>
      </c>
      <c r="F12" s="348" t="s">
        <v>1090</v>
      </c>
      <c r="G12" s="348" t="s">
        <v>53</v>
      </c>
      <c r="H12" s="349" t="s">
        <v>1091</v>
      </c>
      <c r="I12" s="348" t="s">
        <v>1092</v>
      </c>
      <c r="J12" s="348" t="s">
        <v>54</v>
      </c>
      <c r="K12" s="7"/>
      <c r="L12" s="7"/>
      <c r="M12" s="12">
        <v>0.2</v>
      </c>
      <c r="N12" s="7"/>
      <c r="O12" s="7"/>
      <c r="P12" s="14">
        <v>0.5</v>
      </c>
      <c r="Q12" s="14"/>
      <c r="R12" s="14"/>
      <c r="S12" s="14">
        <v>0.7</v>
      </c>
      <c r="T12" s="14"/>
      <c r="U12" s="14"/>
      <c r="V12" s="536">
        <v>1</v>
      </c>
      <c r="W12" s="348" t="s">
        <v>1057</v>
      </c>
      <c r="X12" s="533"/>
      <c r="Y12" s="533"/>
      <c r="Z12" s="22" t="str">
        <f>IF(Y12=0," ",X12/Y12)</f>
        <v xml:space="preserve"> </v>
      </c>
      <c r="AA12" s="58"/>
      <c r="AB12" s="24" t="str">
        <f>IF(Y12=0," ",Z12/AA12)</f>
        <v xml:space="preserve"> </v>
      </c>
      <c r="AC12" s="162"/>
      <c r="AD12" s="533"/>
      <c r="AE12" s="533"/>
      <c r="AF12" s="22" t="str">
        <f>IF(AE12=0," ",AD12/AE12)</f>
        <v xml:space="preserve"> </v>
      </c>
      <c r="AG12" s="58"/>
      <c r="AH12" s="24" t="str">
        <f>IF(AE12=0," ",AF12/AG12)</f>
        <v xml:space="preserve"> </v>
      </c>
      <c r="AI12" s="162"/>
      <c r="AJ12" s="533">
        <v>20</v>
      </c>
      <c r="AK12" s="533">
        <v>100</v>
      </c>
      <c r="AL12" s="22">
        <f>IF(AK12=0," ",AJ12/AK12)</f>
        <v>0.2</v>
      </c>
      <c r="AM12" s="58">
        <f>M12</f>
        <v>0.2</v>
      </c>
      <c r="AN12" s="24">
        <f>IF(AK12=0," ",AL12/AM12)</f>
        <v>1</v>
      </c>
      <c r="AO12" s="162" t="s">
        <v>1093</v>
      </c>
      <c r="AP12" s="533"/>
      <c r="AQ12" s="533"/>
      <c r="AR12" s="22" t="str">
        <f>IF(AQ12=0," ",AP12/AQ12)</f>
        <v xml:space="preserve"> </v>
      </c>
      <c r="AS12" s="58"/>
      <c r="AT12" s="24" t="str">
        <f>IF(AQ12=0," ",AR12/AS12)</f>
        <v xml:space="preserve"> </v>
      </c>
      <c r="AU12" s="162"/>
      <c r="AV12" s="533"/>
      <c r="AW12" s="533"/>
      <c r="AX12" s="22" t="str">
        <f>IF(AW12=0," ",AV12/AW12)</f>
        <v xml:space="preserve"> </v>
      </c>
      <c r="AY12" s="58"/>
      <c r="AZ12" s="24" t="str">
        <f>IF(AW12=0," ",AX12/AY12)</f>
        <v xml:space="preserve"> </v>
      </c>
      <c r="BA12" s="162"/>
      <c r="BB12" s="533">
        <f>73.4</f>
        <v>73.400000000000006</v>
      </c>
      <c r="BC12" s="533">
        <v>100</v>
      </c>
      <c r="BD12" s="22">
        <f>IF(BC12=0," ",BB12/BC12)</f>
        <v>0.7340000000000001</v>
      </c>
      <c r="BE12" s="58">
        <f>P12</f>
        <v>0.5</v>
      </c>
      <c r="BF12" s="24">
        <f>IF(BC12=0," ",BD12/BE12)</f>
        <v>1.4680000000000002</v>
      </c>
      <c r="BG12" s="162" t="s">
        <v>1094</v>
      </c>
      <c r="BH12" s="533"/>
      <c r="BI12" s="533"/>
      <c r="BJ12" s="22" t="str">
        <f>IF(BI12=0," ",BH12/BI12)</f>
        <v xml:space="preserve"> </v>
      </c>
      <c r="BK12" s="58"/>
      <c r="BL12" s="24" t="str">
        <f>IF(BI12=0," ",BJ12/BK12)</f>
        <v xml:space="preserve"> </v>
      </c>
      <c r="BM12" s="162" t="s">
        <v>1095</v>
      </c>
      <c r="BN12" s="533"/>
      <c r="BO12" s="533"/>
      <c r="BP12" s="22" t="str">
        <f>IF(BO12=0," ",BN12/BO12)</f>
        <v xml:space="preserve"> </v>
      </c>
      <c r="BQ12" s="58"/>
      <c r="BR12" s="24" t="str">
        <f>IF(BO12=0," ",BP12/BQ12)</f>
        <v xml:space="preserve"> </v>
      </c>
      <c r="BS12" s="162"/>
      <c r="BT12" s="533">
        <v>76.66</v>
      </c>
      <c r="BU12" s="533">
        <v>100</v>
      </c>
      <c r="BV12" s="22">
        <f>IF(BU12=0," ",BT12/BU12)</f>
        <v>0.76659999999999995</v>
      </c>
      <c r="BW12" s="58">
        <f>S12</f>
        <v>0.7</v>
      </c>
      <c r="BX12" s="24">
        <f>IF(BU12=0," ",BV12/BW12)</f>
        <v>1.0951428571428572</v>
      </c>
      <c r="BY12" s="162" t="s">
        <v>1096</v>
      </c>
      <c r="BZ12" s="533"/>
      <c r="CA12" s="533"/>
      <c r="CB12" s="22" t="str">
        <f>IF(CA12=0," ",BZ12/CA12)</f>
        <v xml:space="preserve"> </v>
      </c>
      <c r="CC12" s="58"/>
      <c r="CD12" s="24" t="str">
        <f>IF(CA12=0," ",CB12/CC12)</f>
        <v xml:space="preserve"> </v>
      </c>
      <c r="CE12" s="162" t="s">
        <v>1061</v>
      </c>
      <c r="CF12" s="533"/>
      <c r="CG12" s="533"/>
      <c r="CH12" s="22" t="str">
        <f>IF(CG12=0," ",CF12/CG12)</f>
        <v xml:space="preserve"> </v>
      </c>
      <c r="CI12" s="58"/>
      <c r="CJ12" s="24" t="str">
        <f>IF(CG12=0," ",CH12/CI12)</f>
        <v xml:space="preserve"> </v>
      </c>
      <c r="CK12" s="538" t="s">
        <v>1061</v>
      </c>
      <c r="CL12" s="533">
        <v>100</v>
      </c>
      <c r="CM12" s="533">
        <v>100</v>
      </c>
      <c r="CN12" s="22">
        <f>IF(CM12=0," ",CL12/CM12)</f>
        <v>1</v>
      </c>
      <c r="CO12" s="58">
        <f>V12</f>
        <v>1</v>
      </c>
      <c r="CP12" s="24">
        <f>IF(CM12=0," ",CN12/CO12)</f>
        <v>1</v>
      </c>
      <c r="CQ12" s="162" t="s">
        <v>1097</v>
      </c>
      <c r="CR12" s="533">
        <v>100</v>
      </c>
      <c r="CS12" s="533">
        <v>100</v>
      </c>
      <c r="CT12" s="22">
        <f>IF(CS12=0," ",CR12/CS12)</f>
        <v>1</v>
      </c>
      <c r="CU12" s="58">
        <f>V12</f>
        <v>1</v>
      </c>
      <c r="CV12" s="24">
        <f>IF(CS12=0," ",CT12/CU12)</f>
        <v>1</v>
      </c>
      <c r="CW12" s="162" t="s">
        <v>1098</v>
      </c>
    </row>
    <row r="13" spans="1:101" ht="14.25" customHeight="1">
      <c r="B13" s="539"/>
      <c r="C13" s="540"/>
      <c r="D13" s="541"/>
      <c r="E13" s="541"/>
      <c r="F13" s="542"/>
      <c r="G13" s="542"/>
      <c r="H13" s="541" t="s">
        <v>49</v>
      </c>
      <c r="I13" s="542"/>
      <c r="J13" s="542"/>
      <c r="K13" s="37"/>
      <c r="L13" s="37"/>
      <c r="M13" s="38"/>
      <c r="N13" s="37"/>
      <c r="O13" s="37"/>
      <c r="P13" s="39"/>
      <c r="Q13" s="39"/>
      <c r="R13" s="39"/>
      <c r="S13" s="39"/>
      <c r="T13" s="39"/>
      <c r="U13" s="39"/>
      <c r="V13" s="39"/>
      <c r="W13" s="543"/>
      <c r="X13" s="544"/>
      <c r="Y13" s="544"/>
      <c r="Z13" s="22"/>
      <c r="AA13" s="24"/>
      <c r="AB13" s="24"/>
      <c r="AC13" s="543"/>
      <c r="AD13" s="543"/>
      <c r="AE13" s="544"/>
      <c r="AF13" s="544"/>
      <c r="AG13" s="22"/>
      <c r="AH13" s="24"/>
      <c r="AI13" s="24"/>
      <c r="AJ13" s="543"/>
      <c r="AK13" s="544"/>
      <c r="AL13" s="544"/>
      <c r="AM13" s="22"/>
      <c r="AN13" s="24"/>
      <c r="AO13" s="24"/>
      <c r="AP13" s="544"/>
      <c r="AQ13" s="544"/>
      <c r="AR13" s="22"/>
      <c r="AS13" s="24"/>
      <c r="AT13" s="24"/>
      <c r="AU13" s="545"/>
      <c r="AV13" s="543"/>
      <c r="AW13" s="544"/>
      <c r="AX13" s="544"/>
      <c r="AY13" s="22"/>
      <c r="AZ13" s="24"/>
      <c r="BA13" s="24"/>
      <c r="BB13" s="544"/>
      <c r="BC13" s="544"/>
      <c r="BD13" s="22"/>
      <c r="BE13" s="24"/>
      <c r="BF13" s="24"/>
      <c r="BG13" s="545"/>
      <c r="BH13" s="543"/>
      <c r="BI13" s="544"/>
      <c r="BJ13" s="544"/>
      <c r="BK13" s="22"/>
      <c r="BL13" s="24"/>
      <c r="BM13" s="24"/>
      <c r="BN13" s="544"/>
      <c r="BO13" s="544"/>
      <c r="BP13" s="22"/>
      <c r="BQ13" s="24"/>
      <c r="BR13" s="24"/>
      <c r="BS13" s="545"/>
      <c r="BT13" s="543"/>
      <c r="BU13" s="544"/>
      <c r="BV13" s="544"/>
      <c r="BW13" s="22"/>
      <c r="BX13" s="24"/>
      <c r="BY13" s="145"/>
      <c r="BZ13" s="544"/>
      <c r="CA13" s="544"/>
      <c r="CB13" s="22"/>
      <c r="CC13" s="24"/>
      <c r="CD13" s="24"/>
      <c r="CE13" s="545"/>
      <c r="CF13" s="543"/>
      <c r="CG13" s="544"/>
      <c r="CH13" s="544"/>
      <c r="CI13" s="22"/>
      <c r="CJ13" s="24"/>
      <c r="CK13" s="24"/>
      <c r="CL13" s="544"/>
      <c r="CM13" s="544"/>
      <c r="CN13" s="22"/>
      <c r="CO13" s="24"/>
      <c r="CP13" s="24"/>
      <c r="CQ13" s="545"/>
      <c r="CR13" s="543"/>
      <c r="CS13" s="544"/>
      <c r="CT13" s="544"/>
      <c r="CU13" s="22"/>
      <c r="CV13" s="24"/>
      <c r="CW13" s="24"/>
    </row>
    <row r="14" spans="1:101" ht="409.5" customHeight="1">
      <c r="B14" s="348" t="s">
        <v>155</v>
      </c>
      <c r="C14" s="348" t="s">
        <v>156</v>
      </c>
      <c r="D14" s="349" t="s">
        <v>157</v>
      </c>
      <c r="E14" s="349" t="s">
        <v>158</v>
      </c>
      <c r="F14" s="348" t="s">
        <v>251</v>
      </c>
      <c r="G14" s="348" t="s">
        <v>53</v>
      </c>
      <c r="H14" s="349" t="s">
        <v>160</v>
      </c>
      <c r="I14" s="348" t="s">
        <v>161</v>
      </c>
      <c r="J14" s="348" t="s">
        <v>54</v>
      </c>
      <c r="K14" s="7"/>
      <c r="L14" s="7"/>
      <c r="M14" s="12"/>
      <c r="N14" s="7">
        <v>100</v>
      </c>
      <c r="O14" s="7"/>
      <c r="P14" s="7">
        <v>100</v>
      </c>
      <c r="Q14" s="74"/>
      <c r="R14" s="74"/>
      <c r="S14" s="74">
        <v>1</v>
      </c>
      <c r="T14" s="74"/>
      <c r="U14" s="74"/>
      <c r="V14" s="546">
        <v>1</v>
      </c>
      <c r="W14" s="348" t="s">
        <v>1099</v>
      </c>
      <c r="X14" s="533"/>
      <c r="Y14" s="533"/>
      <c r="Z14" s="22" t="str">
        <f t="shared" ref="Z14:Z22" si="0">IF(Y14=0," ",X14/Y14)</f>
        <v xml:space="preserve"> </v>
      </c>
      <c r="AA14" s="58"/>
      <c r="AB14" s="24" t="str">
        <f t="shared" ref="AB14:AB22" si="1">IF(Y14=0," ",Z14/AA14)</f>
        <v xml:space="preserve"> </v>
      </c>
      <c r="AC14" s="162"/>
      <c r="AD14" s="533"/>
      <c r="AE14" s="533"/>
      <c r="AF14" s="22" t="str">
        <f t="shared" ref="AF14:AF22" si="2">IF(AE14=0," ",AD14/AE14)</f>
        <v xml:space="preserve"> </v>
      </c>
      <c r="AG14" s="58"/>
      <c r="AH14" s="24" t="str">
        <f t="shared" ref="AH14:AH22" si="3">IF(AE14=0," ",AF14/AG14)</f>
        <v xml:space="preserve"> </v>
      </c>
      <c r="AI14" s="162"/>
      <c r="AJ14" s="533"/>
      <c r="AK14" s="533"/>
      <c r="AL14" s="22" t="str">
        <f t="shared" ref="AL14:AL22" si="4">IF(AK14=0," ",AJ14/AK14)</f>
        <v xml:space="preserve"> </v>
      </c>
      <c r="AM14" s="58"/>
      <c r="AN14" s="24" t="str">
        <f t="shared" ref="AN14:AN22" si="5">IF(AK14=0," ",AL14/AM14)</f>
        <v xml:space="preserve"> </v>
      </c>
      <c r="AO14" s="162" t="s">
        <v>1100</v>
      </c>
      <c r="AP14" s="533"/>
      <c r="AQ14" s="533"/>
      <c r="AR14" s="22" t="str">
        <f t="shared" ref="AR14:AR22" si="6">IF(AQ14=0," ",AP14/AQ14)</f>
        <v xml:space="preserve"> </v>
      </c>
      <c r="AS14" s="58"/>
      <c r="AT14" s="24" t="str">
        <f t="shared" ref="AT14:AT22" si="7">IF(AQ14=0," ",AR14/AS14)</f>
        <v xml:space="preserve"> </v>
      </c>
      <c r="AU14" s="162"/>
      <c r="AV14" s="533"/>
      <c r="AW14" s="533"/>
      <c r="AX14" s="22" t="str">
        <f t="shared" ref="AX14:AX22" si="8">IF(AW14=0," ",AV14/AW14)</f>
        <v xml:space="preserve"> </v>
      </c>
      <c r="AY14" s="58"/>
      <c r="AZ14" s="24" t="str">
        <f t="shared" ref="AZ14:AZ22" si="9">IF(AW14=0," ",AX14/AY14)</f>
        <v xml:space="preserve"> </v>
      </c>
      <c r="BA14" s="162"/>
      <c r="BB14" s="533">
        <v>60</v>
      </c>
      <c r="BC14" s="533">
        <v>90</v>
      </c>
      <c r="BD14" s="22">
        <f t="shared" ref="BD14:BD22" si="10">IF(BC14=0," ",BB14/BC14)</f>
        <v>0.66666666666666663</v>
      </c>
      <c r="BE14" s="58">
        <v>1</v>
      </c>
      <c r="BF14" s="24">
        <f t="shared" ref="BF14:BF22" si="11">IF(BC14=0," ",BD14/BE14)</f>
        <v>0.66666666666666663</v>
      </c>
      <c r="BG14" s="162" t="s">
        <v>1101</v>
      </c>
      <c r="BH14" s="533"/>
      <c r="BI14" s="533"/>
      <c r="BJ14" s="22" t="str">
        <f t="shared" ref="BJ14:BJ22" si="12">IF(BI14=0," ",BH14/BI14)</f>
        <v xml:space="preserve"> </v>
      </c>
      <c r="BK14" s="58"/>
      <c r="BL14" s="24" t="str">
        <f t="shared" ref="BL14:BL22" si="13">IF(BI14=0," ",BJ14/BK14)</f>
        <v xml:space="preserve"> </v>
      </c>
      <c r="BM14" s="162"/>
      <c r="BN14" s="533"/>
      <c r="BO14" s="533"/>
      <c r="BP14" s="22" t="str">
        <f t="shared" ref="BP14:BP22" si="14">IF(BO14=0," ",BN14/BO14)</f>
        <v xml:space="preserve"> </v>
      </c>
      <c r="BQ14" s="58"/>
      <c r="BR14" s="24" t="str">
        <f t="shared" ref="BR14:BR22" si="15">IF(BO14=0," ",BP14/BQ14)</f>
        <v xml:space="preserve"> </v>
      </c>
      <c r="BS14" s="162"/>
      <c r="BT14" s="533">
        <v>60</v>
      </c>
      <c r="BU14" s="533">
        <v>90</v>
      </c>
      <c r="BV14" s="22">
        <f t="shared" ref="BV14:BV22" si="16">IF(BU14=0," ",BT14/BU14)</f>
        <v>0.66666666666666663</v>
      </c>
      <c r="BW14" s="58">
        <f>S14</f>
        <v>1</v>
      </c>
      <c r="BX14" s="24">
        <f t="shared" ref="BX14:BX22" si="17">IF(BU14=0," ",BV14/BW14)</f>
        <v>0.66666666666666663</v>
      </c>
      <c r="BY14" s="163" t="s">
        <v>1102</v>
      </c>
      <c r="BZ14" s="533"/>
      <c r="CA14" s="533"/>
      <c r="CB14" s="22" t="str">
        <f t="shared" ref="CB14:CB22" si="18">IF(CA14=0," ",BZ14/CA14)</f>
        <v xml:space="preserve"> </v>
      </c>
      <c r="CC14" s="58"/>
      <c r="CD14" s="24" t="str">
        <f t="shared" ref="CD14:CD22" si="19">IF(CA14=0," ",CB14/CC14)</f>
        <v xml:space="preserve"> </v>
      </c>
      <c r="CE14" s="162" t="s">
        <v>1061</v>
      </c>
      <c r="CF14" s="533"/>
      <c r="CG14" s="533"/>
      <c r="CH14" s="22" t="str">
        <f t="shared" ref="CH14:CH22" si="20">IF(CG14=0," ",CF14/CG14)</f>
        <v xml:space="preserve"> </v>
      </c>
      <c r="CI14" s="58"/>
      <c r="CJ14" s="24" t="str">
        <f t="shared" ref="CJ14:CJ22" si="21">IF(CG14=0," ",CH14/CI14)</f>
        <v xml:space="preserve"> </v>
      </c>
      <c r="CK14" s="538" t="s">
        <v>1061</v>
      </c>
      <c r="CL14" s="533">
        <v>82</v>
      </c>
      <c r="CM14" s="533">
        <v>100</v>
      </c>
      <c r="CN14" s="22">
        <f t="shared" ref="CN14:CN22" si="22">IF(CM14=0," ",CL14/CM14)</f>
        <v>0.82</v>
      </c>
      <c r="CO14" s="58">
        <f>V14</f>
        <v>1</v>
      </c>
      <c r="CP14" s="24">
        <f t="shared" ref="CP14:CP22" si="23">IF(CM14=0," ",CN14/CO14)</f>
        <v>0.82</v>
      </c>
      <c r="CQ14" s="162" t="s">
        <v>1103</v>
      </c>
      <c r="CR14" s="533">
        <v>82</v>
      </c>
      <c r="CS14" s="533">
        <v>100</v>
      </c>
      <c r="CT14" s="22">
        <f t="shared" ref="CT14:CT22" si="24">IF(CS14=0," ",CR14/CS14)</f>
        <v>0.82</v>
      </c>
      <c r="CU14" s="58">
        <f>V14</f>
        <v>1</v>
      </c>
      <c r="CV14" s="24">
        <f t="shared" ref="CV14:CV22" si="25">IF(CS14=0," ",CT14/CU14)</f>
        <v>0.82</v>
      </c>
      <c r="CW14" s="162" t="s">
        <v>1104</v>
      </c>
    </row>
    <row r="15" spans="1:101" ht="351.75" customHeight="1">
      <c r="B15" s="348" t="s">
        <v>55</v>
      </c>
      <c r="C15" s="348" t="s">
        <v>89</v>
      </c>
      <c r="D15" s="348" t="s">
        <v>56</v>
      </c>
      <c r="E15" s="348" t="s">
        <v>57</v>
      </c>
      <c r="F15" s="348" t="s">
        <v>58</v>
      </c>
      <c r="G15" s="348" t="s">
        <v>53</v>
      </c>
      <c r="H15" s="348" t="s">
        <v>258</v>
      </c>
      <c r="I15" s="348" t="s">
        <v>60</v>
      </c>
      <c r="J15" s="547" t="s">
        <v>54</v>
      </c>
      <c r="K15" s="7"/>
      <c r="L15" s="7"/>
      <c r="M15" s="12">
        <v>1</v>
      </c>
      <c r="N15" s="7"/>
      <c r="O15" s="7"/>
      <c r="P15" s="12">
        <v>1</v>
      </c>
      <c r="Q15" s="12"/>
      <c r="R15" s="7"/>
      <c r="S15" s="12">
        <v>1</v>
      </c>
      <c r="T15" s="12"/>
      <c r="U15" s="7"/>
      <c r="V15" s="546">
        <v>1</v>
      </c>
      <c r="W15" s="348" t="s">
        <v>1099</v>
      </c>
      <c r="X15" s="533"/>
      <c r="Y15" s="533"/>
      <c r="Z15" s="22" t="str">
        <f t="shared" si="0"/>
        <v xml:space="preserve"> </v>
      </c>
      <c r="AA15" s="58"/>
      <c r="AB15" s="24" t="str">
        <f t="shared" si="1"/>
        <v xml:space="preserve"> </v>
      </c>
      <c r="AC15" s="162"/>
      <c r="AD15" s="533"/>
      <c r="AE15" s="533"/>
      <c r="AF15" s="22" t="str">
        <f t="shared" si="2"/>
        <v xml:space="preserve"> </v>
      </c>
      <c r="AG15" s="58"/>
      <c r="AH15" s="24" t="str">
        <f t="shared" si="3"/>
        <v xml:space="preserve"> </v>
      </c>
      <c r="AI15" s="162"/>
      <c r="AJ15" s="533">
        <v>80</v>
      </c>
      <c r="AK15" s="533">
        <v>100</v>
      </c>
      <c r="AL15" s="22">
        <f t="shared" si="4"/>
        <v>0.8</v>
      </c>
      <c r="AM15" s="58">
        <f>M15</f>
        <v>1</v>
      </c>
      <c r="AN15" s="24">
        <f t="shared" si="5"/>
        <v>0.8</v>
      </c>
      <c r="AO15" s="162" t="s">
        <v>1105</v>
      </c>
      <c r="AP15" s="533"/>
      <c r="AQ15" s="533"/>
      <c r="AR15" s="22" t="str">
        <f t="shared" si="6"/>
        <v xml:space="preserve"> </v>
      </c>
      <c r="AS15" s="58"/>
      <c r="AT15" s="24" t="str">
        <f t="shared" si="7"/>
        <v xml:space="preserve"> </v>
      </c>
      <c r="AU15" s="162"/>
      <c r="AV15" s="533"/>
      <c r="AW15" s="533"/>
      <c r="AX15" s="22" t="str">
        <f t="shared" si="8"/>
        <v xml:space="preserve"> </v>
      </c>
      <c r="AY15" s="58"/>
      <c r="AZ15" s="24" t="str">
        <f t="shared" si="9"/>
        <v xml:space="preserve"> </v>
      </c>
      <c r="BA15" s="162"/>
      <c r="BB15" s="533">
        <v>100</v>
      </c>
      <c r="BC15" s="533">
        <v>100</v>
      </c>
      <c r="BD15" s="22">
        <f t="shared" si="10"/>
        <v>1</v>
      </c>
      <c r="BE15" s="58">
        <v>1</v>
      </c>
      <c r="BF15" s="24">
        <f t="shared" si="11"/>
        <v>1</v>
      </c>
      <c r="BG15" s="162" t="s">
        <v>1106</v>
      </c>
      <c r="BH15" s="533"/>
      <c r="BI15" s="533"/>
      <c r="BJ15" s="22" t="str">
        <f t="shared" si="12"/>
        <v xml:space="preserve"> </v>
      </c>
      <c r="BK15" s="58"/>
      <c r="BL15" s="24" t="str">
        <f t="shared" si="13"/>
        <v xml:space="preserve"> </v>
      </c>
      <c r="BM15" s="162"/>
      <c r="BN15" s="533"/>
      <c r="BO15" s="533"/>
      <c r="BP15" s="22" t="str">
        <f t="shared" si="14"/>
        <v xml:space="preserve"> </v>
      </c>
      <c r="BQ15" s="58"/>
      <c r="BR15" s="24" t="str">
        <f t="shared" si="15"/>
        <v xml:space="preserve"> </v>
      </c>
      <c r="BS15" s="162"/>
      <c r="BT15" s="533"/>
      <c r="BU15" s="533"/>
      <c r="BV15" s="22" t="str">
        <f t="shared" si="16"/>
        <v xml:space="preserve"> </v>
      </c>
      <c r="BW15" s="58"/>
      <c r="BX15" s="24" t="str">
        <f t="shared" si="17"/>
        <v xml:space="preserve"> </v>
      </c>
      <c r="BY15" s="163" t="s">
        <v>324</v>
      </c>
      <c r="BZ15" s="533">
        <v>100</v>
      </c>
      <c r="CA15" s="533">
        <v>100</v>
      </c>
      <c r="CB15" s="22">
        <f t="shared" si="18"/>
        <v>1</v>
      </c>
      <c r="CC15" s="58">
        <f>T15</f>
        <v>0</v>
      </c>
      <c r="CD15" s="24" t="e">
        <f t="shared" si="19"/>
        <v>#DIV/0!</v>
      </c>
      <c r="CE15" s="162" t="s">
        <v>1107</v>
      </c>
      <c r="CF15" s="533"/>
      <c r="CG15" s="533"/>
      <c r="CH15" s="22" t="str">
        <f t="shared" si="20"/>
        <v xml:space="preserve"> </v>
      </c>
      <c r="CI15" s="58"/>
      <c r="CJ15" s="24" t="str">
        <f t="shared" si="21"/>
        <v xml:space="preserve"> </v>
      </c>
      <c r="CK15" s="538" t="s">
        <v>1061</v>
      </c>
      <c r="CL15" s="548" t="s">
        <v>1108</v>
      </c>
      <c r="CM15" s="533">
        <v>100</v>
      </c>
      <c r="CN15" s="22" t="s">
        <v>385</v>
      </c>
      <c r="CO15" s="58">
        <v>1</v>
      </c>
      <c r="CP15" s="24" t="e">
        <f t="shared" si="23"/>
        <v>#VALUE!</v>
      </c>
      <c r="CQ15" s="162" t="s">
        <v>1109</v>
      </c>
      <c r="CR15" s="549" t="s">
        <v>1108</v>
      </c>
      <c r="CS15" s="533">
        <v>100</v>
      </c>
      <c r="CT15" s="22" t="s">
        <v>1110</v>
      </c>
      <c r="CU15" s="23">
        <v>1</v>
      </c>
      <c r="CV15" s="24" t="s">
        <v>1110</v>
      </c>
      <c r="CW15" s="162" t="s">
        <v>327</v>
      </c>
    </row>
    <row r="16" spans="1:101" ht="231.75" customHeight="1">
      <c r="B16" s="2209" t="s">
        <v>55</v>
      </c>
      <c r="C16" s="2209" t="s">
        <v>88</v>
      </c>
      <c r="D16" s="2209" t="s">
        <v>61</v>
      </c>
      <c r="E16" s="2209" t="s">
        <v>57</v>
      </c>
      <c r="F16" s="2209" t="s">
        <v>62</v>
      </c>
      <c r="G16" s="2209" t="s">
        <v>53</v>
      </c>
      <c r="H16" s="2209" t="s">
        <v>63</v>
      </c>
      <c r="I16" s="2209" t="s">
        <v>64</v>
      </c>
      <c r="J16" s="2209" t="s">
        <v>54</v>
      </c>
      <c r="K16" s="2209"/>
      <c r="L16" s="2209">
        <v>1</v>
      </c>
      <c r="M16" s="2209"/>
      <c r="N16" s="2209">
        <v>1</v>
      </c>
      <c r="O16" s="2209"/>
      <c r="P16" s="2209">
        <v>1</v>
      </c>
      <c r="Q16" s="2209"/>
      <c r="R16" s="2209">
        <v>1</v>
      </c>
      <c r="S16" s="2209"/>
      <c r="T16" s="2209">
        <v>1</v>
      </c>
      <c r="U16" s="2209"/>
      <c r="V16" s="2209">
        <v>1</v>
      </c>
      <c r="W16" s="2209" t="s">
        <v>1099</v>
      </c>
      <c r="X16" s="2209"/>
      <c r="Y16" s="2221"/>
      <c r="Z16" s="2052" t="str">
        <f t="shared" si="0"/>
        <v xml:space="preserve"> </v>
      </c>
      <c r="AA16" s="2229"/>
      <c r="AB16" s="2225" t="str">
        <f t="shared" si="1"/>
        <v xml:space="preserve"> </v>
      </c>
      <c r="AC16" s="2236"/>
      <c r="AD16" s="2221">
        <v>0</v>
      </c>
      <c r="AE16" s="2221">
        <v>1</v>
      </c>
      <c r="AF16" s="2052">
        <f t="shared" si="2"/>
        <v>0</v>
      </c>
      <c r="AG16" s="2229">
        <f>L16</f>
        <v>1</v>
      </c>
      <c r="AH16" s="2225">
        <f t="shared" si="3"/>
        <v>0</v>
      </c>
      <c r="AI16" s="2236" t="s">
        <v>1111</v>
      </c>
      <c r="AJ16" s="2221"/>
      <c r="AK16" s="2221"/>
      <c r="AL16" s="2052" t="str">
        <f t="shared" si="4"/>
        <v xml:space="preserve"> </v>
      </c>
      <c r="AM16" s="2229"/>
      <c r="AN16" s="2225" t="str">
        <f t="shared" si="5"/>
        <v xml:space="preserve"> </v>
      </c>
      <c r="AO16" s="2236"/>
      <c r="AP16" s="2221">
        <v>0</v>
      </c>
      <c r="AQ16" s="2221">
        <v>0</v>
      </c>
      <c r="AR16" s="2052">
        <v>0</v>
      </c>
      <c r="AS16" s="2229">
        <v>1</v>
      </c>
      <c r="AT16" s="2225">
        <v>0</v>
      </c>
      <c r="AU16" s="2231" t="s">
        <v>1112</v>
      </c>
      <c r="AV16" s="2221"/>
      <c r="AW16" s="2221"/>
      <c r="AX16" s="2052" t="str">
        <f t="shared" si="8"/>
        <v xml:space="preserve"> </v>
      </c>
      <c r="AY16" s="2229"/>
      <c r="AZ16" s="2225" t="str">
        <f t="shared" si="9"/>
        <v xml:space="preserve"> </v>
      </c>
      <c r="BA16" s="2236"/>
      <c r="BB16" s="2221">
        <v>0</v>
      </c>
      <c r="BC16" s="2221">
        <v>100</v>
      </c>
      <c r="BD16" s="2052">
        <f t="shared" si="10"/>
        <v>0</v>
      </c>
      <c r="BE16" s="2229">
        <v>1</v>
      </c>
      <c r="BF16" s="2225">
        <f t="shared" si="11"/>
        <v>0</v>
      </c>
      <c r="BG16" s="2231" t="s">
        <v>1113</v>
      </c>
      <c r="BH16" s="2221"/>
      <c r="BI16" s="2221"/>
      <c r="BJ16" s="2052" t="str">
        <f t="shared" si="12"/>
        <v xml:space="preserve"> </v>
      </c>
      <c r="BK16" s="2229"/>
      <c r="BL16" s="2225" t="str">
        <f t="shared" si="13"/>
        <v xml:space="preserve"> </v>
      </c>
      <c r="BM16" s="2236"/>
      <c r="BN16" s="2221">
        <v>0</v>
      </c>
      <c r="BO16" s="2221">
        <v>100</v>
      </c>
      <c r="BP16" s="2238">
        <f>IF(BO16=0," ",BN16/BO16)</f>
        <v>0</v>
      </c>
      <c r="BQ16" s="2238">
        <v>1</v>
      </c>
      <c r="BR16" s="2238">
        <f t="shared" si="15"/>
        <v>0</v>
      </c>
      <c r="BS16" s="2231" t="s">
        <v>1114</v>
      </c>
      <c r="BT16" s="2221">
        <v>100</v>
      </c>
      <c r="BU16" s="2221">
        <v>100</v>
      </c>
      <c r="BV16" s="2052">
        <f t="shared" si="16"/>
        <v>1</v>
      </c>
      <c r="BW16" s="2229">
        <f>S16</f>
        <v>0</v>
      </c>
      <c r="BX16" s="2225" t="e">
        <f t="shared" si="17"/>
        <v>#DIV/0!</v>
      </c>
      <c r="BY16" s="2240" t="s">
        <v>1115</v>
      </c>
      <c r="BZ16" s="2221"/>
      <c r="CA16" s="2221"/>
      <c r="CB16" s="2052" t="str">
        <f t="shared" si="18"/>
        <v xml:space="preserve"> </v>
      </c>
      <c r="CC16" s="2229"/>
      <c r="CD16" s="2225" t="str">
        <f t="shared" si="19"/>
        <v xml:space="preserve"> </v>
      </c>
      <c r="CE16" s="2231" t="s">
        <v>1116</v>
      </c>
      <c r="CF16" s="2221"/>
      <c r="CG16" s="2221"/>
      <c r="CH16" s="2052" t="str">
        <f t="shared" si="20"/>
        <v xml:space="preserve"> </v>
      </c>
      <c r="CI16" s="2229"/>
      <c r="CJ16" s="2225" t="str">
        <f t="shared" si="21"/>
        <v xml:space="preserve"> </v>
      </c>
      <c r="CK16" s="2246" t="s">
        <v>1061</v>
      </c>
      <c r="CL16" s="2221">
        <v>100</v>
      </c>
      <c r="CM16" s="2221">
        <v>100</v>
      </c>
      <c r="CN16" s="2052">
        <f t="shared" si="22"/>
        <v>1</v>
      </c>
      <c r="CO16" s="2229">
        <f>V16</f>
        <v>1</v>
      </c>
      <c r="CP16" s="2225">
        <f t="shared" si="23"/>
        <v>1</v>
      </c>
      <c r="CQ16" s="2231" t="s">
        <v>1117</v>
      </c>
      <c r="CR16" s="2221">
        <v>100</v>
      </c>
      <c r="CS16" s="2221">
        <v>100</v>
      </c>
      <c r="CT16" s="2052">
        <f>IF(CS16=0," ",CR16/CS16)</f>
        <v>1</v>
      </c>
      <c r="CU16" s="2229">
        <f>V16</f>
        <v>1</v>
      </c>
      <c r="CV16" s="2225">
        <f t="shared" si="25"/>
        <v>1</v>
      </c>
      <c r="CW16" s="2231" t="s">
        <v>1118</v>
      </c>
    </row>
    <row r="17" spans="2:101" ht="219.75" customHeight="1">
      <c r="B17" s="2210"/>
      <c r="C17" s="2210"/>
      <c r="D17" s="2210"/>
      <c r="E17" s="2210"/>
      <c r="F17" s="2210"/>
      <c r="G17" s="2210"/>
      <c r="H17" s="2210"/>
      <c r="I17" s="2210"/>
      <c r="J17" s="2210"/>
      <c r="K17" s="2210"/>
      <c r="L17" s="2210"/>
      <c r="M17" s="2210"/>
      <c r="N17" s="2210"/>
      <c r="O17" s="2210"/>
      <c r="P17" s="2210"/>
      <c r="Q17" s="2210"/>
      <c r="R17" s="2210"/>
      <c r="S17" s="2210"/>
      <c r="T17" s="2210"/>
      <c r="U17" s="2210"/>
      <c r="V17" s="2210"/>
      <c r="W17" s="2210"/>
      <c r="X17" s="2210"/>
      <c r="Y17" s="2222"/>
      <c r="Z17" s="2053"/>
      <c r="AA17" s="2230"/>
      <c r="AB17" s="2226"/>
      <c r="AC17" s="2237"/>
      <c r="AD17" s="2222"/>
      <c r="AE17" s="2222"/>
      <c r="AF17" s="2053"/>
      <c r="AG17" s="2230"/>
      <c r="AH17" s="2226"/>
      <c r="AI17" s="2237"/>
      <c r="AJ17" s="2222"/>
      <c r="AK17" s="2222"/>
      <c r="AL17" s="2053"/>
      <c r="AM17" s="2230"/>
      <c r="AN17" s="2226"/>
      <c r="AO17" s="2237"/>
      <c r="AP17" s="2222"/>
      <c r="AQ17" s="2222"/>
      <c r="AR17" s="2053"/>
      <c r="AS17" s="2230"/>
      <c r="AT17" s="2226"/>
      <c r="AU17" s="2232"/>
      <c r="AV17" s="2222"/>
      <c r="AW17" s="2222"/>
      <c r="AX17" s="2053"/>
      <c r="AY17" s="2230"/>
      <c r="AZ17" s="2226"/>
      <c r="BA17" s="2237"/>
      <c r="BB17" s="2222"/>
      <c r="BC17" s="2222"/>
      <c r="BD17" s="2053"/>
      <c r="BE17" s="2230"/>
      <c r="BF17" s="2226"/>
      <c r="BG17" s="2232"/>
      <c r="BH17" s="2222"/>
      <c r="BI17" s="2222"/>
      <c r="BJ17" s="2053"/>
      <c r="BK17" s="2230"/>
      <c r="BL17" s="2226"/>
      <c r="BM17" s="2237"/>
      <c r="BN17" s="2222"/>
      <c r="BO17" s="2222"/>
      <c r="BP17" s="2239"/>
      <c r="BQ17" s="2239"/>
      <c r="BR17" s="2239"/>
      <c r="BS17" s="2232"/>
      <c r="BT17" s="2222"/>
      <c r="BU17" s="2222"/>
      <c r="BV17" s="2053"/>
      <c r="BW17" s="2230"/>
      <c r="BX17" s="2226"/>
      <c r="BY17" s="2241"/>
      <c r="BZ17" s="2222"/>
      <c r="CA17" s="2222"/>
      <c r="CB17" s="2053"/>
      <c r="CC17" s="2230"/>
      <c r="CD17" s="2226"/>
      <c r="CE17" s="2232"/>
      <c r="CF17" s="2222"/>
      <c r="CG17" s="2222"/>
      <c r="CH17" s="2053"/>
      <c r="CI17" s="2230"/>
      <c r="CJ17" s="2226"/>
      <c r="CK17" s="2247"/>
      <c r="CL17" s="2222"/>
      <c r="CM17" s="2222"/>
      <c r="CN17" s="2053"/>
      <c r="CO17" s="2230"/>
      <c r="CP17" s="2226"/>
      <c r="CQ17" s="2232"/>
      <c r="CR17" s="2222"/>
      <c r="CS17" s="2222"/>
      <c r="CT17" s="2053"/>
      <c r="CU17" s="2230"/>
      <c r="CV17" s="2226"/>
      <c r="CW17" s="2232"/>
    </row>
    <row r="18" spans="2:101" ht="114.75" customHeight="1">
      <c r="B18" s="550" t="s">
        <v>260</v>
      </c>
      <c r="C18" s="348" t="s">
        <v>261</v>
      </c>
      <c r="D18" s="550" t="s">
        <v>262</v>
      </c>
      <c r="E18" s="348" t="s">
        <v>263</v>
      </c>
      <c r="F18" s="550" t="s">
        <v>264</v>
      </c>
      <c r="G18" s="348" t="s">
        <v>98</v>
      </c>
      <c r="H18" s="550" t="s">
        <v>390</v>
      </c>
      <c r="I18" s="348" t="s">
        <v>267</v>
      </c>
      <c r="J18" s="348" t="s">
        <v>391</v>
      </c>
      <c r="K18" s="551">
        <v>0</v>
      </c>
      <c r="L18" s="551">
        <v>1.3599999999999999E-2</v>
      </c>
      <c r="M18" s="551">
        <v>1.26E-2</v>
      </c>
      <c r="N18" s="551">
        <v>0.1943</v>
      </c>
      <c r="O18" s="551">
        <f>3.57%+6.68%</f>
        <v>0.10249999999999999</v>
      </c>
      <c r="P18" s="551">
        <v>0.53669999999999995</v>
      </c>
      <c r="Q18" s="551">
        <v>3.3E-3</v>
      </c>
      <c r="R18" s="551">
        <v>1E-4</v>
      </c>
      <c r="S18" s="551">
        <v>0</v>
      </c>
      <c r="T18" s="551">
        <v>2.0000000000000001E-4</v>
      </c>
      <c r="U18" s="551">
        <v>0</v>
      </c>
      <c r="V18" s="552">
        <v>0.13669999999999999</v>
      </c>
      <c r="W18" s="348" t="s">
        <v>1099</v>
      </c>
      <c r="X18" s="553">
        <f>0+512192132</f>
        <v>512192132</v>
      </c>
      <c r="Y18" s="553">
        <v>21731448142</v>
      </c>
      <c r="Z18" s="22">
        <f>IF(Y18=0," ",X18/Y18)</f>
        <v>2.3569167073136509E-2</v>
      </c>
      <c r="AA18" s="58">
        <f>K18</f>
        <v>0</v>
      </c>
      <c r="AB18" s="24" t="e">
        <f t="shared" si="1"/>
        <v>#DIV/0!</v>
      </c>
      <c r="AC18" s="162" t="s">
        <v>1119</v>
      </c>
      <c r="AD18" s="554">
        <f>X18+296119110+2300100</f>
        <v>810611342</v>
      </c>
      <c r="AE18" s="553">
        <f>Y18</f>
        <v>21731448142</v>
      </c>
      <c r="AF18" s="22">
        <f t="shared" si="2"/>
        <v>3.7301303470583962E-2</v>
      </c>
      <c r="AG18" s="58">
        <f>K18+L18</f>
        <v>1.3599999999999999E-2</v>
      </c>
      <c r="AH18" s="24">
        <f t="shared" si="3"/>
        <v>2.7427429022488208</v>
      </c>
      <c r="AI18" s="162" t="s">
        <v>1120</v>
      </c>
      <c r="AJ18" s="554">
        <f>AD18+679643160+742400</f>
        <v>1490996902</v>
      </c>
      <c r="AK18" s="553">
        <f>AE18</f>
        <v>21731448142</v>
      </c>
      <c r="AL18" s="22">
        <f t="shared" si="4"/>
        <v>6.861010330546613E-2</v>
      </c>
      <c r="AM18" s="58">
        <f>K18+L18+M18</f>
        <v>2.6200000000000001E-2</v>
      </c>
      <c r="AN18" s="24">
        <f t="shared" si="5"/>
        <v>2.6187062330330582</v>
      </c>
      <c r="AO18" s="162" t="s">
        <v>1121</v>
      </c>
      <c r="AP18" s="554">
        <f>AJ18+144439009</f>
        <v>1635435911</v>
      </c>
      <c r="AQ18" s="553">
        <f>AK18</f>
        <v>21731448142</v>
      </c>
      <c r="AR18" s="22">
        <f>IF(AQ18=0," ",AP18/AQ18)</f>
        <v>7.5256646511247485E-2</v>
      </c>
      <c r="AS18" s="58">
        <f>K18+L18+M18+N18</f>
        <v>0.2205</v>
      </c>
      <c r="AT18" s="24">
        <f>IF(AQ18=0," ",AR18/AS18)</f>
        <v>0.34129998417799312</v>
      </c>
      <c r="AU18" s="162" t="s">
        <v>1122</v>
      </c>
      <c r="AV18" s="554">
        <f>AP18+444887073</f>
        <v>2080322984</v>
      </c>
      <c r="AW18" s="553">
        <f>AK18</f>
        <v>21731448142</v>
      </c>
      <c r="AX18" s="22">
        <f t="shared" si="8"/>
        <v>9.5728686390641179E-2</v>
      </c>
      <c r="AY18" s="58">
        <f>K18+L18+M18+N18+O18</f>
        <v>0.32300000000000001</v>
      </c>
      <c r="AZ18" s="24">
        <f t="shared" si="9"/>
        <v>0.29637364207628847</v>
      </c>
      <c r="BA18" s="162" t="s">
        <v>1123</v>
      </c>
      <c r="BB18" s="554">
        <f>AV18+2742757930</f>
        <v>4823080914</v>
      </c>
      <c r="BC18" s="553">
        <f>AW18</f>
        <v>21731448142</v>
      </c>
      <c r="BD18" s="22">
        <f t="shared" si="10"/>
        <v>0.22194015246864812</v>
      </c>
      <c r="BE18" s="58">
        <f>K18+L18+M18+N18+O18+P18</f>
        <v>0.85969999999999991</v>
      </c>
      <c r="BF18" s="24">
        <f t="shared" si="11"/>
        <v>0.25816000054512989</v>
      </c>
      <c r="BG18" s="162" t="s">
        <v>1124</v>
      </c>
      <c r="BH18" s="554">
        <f>BB18+17136330</f>
        <v>4840217244</v>
      </c>
      <c r="BI18" s="553">
        <f>BC18</f>
        <v>21731448142</v>
      </c>
      <c r="BJ18" s="22">
        <f t="shared" si="12"/>
        <v>0.2227287023107031</v>
      </c>
      <c r="BK18" s="58">
        <f>K18+L18+M18+N18+O18+P18+Q18</f>
        <v>0.86299999999999988</v>
      </c>
      <c r="BL18" s="24">
        <f t="shared" si="13"/>
        <v>0.25808656119432577</v>
      </c>
      <c r="BM18" s="162" t="s">
        <v>1125</v>
      </c>
      <c r="BN18" s="555">
        <f>BH18+149688991</f>
        <v>4989906235</v>
      </c>
      <c r="BO18" s="556">
        <f>BI18</f>
        <v>21731448142</v>
      </c>
      <c r="BP18" s="22">
        <f t="shared" si="14"/>
        <v>0.22961683006095177</v>
      </c>
      <c r="BQ18" s="58">
        <f>K18+L18+M18+N18+O18+P18+Q18+R18</f>
        <v>0.86309999999999987</v>
      </c>
      <c r="BR18" s="24">
        <f t="shared" si="15"/>
        <v>0.2660373422094216</v>
      </c>
      <c r="BS18" s="162" t="s">
        <v>1126</v>
      </c>
      <c r="BT18" s="554">
        <f>BN18+35645431+21328822</f>
        <v>5046880488</v>
      </c>
      <c r="BU18" s="553">
        <f>BO18</f>
        <v>21731448142</v>
      </c>
      <c r="BV18" s="22">
        <f t="shared" si="16"/>
        <v>0.23223857218451907</v>
      </c>
      <c r="BW18" s="58">
        <f>K18+L18+N18+O18+P18+Q18+R18+S18</f>
        <v>0.85049999999999992</v>
      </c>
      <c r="BX18" s="24">
        <f t="shared" si="17"/>
        <v>0.27306122537862326</v>
      </c>
      <c r="BY18" s="163" t="s">
        <v>1127</v>
      </c>
      <c r="BZ18" s="554">
        <f>BT18+524757364+10156960211+79604984</f>
        <v>15808203047</v>
      </c>
      <c r="CA18" s="553">
        <f>BU18-154929364+39754920</f>
        <v>21616273698</v>
      </c>
      <c r="CB18" s="22">
        <f t="shared" si="18"/>
        <v>0.73131027428018824</v>
      </c>
      <c r="CC18" s="58">
        <f>T18</f>
        <v>2.0000000000000001E-4</v>
      </c>
      <c r="CD18" s="24">
        <f t="shared" si="19"/>
        <v>3656.5513714009412</v>
      </c>
      <c r="CE18" s="162" t="s">
        <v>1128</v>
      </c>
      <c r="CF18" s="557">
        <f>477494270+278060798+BZ18</f>
        <v>16563758115</v>
      </c>
      <c r="CG18" s="553">
        <f>CA18+46079140</f>
        <v>21662352838</v>
      </c>
      <c r="CH18" s="22">
        <f t="shared" si="20"/>
        <v>0.7646333821109188</v>
      </c>
      <c r="CI18" s="58">
        <v>1E-4</v>
      </c>
      <c r="CJ18" s="24">
        <f t="shared" si="21"/>
        <v>7646.3338211091877</v>
      </c>
      <c r="CK18" s="162" t="s">
        <v>1129</v>
      </c>
      <c r="CL18" s="553">
        <f>+CF18+193580958+1482070951</f>
        <v>18239410024</v>
      </c>
      <c r="CM18" s="553">
        <f>CG18</f>
        <v>21662352838</v>
      </c>
      <c r="CN18" s="22">
        <f t="shared" si="22"/>
        <v>0.84198656352806289</v>
      </c>
      <c r="CO18" s="58">
        <f>V18</f>
        <v>0.13669999999999999</v>
      </c>
      <c r="CP18" s="24">
        <f t="shared" si="23"/>
        <v>6.1593750075205778</v>
      </c>
      <c r="CQ18" s="162" t="s">
        <v>1130</v>
      </c>
      <c r="CR18" s="533">
        <v>84</v>
      </c>
      <c r="CS18" s="533">
        <v>100</v>
      </c>
      <c r="CT18" s="22">
        <f t="shared" si="24"/>
        <v>0.84</v>
      </c>
      <c r="CU18" s="58">
        <v>1</v>
      </c>
      <c r="CV18" s="24">
        <f t="shared" si="25"/>
        <v>0.84</v>
      </c>
      <c r="CW18" s="162" t="s">
        <v>1131</v>
      </c>
    </row>
    <row r="19" spans="2:101" ht="131.25" customHeight="1">
      <c r="B19" s="550" t="s">
        <v>260</v>
      </c>
      <c r="C19" s="348" t="s">
        <v>273</v>
      </c>
      <c r="D19" s="558" t="s">
        <v>274</v>
      </c>
      <c r="E19" s="348" t="s">
        <v>275</v>
      </c>
      <c r="F19" s="550" t="s">
        <v>276</v>
      </c>
      <c r="G19" s="348" t="s">
        <v>98</v>
      </c>
      <c r="H19" s="550" t="s">
        <v>394</v>
      </c>
      <c r="I19" s="348" t="s">
        <v>267</v>
      </c>
      <c r="J19" s="348" t="s">
        <v>391</v>
      </c>
      <c r="K19" s="551">
        <v>0</v>
      </c>
      <c r="L19" s="551">
        <v>0.1389</v>
      </c>
      <c r="M19" s="551">
        <v>4.6899999999999997E-2</v>
      </c>
      <c r="N19" s="551">
        <v>0.13239999999999999</v>
      </c>
      <c r="O19" s="551">
        <v>2.8500000000000001E-2</v>
      </c>
      <c r="P19" s="551">
        <v>0.13159999999999999</v>
      </c>
      <c r="Q19" s="551">
        <v>3.4000000000000002E-2</v>
      </c>
      <c r="R19" s="551">
        <v>5.5E-2</v>
      </c>
      <c r="S19" s="551">
        <v>4.5400000000000003E-2</v>
      </c>
      <c r="T19" s="551">
        <v>4.5400000000000003E-2</v>
      </c>
      <c r="U19" s="551">
        <v>4.6300000000000001E-2</v>
      </c>
      <c r="V19" s="552">
        <v>0.29580000000000001</v>
      </c>
      <c r="W19" s="348" t="s">
        <v>1099</v>
      </c>
      <c r="X19" s="533">
        <v>0</v>
      </c>
      <c r="Y19" s="553">
        <v>5511289204</v>
      </c>
      <c r="Z19" s="22">
        <f>IF(Y19=0," ",X19/Y19)</f>
        <v>0</v>
      </c>
      <c r="AA19" s="58">
        <f>K19</f>
        <v>0</v>
      </c>
      <c r="AB19" s="24" t="e">
        <f t="shared" si="1"/>
        <v>#DIV/0!</v>
      </c>
      <c r="AC19" s="162" t="s">
        <v>1132</v>
      </c>
      <c r="AD19" s="556">
        <f>X19+765519962</f>
        <v>765519962</v>
      </c>
      <c r="AE19" s="553">
        <v>5511289204</v>
      </c>
      <c r="AF19" s="22">
        <f t="shared" si="2"/>
        <v>0.13890034321632017</v>
      </c>
      <c r="AG19" s="58">
        <f>K19+L19</f>
        <v>0.1389</v>
      </c>
      <c r="AH19" s="24">
        <f t="shared" si="3"/>
        <v>1.0000024709598285</v>
      </c>
      <c r="AI19" s="162" t="s">
        <v>1133</v>
      </c>
      <c r="AJ19" s="553">
        <f>AD19+325837908</f>
        <v>1091357870</v>
      </c>
      <c r="AK19" s="553">
        <v>5511289204</v>
      </c>
      <c r="AL19" s="22">
        <f t="shared" si="4"/>
        <v>0.19802224662932061</v>
      </c>
      <c r="AM19" s="58">
        <f>K19+L19+M19</f>
        <v>0.18579999999999999</v>
      </c>
      <c r="AN19" s="24">
        <f t="shared" si="5"/>
        <v>1.0657817364333726</v>
      </c>
      <c r="AO19" s="162" t="s">
        <v>1134</v>
      </c>
      <c r="AP19" s="553">
        <f>AJ19+171469402</f>
        <v>1262827272</v>
      </c>
      <c r="AQ19" s="553">
        <v>5511289204</v>
      </c>
      <c r="AR19" s="22">
        <f t="shared" si="6"/>
        <v>0.229134640781228</v>
      </c>
      <c r="AS19" s="58">
        <f>K19+L19+M19+N19</f>
        <v>0.31819999999999998</v>
      </c>
      <c r="AT19" s="24">
        <f t="shared" si="7"/>
        <v>0.72009629409562548</v>
      </c>
      <c r="AU19" s="162" t="s">
        <v>1135</v>
      </c>
      <c r="AV19" s="553">
        <f>AP19+24376808</f>
        <v>1287204080</v>
      </c>
      <c r="AW19" s="553">
        <v>5511289204</v>
      </c>
      <c r="AX19" s="22">
        <f t="shared" si="8"/>
        <v>0.23355770897774139</v>
      </c>
      <c r="AY19" s="58">
        <f>K19+L19+M19+N19+O19</f>
        <v>0.34670000000000001</v>
      </c>
      <c r="AZ19" s="24">
        <f t="shared" si="9"/>
        <v>0.67365938557179517</v>
      </c>
      <c r="BA19" s="162" t="s">
        <v>1136</v>
      </c>
      <c r="BB19" s="553">
        <f>AV19+26402751</f>
        <v>1313606831</v>
      </c>
      <c r="BC19" s="553">
        <v>5511289204</v>
      </c>
      <c r="BD19" s="22">
        <f t="shared" si="10"/>
        <v>0.23834837592021238</v>
      </c>
      <c r="BE19" s="58">
        <f>K19+L19+M19+N19+O19+P19</f>
        <v>0.4783</v>
      </c>
      <c r="BF19" s="24">
        <f t="shared" si="11"/>
        <v>0.4983240140502036</v>
      </c>
      <c r="BG19" s="162" t="s">
        <v>1137</v>
      </c>
      <c r="BH19" s="553">
        <f>BB19+215809224</f>
        <v>1529416055</v>
      </c>
      <c r="BI19" s="553">
        <v>5511289204</v>
      </c>
      <c r="BJ19" s="22">
        <f t="shared" si="12"/>
        <v>0.27750604230494308</v>
      </c>
      <c r="BK19" s="58">
        <f>Q19</f>
        <v>3.4000000000000002E-2</v>
      </c>
      <c r="BL19" s="24">
        <f t="shared" si="13"/>
        <v>8.1619424207336202</v>
      </c>
      <c r="BM19" s="162" t="s">
        <v>1138</v>
      </c>
      <c r="BN19" s="556">
        <f>BH19+976921257</f>
        <v>2506337312</v>
      </c>
      <c r="BO19" s="553">
        <v>5511289204</v>
      </c>
      <c r="BP19" s="22">
        <f t="shared" si="14"/>
        <v>0.45476425192511094</v>
      </c>
      <c r="BQ19" s="58">
        <f>K19+L19+M19+N19+O19+P19+Q19+R19</f>
        <v>0.56730000000000003</v>
      </c>
      <c r="BR19" s="24">
        <f t="shared" si="15"/>
        <v>0.80162921192510295</v>
      </c>
      <c r="BS19" s="162" t="s">
        <v>1139</v>
      </c>
      <c r="BT19" s="556">
        <f>BN19+0</f>
        <v>2506337312</v>
      </c>
      <c r="BU19" s="553">
        <v>5511289204</v>
      </c>
      <c r="BV19" s="22">
        <f t="shared" si="16"/>
        <v>0.45476425192511094</v>
      </c>
      <c r="BW19" s="58">
        <f>K19+L19+M19+N19+O19+P19+Q19+R19+S19</f>
        <v>0.61270000000000002</v>
      </c>
      <c r="BX19" s="24">
        <f t="shared" si="17"/>
        <v>0.74222988726148342</v>
      </c>
      <c r="BY19" s="163" t="s">
        <v>1140</v>
      </c>
      <c r="BZ19" s="553">
        <f>BT19+141747267</f>
        <v>2648084579</v>
      </c>
      <c r="CA19" s="553">
        <f>BU19</f>
        <v>5511289204</v>
      </c>
      <c r="CB19" s="22">
        <f t="shared" si="18"/>
        <v>0.4804836910169884</v>
      </c>
      <c r="CC19" s="58">
        <f>T19</f>
        <v>4.5400000000000003E-2</v>
      </c>
      <c r="CD19" s="24">
        <f t="shared" si="19"/>
        <v>10.583341211827937</v>
      </c>
      <c r="CE19" s="162" t="s">
        <v>1141</v>
      </c>
      <c r="CF19" s="553">
        <f>46079140+BZ19</f>
        <v>2694163719</v>
      </c>
      <c r="CG19" s="553">
        <f>CA19</f>
        <v>5511289204</v>
      </c>
      <c r="CH19" s="22">
        <f t="shared" si="20"/>
        <v>0.48884455510783609</v>
      </c>
      <c r="CI19" s="58">
        <f>U19</f>
        <v>4.6300000000000001E-2</v>
      </c>
      <c r="CJ19" s="24">
        <f t="shared" si="21"/>
        <v>10.558197734510498</v>
      </c>
      <c r="CK19" s="162" t="s">
        <v>1142</v>
      </c>
      <c r="CL19" s="553">
        <f>130042171+CF19</f>
        <v>2824205890</v>
      </c>
      <c r="CM19" s="553">
        <f>CG19-266234</f>
        <v>5511022970</v>
      </c>
      <c r="CN19" s="22">
        <f t="shared" si="22"/>
        <v>0.51246490994030458</v>
      </c>
      <c r="CO19" s="58">
        <f>V19</f>
        <v>0.29580000000000001</v>
      </c>
      <c r="CP19" s="24">
        <f t="shared" si="23"/>
        <v>1.732470959906371</v>
      </c>
      <c r="CQ19" s="162" t="s">
        <v>1143</v>
      </c>
      <c r="CR19" s="533">
        <v>51</v>
      </c>
      <c r="CS19" s="533">
        <v>100</v>
      </c>
      <c r="CT19" s="22">
        <f t="shared" si="24"/>
        <v>0.51</v>
      </c>
      <c r="CU19" s="58">
        <v>1</v>
      </c>
      <c r="CV19" s="24">
        <f t="shared" si="25"/>
        <v>0.51</v>
      </c>
      <c r="CW19" s="162" t="s">
        <v>1144</v>
      </c>
    </row>
    <row r="20" spans="2:101" ht="203.25" customHeight="1">
      <c r="B20" s="550" t="s">
        <v>67</v>
      </c>
      <c r="C20" s="559" t="s">
        <v>90</v>
      </c>
      <c r="D20" s="559" t="s">
        <v>93</v>
      </c>
      <c r="E20" s="559" t="s">
        <v>68</v>
      </c>
      <c r="F20" s="559" t="s">
        <v>69</v>
      </c>
      <c r="G20" s="559" t="s">
        <v>53</v>
      </c>
      <c r="H20" s="559" t="s">
        <v>70</v>
      </c>
      <c r="I20" s="559" t="s">
        <v>71</v>
      </c>
      <c r="J20" s="559" t="s">
        <v>54</v>
      </c>
      <c r="K20" s="551">
        <v>0</v>
      </c>
      <c r="L20" s="551">
        <v>0</v>
      </c>
      <c r="M20" s="551">
        <v>0</v>
      </c>
      <c r="N20" s="551">
        <v>0</v>
      </c>
      <c r="O20" s="551">
        <v>1.11E-2</v>
      </c>
      <c r="P20" s="551">
        <v>3.7000000000000002E-3</v>
      </c>
      <c r="Q20" s="551">
        <v>2.3099999999999999E-2</v>
      </c>
      <c r="R20" s="551">
        <v>0.1037</v>
      </c>
      <c r="S20" s="551">
        <v>0.12230000000000001</v>
      </c>
      <c r="T20" s="551">
        <v>0.22090000000000001</v>
      </c>
      <c r="U20" s="551">
        <v>0.23960000000000001</v>
      </c>
      <c r="V20" s="552">
        <v>0.249</v>
      </c>
      <c r="W20" s="559" t="s">
        <v>1099</v>
      </c>
      <c r="X20" s="533">
        <v>0</v>
      </c>
      <c r="Y20" s="553">
        <v>429225003000</v>
      </c>
      <c r="Z20" s="22">
        <f t="shared" si="0"/>
        <v>0</v>
      </c>
      <c r="AA20" s="58">
        <f>K20</f>
        <v>0</v>
      </c>
      <c r="AB20" s="24" t="e">
        <f t="shared" si="1"/>
        <v>#DIV/0!</v>
      </c>
      <c r="AC20" s="162" t="s">
        <v>1145</v>
      </c>
      <c r="AD20" s="533">
        <f>X20+0</f>
        <v>0</v>
      </c>
      <c r="AE20" s="553">
        <v>429225003000</v>
      </c>
      <c r="AF20" s="22">
        <f t="shared" si="2"/>
        <v>0</v>
      </c>
      <c r="AG20" s="58">
        <f>K20+L20</f>
        <v>0</v>
      </c>
      <c r="AH20" s="24" t="e">
        <f t="shared" si="3"/>
        <v>#DIV/0!</v>
      </c>
      <c r="AI20" s="162" t="s">
        <v>1146</v>
      </c>
      <c r="AJ20" s="553">
        <f>AD20+28495000</f>
        <v>28495000</v>
      </c>
      <c r="AK20" s="553">
        <v>429328943000</v>
      </c>
      <c r="AL20" s="560">
        <f t="shared" si="4"/>
        <v>6.6371020320425957E-5</v>
      </c>
      <c r="AM20" s="58">
        <f>K20+L20+M20</f>
        <v>0</v>
      </c>
      <c r="AN20" s="24" t="s">
        <v>54</v>
      </c>
      <c r="AO20" s="162" t="s">
        <v>1147</v>
      </c>
      <c r="AP20" s="553">
        <f>28495000+52725300</f>
        <v>81220300</v>
      </c>
      <c r="AQ20" s="553">
        <v>473439243000</v>
      </c>
      <c r="AR20" s="561">
        <f t="shared" si="6"/>
        <v>1.7155379745316127E-4</v>
      </c>
      <c r="AS20" s="562">
        <f>K20+L20+M20+N20</f>
        <v>0</v>
      </c>
      <c r="AT20" s="24" t="e">
        <f t="shared" si="7"/>
        <v>#DIV/0!</v>
      </c>
      <c r="AU20" s="162" t="s">
        <v>1148</v>
      </c>
      <c r="AV20" s="553">
        <f>AP20+527025360-1609208</f>
        <v>606636452</v>
      </c>
      <c r="AW20" s="553">
        <v>465091464365</v>
      </c>
      <c r="AX20" s="560">
        <f t="shared" si="8"/>
        <v>1.3043379603370159E-3</v>
      </c>
      <c r="AY20" s="563">
        <f>K20+L20+M20+N20+O20</f>
        <v>1.11E-2</v>
      </c>
      <c r="AZ20" s="24">
        <f t="shared" si="9"/>
        <v>0.11750792435468611</v>
      </c>
      <c r="BA20" s="162" t="s">
        <v>1149</v>
      </c>
      <c r="BB20" s="553">
        <f>AV20+60940083</f>
        <v>667576535</v>
      </c>
      <c r="BC20" s="553">
        <v>465091464365</v>
      </c>
      <c r="BD20" s="560">
        <f t="shared" si="10"/>
        <v>1.4353661293514761E-3</v>
      </c>
      <c r="BE20" s="563">
        <f>K20+L20+M20+N20+O20+P20</f>
        <v>1.4800000000000001E-2</v>
      </c>
      <c r="BF20" s="24">
        <f t="shared" si="11"/>
        <v>9.698419792915379E-2</v>
      </c>
      <c r="BG20" s="162" t="s">
        <v>1150</v>
      </c>
      <c r="BH20" s="564">
        <f>BB20+1279753096+1421862</f>
        <v>1948751493</v>
      </c>
      <c r="BI20" s="553">
        <v>465091464365</v>
      </c>
      <c r="BJ20" s="560">
        <f t="shared" si="12"/>
        <v>4.1900392553122319E-3</v>
      </c>
      <c r="BK20" s="58">
        <f>+K20+L20+M20+N20+O20+P20+Q20</f>
        <v>3.7900000000000003E-2</v>
      </c>
      <c r="BL20" s="24">
        <f t="shared" si="13"/>
        <v>0.11055512546997973</v>
      </c>
      <c r="BM20" s="162" t="s">
        <v>1151</v>
      </c>
      <c r="BN20" s="556">
        <f>BH20+23991957</f>
        <v>1972743450</v>
      </c>
      <c r="BO20" s="553">
        <v>488074268649</v>
      </c>
      <c r="BP20" s="22">
        <f t="shared" si="14"/>
        <v>4.0418919347266474E-3</v>
      </c>
      <c r="BQ20" s="58">
        <f>K20+L20+M20+N20+O20+P20+Q20+R20</f>
        <v>0.1416</v>
      </c>
      <c r="BR20" s="24">
        <f t="shared" si="15"/>
        <v>2.8544434567278582E-2</v>
      </c>
      <c r="BS20" s="162" t="s">
        <v>1152</v>
      </c>
      <c r="BT20" s="553">
        <f>BN20+18906625140</f>
        <v>20879368590</v>
      </c>
      <c r="BU20" s="553">
        <v>487005982248</v>
      </c>
      <c r="BV20" s="22">
        <f t="shared" si="16"/>
        <v>4.2872920151045525E-2</v>
      </c>
      <c r="BW20" s="58">
        <f>K20+L20+M20+N20+O20+P20+Q20+R20+S20</f>
        <v>0.26390000000000002</v>
      </c>
      <c r="BX20" s="24">
        <f t="shared" si="17"/>
        <v>0.16245896230028617</v>
      </c>
      <c r="BY20" s="163" t="s">
        <v>1153</v>
      </c>
      <c r="BZ20" s="553">
        <f>16954528968+BT20</f>
        <v>37833897558</v>
      </c>
      <c r="CA20" s="553">
        <v>490173183248</v>
      </c>
      <c r="CB20" s="22">
        <f t="shared" si="18"/>
        <v>7.7184756022971132E-2</v>
      </c>
      <c r="CC20" s="58">
        <f>T20</f>
        <v>0.22090000000000001</v>
      </c>
      <c r="CD20" s="24">
        <f t="shared" si="19"/>
        <v>0.34941039394735685</v>
      </c>
      <c r="CE20" s="162" t="s">
        <v>1154</v>
      </c>
      <c r="CF20" s="553">
        <f>49117884441+BZ20</f>
        <v>86951781999</v>
      </c>
      <c r="CG20" s="553">
        <v>493861760710</v>
      </c>
      <c r="CH20" s="22">
        <f t="shared" si="20"/>
        <v>0.17606502247510281</v>
      </c>
      <c r="CI20" s="58">
        <f>U20</f>
        <v>0.23960000000000001</v>
      </c>
      <c r="CJ20" s="24">
        <f t="shared" si="21"/>
        <v>0.73482897527171454</v>
      </c>
      <c r="CK20" s="162" t="s">
        <v>1155</v>
      </c>
      <c r="CL20" s="553">
        <f>CF20+162797945041</f>
        <v>249749727040</v>
      </c>
      <c r="CM20" s="553">
        <f>CG20-221013420942+17937987151</f>
        <v>290786326919</v>
      </c>
      <c r="CN20" s="22">
        <f t="shared" si="22"/>
        <v>0.85887713389484455</v>
      </c>
      <c r="CO20" s="58">
        <f>V20</f>
        <v>0.249</v>
      </c>
      <c r="CP20" s="24">
        <f t="shared" si="23"/>
        <v>3.4493057586138334</v>
      </c>
      <c r="CQ20" s="162" t="s">
        <v>1156</v>
      </c>
      <c r="CR20" s="533">
        <v>86</v>
      </c>
      <c r="CS20" s="533">
        <v>100</v>
      </c>
      <c r="CT20" s="22">
        <f t="shared" si="24"/>
        <v>0.86</v>
      </c>
      <c r="CU20" s="58">
        <v>1</v>
      </c>
      <c r="CV20" s="24">
        <f t="shared" si="25"/>
        <v>0.86</v>
      </c>
      <c r="CW20" s="162" t="s">
        <v>1157</v>
      </c>
    </row>
    <row r="21" spans="2:101" ht="89.25" customHeight="1">
      <c r="B21" s="550" t="s">
        <v>73</v>
      </c>
      <c r="C21" s="348" t="s">
        <v>91</v>
      </c>
      <c r="D21" s="348" t="s">
        <v>74</v>
      </c>
      <c r="E21" s="348" t="s">
        <v>75</v>
      </c>
      <c r="F21" s="348" t="s">
        <v>296</v>
      </c>
      <c r="G21" s="348" t="s">
        <v>53</v>
      </c>
      <c r="H21" s="348" t="s">
        <v>776</v>
      </c>
      <c r="I21" s="348" t="s">
        <v>78</v>
      </c>
      <c r="J21" s="348" t="s">
        <v>54</v>
      </c>
      <c r="K21" s="12">
        <v>0.8</v>
      </c>
      <c r="L21" s="12">
        <v>0.8</v>
      </c>
      <c r="M21" s="12">
        <v>0.8</v>
      </c>
      <c r="N21" s="12">
        <v>0.8</v>
      </c>
      <c r="O21" s="12">
        <v>0.8</v>
      </c>
      <c r="P21" s="12">
        <v>0.8</v>
      </c>
      <c r="Q21" s="12">
        <v>0.8</v>
      </c>
      <c r="R21" s="12">
        <v>0.8</v>
      </c>
      <c r="S21" s="12">
        <v>0.8</v>
      </c>
      <c r="T21" s="12">
        <v>0.8</v>
      </c>
      <c r="U21" s="12">
        <v>0.8</v>
      </c>
      <c r="V21" s="546">
        <v>0.8</v>
      </c>
      <c r="W21" s="559" t="s">
        <v>1099</v>
      </c>
      <c r="X21" s="533">
        <v>0</v>
      </c>
      <c r="Y21" s="533">
        <v>0</v>
      </c>
      <c r="Z21" s="22">
        <v>0.8</v>
      </c>
      <c r="AA21" s="58">
        <f>K21</f>
        <v>0.8</v>
      </c>
      <c r="AB21" s="24" t="str">
        <f t="shared" si="1"/>
        <v xml:space="preserve"> </v>
      </c>
      <c r="AC21" s="162" t="s">
        <v>1158</v>
      </c>
      <c r="AD21" s="564">
        <f>1061639073</f>
        <v>1061639073</v>
      </c>
      <c r="AE21" s="556">
        <v>1205141465</v>
      </c>
      <c r="AF21" s="22">
        <f t="shared" si="2"/>
        <v>0.88092485723242453</v>
      </c>
      <c r="AG21" s="58">
        <f>L21</f>
        <v>0.8</v>
      </c>
      <c r="AH21" s="24">
        <f t="shared" si="3"/>
        <v>1.1011560715405306</v>
      </c>
      <c r="AI21" s="162" t="s">
        <v>1159</v>
      </c>
      <c r="AJ21" s="553">
        <v>1005681068</v>
      </c>
      <c r="AK21" s="553">
        <v>957221968</v>
      </c>
      <c r="AL21" s="22">
        <f t="shared" si="4"/>
        <v>1.05062472615547</v>
      </c>
      <c r="AM21" s="58">
        <f>M21</f>
        <v>0.8</v>
      </c>
      <c r="AN21" s="24">
        <f t="shared" si="5"/>
        <v>1.3132809076943375</v>
      </c>
      <c r="AO21" s="162" t="s">
        <v>1160</v>
      </c>
      <c r="AP21" s="553">
        <v>315908411</v>
      </c>
      <c r="AQ21" s="553">
        <v>476880444</v>
      </c>
      <c r="AR21" s="22">
        <f t="shared" si="6"/>
        <v>0.66244782098885979</v>
      </c>
      <c r="AS21" s="58">
        <f>N21</f>
        <v>0.8</v>
      </c>
      <c r="AT21" s="24">
        <f t="shared" si="7"/>
        <v>0.82805977623607474</v>
      </c>
      <c r="AU21" s="162" t="s">
        <v>1161</v>
      </c>
      <c r="AV21" s="553">
        <f>561202519</f>
        <v>561202519</v>
      </c>
      <c r="AW21" s="553">
        <v>742344667</v>
      </c>
      <c r="AX21" s="22">
        <f t="shared" si="8"/>
        <v>0.75598646282185789</v>
      </c>
      <c r="AY21" s="58">
        <f>O21</f>
        <v>0.8</v>
      </c>
      <c r="AZ21" s="24">
        <f t="shared" si="9"/>
        <v>0.94498307852732233</v>
      </c>
      <c r="BA21" s="162" t="s">
        <v>1162</v>
      </c>
      <c r="BB21" s="564">
        <f>2859328661</f>
        <v>2859328661</v>
      </c>
      <c r="BC21" s="553">
        <v>3289639027</v>
      </c>
      <c r="BD21" s="22">
        <f t="shared" si="10"/>
        <v>0.86919222368527671</v>
      </c>
      <c r="BE21" s="58">
        <f>P21</f>
        <v>0.8</v>
      </c>
      <c r="BF21" s="24">
        <f t="shared" si="11"/>
        <v>1.0864902796065958</v>
      </c>
      <c r="BG21" s="162" t="s">
        <v>1163</v>
      </c>
      <c r="BH21" s="553">
        <f>708535850</f>
        <v>708535850</v>
      </c>
      <c r="BI21" s="553">
        <v>746983811</v>
      </c>
      <c r="BJ21" s="22">
        <f t="shared" si="12"/>
        <v>0.94852905721138847</v>
      </c>
      <c r="BK21" s="58">
        <f>Q21</f>
        <v>0.8</v>
      </c>
      <c r="BL21" s="24">
        <f t="shared" si="13"/>
        <v>1.1856613215142355</v>
      </c>
      <c r="BM21" s="162" t="s">
        <v>1164</v>
      </c>
      <c r="BN21" s="556">
        <v>1144537268</v>
      </c>
      <c r="BO21" s="556">
        <v>1168895785</v>
      </c>
      <c r="BP21" s="22">
        <f t="shared" si="14"/>
        <v>0.97916108748736741</v>
      </c>
      <c r="BQ21" s="58">
        <f>R21</f>
        <v>0.8</v>
      </c>
      <c r="BR21" s="24">
        <f t="shared" si="15"/>
        <v>1.2239513593592093</v>
      </c>
      <c r="BS21" s="162" t="s">
        <v>1165</v>
      </c>
      <c r="BT21" s="556">
        <v>159359745</v>
      </c>
      <c r="BU21" s="556">
        <v>503848340</v>
      </c>
      <c r="BV21" s="22">
        <f t="shared" si="16"/>
        <v>0.31628514445438083</v>
      </c>
      <c r="BW21" s="58">
        <f>S21</f>
        <v>0.8</v>
      </c>
      <c r="BX21" s="24">
        <f t="shared" si="17"/>
        <v>0.39535643056797604</v>
      </c>
      <c r="BY21" s="516" t="s">
        <v>1166</v>
      </c>
      <c r="BZ21" s="553">
        <v>968108690</v>
      </c>
      <c r="CA21" s="553">
        <v>1209980457</v>
      </c>
      <c r="CB21" s="22">
        <f t="shared" si="18"/>
        <v>0.80010274909754187</v>
      </c>
      <c r="CC21" s="58">
        <f>T21</f>
        <v>0.8</v>
      </c>
      <c r="CD21" s="24">
        <f t="shared" si="19"/>
        <v>1.0001284363719272</v>
      </c>
      <c r="CE21" s="162" t="s">
        <v>1167</v>
      </c>
      <c r="CF21" s="553">
        <v>1627764336</v>
      </c>
      <c r="CG21" s="553">
        <v>89758037846</v>
      </c>
      <c r="CH21" s="22">
        <f t="shared" si="20"/>
        <v>1.8135025843510462E-2</v>
      </c>
      <c r="CI21" s="58">
        <f>U21</f>
        <v>0.8</v>
      </c>
      <c r="CJ21" s="24">
        <f t="shared" si="21"/>
        <v>2.2668782304388076E-2</v>
      </c>
      <c r="CK21" s="162" t="s">
        <v>1168</v>
      </c>
      <c r="CL21" s="553">
        <v>10598273485</v>
      </c>
      <c r="CM21" s="553">
        <v>186022641181</v>
      </c>
      <c r="CN21" s="22">
        <f t="shared" si="22"/>
        <v>5.6973029829674775E-2</v>
      </c>
      <c r="CO21" s="58">
        <f>V21</f>
        <v>0.8</v>
      </c>
      <c r="CP21" s="24">
        <f t="shared" si="23"/>
        <v>7.1216287287093463E-2</v>
      </c>
      <c r="CQ21" s="162" t="s">
        <v>1169</v>
      </c>
      <c r="CR21" s="533">
        <v>49</v>
      </c>
      <c r="CS21" s="533">
        <v>100</v>
      </c>
      <c r="CT21" s="22">
        <f t="shared" si="24"/>
        <v>0.49</v>
      </c>
      <c r="CU21" s="58">
        <v>0.8</v>
      </c>
      <c r="CV21" s="24">
        <f t="shared" si="25"/>
        <v>0.61249999999999993</v>
      </c>
      <c r="CW21" s="162" t="s">
        <v>1170</v>
      </c>
    </row>
    <row r="22" spans="2:101" ht="103.5" customHeight="1">
      <c r="B22" s="550" t="s">
        <v>81</v>
      </c>
      <c r="C22" s="348" t="s">
        <v>92</v>
      </c>
      <c r="D22" s="565" t="s">
        <v>83</v>
      </c>
      <c r="E22" s="348" t="s">
        <v>84</v>
      </c>
      <c r="F22" s="566" t="s">
        <v>82</v>
      </c>
      <c r="G22" s="348" t="s">
        <v>98</v>
      </c>
      <c r="H22" s="348" t="s">
        <v>86</v>
      </c>
      <c r="I22" s="348" t="s">
        <v>85</v>
      </c>
      <c r="J22" s="348" t="s">
        <v>54</v>
      </c>
      <c r="K22" s="12"/>
      <c r="L22" s="12"/>
      <c r="M22" s="12">
        <v>1</v>
      </c>
      <c r="N22" s="12"/>
      <c r="O22" s="12"/>
      <c r="P22" s="12">
        <v>1</v>
      </c>
      <c r="Q22" s="12"/>
      <c r="R22" s="12"/>
      <c r="S22" s="12">
        <v>1</v>
      </c>
      <c r="T22" s="12"/>
      <c r="U22" s="12"/>
      <c r="V22" s="546">
        <v>1</v>
      </c>
      <c r="W22" s="567" t="s">
        <v>1099</v>
      </c>
      <c r="X22" s="533"/>
      <c r="Y22" s="533"/>
      <c r="Z22" s="22" t="str">
        <f t="shared" si="0"/>
        <v xml:space="preserve"> </v>
      </c>
      <c r="AA22" s="58"/>
      <c r="AB22" s="24" t="str">
        <f t="shared" si="1"/>
        <v xml:space="preserve"> </v>
      </c>
      <c r="AC22" s="162"/>
      <c r="AD22" s="533"/>
      <c r="AE22" s="533"/>
      <c r="AF22" s="22" t="str">
        <f t="shared" si="2"/>
        <v xml:space="preserve"> </v>
      </c>
      <c r="AG22" s="58"/>
      <c r="AH22" s="24" t="str">
        <f t="shared" si="3"/>
        <v xml:space="preserve"> </v>
      </c>
      <c r="AI22" s="162"/>
      <c r="AJ22" s="533">
        <v>100</v>
      </c>
      <c r="AK22" s="533">
        <v>100</v>
      </c>
      <c r="AL22" s="22">
        <f t="shared" si="4"/>
        <v>1</v>
      </c>
      <c r="AM22" s="58">
        <f>M22</f>
        <v>1</v>
      </c>
      <c r="AN22" s="24">
        <f t="shared" si="5"/>
        <v>1</v>
      </c>
      <c r="AO22" s="162" t="s">
        <v>1171</v>
      </c>
      <c r="AP22" s="533"/>
      <c r="AQ22" s="533"/>
      <c r="AR22" s="22" t="str">
        <f t="shared" si="6"/>
        <v xml:space="preserve"> </v>
      </c>
      <c r="AS22" s="58"/>
      <c r="AT22" s="24" t="str">
        <f t="shared" si="7"/>
        <v xml:space="preserve"> </v>
      </c>
      <c r="AU22" s="162"/>
      <c r="AV22" s="533"/>
      <c r="AW22" s="533"/>
      <c r="AX22" s="22" t="str">
        <f t="shared" si="8"/>
        <v xml:space="preserve"> </v>
      </c>
      <c r="AY22" s="58"/>
      <c r="AZ22" s="24" t="str">
        <f t="shared" si="9"/>
        <v xml:space="preserve"> </v>
      </c>
      <c r="BA22" s="162"/>
      <c r="BB22" s="533">
        <v>100</v>
      </c>
      <c r="BC22" s="533">
        <v>100</v>
      </c>
      <c r="BD22" s="22">
        <f t="shared" si="10"/>
        <v>1</v>
      </c>
      <c r="BE22" s="58">
        <v>1</v>
      </c>
      <c r="BF22" s="24">
        <f t="shared" si="11"/>
        <v>1</v>
      </c>
      <c r="BG22" s="162" t="s">
        <v>1172</v>
      </c>
      <c r="BH22" s="533"/>
      <c r="BI22" s="533"/>
      <c r="BJ22" s="22" t="str">
        <f t="shared" si="12"/>
        <v xml:space="preserve"> </v>
      </c>
      <c r="BK22" s="58"/>
      <c r="BL22" s="24" t="str">
        <f t="shared" si="13"/>
        <v xml:space="preserve"> </v>
      </c>
      <c r="BM22" s="162"/>
      <c r="BN22" s="533"/>
      <c r="BO22" s="533"/>
      <c r="BP22" s="22" t="str">
        <f t="shared" si="14"/>
        <v xml:space="preserve"> </v>
      </c>
      <c r="BQ22" s="58"/>
      <c r="BR22" s="24" t="str">
        <f t="shared" si="15"/>
        <v xml:space="preserve"> </v>
      </c>
      <c r="BS22" s="162"/>
      <c r="BT22" s="533">
        <v>341</v>
      </c>
      <c r="BU22" s="533">
        <v>347</v>
      </c>
      <c r="BV22" s="22">
        <f t="shared" si="16"/>
        <v>0.98270893371757928</v>
      </c>
      <c r="BW22" s="58">
        <v>1</v>
      </c>
      <c r="BX22" s="24">
        <f t="shared" si="17"/>
        <v>0.98270893371757928</v>
      </c>
      <c r="BY22" s="163" t="s">
        <v>1173</v>
      </c>
      <c r="BZ22" s="533"/>
      <c r="CA22" s="533"/>
      <c r="CB22" s="22" t="str">
        <f t="shared" si="18"/>
        <v xml:space="preserve"> </v>
      </c>
      <c r="CC22" s="58"/>
      <c r="CD22" s="24" t="str">
        <f t="shared" si="19"/>
        <v xml:space="preserve"> </v>
      </c>
      <c r="CE22" s="162" t="s">
        <v>1061</v>
      </c>
      <c r="CF22" s="568"/>
      <c r="CG22" s="533"/>
      <c r="CH22" s="22" t="str">
        <f t="shared" si="20"/>
        <v xml:space="preserve"> </v>
      </c>
      <c r="CI22" s="58"/>
      <c r="CJ22" s="24" t="str">
        <f t="shared" si="21"/>
        <v xml:space="preserve"> </v>
      </c>
      <c r="CK22" s="538" t="s">
        <v>1061</v>
      </c>
      <c r="CL22" s="568">
        <v>0.99</v>
      </c>
      <c r="CM22" s="568">
        <v>1</v>
      </c>
      <c r="CN22" s="22">
        <f t="shared" si="22"/>
        <v>0.99</v>
      </c>
      <c r="CO22" s="58">
        <f>V22</f>
        <v>1</v>
      </c>
      <c r="CP22" s="24">
        <f t="shared" si="23"/>
        <v>0.99</v>
      </c>
      <c r="CQ22" s="162" t="s">
        <v>1174</v>
      </c>
      <c r="CR22" s="568">
        <v>0.99</v>
      </c>
      <c r="CS22" s="568">
        <v>1</v>
      </c>
      <c r="CT22" s="22">
        <f t="shared" si="24"/>
        <v>0.99</v>
      </c>
      <c r="CU22" s="58">
        <f>V22</f>
        <v>1</v>
      </c>
      <c r="CV22" s="24">
        <f t="shared" si="25"/>
        <v>0.99</v>
      </c>
      <c r="CW22" s="162" t="s">
        <v>1175</v>
      </c>
    </row>
    <row r="23" spans="2:101" ht="15.75" customHeight="1">
      <c r="B23" s="2242" t="s">
        <v>17</v>
      </c>
      <c r="C23" s="2242"/>
      <c r="D23" s="2242"/>
      <c r="E23" s="2242"/>
      <c r="F23" s="569"/>
      <c r="G23" s="569"/>
      <c r="H23" s="569"/>
      <c r="I23" s="569"/>
      <c r="J23" s="569"/>
      <c r="K23" s="6"/>
      <c r="L23" s="6"/>
      <c r="M23" s="6"/>
      <c r="N23" s="6"/>
      <c r="O23" s="6"/>
      <c r="P23" s="6"/>
      <c r="Q23" s="6"/>
      <c r="R23" s="6"/>
      <c r="S23" s="6"/>
      <c r="T23" s="6"/>
      <c r="U23" s="6"/>
      <c r="V23" s="6"/>
    </row>
    <row r="25" spans="2:101">
      <c r="E25" s="2243"/>
      <c r="F25" s="2243"/>
      <c r="G25" s="2243"/>
      <c r="H25" s="2243"/>
    </row>
    <row r="26" spans="2:101">
      <c r="E26" s="2244" t="s">
        <v>1176</v>
      </c>
      <c r="F26" s="2244"/>
      <c r="G26" s="2244"/>
      <c r="H26" s="2244"/>
    </row>
    <row r="27" spans="2:101" ht="26.25" customHeight="1">
      <c r="E27" s="2245" t="s">
        <v>1177</v>
      </c>
      <c r="F27" s="2245"/>
      <c r="G27" s="2245"/>
      <c r="H27" s="2245"/>
    </row>
    <row r="28" spans="2:101">
      <c r="C28" s="516"/>
      <c r="E28" s="519"/>
      <c r="F28" s="519"/>
      <c r="G28" s="519"/>
      <c r="H28" s="519"/>
    </row>
    <row r="29" spans="2:101" ht="19.5" customHeight="1">
      <c r="C29" s="516"/>
    </row>
    <row r="30" spans="2:101" ht="12.75" customHeight="1">
      <c r="C30" s="516"/>
    </row>
    <row r="31" spans="2:101" ht="12.75" customHeight="1">
      <c r="C31" s="516"/>
    </row>
    <row r="37" spans="55:57">
      <c r="BE37" s="516">
        <f>100/6</f>
        <v>16.666666666666668</v>
      </c>
    </row>
    <row r="38" spans="55:57">
      <c r="BE38" s="516">
        <f>BE37/21</f>
        <v>0.79365079365079372</v>
      </c>
    </row>
    <row r="40" spans="55:57">
      <c r="BC40" s="516">
        <f>25*98/100</f>
        <v>24.5</v>
      </c>
    </row>
    <row r="43" spans="55:57">
      <c r="BC43" s="516">
        <f>25/15</f>
        <v>1.6666666666666667</v>
      </c>
    </row>
  </sheetData>
  <mergeCells count="249">
    <mergeCell ref="E25:H25"/>
    <mergeCell ref="E26:H26"/>
    <mergeCell ref="E27:H27"/>
    <mergeCell ref="CS16:CS17"/>
    <mergeCell ref="CT16:CT17"/>
    <mergeCell ref="CU16:CU17"/>
    <mergeCell ref="CH16:CH17"/>
    <mergeCell ref="CI16:CI17"/>
    <mergeCell ref="CJ16:CJ17"/>
    <mergeCell ref="CK16:CK17"/>
    <mergeCell ref="CV16:CV17"/>
    <mergeCell ref="CW16:CW17"/>
    <mergeCell ref="B23:E23"/>
    <mergeCell ref="CM16:CM17"/>
    <mergeCell ref="CN16:CN17"/>
    <mergeCell ref="CO16:CO17"/>
    <mergeCell ref="CP16:CP17"/>
    <mergeCell ref="CQ16:CQ17"/>
    <mergeCell ref="CR16:CR17"/>
    <mergeCell ref="CG16:CG17"/>
    <mergeCell ref="CL16:CL17"/>
    <mergeCell ref="CA16:CA17"/>
    <mergeCell ref="CB16:CB17"/>
    <mergeCell ref="CC16:CC17"/>
    <mergeCell ref="CD16:CD17"/>
    <mergeCell ref="CE16:CE17"/>
    <mergeCell ref="CF16:CF17"/>
    <mergeCell ref="BU16:BU17"/>
    <mergeCell ref="BV16:BV17"/>
    <mergeCell ref="BW16:BW17"/>
    <mergeCell ref="BX16:BX17"/>
    <mergeCell ref="BY16:BY17"/>
    <mergeCell ref="BZ16:BZ17"/>
    <mergeCell ref="BO16:BO17"/>
    <mergeCell ref="BP16:BP17"/>
    <mergeCell ref="BQ16:BQ17"/>
    <mergeCell ref="BR16:BR17"/>
    <mergeCell ref="BS16:BS17"/>
    <mergeCell ref="BT16:BT17"/>
    <mergeCell ref="BI16:BI17"/>
    <mergeCell ref="BJ16:BJ17"/>
    <mergeCell ref="BK16:BK17"/>
    <mergeCell ref="BL16:BL17"/>
    <mergeCell ref="BM16:BM17"/>
    <mergeCell ref="BN16:BN17"/>
    <mergeCell ref="BC16:BC17"/>
    <mergeCell ref="BD16:BD17"/>
    <mergeCell ref="BE16:BE17"/>
    <mergeCell ref="BF16:BF17"/>
    <mergeCell ref="BG16:BG17"/>
    <mergeCell ref="BH16:BH17"/>
    <mergeCell ref="AW16:AW17"/>
    <mergeCell ref="AX16:AX17"/>
    <mergeCell ref="AY16:AY17"/>
    <mergeCell ref="AZ16:AZ17"/>
    <mergeCell ref="BA16:BA17"/>
    <mergeCell ref="BB16:BB17"/>
    <mergeCell ref="AQ16:AQ17"/>
    <mergeCell ref="AR16:AR17"/>
    <mergeCell ref="AS16:AS17"/>
    <mergeCell ref="AT16:AT17"/>
    <mergeCell ref="AU16:AU17"/>
    <mergeCell ref="AV16:AV17"/>
    <mergeCell ref="AK16:AK17"/>
    <mergeCell ref="AL16:AL17"/>
    <mergeCell ref="AM16:AM17"/>
    <mergeCell ref="AN16:AN17"/>
    <mergeCell ref="AO16:AO17"/>
    <mergeCell ref="AP16:AP17"/>
    <mergeCell ref="AE16:AE17"/>
    <mergeCell ref="AF16:AF17"/>
    <mergeCell ref="AG16:AG17"/>
    <mergeCell ref="AH16:AH17"/>
    <mergeCell ref="AI16:AI17"/>
    <mergeCell ref="AJ16:AJ17"/>
    <mergeCell ref="Y16:Y17"/>
    <mergeCell ref="Z16:Z17"/>
    <mergeCell ref="AA16:AA17"/>
    <mergeCell ref="AB16:AB17"/>
    <mergeCell ref="AC16:AC17"/>
    <mergeCell ref="AD16:AD17"/>
    <mergeCell ref="S16:S17"/>
    <mergeCell ref="T16:T17"/>
    <mergeCell ref="U16:U17"/>
    <mergeCell ref="V16:V17"/>
    <mergeCell ref="W16:W17"/>
    <mergeCell ref="X16:X17"/>
    <mergeCell ref="M16:M17"/>
    <mergeCell ref="N16:N17"/>
    <mergeCell ref="O16:O17"/>
    <mergeCell ref="P16:P17"/>
    <mergeCell ref="Q16:Q17"/>
    <mergeCell ref="R16:R17"/>
    <mergeCell ref="G16:G17"/>
    <mergeCell ref="H16:H17"/>
    <mergeCell ref="I16:I17"/>
    <mergeCell ref="J16:J17"/>
    <mergeCell ref="K16:K17"/>
    <mergeCell ref="L16:L17"/>
    <mergeCell ref="CS8:CS9"/>
    <mergeCell ref="CT8:CT9"/>
    <mergeCell ref="CU8:CU9"/>
    <mergeCell ref="CV8:CV9"/>
    <mergeCell ref="CW8:CW9"/>
    <mergeCell ref="B16:B17"/>
    <mergeCell ref="C16:C17"/>
    <mergeCell ref="D16:D17"/>
    <mergeCell ref="E16:E17"/>
    <mergeCell ref="F16:F17"/>
    <mergeCell ref="CM8:CM9"/>
    <mergeCell ref="CN8:CN9"/>
    <mergeCell ref="CO8:CO9"/>
    <mergeCell ref="CP8:CP9"/>
    <mergeCell ref="CQ8:CQ9"/>
    <mergeCell ref="CR8:CR9"/>
    <mergeCell ref="CG8:CG9"/>
    <mergeCell ref="CH8:CH9"/>
    <mergeCell ref="CI8:CI9"/>
    <mergeCell ref="CJ8:CJ9"/>
    <mergeCell ref="CK8:CK9"/>
    <mergeCell ref="CL8:CL9"/>
    <mergeCell ref="CA8:CA9"/>
    <mergeCell ref="CB8:CB9"/>
    <mergeCell ref="CC8:CC9"/>
    <mergeCell ref="CD8:CD9"/>
    <mergeCell ref="CE8:CE9"/>
    <mergeCell ref="CF8:CF9"/>
    <mergeCell ref="BU8:BU9"/>
    <mergeCell ref="BV8:BV9"/>
    <mergeCell ref="BW8:BW9"/>
    <mergeCell ref="BX8:BX9"/>
    <mergeCell ref="BY8:BY9"/>
    <mergeCell ref="BZ8:BZ9"/>
    <mergeCell ref="BO8:BO9"/>
    <mergeCell ref="BP8:BP9"/>
    <mergeCell ref="BQ8:BQ9"/>
    <mergeCell ref="BR8:BR9"/>
    <mergeCell ref="BS8:BS9"/>
    <mergeCell ref="BT8:BT9"/>
    <mergeCell ref="BI8:BI9"/>
    <mergeCell ref="BJ8:BJ9"/>
    <mergeCell ref="BK8:BK9"/>
    <mergeCell ref="BL8:BL9"/>
    <mergeCell ref="BM8:BM9"/>
    <mergeCell ref="BN8:BN9"/>
    <mergeCell ref="BC8:BC9"/>
    <mergeCell ref="BD8:BD9"/>
    <mergeCell ref="BE8:BE9"/>
    <mergeCell ref="BF8:BF9"/>
    <mergeCell ref="BG8:BG9"/>
    <mergeCell ref="BH8:BH9"/>
    <mergeCell ref="AW8:AW9"/>
    <mergeCell ref="AX8:AX9"/>
    <mergeCell ref="AY8:AY9"/>
    <mergeCell ref="AZ8:AZ9"/>
    <mergeCell ref="BA8:BA9"/>
    <mergeCell ref="BB8:BB9"/>
    <mergeCell ref="AQ8:AQ9"/>
    <mergeCell ref="AR8:AR9"/>
    <mergeCell ref="AS8:AS9"/>
    <mergeCell ref="AT8:AT9"/>
    <mergeCell ref="AU8:AU9"/>
    <mergeCell ref="AV8:AV9"/>
    <mergeCell ref="AK8:AK9"/>
    <mergeCell ref="AL8:AL9"/>
    <mergeCell ref="AM8:AM9"/>
    <mergeCell ref="AN8:AN9"/>
    <mergeCell ref="AO8:AO9"/>
    <mergeCell ref="AP8:AP9"/>
    <mergeCell ref="AE8:AE9"/>
    <mergeCell ref="AF8:AF9"/>
    <mergeCell ref="AG8:AG9"/>
    <mergeCell ref="AH8:AH9"/>
    <mergeCell ref="AI8:AI9"/>
    <mergeCell ref="AJ8:AJ9"/>
    <mergeCell ref="Y8:Y9"/>
    <mergeCell ref="Z8:Z9"/>
    <mergeCell ref="AA8:AA9"/>
    <mergeCell ref="AB8:AB9"/>
    <mergeCell ref="AC8:AC9"/>
    <mergeCell ref="AD8:AD9"/>
    <mergeCell ref="S8:S9"/>
    <mergeCell ref="T8:T9"/>
    <mergeCell ref="U8:U9"/>
    <mergeCell ref="V8:V9"/>
    <mergeCell ref="W8:W9"/>
    <mergeCell ref="X8:X9"/>
    <mergeCell ref="M8:M9"/>
    <mergeCell ref="N8:N9"/>
    <mergeCell ref="O8:O9"/>
    <mergeCell ref="P8:P9"/>
    <mergeCell ref="Q8:Q9"/>
    <mergeCell ref="R8:R9"/>
    <mergeCell ref="G8:G9"/>
    <mergeCell ref="H8:H9"/>
    <mergeCell ref="I8:I9"/>
    <mergeCell ref="J8:J9"/>
    <mergeCell ref="K8:K9"/>
    <mergeCell ref="L8:L9"/>
    <mergeCell ref="BT6:BY6"/>
    <mergeCell ref="BZ6:CE6"/>
    <mergeCell ref="CF6:CK6"/>
    <mergeCell ref="CL6:CQ6"/>
    <mergeCell ref="CR6:CW6"/>
    <mergeCell ref="B8:B9"/>
    <mergeCell ref="C8:C9"/>
    <mergeCell ref="D8:D9"/>
    <mergeCell ref="E8:E9"/>
    <mergeCell ref="F8:F9"/>
    <mergeCell ref="AJ6:AO6"/>
    <mergeCell ref="AP6:AU6"/>
    <mergeCell ref="AV6:BA6"/>
    <mergeCell ref="BB6:BG6"/>
    <mergeCell ref="BH6:BM6"/>
    <mergeCell ref="BN6:BS6"/>
    <mergeCell ref="H6:H7"/>
    <mergeCell ref="I6:I7"/>
    <mergeCell ref="J6:J7"/>
    <mergeCell ref="K6:V6"/>
    <mergeCell ref="X6:AC6"/>
    <mergeCell ref="AD6:AI6"/>
    <mergeCell ref="BZ4:CE4"/>
    <mergeCell ref="CF4:CK4"/>
    <mergeCell ref="CL4:CQ4"/>
    <mergeCell ref="CR4:CW4"/>
    <mergeCell ref="B6:B7"/>
    <mergeCell ref="C6:C7"/>
    <mergeCell ref="D6:D7"/>
    <mergeCell ref="E6:E7"/>
    <mergeCell ref="F6:F7"/>
    <mergeCell ref="G6:G7"/>
    <mergeCell ref="AP4:AU4"/>
    <mergeCell ref="AV4:BA4"/>
    <mergeCell ref="BB4:BG4"/>
    <mergeCell ref="BH4:BM4"/>
    <mergeCell ref="BN4:BS4"/>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12">
    <cfRule type="colorScale" priority="81">
      <colorScale>
        <cfvo type="num" val="0.69"/>
        <cfvo type="num" val="0.8"/>
        <cfvo type="num" val="0.9"/>
        <color rgb="FFF8696B"/>
        <color rgb="FFFFEB84"/>
        <color rgb="FF63BE7B"/>
      </colorScale>
    </cfRule>
  </conditionalFormatting>
  <conditionalFormatting sqref="AH12">
    <cfRule type="colorScale" priority="80">
      <colorScale>
        <cfvo type="num" val="0.69"/>
        <cfvo type="num" val="0.8"/>
        <cfvo type="num" val="0.9"/>
        <color rgb="FFF8696B"/>
        <color rgb="FFFFEB84"/>
        <color rgb="FF63BE7B"/>
      </colorScale>
    </cfRule>
  </conditionalFormatting>
  <conditionalFormatting sqref="AN12">
    <cfRule type="colorScale" priority="79">
      <colorScale>
        <cfvo type="num" val="0.69"/>
        <cfvo type="num" val="0.8"/>
        <cfvo type="num" val="0.9"/>
        <color rgb="FFF8696B"/>
        <color rgb="FFFFEB84"/>
        <color rgb="FF63BE7B"/>
      </colorScale>
    </cfRule>
  </conditionalFormatting>
  <conditionalFormatting sqref="AT12">
    <cfRule type="colorScale" priority="78">
      <colorScale>
        <cfvo type="num" val="0.69"/>
        <cfvo type="num" val="0.8"/>
        <cfvo type="num" val="0.9"/>
        <color rgb="FFF8696B"/>
        <color rgb="FFFFEB84"/>
        <color rgb="FF63BE7B"/>
      </colorScale>
    </cfRule>
  </conditionalFormatting>
  <conditionalFormatting sqref="AZ12">
    <cfRule type="colorScale" priority="77">
      <colorScale>
        <cfvo type="num" val="0.69"/>
        <cfvo type="num" val="0.8"/>
        <cfvo type="num" val="0.9"/>
        <color rgb="FFF8696B"/>
        <color rgb="FFFFEB84"/>
        <color rgb="FF63BE7B"/>
      </colorScale>
    </cfRule>
  </conditionalFormatting>
  <conditionalFormatting sqref="BF12">
    <cfRule type="colorScale" priority="76">
      <colorScale>
        <cfvo type="num" val="0.69"/>
        <cfvo type="num" val="0.8"/>
        <cfvo type="num" val="0.9"/>
        <color rgb="FFF8696B"/>
        <color rgb="FFFFEB84"/>
        <color rgb="FF63BE7B"/>
      </colorScale>
    </cfRule>
  </conditionalFormatting>
  <conditionalFormatting sqref="BL12">
    <cfRule type="colorScale" priority="75">
      <colorScale>
        <cfvo type="num" val="0.69"/>
        <cfvo type="num" val="0.8"/>
        <cfvo type="num" val="0.9"/>
        <color rgb="FFF8696B"/>
        <color rgb="FFFFEB84"/>
        <color rgb="FF63BE7B"/>
      </colorScale>
    </cfRule>
  </conditionalFormatting>
  <conditionalFormatting sqref="BR12">
    <cfRule type="colorScale" priority="74">
      <colorScale>
        <cfvo type="num" val="0.69"/>
        <cfvo type="num" val="0.8"/>
        <cfvo type="num" val="0.9"/>
        <color rgb="FFF8696B"/>
        <color rgb="FFFFEB84"/>
        <color rgb="FF63BE7B"/>
      </colorScale>
    </cfRule>
  </conditionalFormatting>
  <conditionalFormatting sqref="BX12">
    <cfRule type="colorScale" priority="73">
      <colorScale>
        <cfvo type="num" val="0.69"/>
        <cfvo type="num" val="0.8"/>
        <cfvo type="num" val="0.9"/>
        <color rgb="FFF8696B"/>
        <color rgb="FFFFEB84"/>
        <color rgb="FF63BE7B"/>
      </colorScale>
    </cfRule>
  </conditionalFormatting>
  <conditionalFormatting sqref="CD12">
    <cfRule type="colorScale" priority="72">
      <colorScale>
        <cfvo type="num" val="0.69"/>
        <cfvo type="num" val="0.8"/>
        <cfvo type="num" val="0.9"/>
        <color rgb="FFF8696B"/>
        <color rgb="FFFFEB84"/>
        <color rgb="FF63BE7B"/>
      </colorScale>
    </cfRule>
  </conditionalFormatting>
  <conditionalFormatting sqref="CJ12">
    <cfRule type="colorScale" priority="71">
      <colorScale>
        <cfvo type="num" val="0.69"/>
        <cfvo type="num" val="0.8"/>
        <cfvo type="num" val="0.9"/>
        <color rgb="FFF8696B"/>
        <color rgb="FFFFEB84"/>
        <color rgb="FF63BE7B"/>
      </colorScale>
    </cfRule>
  </conditionalFormatting>
  <conditionalFormatting sqref="CP12">
    <cfRule type="colorScale" priority="70">
      <colorScale>
        <cfvo type="num" val="0.69"/>
        <cfvo type="num" val="0.8"/>
        <cfvo type="num" val="0.9"/>
        <color rgb="FFF8696B"/>
        <color rgb="FFFFEB84"/>
        <color rgb="FF63BE7B"/>
      </colorScale>
    </cfRule>
  </conditionalFormatting>
  <conditionalFormatting sqref="CV12">
    <cfRule type="colorScale" priority="69">
      <colorScale>
        <cfvo type="num" val="0.69"/>
        <cfvo type="num" val="0.8"/>
        <cfvo type="num" val="0.9"/>
        <color rgb="FFF8696B"/>
        <color rgb="FFFFEB84"/>
        <color rgb="FF63BE7B"/>
      </colorScale>
    </cfRule>
  </conditionalFormatting>
  <conditionalFormatting sqref="AB13">
    <cfRule type="colorScale" priority="68">
      <colorScale>
        <cfvo type="num" val="0.69"/>
        <cfvo type="num" val="0.8"/>
        <cfvo type="num" val="0.9"/>
        <color rgb="FFF8696B"/>
        <color rgb="FFFFEB84"/>
        <color rgb="FF63BE7B"/>
      </colorScale>
    </cfRule>
  </conditionalFormatting>
  <conditionalFormatting sqref="AT13">
    <cfRule type="colorScale" priority="67">
      <colorScale>
        <cfvo type="num" val="0.69"/>
        <cfvo type="num" val="0.8"/>
        <cfvo type="num" val="0.9"/>
        <color rgb="FFF8696B"/>
        <color rgb="FFFFEB84"/>
        <color rgb="FF63BE7B"/>
      </colorScale>
    </cfRule>
  </conditionalFormatting>
  <conditionalFormatting sqref="BF13">
    <cfRule type="colorScale" priority="66">
      <colorScale>
        <cfvo type="num" val="0.69"/>
        <cfvo type="num" val="0.8"/>
        <cfvo type="num" val="0.9"/>
        <color rgb="FFF8696B"/>
        <color rgb="FFFFEB84"/>
        <color rgb="FF63BE7B"/>
      </colorScale>
    </cfRule>
  </conditionalFormatting>
  <conditionalFormatting sqref="BR13">
    <cfRule type="colorScale" priority="65">
      <colorScale>
        <cfvo type="num" val="0.69"/>
        <cfvo type="num" val="0.8"/>
        <cfvo type="num" val="0.9"/>
        <color rgb="FFF8696B"/>
        <color rgb="FFFFEB84"/>
        <color rgb="FF63BE7B"/>
      </colorScale>
    </cfRule>
  </conditionalFormatting>
  <conditionalFormatting sqref="CD13">
    <cfRule type="colorScale" priority="64">
      <colorScale>
        <cfvo type="num" val="0.69"/>
        <cfvo type="num" val="0.8"/>
        <cfvo type="num" val="0.9"/>
        <color rgb="FFF8696B"/>
        <color rgb="FFFFEB84"/>
        <color rgb="FF63BE7B"/>
      </colorScale>
    </cfRule>
  </conditionalFormatting>
  <conditionalFormatting sqref="CP13">
    <cfRule type="colorScale" priority="63">
      <colorScale>
        <cfvo type="num" val="0.69"/>
        <cfvo type="num" val="0.8"/>
        <cfvo type="num" val="0.9"/>
        <color rgb="FFF8696B"/>
        <color rgb="FFFFEB84"/>
        <color rgb="FF63BE7B"/>
      </colorScale>
    </cfRule>
  </conditionalFormatting>
  <conditionalFormatting sqref="AI13">
    <cfRule type="colorScale" priority="62">
      <colorScale>
        <cfvo type="num" val="0.69"/>
        <cfvo type="num" val="0.8"/>
        <cfvo type="num" val="0.9"/>
        <color rgb="FFF8696B"/>
        <color rgb="FFFFEB84"/>
        <color rgb="FF63BE7B"/>
      </colorScale>
    </cfRule>
  </conditionalFormatting>
  <conditionalFormatting sqref="AO13">
    <cfRule type="colorScale" priority="61">
      <colorScale>
        <cfvo type="num" val="0.69"/>
        <cfvo type="num" val="0.8"/>
        <cfvo type="num" val="0.9"/>
        <color rgb="FFF8696B"/>
        <color rgb="FFFFEB84"/>
        <color rgb="FF63BE7B"/>
      </colorScale>
    </cfRule>
  </conditionalFormatting>
  <conditionalFormatting sqref="BA13">
    <cfRule type="colorScale" priority="60">
      <colorScale>
        <cfvo type="num" val="0.69"/>
        <cfvo type="num" val="0.8"/>
        <cfvo type="num" val="0.9"/>
        <color rgb="FFF8696B"/>
        <color rgb="FFFFEB84"/>
        <color rgb="FF63BE7B"/>
      </colorScale>
    </cfRule>
  </conditionalFormatting>
  <conditionalFormatting sqref="BM13">
    <cfRule type="colorScale" priority="59">
      <colorScale>
        <cfvo type="num" val="0.69"/>
        <cfvo type="num" val="0.8"/>
        <cfvo type="num" val="0.9"/>
        <color rgb="FFF8696B"/>
        <color rgb="FFFFEB84"/>
        <color rgb="FF63BE7B"/>
      </colorScale>
    </cfRule>
  </conditionalFormatting>
  <conditionalFormatting sqref="BY13">
    <cfRule type="colorScale" priority="58">
      <colorScale>
        <cfvo type="num" val="0.69"/>
        <cfvo type="num" val="0.8"/>
        <cfvo type="num" val="0.9"/>
        <color rgb="FFF8696B"/>
        <color rgb="FFFFEB84"/>
        <color rgb="FF63BE7B"/>
      </colorScale>
    </cfRule>
  </conditionalFormatting>
  <conditionalFormatting sqref="CK13">
    <cfRule type="colorScale" priority="57">
      <colorScale>
        <cfvo type="num" val="0.69"/>
        <cfvo type="num" val="0.8"/>
        <cfvo type="num" val="0.9"/>
        <color rgb="FFF8696B"/>
        <color rgb="FFFFEB84"/>
        <color rgb="FF63BE7B"/>
      </colorScale>
    </cfRule>
  </conditionalFormatting>
  <conditionalFormatting sqref="CW13">
    <cfRule type="colorScale" priority="56">
      <colorScale>
        <cfvo type="num" val="0.69"/>
        <cfvo type="num" val="0.8"/>
        <cfvo type="num" val="0.9"/>
        <color rgb="FFF8696B"/>
        <color rgb="FFFFEB84"/>
        <color rgb="FF63BE7B"/>
      </colorScale>
    </cfRule>
  </conditionalFormatting>
  <conditionalFormatting sqref="AB14:AB16 AB18:AB22">
    <cfRule type="colorScale" priority="55">
      <colorScale>
        <cfvo type="num" val="0.69"/>
        <cfvo type="num" val="0.8"/>
        <cfvo type="num" val="0.9"/>
        <color rgb="FFF8696B"/>
        <color rgb="FFFFEB84"/>
        <color rgb="FF63BE7B"/>
      </colorScale>
    </cfRule>
  </conditionalFormatting>
  <conditionalFormatting sqref="AH14:AH16 AH18:AH22">
    <cfRule type="colorScale" priority="54">
      <colorScale>
        <cfvo type="num" val="0.69"/>
        <cfvo type="num" val="0.8"/>
        <cfvo type="num" val="0.9"/>
        <color rgb="FFF8696B"/>
        <color rgb="FFFFEB84"/>
        <color rgb="FF63BE7B"/>
      </colorScale>
    </cfRule>
  </conditionalFormatting>
  <conditionalFormatting sqref="AN14:AN16 AN18:AN22">
    <cfRule type="colorScale" priority="53">
      <colorScale>
        <cfvo type="num" val="0.69"/>
        <cfvo type="num" val="0.8"/>
        <cfvo type="num" val="0.9"/>
        <color rgb="FFF8696B"/>
        <color rgb="FFFFEB84"/>
        <color rgb="FF63BE7B"/>
      </colorScale>
    </cfRule>
  </conditionalFormatting>
  <conditionalFormatting sqref="AT14:AT16 AT18:AT22">
    <cfRule type="colorScale" priority="52">
      <colorScale>
        <cfvo type="num" val="0.69"/>
        <cfvo type="num" val="0.8"/>
        <cfvo type="num" val="0.9"/>
        <color rgb="FFF8696B"/>
        <color rgb="FFFFEB84"/>
        <color rgb="FF63BE7B"/>
      </colorScale>
    </cfRule>
  </conditionalFormatting>
  <conditionalFormatting sqref="AZ14:AZ16 AZ18:AZ22">
    <cfRule type="colorScale" priority="51">
      <colorScale>
        <cfvo type="num" val="0.69"/>
        <cfvo type="num" val="0.8"/>
        <cfvo type="num" val="0.9"/>
        <color rgb="FFF8696B"/>
        <color rgb="FFFFEB84"/>
        <color rgb="FF63BE7B"/>
      </colorScale>
    </cfRule>
  </conditionalFormatting>
  <conditionalFormatting sqref="BF14:BF16 BF18:BF22">
    <cfRule type="colorScale" priority="50">
      <colorScale>
        <cfvo type="num" val="0.69"/>
        <cfvo type="num" val="0.8"/>
        <cfvo type="num" val="0.9"/>
        <color rgb="FFF8696B"/>
        <color rgb="FFFFEB84"/>
        <color rgb="FF63BE7B"/>
      </colorScale>
    </cfRule>
  </conditionalFormatting>
  <conditionalFormatting sqref="BL14:BL16 BL18:BL22">
    <cfRule type="colorScale" priority="49">
      <colorScale>
        <cfvo type="num" val="0.69"/>
        <cfvo type="num" val="0.8"/>
        <cfvo type="num" val="0.9"/>
        <color rgb="FFF8696B"/>
        <color rgb="FFFFEB84"/>
        <color rgb="FF63BE7B"/>
      </colorScale>
    </cfRule>
  </conditionalFormatting>
  <conditionalFormatting sqref="BR14:BR15 BR18:BR22">
    <cfRule type="colorScale" priority="48">
      <colorScale>
        <cfvo type="num" val="0.69"/>
        <cfvo type="num" val="0.8"/>
        <cfvo type="num" val="0.9"/>
        <color rgb="FFF8696B"/>
        <color rgb="FFFFEB84"/>
        <color rgb="FF63BE7B"/>
      </colorScale>
    </cfRule>
  </conditionalFormatting>
  <conditionalFormatting sqref="BX14:BX16 BX18:BX22">
    <cfRule type="colorScale" priority="47">
      <colorScale>
        <cfvo type="num" val="0.69"/>
        <cfvo type="num" val="0.8"/>
        <cfvo type="num" val="0.9"/>
        <color rgb="FFF8696B"/>
        <color rgb="FFFFEB84"/>
        <color rgb="FF63BE7B"/>
      </colorScale>
    </cfRule>
  </conditionalFormatting>
  <conditionalFormatting sqref="CD14:CD16 CD18:CD22">
    <cfRule type="colorScale" priority="46">
      <colorScale>
        <cfvo type="num" val="0.69"/>
        <cfvo type="num" val="0.8"/>
        <cfvo type="num" val="0.9"/>
        <color rgb="FFF8696B"/>
        <color rgb="FFFFEB84"/>
        <color rgb="FF63BE7B"/>
      </colorScale>
    </cfRule>
  </conditionalFormatting>
  <conditionalFormatting sqref="CJ14:CJ16 CJ18:CJ22">
    <cfRule type="colorScale" priority="45">
      <colorScale>
        <cfvo type="num" val="0.69"/>
        <cfvo type="num" val="0.8"/>
        <cfvo type="num" val="0.9"/>
        <color rgb="FFF8696B"/>
        <color rgb="FFFFEB84"/>
        <color rgb="FF63BE7B"/>
      </colorScale>
    </cfRule>
  </conditionalFormatting>
  <conditionalFormatting sqref="CP16 CP14 CP18:CP22">
    <cfRule type="colorScale" priority="44">
      <colorScale>
        <cfvo type="num" val="0.69"/>
        <cfvo type="num" val="0.8"/>
        <cfvo type="num" val="0.9"/>
        <color rgb="FFF8696B"/>
        <color rgb="FFFFEB84"/>
        <color rgb="FF63BE7B"/>
      </colorScale>
    </cfRule>
  </conditionalFormatting>
  <conditionalFormatting sqref="CV14 CV16 CV18:CV22">
    <cfRule type="colorScale" priority="43">
      <colorScale>
        <cfvo type="num" val="0.69"/>
        <cfvo type="num" val="0.8"/>
        <cfvo type="num" val="0.9"/>
        <color rgb="FFF8696B"/>
        <color rgb="FFFFEB84"/>
        <color rgb="FF63BE7B"/>
      </colorScale>
    </cfRule>
  </conditionalFormatting>
  <conditionalFormatting sqref="AB8">
    <cfRule type="colorScale" priority="42">
      <colorScale>
        <cfvo type="num" val="0.69"/>
        <cfvo type="num" val="0.8"/>
        <cfvo type="num" val="0.9"/>
        <color rgb="FFF8696B"/>
        <color rgb="FFFFEB84"/>
        <color rgb="FF63BE7B"/>
      </colorScale>
    </cfRule>
  </conditionalFormatting>
  <conditionalFormatting sqref="AH8">
    <cfRule type="colorScale" priority="41">
      <colorScale>
        <cfvo type="num" val="0.69"/>
        <cfvo type="num" val="0.8"/>
        <cfvo type="num" val="0.9"/>
        <color rgb="FFF8696B"/>
        <color rgb="FFFFEB84"/>
        <color rgb="FF63BE7B"/>
      </colorScale>
    </cfRule>
  </conditionalFormatting>
  <conditionalFormatting sqref="AN8">
    <cfRule type="colorScale" priority="40">
      <colorScale>
        <cfvo type="num" val="0.69"/>
        <cfvo type="num" val="0.8"/>
        <cfvo type="num" val="0.9"/>
        <color rgb="FFF8696B"/>
        <color rgb="FFFFEB84"/>
        <color rgb="FF63BE7B"/>
      </colorScale>
    </cfRule>
  </conditionalFormatting>
  <conditionalFormatting sqref="AT8">
    <cfRule type="colorScale" priority="39">
      <colorScale>
        <cfvo type="num" val="0.69"/>
        <cfvo type="num" val="0.8"/>
        <cfvo type="num" val="0.9"/>
        <color rgb="FFF8696B"/>
        <color rgb="FFFFEB84"/>
        <color rgb="FF63BE7B"/>
      </colorScale>
    </cfRule>
  </conditionalFormatting>
  <conditionalFormatting sqref="AZ8">
    <cfRule type="colorScale" priority="38">
      <colorScale>
        <cfvo type="num" val="0.69"/>
        <cfvo type="num" val="0.8"/>
        <cfvo type="num" val="0.9"/>
        <color rgb="FFF8696B"/>
        <color rgb="FFFFEB84"/>
        <color rgb="FF63BE7B"/>
      </colorScale>
    </cfRule>
  </conditionalFormatting>
  <conditionalFormatting sqref="BF8">
    <cfRule type="colorScale" priority="37">
      <colorScale>
        <cfvo type="num" val="0.69"/>
        <cfvo type="num" val="0.8"/>
        <cfvo type="num" val="0.9"/>
        <color rgb="FFF8696B"/>
        <color rgb="FFFFEB84"/>
        <color rgb="FF63BE7B"/>
      </colorScale>
    </cfRule>
  </conditionalFormatting>
  <conditionalFormatting sqref="BL8">
    <cfRule type="colorScale" priority="36">
      <colorScale>
        <cfvo type="num" val="0.69"/>
        <cfvo type="num" val="0.8"/>
        <cfvo type="num" val="0.9"/>
        <color rgb="FFF8696B"/>
        <color rgb="FFFFEB84"/>
        <color rgb="FF63BE7B"/>
      </colorScale>
    </cfRule>
  </conditionalFormatting>
  <conditionalFormatting sqref="BR8">
    <cfRule type="colorScale" priority="35">
      <colorScale>
        <cfvo type="num" val="0.69"/>
        <cfvo type="num" val="0.8"/>
        <cfvo type="num" val="0.9"/>
        <color rgb="FFF8696B"/>
        <color rgb="FFFFEB84"/>
        <color rgb="FF63BE7B"/>
      </colorScale>
    </cfRule>
  </conditionalFormatting>
  <conditionalFormatting sqref="BX8">
    <cfRule type="colorScale" priority="34">
      <colorScale>
        <cfvo type="num" val="0.69"/>
        <cfvo type="num" val="0.8"/>
        <cfvo type="num" val="0.9"/>
        <color rgb="FFF8696B"/>
        <color rgb="FFFFEB84"/>
        <color rgb="FF63BE7B"/>
      </colorScale>
    </cfRule>
  </conditionalFormatting>
  <conditionalFormatting sqref="CD8">
    <cfRule type="colorScale" priority="33">
      <colorScale>
        <cfvo type="num" val="0.69"/>
        <cfvo type="num" val="0.8"/>
        <cfvo type="num" val="0.9"/>
        <color rgb="FFF8696B"/>
        <color rgb="FFFFEB84"/>
        <color rgb="FF63BE7B"/>
      </colorScale>
    </cfRule>
  </conditionalFormatting>
  <conditionalFormatting sqref="CJ8">
    <cfRule type="colorScale" priority="32">
      <colorScale>
        <cfvo type="num" val="0.69"/>
        <cfvo type="num" val="0.8"/>
        <cfvo type="num" val="0.9"/>
        <color rgb="FFF8696B"/>
        <color rgb="FFFFEB84"/>
        <color rgb="FF63BE7B"/>
      </colorScale>
    </cfRule>
  </conditionalFormatting>
  <conditionalFormatting sqref="CP8">
    <cfRule type="colorScale" priority="31">
      <colorScale>
        <cfvo type="num" val="0.69"/>
        <cfvo type="num" val="0.8"/>
        <cfvo type="num" val="0.9"/>
        <color rgb="FFF8696B"/>
        <color rgb="FFFFEB84"/>
        <color rgb="FF63BE7B"/>
      </colorScale>
    </cfRule>
  </conditionalFormatting>
  <conditionalFormatting sqref="CV8">
    <cfRule type="colorScale" priority="30">
      <colorScale>
        <cfvo type="num" val="0.69"/>
        <cfvo type="num" val="0.8"/>
        <cfvo type="num" val="0.9"/>
        <color rgb="FFF8696B"/>
        <color rgb="FFFFEB84"/>
        <color rgb="FF63BE7B"/>
      </colorScale>
    </cfRule>
  </conditionalFormatting>
  <conditionalFormatting sqref="AB10">
    <cfRule type="colorScale" priority="29">
      <colorScale>
        <cfvo type="num" val="0.69"/>
        <cfvo type="num" val="0.8"/>
        <cfvo type="num" val="0.9"/>
        <color rgb="FFF8696B"/>
        <color rgb="FFFFEB84"/>
        <color rgb="FF63BE7B"/>
      </colorScale>
    </cfRule>
  </conditionalFormatting>
  <conditionalFormatting sqref="AH10">
    <cfRule type="colorScale" priority="28">
      <colorScale>
        <cfvo type="num" val="0.69"/>
        <cfvo type="num" val="0.8"/>
        <cfvo type="num" val="0.9"/>
        <color rgb="FFF8696B"/>
        <color rgb="FFFFEB84"/>
        <color rgb="FF63BE7B"/>
      </colorScale>
    </cfRule>
  </conditionalFormatting>
  <conditionalFormatting sqref="AN10">
    <cfRule type="colorScale" priority="27">
      <colorScale>
        <cfvo type="num" val="0.69"/>
        <cfvo type="num" val="0.8"/>
        <cfvo type="num" val="0.9"/>
        <color rgb="FFF8696B"/>
        <color rgb="FFFFEB84"/>
        <color rgb="FF63BE7B"/>
      </colorScale>
    </cfRule>
  </conditionalFormatting>
  <conditionalFormatting sqref="AT10">
    <cfRule type="colorScale" priority="26">
      <colorScale>
        <cfvo type="num" val="0.69"/>
        <cfvo type="num" val="0.8"/>
        <cfvo type="num" val="0.9"/>
        <color rgb="FFF8696B"/>
        <color rgb="FFFFEB84"/>
        <color rgb="FF63BE7B"/>
      </colorScale>
    </cfRule>
  </conditionalFormatting>
  <conditionalFormatting sqref="AZ10">
    <cfRule type="colorScale" priority="25">
      <colorScale>
        <cfvo type="num" val="0.69"/>
        <cfvo type="num" val="0.8"/>
        <cfvo type="num" val="0.9"/>
        <color rgb="FFF8696B"/>
        <color rgb="FFFFEB84"/>
        <color rgb="FF63BE7B"/>
      </colorScale>
    </cfRule>
  </conditionalFormatting>
  <conditionalFormatting sqref="BF10">
    <cfRule type="colorScale" priority="24">
      <colorScale>
        <cfvo type="num" val="0.69"/>
        <cfvo type="num" val="0.8"/>
        <cfvo type="num" val="0.9"/>
        <color rgb="FFF8696B"/>
        <color rgb="FFFFEB84"/>
        <color rgb="FF63BE7B"/>
      </colorScale>
    </cfRule>
  </conditionalFormatting>
  <conditionalFormatting sqref="BL10">
    <cfRule type="colorScale" priority="23">
      <colorScale>
        <cfvo type="num" val="0.69"/>
        <cfvo type="num" val="0.8"/>
        <cfvo type="num" val="0.9"/>
        <color rgb="FFF8696B"/>
        <color rgb="FFFFEB84"/>
        <color rgb="FF63BE7B"/>
      </colorScale>
    </cfRule>
  </conditionalFormatting>
  <conditionalFormatting sqref="BR10">
    <cfRule type="colorScale" priority="22">
      <colorScale>
        <cfvo type="num" val="0.69"/>
        <cfvo type="num" val="0.8"/>
        <cfvo type="num" val="0.9"/>
        <color rgb="FFF8696B"/>
        <color rgb="FFFFEB84"/>
        <color rgb="FF63BE7B"/>
      </colorScale>
    </cfRule>
  </conditionalFormatting>
  <conditionalFormatting sqref="BX10">
    <cfRule type="colorScale" priority="21">
      <colorScale>
        <cfvo type="num" val="0.69"/>
        <cfvo type="num" val="0.8"/>
        <cfvo type="num" val="0.9"/>
        <color rgb="FFF8696B"/>
        <color rgb="FFFFEB84"/>
        <color rgb="FF63BE7B"/>
      </colorScale>
    </cfRule>
  </conditionalFormatting>
  <conditionalFormatting sqref="CD10">
    <cfRule type="colorScale" priority="20">
      <colorScale>
        <cfvo type="num" val="0.69"/>
        <cfvo type="num" val="0.8"/>
        <cfvo type="num" val="0.9"/>
        <color rgb="FFF8696B"/>
        <color rgb="FFFFEB84"/>
        <color rgb="FF63BE7B"/>
      </colorScale>
    </cfRule>
  </conditionalFormatting>
  <conditionalFormatting sqref="CJ10">
    <cfRule type="colorScale" priority="19">
      <colorScale>
        <cfvo type="num" val="0.69"/>
        <cfvo type="num" val="0.8"/>
        <cfvo type="num" val="0.9"/>
        <color rgb="FFF8696B"/>
        <color rgb="FFFFEB84"/>
        <color rgb="FF63BE7B"/>
      </colorScale>
    </cfRule>
  </conditionalFormatting>
  <conditionalFormatting sqref="CP10">
    <cfRule type="colorScale" priority="18">
      <colorScale>
        <cfvo type="num" val="0.69"/>
        <cfvo type="num" val="0.8"/>
        <cfvo type="num" val="0.9"/>
        <color rgb="FFF8696B"/>
        <color rgb="FFFFEB84"/>
        <color rgb="FF63BE7B"/>
      </colorScale>
    </cfRule>
  </conditionalFormatting>
  <conditionalFormatting sqref="CV10">
    <cfRule type="colorScale" priority="17">
      <colorScale>
        <cfvo type="num" val="0.69"/>
        <cfvo type="num" val="0.8"/>
        <cfvo type="num" val="0.9"/>
        <color rgb="FFF8696B"/>
        <color rgb="FFFFEB84"/>
        <color rgb="FF63BE7B"/>
      </colorScale>
    </cfRule>
  </conditionalFormatting>
  <conditionalFormatting sqref="AB11">
    <cfRule type="colorScale" priority="16">
      <colorScale>
        <cfvo type="num" val="0.69"/>
        <cfvo type="num" val="0.8"/>
        <cfvo type="num" val="0.9"/>
        <color rgb="FFF8696B"/>
        <color rgb="FFFFEB84"/>
        <color rgb="FF63BE7B"/>
      </colorScale>
    </cfRule>
  </conditionalFormatting>
  <conditionalFormatting sqref="AH11">
    <cfRule type="colorScale" priority="15">
      <colorScale>
        <cfvo type="num" val="0.69"/>
        <cfvo type="num" val="0.8"/>
        <cfvo type="num" val="0.9"/>
        <color rgb="FFF8696B"/>
        <color rgb="FFFFEB84"/>
        <color rgb="FF63BE7B"/>
      </colorScale>
    </cfRule>
  </conditionalFormatting>
  <conditionalFormatting sqref="AN11">
    <cfRule type="colorScale" priority="14">
      <colorScale>
        <cfvo type="num" val="0.69"/>
        <cfvo type="num" val="0.8"/>
        <cfvo type="num" val="0.9"/>
        <color rgb="FFF8696B"/>
        <color rgb="FFFFEB84"/>
        <color rgb="FF63BE7B"/>
      </colorScale>
    </cfRule>
  </conditionalFormatting>
  <conditionalFormatting sqref="AT11">
    <cfRule type="colorScale" priority="13">
      <colorScale>
        <cfvo type="num" val="0.69"/>
        <cfvo type="num" val="0.8"/>
        <cfvo type="num" val="0.9"/>
        <color rgb="FFF8696B"/>
        <color rgb="FFFFEB84"/>
        <color rgb="FF63BE7B"/>
      </colorScale>
    </cfRule>
  </conditionalFormatting>
  <conditionalFormatting sqref="AZ11">
    <cfRule type="colorScale" priority="12">
      <colorScale>
        <cfvo type="num" val="0.69"/>
        <cfvo type="num" val="0.8"/>
        <cfvo type="num" val="0.9"/>
        <color rgb="FFF8696B"/>
        <color rgb="FFFFEB84"/>
        <color rgb="FF63BE7B"/>
      </colorScale>
    </cfRule>
  </conditionalFormatting>
  <conditionalFormatting sqref="BF11">
    <cfRule type="colorScale" priority="11">
      <colorScale>
        <cfvo type="num" val="0.69"/>
        <cfvo type="num" val="0.8"/>
        <cfvo type="num" val="0.9"/>
        <color rgb="FFF8696B"/>
        <color rgb="FFFFEB84"/>
        <color rgb="FF63BE7B"/>
      </colorScale>
    </cfRule>
  </conditionalFormatting>
  <conditionalFormatting sqref="BL11">
    <cfRule type="colorScale" priority="10">
      <colorScale>
        <cfvo type="num" val="0.69"/>
        <cfvo type="num" val="0.8"/>
        <cfvo type="num" val="0.9"/>
        <color rgb="FFF8696B"/>
        <color rgb="FFFFEB84"/>
        <color rgb="FF63BE7B"/>
      </colorScale>
    </cfRule>
  </conditionalFormatting>
  <conditionalFormatting sqref="BR11">
    <cfRule type="colorScale" priority="9">
      <colorScale>
        <cfvo type="num" val="0.69"/>
        <cfvo type="num" val="0.8"/>
        <cfvo type="num" val="0.9"/>
        <color rgb="FFF8696B"/>
        <color rgb="FFFFEB84"/>
        <color rgb="FF63BE7B"/>
      </colorScale>
    </cfRule>
  </conditionalFormatting>
  <conditionalFormatting sqref="BX11">
    <cfRule type="colorScale" priority="8">
      <colorScale>
        <cfvo type="num" val="0.69"/>
        <cfvo type="num" val="0.8"/>
        <cfvo type="num" val="0.9"/>
        <color rgb="FFF8696B"/>
        <color rgb="FFFFEB84"/>
        <color rgb="FF63BE7B"/>
      </colorScale>
    </cfRule>
  </conditionalFormatting>
  <conditionalFormatting sqref="CD11">
    <cfRule type="colorScale" priority="7">
      <colorScale>
        <cfvo type="num" val="0.69"/>
        <cfvo type="num" val="0.8"/>
        <cfvo type="num" val="0.9"/>
        <color rgb="FFF8696B"/>
        <color rgb="FFFFEB84"/>
        <color rgb="FF63BE7B"/>
      </colorScale>
    </cfRule>
  </conditionalFormatting>
  <conditionalFormatting sqref="CJ11">
    <cfRule type="colorScale" priority="6">
      <colorScale>
        <cfvo type="num" val="0.69"/>
        <cfvo type="num" val="0.8"/>
        <cfvo type="num" val="0.9"/>
        <color rgb="FFF8696B"/>
        <color rgb="FFFFEB84"/>
        <color rgb="FF63BE7B"/>
      </colorScale>
    </cfRule>
  </conditionalFormatting>
  <conditionalFormatting sqref="CP11">
    <cfRule type="colorScale" priority="5">
      <colorScale>
        <cfvo type="num" val="0.69"/>
        <cfvo type="num" val="0.8"/>
        <cfvo type="num" val="0.9"/>
        <color rgb="FFF8696B"/>
        <color rgb="FFFFEB84"/>
        <color rgb="FF63BE7B"/>
      </colorScale>
    </cfRule>
  </conditionalFormatting>
  <conditionalFormatting sqref="CV11">
    <cfRule type="colorScale" priority="4">
      <colorScale>
        <cfvo type="num" val="0.69"/>
        <cfvo type="num" val="0.8"/>
        <cfvo type="num" val="0.9"/>
        <color rgb="FFF8696B"/>
        <color rgb="FFFFEB84"/>
        <color rgb="FF63BE7B"/>
      </colorScale>
    </cfRule>
  </conditionalFormatting>
  <conditionalFormatting sqref="CP15">
    <cfRule type="colorScale" priority="3">
      <colorScale>
        <cfvo type="num" val="0.69"/>
        <cfvo type="num" val="0.8"/>
        <cfvo type="num" val="0.9"/>
        <color rgb="FFF8696B"/>
        <color rgb="FFFFEB84"/>
        <color rgb="FF63BE7B"/>
      </colorScale>
    </cfRule>
  </conditionalFormatting>
  <conditionalFormatting sqref="CP15">
    <cfRule type="colorScale" priority="2">
      <colorScale>
        <cfvo type="num" val="0.69"/>
        <cfvo type="num" val="0.8"/>
        <cfvo type="num" val="0.9"/>
        <color rgb="FFF8696B"/>
        <color rgb="FFFFEB84"/>
        <color rgb="FF63BE7B"/>
      </colorScale>
    </cfRule>
  </conditionalFormatting>
  <conditionalFormatting sqref="CV15">
    <cfRule type="colorScale" priority="1">
      <colorScale>
        <cfvo type="num" val="0.69"/>
        <cfvo type="num" val="0.8"/>
        <cfvo type="num" val="0.9"/>
        <color rgb="FFF8696B"/>
        <color rgb="FFFFEB84"/>
        <color rgb="FF63BE7B"/>
      </colorScale>
    </cfRule>
  </conditionalFormatting>
  <pageMargins left="0.31496062992125984" right="0.51181102362204722" top="0.74803149606299213" bottom="0.74803149606299213" header="0.31496062992125984" footer="0.31496062992125984"/>
  <pageSetup paperSize="14" scale="10" fitToWidth="2"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3"/>
  <sheetViews>
    <sheetView topLeftCell="D1" workbookViewId="0">
      <selection activeCell="I7" sqref="I7"/>
    </sheetView>
  </sheetViews>
  <sheetFormatPr baseColWidth="10" defaultColWidth="11.5703125" defaultRowHeight="12.75"/>
  <cols>
    <col min="1" max="1" width="3.42578125" style="15" hidden="1" customWidth="1"/>
    <col min="2" max="2" width="9.140625" style="3" hidden="1" customWidth="1"/>
    <col min="3" max="3" width="9.85546875" style="15" hidden="1" customWidth="1"/>
    <col min="4" max="4" width="1.140625" style="578" customWidth="1"/>
    <col min="5" max="5" width="19.28515625" style="15" customWidth="1"/>
    <col min="6" max="6" width="15.140625" style="15" customWidth="1"/>
    <col min="7" max="7" width="25.28515625" style="15" customWidth="1"/>
    <col min="8" max="8" width="4" style="579" customWidth="1"/>
    <col min="9" max="9" width="22.85546875" style="580" customWidth="1"/>
    <col min="10" max="10" width="12.7109375" style="581" customWidth="1"/>
    <col min="11" max="11" width="6.85546875" style="15" customWidth="1"/>
    <col min="12" max="12" width="5.28515625" style="15" customWidth="1"/>
    <col min="13" max="13" width="4.7109375" style="15" customWidth="1"/>
    <col min="14" max="14" width="5.140625" style="15" customWidth="1"/>
    <col min="15" max="15" width="4.7109375" style="15" customWidth="1"/>
    <col min="16" max="16" width="4.140625" style="15" customWidth="1"/>
    <col min="17" max="17" width="5.28515625" style="15" customWidth="1"/>
    <col min="18" max="19" width="4.7109375" style="15" customWidth="1"/>
    <col min="20" max="20" width="4.7109375" style="235" customWidth="1"/>
    <col min="21" max="22" width="4.7109375" style="15" customWidth="1"/>
    <col min="23" max="23" width="7.28515625" style="235" customWidth="1"/>
    <col min="24" max="24" width="5.140625" style="15" hidden="1" customWidth="1"/>
    <col min="25" max="25" width="9.5703125" style="15" hidden="1" customWidth="1"/>
    <col min="26" max="26" width="4.5703125" style="15" hidden="1" customWidth="1"/>
    <col min="27" max="27" width="9.28515625" style="15" hidden="1" customWidth="1"/>
    <col min="28" max="28" width="11" style="15" hidden="1" customWidth="1"/>
    <col min="29" max="30" width="8.140625" style="15" hidden="1" customWidth="1"/>
    <col min="31" max="31" width="11.5703125" style="15" hidden="1" customWidth="1"/>
    <col min="32" max="32" width="24.42578125" style="15" hidden="1" customWidth="1"/>
    <col min="33" max="33" width="9.28515625" style="15" hidden="1" customWidth="1"/>
    <col min="34" max="34" width="11" style="15" hidden="1" customWidth="1"/>
    <col min="35" max="36" width="8.140625" style="15" hidden="1" customWidth="1"/>
    <col min="37" max="37" width="11.5703125" style="15" hidden="1" customWidth="1"/>
    <col min="38" max="38" width="21.28515625" style="15" hidden="1" customWidth="1"/>
    <col min="39" max="39" width="10.85546875" style="15" hidden="1" customWidth="1"/>
    <col min="40" max="40" width="11" style="15" hidden="1" customWidth="1"/>
    <col min="41" max="42" width="8.140625" style="15" hidden="1" customWidth="1"/>
    <col min="43" max="43" width="11.5703125" style="15" hidden="1" customWidth="1"/>
    <col min="44" max="44" width="24.5703125" style="15" hidden="1" customWidth="1"/>
    <col min="45" max="45" width="10" style="15" hidden="1" customWidth="1"/>
    <col min="46" max="46" width="11" style="15" hidden="1" customWidth="1"/>
    <col min="47" max="48" width="8.140625" style="15" hidden="1" customWidth="1"/>
    <col min="49" max="49" width="10.85546875" style="15" hidden="1" customWidth="1"/>
    <col min="50" max="50" width="24" style="15" hidden="1" customWidth="1"/>
    <col min="51" max="51" width="9.28515625" style="15" hidden="1" customWidth="1"/>
    <col min="52" max="52" width="11" style="15" hidden="1" customWidth="1"/>
    <col min="53" max="54" width="8.140625" style="15" hidden="1" customWidth="1"/>
    <col min="55" max="55" width="11.5703125" style="15" hidden="1" customWidth="1"/>
    <col min="56" max="56" width="22.28515625" style="15" hidden="1" customWidth="1"/>
    <col min="57" max="57" width="9.28515625" style="15" hidden="1" customWidth="1"/>
    <col min="58" max="58" width="11" style="15" hidden="1" customWidth="1"/>
    <col min="59" max="60" width="8.140625" style="15" hidden="1" customWidth="1"/>
    <col min="61" max="61" width="11.5703125" style="15" hidden="1" customWidth="1"/>
    <col min="62" max="62" width="26.42578125" style="15" hidden="1" customWidth="1"/>
    <col min="63" max="63" width="10" style="15" hidden="1" customWidth="1"/>
    <col min="64" max="64" width="11" style="15" hidden="1" customWidth="1"/>
    <col min="65" max="66" width="8.140625" style="15" hidden="1" customWidth="1"/>
    <col min="67" max="67" width="11.5703125" style="15" hidden="1" customWidth="1"/>
    <col min="68" max="68" width="27.140625" style="15" hidden="1" customWidth="1"/>
    <col min="69" max="69" width="9.28515625" style="15" hidden="1" customWidth="1"/>
    <col min="70" max="70" width="11" style="15" hidden="1" customWidth="1"/>
    <col min="71" max="72" width="8.140625" style="15" hidden="1" customWidth="1"/>
    <col min="73" max="73" width="11.5703125" style="15" hidden="1" customWidth="1"/>
    <col min="74" max="74" width="26" style="15" hidden="1" customWidth="1"/>
    <col min="75" max="75" width="11.7109375" style="15" hidden="1" customWidth="1"/>
    <col min="76" max="76" width="11" style="15" hidden="1" customWidth="1"/>
    <col min="77" max="78" width="8.140625" style="15" hidden="1" customWidth="1"/>
    <col min="79" max="79" width="9.5703125" style="15" hidden="1" customWidth="1"/>
    <col min="80" max="80" width="39.140625" style="15" hidden="1" customWidth="1"/>
    <col min="81" max="81" width="9.28515625" style="15" hidden="1" customWidth="1"/>
    <col min="82" max="82" width="11" style="15" hidden="1" customWidth="1"/>
    <col min="83" max="83" width="6.5703125" style="15" hidden="1" customWidth="1"/>
    <col min="84" max="84" width="6.7109375" style="15" hidden="1" customWidth="1"/>
    <col min="85" max="85" width="9.7109375" style="15" hidden="1" customWidth="1"/>
    <col min="86" max="86" width="36.5703125" style="15" hidden="1" customWidth="1"/>
    <col min="87" max="87" width="6.42578125" style="15" hidden="1" customWidth="1"/>
    <col min="88" max="88" width="7.28515625" style="15" hidden="1" customWidth="1"/>
    <col min="89" max="89" width="6.5703125" style="15" hidden="1" customWidth="1"/>
    <col min="90" max="90" width="6.7109375" style="15" hidden="1" customWidth="1"/>
    <col min="91" max="91" width="7.85546875" style="15" hidden="1" customWidth="1"/>
    <col min="92" max="92" width="35.85546875" style="15" hidden="1" customWidth="1"/>
    <col min="93" max="93" width="14.5703125" style="2" customWidth="1"/>
    <col min="94" max="94" width="13" style="2" customWidth="1"/>
    <col min="95" max="96" width="8.140625" style="15" customWidth="1"/>
    <col min="97" max="97" width="11.5703125" style="15" customWidth="1"/>
    <col min="98" max="98" width="26.85546875" style="15" customWidth="1"/>
    <col min="99" max="99" width="12.140625" style="2" customWidth="1"/>
    <col min="100" max="100" width="15.5703125" style="2" customWidth="1"/>
    <col min="101" max="101" width="9" style="15" customWidth="1"/>
    <col min="102" max="102" width="7.42578125" style="15" customWidth="1"/>
    <col min="103" max="103" width="12.85546875" style="15" customWidth="1"/>
    <col min="104" max="104" width="36.42578125" style="15" customWidth="1"/>
    <col min="105" max="105" width="35.85546875" style="15" customWidth="1"/>
    <col min="106" max="106" width="11.42578125" style="15" customWidth="1"/>
    <col min="107" max="107" width="4" style="15" customWidth="1"/>
    <col min="108" max="16384" width="11.5703125" style="15"/>
  </cols>
  <sheetData>
    <row r="1" spans="1:256">
      <c r="A1" s="10"/>
      <c r="B1" s="570"/>
      <c r="C1" s="4"/>
      <c r="D1" s="571"/>
      <c r="E1" s="2248" t="s">
        <v>22</v>
      </c>
      <c r="F1" s="1991"/>
      <c r="G1" s="1991"/>
      <c r="H1" s="1991"/>
      <c r="I1" s="1991"/>
      <c r="J1" s="1991"/>
      <c r="K1" s="1991"/>
      <c r="L1" s="1991"/>
      <c r="M1" s="1991"/>
      <c r="N1" s="1991"/>
      <c r="O1" s="1991"/>
      <c r="P1" s="1991"/>
      <c r="Q1" s="1991"/>
      <c r="R1" s="1991"/>
      <c r="S1" s="2249"/>
      <c r="T1" s="2250"/>
      <c r="U1" s="2251"/>
      <c r="V1" s="2251"/>
      <c r="W1" s="2252"/>
      <c r="X1" s="572"/>
      <c r="Y1" s="572"/>
      <c r="Z1" s="573"/>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574"/>
      <c r="CP1" s="574"/>
      <c r="CQ1" s="4"/>
      <c r="CR1" s="4"/>
      <c r="CS1" s="4"/>
      <c r="CT1" s="4"/>
      <c r="CU1" s="574"/>
      <c r="CV1" s="57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ht="30.6" customHeight="1">
      <c r="A2" s="1980" t="s">
        <v>52</v>
      </c>
      <c r="B2" s="1985"/>
      <c r="C2" s="1981"/>
      <c r="D2" s="575"/>
      <c r="E2" s="1980" t="s">
        <v>50</v>
      </c>
      <c r="F2" s="1985"/>
      <c r="G2" s="1985"/>
      <c r="H2" s="1985"/>
      <c r="I2" s="1985"/>
      <c r="J2" s="1985"/>
      <c r="K2" s="1985"/>
      <c r="L2" s="1985"/>
      <c r="M2" s="1985"/>
      <c r="N2" s="1985"/>
      <c r="O2" s="1981"/>
      <c r="P2" s="1978" t="s">
        <v>48</v>
      </c>
      <c r="Q2" s="1978"/>
      <c r="R2" s="1978"/>
      <c r="S2" s="1978"/>
      <c r="T2" s="2253"/>
      <c r="U2" s="2254"/>
      <c r="V2" s="2254"/>
      <c r="W2" s="2255"/>
      <c r="X2" s="576"/>
      <c r="Y2" s="576"/>
      <c r="Z2" s="577"/>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Q2" s="3"/>
      <c r="CR2" s="3"/>
      <c r="CS2" s="3"/>
      <c r="CT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c r="T3" s="126"/>
    </row>
    <row r="4" spans="1:256">
      <c r="B4" s="582"/>
      <c r="C4" s="46" t="s">
        <v>18</v>
      </c>
      <c r="E4" s="2256" t="s">
        <v>1178</v>
      </c>
      <c r="F4" s="2257"/>
      <c r="G4" s="2257"/>
      <c r="H4" s="2257"/>
      <c r="I4" s="2258"/>
      <c r="J4" s="583"/>
      <c r="K4" s="584"/>
      <c r="L4" s="1996" t="s">
        <v>21</v>
      </c>
      <c r="M4" s="1996"/>
      <c r="N4" s="1996"/>
      <c r="O4" s="2259" t="s">
        <v>1179</v>
      </c>
      <c r="P4" s="2260"/>
      <c r="Q4" s="2260"/>
      <c r="R4" s="2260"/>
      <c r="S4" s="2260"/>
      <c r="T4" s="2260"/>
      <c r="U4" s="2260"/>
      <c r="V4" s="2260"/>
      <c r="W4" s="2261"/>
      <c r="X4" s="244"/>
      <c r="Y4" s="244"/>
      <c r="Z4" s="585"/>
      <c r="AA4" s="1994" t="s">
        <v>29</v>
      </c>
      <c r="AB4" s="1994"/>
      <c r="AC4" s="1994"/>
      <c r="AD4" s="1994"/>
      <c r="AE4" s="1994"/>
      <c r="AF4" s="1995"/>
      <c r="AG4" s="1993" t="s">
        <v>29</v>
      </c>
      <c r="AH4" s="1994"/>
      <c r="AI4" s="1994"/>
      <c r="AJ4" s="1994"/>
      <c r="AK4" s="1994"/>
      <c r="AL4" s="1995"/>
      <c r="AM4" s="1993" t="s">
        <v>29</v>
      </c>
      <c r="AN4" s="1994"/>
      <c r="AO4" s="1994"/>
      <c r="AP4" s="1994"/>
      <c r="AQ4" s="1994"/>
      <c r="AR4" s="1995"/>
      <c r="AS4" s="1993" t="s">
        <v>29</v>
      </c>
      <c r="AT4" s="1994"/>
      <c r="AU4" s="1994"/>
      <c r="AV4" s="1994"/>
      <c r="AW4" s="1994"/>
      <c r="AX4" s="1995"/>
      <c r="AY4" s="1993" t="s">
        <v>29</v>
      </c>
      <c r="AZ4" s="1994"/>
      <c r="BA4" s="1994"/>
      <c r="BB4" s="1994"/>
      <c r="BC4" s="1994"/>
      <c r="BD4" s="1995"/>
      <c r="BE4" s="1993" t="s">
        <v>29</v>
      </c>
      <c r="BF4" s="1994"/>
      <c r="BG4" s="1994"/>
      <c r="BH4" s="1994"/>
      <c r="BI4" s="1994"/>
      <c r="BJ4" s="1995"/>
      <c r="BK4" s="1993" t="s">
        <v>29</v>
      </c>
      <c r="BL4" s="1994"/>
      <c r="BM4" s="1994"/>
      <c r="BN4" s="1994"/>
      <c r="BO4" s="1994"/>
      <c r="BP4" s="1995"/>
      <c r="BQ4" s="1993" t="s">
        <v>29</v>
      </c>
      <c r="BR4" s="1994"/>
      <c r="BS4" s="1994"/>
      <c r="BT4" s="1994"/>
      <c r="BU4" s="1994"/>
      <c r="BV4" s="1995"/>
      <c r="BW4" s="1993" t="s">
        <v>29</v>
      </c>
      <c r="BX4" s="1994"/>
      <c r="BY4" s="1994"/>
      <c r="BZ4" s="1994"/>
      <c r="CA4" s="1994"/>
      <c r="CB4" s="1995"/>
      <c r="CC4" s="1993" t="s">
        <v>29</v>
      </c>
      <c r="CD4" s="1994"/>
      <c r="CE4" s="1994"/>
      <c r="CF4" s="1994"/>
      <c r="CG4" s="1994"/>
      <c r="CH4" s="1995"/>
      <c r="CI4" s="1993" t="s">
        <v>29</v>
      </c>
      <c r="CJ4" s="1994"/>
      <c r="CK4" s="1994"/>
      <c r="CL4" s="1994"/>
      <c r="CM4" s="1994"/>
      <c r="CN4" s="1995"/>
      <c r="CO4" s="1993" t="s">
        <v>1180</v>
      </c>
      <c r="CP4" s="1994"/>
      <c r="CQ4" s="1994"/>
      <c r="CR4" s="1994"/>
      <c r="CS4" s="1994"/>
      <c r="CT4" s="1995"/>
      <c r="CU4" s="1993" t="s">
        <v>30</v>
      </c>
      <c r="CV4" s="1994"/>
      <c r="CW4" s="1994"/>
      <c r="CX4" s="1994"/>
      <c r="CY4" s="1994"/>
      <c r="CZ4" s="1994"/>
    </row>
    <row r="5" spans="1:256" ht="15.75">
      <c r="A5" s="2"/>
      <c r="B5" s="2262" t="s">
        <v>1181</v>
      </c>
      <c r="C5" s="2263" t="s">
        <v>26</v>
      </c>
      <c r="D5" s="2264"/>
      <c r="E5" s="2265" t="s">
        <v>23</v>
      </c>
      <c r="F5" s="2092" t="s">
        <v>19</v>
      </c>
      <c r="G5" s="2092" t="s">
        <v>11</v>
      </c>
      <c r="H5" s="2092" t="s">
        <v>15</v>
      </c>
      <c r="I5" s="2266" t="s">
        <v>12</v>
      </c>
      <c r="J5" s="2268" t="s">
        <v>20</v>
      </c>
      <c r="K5" s="2092" t="s">
        <v>16</v>
      </c>
      <c r="L5" s="2269" t="s">
        <v>24</v>
      </c>
      <c r="M5" s="2269"/>
      <c r="N5" s="2269"/>
      <c r="O5" s="2269"/>
      <c r="P5" s="2269"/>
      <c r="Q5" s="2269"/>
      <c r="R5" s="2269"/>
      <c r="S5" s="2269"/>
      <c r="T5" s="2269"/>
      <c r="U5" s="2269"/>
      <c r="V5" s="2269"/>
      <c r="W5" s="2269"/>
      <c r="X5" s="1951"/>
      <c r="Y5" s="1952"/>
      <c r="Z5" s="1952"/>
      <c r="AA5" s="2270" t="s">
        <v>37</v>
      </c>
      <c r="AB5" s="2271"/>
      <c r="AC5" s="2271"/>
      <c r="AD5" s="2271"/>
      <c r="AE5" s="2271"/>
      <c r="AF5" s="2271"/>
      <c r="AG5" s="2272" t="s">
        <v>38</v>
      </c>
      <c r="AH5" s="2271"/>
      <c r="AI5" s="2271"/>
      <c r="AJ5" s="2271"/>
      <c r="AK5" s="2271"/>
      <c r="AL5" s="2271"/>
      <c r="AM5" s="2272" t="s">
        <v>39</v>
      </c>
      <c r="AN5" s="2271"/>
      <c r="AO5" s="2271"/>
      <c r="AP5" s="2271"/>
      <c r="AQ5" s="2271"/>
      <c r="AR5" s="2271"/>
      <c r="AS5" s="2272" t="s">
        <v>40</v>
      </c>
      <c r="AT5" s="2271"/>
      <c r="AU5" s="2271"/>
      <c r="AV5" s="2271"/>
      <c r="AW5" s="2271"/>
      <c r="AX5" s="2271"/>
      <c r="AY5" s="2272" t="s">
        <v>41</v>
      </c>
      <c r="AZ5" s="2271"/>
      <c r="BA5" s="2271"/>
      <c r="BB5" s="2271"/>
      <c r="BC5" s="2271"/>
      <c r="BD5" s="2271"/>
      <c r="BE5" s="2272" t="s">
        <v>42</v>
      </c>
      <c r="BF5" s="2271"/>
      <c r="BG5" s="2271"/>
      <c r="BH5" s="2271"/>
      <c r="BI5" s="2271"/>
      <c r="BJ5" s="2271"/>
      <c r="BK5" s="2272" t="s">
        <v>43</v>
      </c>
      <c r="BL5" s="2271"/>
      <c r="BM5" s="2271"/>
      <c r="BN5" s="2271"/>
      <c r="BO5" s="2271"/>
      <c r="BP5" s="2271"/>
      <c r="BQ5" s="2272" t="s">
        <v>44</v>
      </c>
      <c r="BR5" s="2271"/>
      <c r="BS5" s="2271"/>
      <c r="BT5" s="2271"/>
      <c r="BU5" s="2271"/>
      <c r="BV5" s="2271"/>
      <c r="BW5" s="2273" t="s">
        <v>1182</v>
      </c>
      <c r="BX5" s="2274"/>
      <c r="BY5" s="2274"/>
      <c r="BZ5" s="2274"/>
      <c r="CA5" s="2274"/>
      <c r="CB5" s="2275"/>
      <c r="CC5" s="2276" t="s">
        <v>46</v>
      </c>
      <c r="CD5" s="2277"/>
      <c r="CE5" s="2277"/>
      <c r="CF5" s="2277"/>
      <c r="CG5" s="2277"/>
      <c r="CH5" s="2270"/>
      <c r="CI5" s="2272" t="s">
        <v>47</v>
      </c>
      <c r="CJ5" s="2271"/>
      <c r="CK5" s="2271"/>
      <c r="CL5" s="2271"/>
      <c r="CM5" s="2271"/>
      <c r="CN5" s="2271"/>
      <c r="CO5" s="2272" t="s">
        <v>87</v>
      </c>
      <c r="CP5" s="2271"/>
      <c r="CQ5" s="2271"/>
      <c r="CR5" s="2271"/>
      <c r="CS5" s="2271"/>
      <c r="CT5" s="2271"/>
      <c r="CU5" s="2272" t="s">
        <v>51</v>
      </c>
      <c r="CV5" s="2271"/>
      <c r="CW5" s="2271"/>
      <c r="CX5" s="2271"/>
      <c r="CY5" s="2271"/>
      <c r="CZ5" s="2271"/>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45">
      <c r="A6" s="2"/>
      <c r="B6" s="2262"/>
      <c r="C6" s="2263"/>
      <c r="D6" s="2264"/>
      <c r="E6" s="2265"/>
      <c r="F6" s="2092"/>
      <c r="G6" s="2092"/>
      <c r="H6" s="2092"/>
      <c r="I6" s="2267"/>
      <c r="J6" s="2268"/>
      <c r="K6" s="2092"/>
      <c r="L6" s="1950" t="s">
        <v>13</v>
      </c>
      <c r="M6" s="1950" t="s">
        <v>0</v>
      </c>
      <c r="N6" s="1950" t="s">
        <v>1</v>
      </c>
      <c r="O6" s="1950" t="s">
        <v>14</v>
      </c>
      <c r="P6" s="1950" t="s">
        <v>2</v>
      </c>
      <c r="Q6" s="1950" t="s">
        <v>3</v>
      </c>
      <c r="R6" s="1950" t="s">
        <v>4</v>
      </c>
      <c r="S6" s="1950" t="s">
        <v>5</v>
      </c>
      <c r="T6" s="1950" t="s">
        <v>6</v>
      </c>
      <c r="U6" s="1950" t="s">
        <v>7</v>
      </c>
      <c r="V6" s="1950" t="s">
        <v>8</v>
      </c>
      <c r="W6" s="1950" t="s">
        <v>9</v>
      </c>
      <c r="X6" s="1950" t="s">
        <v>54</v>
      </c>
      <c r="Y6" s="1953" t="s">
        <v>65</v>
      </c>
      <c r="Z6" s="1953" t="s">
        <v>1183</v>
      </c>
      <c r="AA6" s="1954" t="s">
        <v>31</v>
      </c>
      <c r="AB6" s="1955" t="s">
        <v>32</v>
      </c>
      <c r="AC6" s="1956" t="s">
        <v>33</v>
      </c>
      <c r="AD6" s="1955" t="s">
        <v>34</v>
      </c>
      <c r="AE6" s="1957" t="s">
        <v>35</v>
      </c>
      <c r="AF6" s="1956" t="s">
        <v>36</v>
      </c>
      <c r="AG6" s="1955" t="s">
        <v>31</v>
      </c>
      <c r="AH6" s="1955" t="s">
        <v>32</v>
      </c>
      <c r="AI6" s="1956" t="s">
        <v>33</v>
      </c>
      <c r="AJ6" s="1955" t="s">
        <v>34</v>
      </c>
      <c r="AK6" s="1957" t="s">
        <v>35</v>
      </c>
      <c r="AL6" s="1956" t="s">
        <v>36</v>
      </c>
      <c r="AM6" s="1955" t="s">
        <v>31</v>
      </c>
      <c r="AN6" s="1955" t="s">
        <v>32</v>
      </c>
      <c r="AO6" s="1956" t="s">
        <v>33</v>
      </c>
      <c r="AP6" s="1955" t="s">
        <v>34</v>
      </c>
      <c r="AQ6" s="1957" t="s">
        <v>35</v>
      </c>
      <c r="AR6" s="1956" t="s">
        <v>36</v>
      </c>
      <c r="AS6" s="1955" t="s">
        <v>31</v>
      </c>
      <c r="AT6" s="1955" t="s">
        <v>32</v>
      </c>
      <c r="AU6" s="1956" t="s">
        <v>33</v>
      </c>
      <c r="AV6" s="1955" t="s">
        <v>34</v>
      </c>
      <c r="AW6" s="1957" t="s">
        <v>35</v>
      </c>
      <c r="AX6" s="1956" t="s">
        <v>36</v>
      </c>
      <c r="AY6" s="1955" t="s">
        <v>31</v>
      </c>
      <c r="AZ6" s="1955" t="s">
        <v>32</v>
      </c>
      <c r="BA6" s="1956" t="s">
        <v>33</v>
      </c>
      <c r="BB6" s="1955" t="s">
        <v>34</v>
      </c>
      <c r="BC6" s="1957" t="s">
        <v>35</v>
      </c>
      <c r="BD6" s="1956" t="s">
        <v>36</v>
      </c>
      <c r="BE6" s="1955" t="s">
        <v>31</v>
      </c>
      <c r="BF6" s="1955" t="s">
        <v>32</v>
      </c>
      <c r="BG6" s="1956" t="s">
        <v>33</v>
      </c>
      <c r="BH6" s="1955" t="s">
        <v>34</v>
      </c>
      <c r="BI6" s="1957" t="s">
        <v>35</v>
      </c>
      <c r="BJ6" s="1956" t="s">
        <v>36</v>
      </c>
      <c r="BK6" s="1955" t="s">
        <v>31</v>
      </c>
      <c r="BL6" s="1955" t="s">
        <v>32</v>
      </c>
      <c r="BM6" s="1956" t="s">
        <v>33</v>
      </c>
      <c r="BN6" s="1955" t="s">
        <v>34</v>
      </c>
      <c r="BO6" s="1957" t="s">
        <v>35</v>
      </c>
      <c r="BP6" s="1956" t="s">
        <v>36</v>
      </c>
      <c r="BQ6" s="1955" t="s">
        <v>31</v>
      </c>
      <c r="BR6" s="1955" t="s">
        <v>32</v>
      </c>
      <c r="BS6" s="1956" t="s">
        <v>33</v>
      </c>
      <c r="BT6" s="1955" t="s">
        <v>34</v>
      </c>
      <c r="BU6" s="1957" t="s">
        <v>35</v>
      </c>
      <c r="BV6" s="1956" t="s">
        <v>36</v>
      </c>
      <c r="BW6" s="1958" t="s">
        <v>31</v>
      </c>
      <c r="BX6" s="1958" t="s">
        <v>32</v>
      </c>
      <c r="BY6" s="1958" t="s">
        <v>33</v>
      </c>
      <c r="BZ6" s="1958" t="s">
        <v>34</v>
      </c>
      <c r="CA6" s="1958" t="s">
        <v>35</v>
      </c>
      <c r="CB6" s="1959" t="s">
        <v>36</v>
      </c>
      <c r="CC6" s="1955" t="s">
        <v>31</v>
      </c>
      <c r="CD6" s="1955" t="s">
        <v>32</v>
      </c>
      <c r="CE6" s="1956" t="s">
        <v>33</v>
      </c>
      <c r="CF6" s="1955" t="s">
        <v>34</v>
      </c>
      <c r="CG6" s="1957" t="s">
        <v>35</v>
      </c>
      <c r="CH6" s="1956" t="s">
        <v>36</v>
      </c>
      <c r="CI6" s="1955" t="s">
        <v>31</v>
      </c>
      <c r="CJ6" s="1955" t="s">
        <v>32</v>
      </c>
      <c r="CK6" s="1956" t="s">
        <v>33</v>
      </c>
      <c r="CL6" s="1955" t="s">
        <v>34</v>
      </c>
      <c r="CM6" s="1957" t="s">
        <v>35</v>
      </c>
      <c r="CN6" s="1956" t="s">
        <v>36</v>
      </c>
      <c r="CO6" s="1956" t="s">
        <v>31</v>
      </c>
      <c r="CP6" s="1956" t="s">
        <v>32</v>
      </c>
      <c r="CQ6" s="1956" t="s">
        <v>33</v>
      </c>
      <c r="CR6" s="1955" t="s">
        <v>34</v>
      </c>
      <c r="CS6" s="1957" t="s">
        <v>35</v>
      </c>
      <c r="CT6" s="1956" t="s">
        <v>36</v>
      </c>
      <c r="CU6" s="1956" t="s">
        <v>31</v>
      </c>
      <c r="CV6" s="1956" t="s">
        <v>32</v>
      </c>
      <c r="CW6" s="1956" t="s">
        <v>33</v>
      </c>
      <c r="CX6" s="1955" t="s">
        <v>34</v>
      </c>
      <c r="CY6" s="1960" t="s">
        <v>1184</v>
      </c>
      <c r="CZ6" s="1956" t="s">
        <v>36</v>
      </c>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112.5">
      <c r="B7" s="586" t="s">
        <v>1185</v>
      </c>
      <c r="C7" s="596" t="s">
        <v>1186</v>
      </c>
      <c r="D7" s="597"/>
      <c r="E7" s="598" t="s">
        <v>1187</v>
      </c>
      <c r="F7" s="347" t="s">
        <v>1188</v>
      </c>
      <c r="G7" s="599" t="s">
        <v>1189</v>
      </c>
      <c r="H7" s="600" t="s">
        <v>1190</v>
      </c>
      <c r="I7" s="601" t="s">
        <v>1191</v>
      </c>
      <c r="J7" s="602" t="s">
        <v>1192</v>
      </c>
      <c r="K7" s="8" t="s">
        <v>54</v>
      </c>
      <c r="L7" s="603"/>
      <c r="M7" s="603"/>
      <c r="N7" s="603"/>
      <c r="O7" s="603"/>
      <c r="P7" s="603"/>
      <c r="Q7" s="603">
        <v>0.5</v>
      </c>
      <c r="R7" s="604"/>
      <c r="S7" s="603"/>
      <c r="T7" s="604"/>
      <c r="U7" s="604"/>
      <c r="V7" s="603">
        <v>0.5</v>
      </c>
      <c r="W7" s="604"/>
      <c r="X7" s="604">
        <v>0.5</v>
      </c>
      <c r="Y7" s="8" t="s">
        <v>1193</v>
      </c>
      <c r="Z7" s="604">
        <v>1</v>
      </c>
      <c r="AA7" s="605"/>
      <c r="AB7" s="68"/>
      <c r="AC7" s="606" t="s">
        <v>332</v>
      </c>
      <c r="AD7" s="607"/>
      <c r="AE7" s="607" t="s">
        <v>332</v>
      </c>
      <c r="AF7" s="65"/>
      <c r="AG7" s="68"/>
      <c r="AH7" s="68"/>
      <c r="AI7" s="606" t="s">
        <v>332</v>
      </c>
      <c r="AJ7" s="607"/>
      <c r="AK7" s="607" t="s">
        <v>332</v>
      </c>
      <c r="AL7" s="65"/>
      <c r="AM7" s="68"/>
      <c r="AN7" s="68"/>
      <c r="AO7" s="606" t="s">
        <v>332</v>
      </c>
      <c r="AP7" s="607"/>
      <c r="AQ7" s="607" t="s">
        <v>332</v>
      </c>
      <c r="AR7" s="65"/>
      <c r="AS7" s="68"/>
      <c r="AT7" s="68"/>
      <c r="AU7" s="606" t="s">
        <v>332</v>
      </c>
      <c r="AV7" s="607"/>
      <c r="AW7" s="607" t="s">
        <v>332</v>
      </c>
      <c r="AX7" s="65"/>
      <c r="AY7" s="68"/>
      <c r="AZ7" s="68"/>
      <c r="BA7" s="606" t="s">
        <v>332</v>
      </c>
      <c r="BB7" s="607"/>
      <c r="BC7" s="607" t="s">
        <v>332</v>
      </c>
      <c r="BD7" s="65" t="s">
        <v>1194</v>
      </c>
      <c r="BE7" s="68">
        <v>3</v>
      </c>
      <c r="BF7" s="68">
        <v>6</v>
      </c>
      <c r="BG7" s="606">
        <v>0.5</v>
      </c>
      <c r="BH7" s="607">
        <v>0.5</v>
      </c>
      <c r="BI7" s="607">
        <v>1</v>
      </c>
      <c r="BJ7" s="65" t="s">
        <v>1195</v>
      </c>
      <c r="BK7" s="68"/>
      <c r="BL7" s="68"/>
      <c r="BM7" s="606" t="s">
        <v>332</v>
      </c>
      <c r="BN7" s="607"/>
      <c r="BO7" s="607" t="s">
        <v>332</v>
      </c>
      <c r="BP7" s="65" t="s">
        <v>1196</v>
      </c>
      <c r="BQ7" s="68"/>
      <c r="BR7" s="68"/>
      <c r="BS7" s="606" t="s">
        <v>332</v>
      </c>
      <c r="BT7" s="607"/>
      <c r="BU7" s="607" t="s">
        <v>332</v>
      </c>
      <c r="BV7" s="65" t="s">
        <v>1197</v>
      </c>
      <c r="BW7" s="608"/>
      <c r="BX7" s="608"/>
      <c r="BY7" s="609" t="s">
        <v>332</v>
      </c>
      <c r="BZ7" s="609"/>
      <c r="CA7" s="609" t="s">
        <v>332</v>
      </c>
      <c r="CB7" s="610" t="s">
        <v>1198</v>
      </c>
      <c r="CC7" s="68"/>
      <c r="CD7" s="68"/>
      <c r="CE7" s="606" t="s">
        <v>332</v>
      </c>
      <c r="CF7" s="607"/>
      <c r="CG7" s="607" t="s">
        <v>332</v>
      </c>
      <c r="CH7" s="610" t="s">
        <v>1199</v>
      </c>
      <c r="CI7" s="68">
        <v>3</v>
      </c>
      <c r="CJ7" s="68">
        <v>6</v>
      </c>
      <c r="CK7" s="606">
        <f>+CI7/CJ7</f>
        <v>0.5</v>
      </c>
      <c r="CL7" s="607">
        <f>+V7</f>
        <v>0.5</v>
      </c>
      <c r="CM7" s="607">
        <f>+CK7/CL7</f>
        <v>1</v>
      </c>
      <c r="CN7" s="610" t="s">
        <v>1200</v>
      </c>
      <c r="CO7" s="68"/>
      <c r="CP7" s="68"/>
      <c r="CQ7" s="606" t="s">
        <v>332</v>
      </c>
      <c r="CR7" s="607"/>
      <c r="CS7" s="607" t="s">
        <v>332</v>
      </c>
      <c r="CT7" s="610" t="s">
        <v>1199</v>
      </c>
      <c r="CU7" s="68">
        <f>+BE7+CI7</f>
        <v>6</v>
      </c>
      <c r="CV7" s="68">
        <v>6</v>
      </c>
      <c r="CW7" s="606">
        <f>+CU7/CV7</f>
        <v>1</v>
      </c>
      <c r="CX7" s="607">
        <f>+Q7+V7</f>
        <v>1</v>
      </c>
      <c r="CY7" s="607">
        <v>1</v>
      </c>
      <c r="CZ7" s="65" t="s">
        <v>1201</v>
      </c>
    </row>
    <row r="8" spans="1:256" ht="72">
      <c r="B8" s="586" t="s">
        <v>1202</v>
      </c>
      <c r="C8" s="596" t="s">
        <v>1203</v>
      </c>
      <c r="D8" s="597"/>
      <c r="E8" s="598" t="s">
        <v>1204</v>
      </c>
      <c r="F8" s="347" t="s">
        <v>1205</v>
      </c>
      <c r="G8" s="599" t="s">
        <v>1206</v>
      </c>
      <c r="H8" s="600" t="s">
        <v>352</v>
      </c>
      <c r="I8" s="601" t="s">
        <v>1207</v>
      </c>
      <c r="J8" s="602" t="s">
        <v>1208</v>
      </c>
      <c r="K8" s="8" t="s">
        <v>54</v>
      </c>
      <c r="L8" s="603"/>
      <c r="M8" s="603"/>
      <c r="N8" s="603"/>
      <c r="O8" s="603"/>
      <c r="P8" s="603"/>
      <c r="Q8" s="604"/>
      <c r="R8" s="604">
        <v>0.5</v>
      </c>
      <c r="S8" s="604"/>
      <c r="T8" s="604"/>
      <c r="U8" s="604"/>
      <c r="V8" s="604">
        <v>0.5</v>
      </c>
      <c r="W8" s="604"/>
      <c r="X8" s="604">
        <v>1</v>
      </c>
      <c r="Y8" s="8" t="s">
        <v>1193</v>
      </c>
      <c r="Z8" s="604">
        <v>1</v>
      </c>
      <c r="AA8" s="605"/>
      <c r="AB8" s="68"/>
      <c r="AC8" s="606"/>
      <c r="AD8" s="607"/>
      <c r="AE8" s="607"/>
      <c r="AF8" s="65"/>
      <c r="AG8" s="68"/>
      <c r="AH8" s="68"/>
      <c r="AI8" s="606"/>
      <c r="AJ8" s="607"/>
      <c r="AK8" s="607"/>
      <c r="AL8" s="65"/>
      <c r="AM8" s="68"/>
      <c r="AN8" s="68"/>
      <c r="AO8" s="606"/>
      <c r="AP8" s="607"/>
      <c r="AQ8" s="607"/>
      <c r="AR8" s="65"/>
      <c r="AS8" s="68"/>
      <c r="AT8" s="68"/>
      <c r="AU8" s="606"/>
      <c r="AV8" s="607"/>
      <c r="AW8" s="607"/>
      <c r="AX8" s="65"/>
      <c r="AY8" s="68"/>
      <c r="AZ8" s="68"/>
      <c r="BA8" s="606"/>
      <c r="BB8" s="607"/>
      <c r="BC8" s="607"/>
      <c r="BD8" s="65" t="s">
        <v>1194</v>
      </c>
      <c r="BE8" s="68"/>
      <c r="BF8" s="68"/>
      <c r="BG8" s="606"/>
      <c r="BH8" s="607"/>
      <c r="BI8" s="607"/>
      <c r="BJ8" s="65" t="s">
        <v>1209</v>
      </c>
      <c r="BK8" s="68">
        <v>1</v>
      </c>
      <c r="BL8" s="68">
        <v>2</v>
      </c>
      <c r="BM8" s="606">
        <v>0.5</v>
      </c>
      <c r="BN8" s="607">
        <f>+R8</f>
        <v>0.5</v>
      </c>
      <c r="BO8" s="607">
        <f>+BM8/BN8</f>
        <v>1</v>
      </c>
      <c r="BP8" s="65" t="s">
        <v>1210</v>
      </c>
      <c r="BQ8" s="68"/>
      <c r="BR8" s="68"/>
      <c r="BS8" s="606"/>
      <c r="BT8" s="607"/>
      <c r="BU8" s="607"/>
      <c r="BV8" s="65" t="s">
        <v>1197</v>
      </c>
      <c r="BW8" s="608"/>
      <c r="BX8" s="608"/>
      <c r="BY8" s="609"/>
      <c r="BZ8" s="609"/>
      <c r="CA8" s="609"/>
      <c r="CB8" s="610" t="s">
        <v>1198</v>
      </c>
      <c r="CC8" s="68"/>
      <c r="CD8" s="68"/>
      <c r="CE8" s="606"/>
      <c r="CF8" s="607"/>
      <c r="CG8" s="607"/>
      <c r="CH8" s="610" t="s">
        <v>1199</v>
      </c>
      <c r="CI8" s="68">
        <v>1</v>
      </c>
      <c r="CJ8" s="68">
        <v>2</v>
      </c>
      <c r="CK8" s="606">
        <v>0.5</v>
      </c>
      <c r="CL8" s="607">
        <f>+V8</f>
        <v>0.5</v>
      </c>
      <c r="CM8" s="607">
        <f>+CK8/CL8</f>
        <v>1</v>
      </c>
      <c r="CN8" s="65" t="s">
        <v>1210</v>
      </c>
      <c r="CO8" s="68"/>
      <c r="CP8" s="68"/>
      <c r="CQ8" s="606"/>
      <c r="CR8" s="607"/>
      <c r="CS8" s="607"/>
      <c r="CT8" s="610" t="s">
        <v>1199</v>
      </c>
      <c r="CU8" s="68">
        <f>+BK8+CI8</f>
        <v>2</v>
      </c>
      <c r="CV8" s="68">
        <v>2</v>
      </c>
      <c r="CW8" s="606">
        <f>+BM8+CK8</f>
        <v>1</v>
      </c>
      <c r="CX8" s="607">
        <f>+R8+V8</f>
        <v>1</v>
      </c>
      <c r="CY8" s="607">
        <f>+CW8/CX8</f>
        <v>1</v>
      </c>
      <c r="CZ8" s="65" t="s">
        <v>1210</v>
      </c>
    </row>
    <row r="9" spans="1:256" ht="146.25">
      <c r="B9" s="586" t="s">
        <v>1202</v>
      </c>
      <c r="C9" s="596" t="s">
        <v>1211</v>
      </c>
      <c r="D9" s="597"/>
      <c r="E9" s="598" t="s">
        <v>1212</v>
      </c>
      <c r="F9" s="347" t="s">
        <v>1213</v>
      </c>
      <c r="G9" s="599" t="s">
        <v>1214</v>
      </c>
      <c r="H9" s="600" t="s">
        <v>53</v>
      </c>
      <c r="I9" s="601" t="s">
        <v>1215</v>
      </c>
      <c r="J9" s="602" t="s">
        <v>1208</v>
      </c>
      <c r="K9" s="8" t="s">
        <v>54</v>
      </c>
      <c r="L9" s="603"/>
      <c r="M9" s="603"/>
      <c r="N9" s="603"/>
      <c r="O9" s="603"/>
      <c r="P9" s="603"/>
      <c r="Q9" s="604">
        <v>0.5</v>
      </c>
      <c r="R9" s="604"/>
      <c r="S9" s="604"/>
      <c r="T9" s="604"/>
      <c r="U9" s="604"/>
      <c r="V9" s="604">
        <v>0.5</v>
      </c>
      <c r="W9" s="604"/>
      <c r="X9" s="604">
        <v>0.5</v>
      </c>
      <c r="Y9" s="8"/>
      <c r="Z9" s="604">
        <v>1</v>
      </c>
      <c r="AA9" s="605"/>
      <c r="AB9" s="68"/>
      <c r="AC9" s="606"/>
      <c r="AD9" s="607"/>
      <c r="AE9" s="607"/>
      <c r="AF9" s="65"/>
      <c r="AG9" s="68"/>
      <c r="AH9" s="68"/>
      <c r="AI9" s="606"/>
      <c r="AJ9" s="607"/>
      <c r="AK9" s="607"/>
      <c r="AL9" s="65"/>
      <c r="AM9" s="68"/>
      <c r="AN9" s="68"/>
      <c r="AO9" s="606"/>
      <c r="AP9" s="607"/>
      <c r="AQ9" s="607"/>
      <c r="AR9" s="65"/>
      <c r="AS9" s="68"/>
      <c r="AT9" s="68"/>
      <c r="AU9" s="606"/>
      <c r="AV9" s="607"/>
      <c r="AW9" s="607"/>
      <c r="AX9" s="65"/>
      <c r="AY9" s="68"/>
      <c r="AZ9" s="68"/>
      <c r="BA9" s="606"/>
      <c r="BB9" s="607"/>
      <c r="BC9" s="607"/>
      <c r="BD9" s="65" t="s">
        <v>1194</v>
      </c>
      <c r="BE9" s="68">
        <v>5</v>
      </c>
      <c r="BF9" s="68">
        <v>10</v>
      </c>
      <c r="BG9" s="606">
        <v>0.5</v>
      </c>
      <c r="BH9" s="607">
        <v>0.5</v>
      </c>
      <c r="BI9" s="607">
        <v>1</v>
      </c>
      <c r="BJ9" s="65" t="s">
        <v>1216</v>
      </c>
      <c r="BK9" s="68"/>
      <c r="BL9" s="68"/>
      <c r="BM9" s="606"/>
      <c r="BN9" s="607"/>
      <c r="BO9" s="607"/>
      <c r="BP9" s="65" t="s">
        <v>1196</v>
      </c>
      <c r="BQ9" s="68"/>
      <c r="BR9" s="68"/>
      <c r="BS9" s="606"/>
      <c r="BT9" s="607"/>
      <c r="BU9" s="607"/>
      <c r="BV9" s="65" t="s">
        <v>1197</v>
      </c>
      <c r="BW9" s="608"/>
      <c r="BX9" s="608"/>
      <c r="BY9" s="609"/>
      <c r="BZ9" s="609"/>
      <c r="CA9" s="609"/>
      <c r="CB9" s="610" t="s">
        <v>1198</v>
      </c>
      <c r="CC9" s="68"/>
      <c r="CD9" s="68"/>
      <c r="CE9" s="606"/>
      <c r="CF9" s="607"/>
      <c r="CG9" s="607"/>
      <c r="CH9" s="610" t="s">
        <v>1199</v>
      </c>
      <c r="CI9" s="68">
        <v>5</v>
      </c>
      <c r="CJ9" s="68">
        <v>10</v>
      </c>
      <c r="CK9" s="606">
        <f>+CI9/CJ9</f>
        <v>0.5</v>
      </c>
      <c r="CL9" s="607">
        <f>+V9</f>
        <v>0.5</v>
      </c>
      <c r="CM9" s="607">
        <f>+CK9/CL9</f>
        <v>1</v>
      </c>
      <c r="CN9" s="610" t="s">
        <v>1217</v>
      </c>
      <c r="CO9" s="68"/>
      <c r="CP9" s="68"/>
      <c r="CQ9" s="606"/>
      <c r="CR9" s="607"/>
      <c r="CS9" s="607"/>
      <c r="CT9" s="610" t="s">
        <v>1199</v>
      </c>
      <c r="CU9" s="68">
        <f>+BE9+CI9</f>
        <v>10</v>
      </c>
      <c r="CV9" s="68">
        <v>10</v>
      </c>
      <c r="CW9" s="606">
        <f>+CU9/CV9</f>
        <v>1</v>
      </c>
      <c r="CX9" s="607">
        <f>+Q9+V9</f>
        <v>1</v>
      </c>
      <c r="CY9" s="607">
        <v>1</v>
      </c>
      <c r="CZ9" s="65" t="s">
        <v>1218</v>
      </c>
    </row>
    <row r="10" spans="1:256" ht="101.25">
      <c r="A10" s="126"/>
      <c r="B10" s="177" t="s">
        <v>1219</v>
      </c>
      <c r="C10" s="596" t="s">
        <v>1220</v>
      </c>
      <c r="D10" s="597"/>
      <c r="E10" s="598" t="s">
        <v>1221</v>
      </c>
      <c r="F10" s="347" t="s">
        <v>1222</v>
      </c>
      <c r="G10" s="599" t="s">
        <v>1223</v>
      </c>
      <c r="H10" s="611" t="s">
        <v>352</v>
      </c>
      <c r="I10" s="601" t="s">
        <v>1224</v>
      </c>
      <c r="J10" s="602" t="s">
        <v>1225</v>
      </c>
      <c r="K10" s="8" t="s">
        <v>54</v>
      </c>
      <c r="L10" s="612">
        <v>8.3000000000000004E-2</v>
      </c>
      <c r="M10" s="612">
        <v>8.3333333333333343E-2</v>
      </c>
      <c r="N10" s="612">
        <v>8.3333333333333343E-2</v>
      </c>
      <c r="O10" s="612">
        <v>8.3333333333333343E-2</v>
      </c>
      <c r="P10" s="612">
        <v>8.3333333333333343E-2</v>
      </c>
      <c r="Q10" s="613">
        <v>8.3333333333333343E-2</v>
      </c>
      <c r="R10" s="604">
        <v>8.3000000000000004E-2</v>
      </c>
      <c r="S10" s="604">
        <v>8.3333333333333343E-2</v>
      </c>
      <c r="T10" s="604">
        <v>8.3333333333333343E-2</v>
      </c>
      <c r="U10" s="604">
        <v>8.3333333333333343E-2</v>
      </c>
      <c r="V10" s="604">
        <v>8.3333333333333343E-2</v>
      </c>
      <c r="W10" s="603">
        <v>8.3333333333333343E-2</v>
      </c>
      <c r="X10" s="604">
        <v>0.4996666666666667</v>
      </c>
      <c r="Y10" s="8" t="s">
        <v>1193</v>
      </c>
      <c r="Z10" s="604">
        <v>0.99933333333333341</v>
      </c>
      <c r="AA10" s="605">
        <v>2</v>
      </c>
      <c r="AB10" s="68">
        <v>2</v>
      </c>
      <c r="AC10" s="612">
        <v>8.3333333333333329E-2</v>
      </c>
      <c r="AD10" s="612">
        <v>8.3000000000000004E-2</v>
      </c>
      <c r="AE10" s="607">
        <v>1.0040160642570279</v>
      </c>
      <c r="AF10" s="614" t="s">
        <v>1226</v>
      </c>
      <c r="AG10" s="68">
        <v>2</v>
      </c>
      <c r="AH10" s="68">
        <v>2</v>
      </c>
      <c r="AI10" s="612">
        <v>8.3333333333333329E-2</v>
      </c>
      <c r="AJ10" s="612">
        <v>8.3333333333333343E-2</v>
      </c>
      <c r="AK10" s="607">
        <v>0.99999999999999978</v>
      </c>
      <c r="AL10" s="614" t="s">
        <v>1227</v>
      </c>
      <c r="AM10" s="68">
        <v>2</v>
      </c>
      <c r="AN10" s="68">
        <v>2</v>
      </c>
      <c r="AO10" s="612">
        <v>8.3333333333333329E-2</v>
      </c>
      <c r="AP10" s="612">
        <v>8.3333333333333343E-2</v>
      </c>
      <c r="AQ10" s="607">
        <v>0.99999999999999978</v>
      </c>
      <c r="AR10" s="614" t="s">
        <v>1228</v>
      </c>
      <c r="AS10" s="68">
        <v>2</v>
      </c>
      <c r="AT10" s="68">
        <v>2</v>
      </c>
      <c r="AU10" s="612">
        <v>8.3333333333333329E-2</v>
      </c>
      <c r="AV10" s="612">
        <v>8.3333333333333343E-2</v>
      </c>
      <c r="AW10" s="607">
        <v>0.99999999999999978</v>
      </c>
      <c r="AX10" s="65" t="s">
        <v>1229</v>
      </c>
      <c r="AY10" s="68">
        <v>2</v>
      </c>
      <c r="AZ10" s="68">
        <v>2</v>
      </c>
      <c r="BA10" s="615">
        <v>8.3299999999999999E-2</v>
      </c>
      <c r="BB10" s="607">
        <v>8.3333333333333343E-2</v>
      </c>
      <c r="BC10" s="607">
        <v>0.99959999999999993</v>
      </c>
      <c r="BD10" s="65" t="s">
        <v>1230</v>
      </c>
      <c r="BE10" s="68">
        <v>2</v>
      </c>
      <c r="BF10" s="68">
        <v>2</v>
      </c>
      <c r="BG10" s="615">
        <v>8.3299999999999999E-2</v>
      </c>
      <c r="BH10" s="607">
        <v>8.3333333333333343E-2</v>
      </c>
      <c r="BI10" s="607">
        <v>0.99959999999999993</v>
      </c>
      <c r="BJ10" s="65" t="s">
        <v>1231</v>
      </c>
      <c r="BK10" s="68">
        <v>2</v>
      </c>
      <c r="BL10" s="68">
        <v>2</v>
      </c>
      <c r="BM10" s="616">
        <v>8.3299999999999999E-2</v>
      </c>
      <c r="BN10" s="616">
        <f>+BB10</f>
        <v>8.3333333333333343E-2</v>
      </c>
      <c r="BO10" s="607">
        <f>+BM10/BN10</f>
        <v>0.99959999999999993</v>
      </c>
      <c r="BP10" s="65" t="s">
        <v>1232</v>
      </c>
      <c r="BQ10" s="68">
        <v>2</v>
      </c>
      <c r="BR10" s="68">
        <v>2</v>
      </c>
      <c r="BS10" s="615">
        <v>8.3299999999999999E-2</v>
      </c>
      <c r="BT10" s="607">
        <v>8.3000000000000004E-2</v>
      </c>
      <c r="BU10" s="607">
        <v>1.0036144578313253</v>
      </c>
      <c r="BV10" s="101" t="s">
        <v>1233</v>
      </c>
      <c r="BW10" s="608">
        <v>2</v>
      </c>
      <c r="BX10" s="608">
        <v>2</v>
      </c>
      <c r="BY10" s="609">
        <v>8.3299999999999999E-2</v>
      </c>
      <c r="BZ10" s="609">
        <v>8.3000000000000004E-2</v>
      </c>
      <c r="CA10" s="609">
        <v>1.0036144578313253</v>
      </c>
      <c r="CB10" s="617" t="s">
        <v>1234</v>
      </c>
      <c r="CC10" s="608">
        <v>2</v>
      </c>
      <c r="CD10" s="608">
        <v>2</v>
      </c>
      <c r="CE10" s="609">
        <v>8.3299999999999999E-2</v>
      </c>
      <c r="CF10" s="609">
        <v>8.3000000000000004E-2</v>
      </c>
      <c r="CG10" s="609">
        <v>1.0036144578313253</v>
      </c>
      <c r="CH10" s="101" t="s">
        <v>1235</v>
      </c>
      <c r="CI10" s="608">
        <v>2</v>
      </c>
      <c r="CJ10" s="608">
        <v>24</v>
      </c>
      <c r="CK10" s="609">
        <f>+CI10/CJ10</f>
        <v>8.3333333333333329E-2</v>
      </c>
      <c r="CL10" s="609">
        <v>8.3000000000000004E-2</v>
      </c>
      <c r="CM10" s="609">
        <v>1.0036144578313253</v>
      </c>
      <c r="CN10" s="101" t="s">
        <v>1236</v>
      </c>
      <c r="CO10" s="68">
        <v>2</v>
      </c>
      <c r="CP10" s="68">
        <v>24</v>
      </c>
      <c r="CQ10" s="609">
        <f>+CO10/CP10</f>
        <v>8.3333333333333329E-2</v>
      </c>
      <c r="CR10" s="609">
        <v>8.3000000000000004E-2</v>
      </c>
      <c r="CS10" s="609">
        <v>1.0036144578313253</v>
      </c>
      <c r="CT10" s="101" t="s">
        <v>1237</v>
      </c>
      <c r="CU10" s="68">
        <f>+AA10+AG10+AM10+AS10+AY10+BE10+BK10+BQ10+BW10+CC10+CI10+CO10</f>
        <v>24</v>
      </c>
      <c r="CV10" s="68">
        <v>24</v>
      </c>
      <c r="CW10" s="606">
        <f>+CU10/CV10</f>
        <v>1</v>
      </c>
      <c r="CX10" s="607">
        <f>+L10+M10+N10+O10+P10+Q10+R10+S10+T10+U10+V10+W10</f>
        <v>0.99933333333333352</v>
      </c>
      <c r="CY10" s="607">
        <f>+CW10/CX10</f>
        <v>1.0006671114076049</v>
      </c>
      <c r="CZ10" s="101" t="s">
        <v>1238</v>
      </c>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row>
    <row r="11" spans="1:256" ht="56.25">
      <c r="B11" s="177" t="s">
        <v>1239</v>
      </c>
      <c r="C11" s="596" t="s">
        <v>1240</v>
      </c>
      <c r="D11" s="597"/>
      <c r="E11" s="598" t="s">
        <v>1241</v>
      </c>
      <c r="F11" s="347" t="s">
        <v>1242</v>
      </c>
      <c r="G11" s="599" t="s">
        <v>1243</v>
      </c>
      <c r="H11" s="611" t="s">
        <v>352</v>
      </c>
      <c r="I11" s="601" t="s">
        <v>1244</v>
      </c>
      <c r="J11" s="602" t="s">
        <v>1245</v>
      </c>
      <c r="K11" s="8" t="s">
        <v>1246</v>
      </c>
      <c r="L11" s="603"/>
      <c r="M11" s="603"/>
      <c r="N11" s="603"/>
      <c r="O11" s="603"/>
      <c r="P11" s="603"/>
      <c r="Q11" s="603">
        <v>0.5</v>
      </c>
      <c r="R11" s="618"/>
      <c r="S11" s="603"/>
      <c r="T11" s="604"/>
      <c r="U11" s="603"/>
      <c r="V11" s="603">
        <v>0.5</v>
      </c>
      <c r="W11" s="604"/>
      <c r="X11" s="604">
        <v>0.5</v>
      </c>
      <c r="Y11" s="8"/>
      <c r="Z11" s="604">
        <v>1</v>
      </c>
      <c r="AA11" s="605"/>
      <c r="AB11" s="68"/>
      <c r="AC11" s="615"/>
      <c r="AD11" s="607"/>
      <c r="AE11" s="607"/>
      <c r="AF11" s="65"/>
      <c r="AG11" s="619"/>
      <c r="AH11" s="68"/>
      <c r="AI11" s="615"/>
      <c r="AJ11" s="607"/>
      <c r="AK11" s="607"/>
      <c r="AL11" s="65"/>
      <c r="AM11" s="68"/>
      <c r="AN11" s="68"/>
      <c r="AO11" s="615"/>
      <c r="AP11" s="607"/>
      <c r="AQ11" s="607"/>
      <c r="AR11" s="65"/>
      <c r="AS11" s="68"/>
      <c r="AT11" s="68"/>
      <c r="AU11" s="615"/>
      <c r="AV11" s="607"/>
      <c r="AW11" s="607"/>
      <c r="AX11" s="65"/>
      <c r="AY11" s="68"/>
      <c r="AZ11" s="68"/>
      <c r="BA11" s="615" t="s">
        <v>332</v>
      </c>
      <c r="BB11" s="607"/>
      <c r="BC11" s="607" t="s">
        <v>332</v>
      </c>
      <c r="BD11" s="65" t="s">
        <v>1194</v>
      </c>
      <c r="BE11" s="68">
        <v>1</v>
      </c>
      <c r="BF11" s="68">
        <v>2</v>
      </c>
      <c r="BG11" s="615">
        <v>0.5</v>
      </c>
      <c r="BH11" s="607">
        <v>0.5</v>
      </c>
      <c r="BI11" s="607">
        <v>1</v>
      </c>
      <c r="BJ11" s="65" t="s">
        <v>1247</v>
      </c>
      <c r="BK11" s="68"/>
      <c r="BL11" s="68"/>
      <c r="BM11" s="615"/>
      <c r="BN11" s="607"/>
      <c r="BO11" s="607"/>
      <c r="BP11" s="65" t="s">
        <v>1196</v>
      </c>
      <c r="BQ11" s="68"/>
      <c r="BR11" s="68"/>
      <c r="BS11" s="615"/>
      <c r="BT11" s="607"/>
      <c r="BU11" s="607"/>
      <c r="BV11" s="65" t="s">
        <v>1197</v>
      </c>
      <c r="BW11" s="608"/>
      <c r="BX11" s="608"/>
      <c r="BY11" s="609"/>
      <c r="BZ11" s="609"/>
      <c r="CA11" s="609"/>
      <c r="CB11" s="610" t="s">
        <v>1198</v>
      </c>
      <c r="CC11" s="68"/>
      <c r="CD11" s="68"/>
      <c r="CE11" s="615"/>
      <c r="CF11" s="607"/>
      <c r="CG11" s="607"/>
      <c r="CH11" s="610" t="s">
        <v>1199</v>
      </c>
      <c r="CI11" s="68">
        <v>1</v>
      </c>
      <c r="CJ11" s="68">
        <v>2</v>
      </c>
      <c r="CK11" s="615">
        <f>+CI11/CJ11</f>
        <v>0.5</v>
      </c>
      <c r="CL11" s="607">
        <f>+V11</f>
        <v>0.5</v>
      </c>
      <c r="CM11" s="607">
        <f>+CK11/CL11</f>
        <v>1</v>
      </c>
      <c r="CN11" s="101" t="s">
        <v>1248</v>
      </c>
      <c r="CO11" s="68"/>
      <c r="CP11" s="68"/>
      <c r="CQ11" s="615"/>
      <c r="CR11" s="607"/>
      <c r="CS11" s="607"/>
      <c r="CT11" s="610" t="s">
        <v>1199</v>
      </c>
      <c r="CU11" s="68">
        <f>+BE11+CI11</f>
        <v>2</v>
      </c>
      <c r="CV11" s="68">
        <v>2</v>
      </c>
      <c r="CW11" s="615">
        <f>+CU11/CV11</f>
        <v>1</v>
      </c>
      <c r="CX11" s="607">
        <f>+Q11+V11</f>
        <v>1</v>
      </c>
      <c r="CY11" s="607">
        <v>1</v>
      </c>
      <c r="CZ11" s="65" t="s">
        <v>1249</v>
      </c>
    </row>
    <row r="12" spans="1:256" ht="90">
      <c r="A12" s="126"/>
      <c r="B12" s="177" t="s">
        <v>1239</v>
      </c>
      <c r="C12" s="596" t="s">
        <v>1250</v>
      </c>
      <c r="D12" s="597"/>
      <c r="E12" s="598" t="s">
        <v>1251</v>
      </c>
      <c r="F12" s="347" t="s">
        <v>1252</v>
      </c>
      <c r="G12" s="599" t="s">
        <v>1253</v>
      </c>
      <c r="H12" s="611" t="s">
        <v>53</v>
      </c>
      <c r="I12" s="601" t="s">
        <v>1254</v>
      </c>
      <c r="J12" s="602" t="s">
        <v>1255</v>
      </c>
      <c r="K12" s="8" t="s">
        <v>54</v>
      </c>
      <c r="L12" s="603"/>
      <c r="M12" s="603">
        <v>0.03</v>
      </c>
      <c r="N12" s="603">
        <v>0.03</v>
      </c>
      <c r="O12" s="603">
        <v>0.06</v>
      </c>
      <c r="P12" s="603">
        <v>0.09</v>
      </c>
      <c r="Q12" s="604">
        <v>0.1</v>
      </c>
      <c r="R12" s="604">
        <v>0.11</v>
      </c>
      <c r="S12" s="604">
        <v>0.11</v>
      </c>
      <c r="T12" s="604">
        <v>0.12</v>
      </c>
      <c r="U12" s="604">
        <v>0.12</v>
      </c>
      <c r="V12" s="604">
        <v>0.12</v>
      </c>
      <c r="W12" s="603">
        <v>0.11</v>
      </c>
      <c r="X12" s="604">
        <v>0.69</v>
      </c>
      <c r="Y12" s="8" t="s">
        <v>1193</v>
      </c>
      <c r="Z12" s="604">
        <v>1</v>
      </c>
      <c r="AA12" s="620"/>
      <c r="AB12" s="393"/>
      <c r="AC12" s="615"/>
      <c r="AD12" s="607"/>
      <c r="AE12" s="607"/>
      <c r="AF12" s="65"/>
      <c r="AG12" s="620">
        <v>6250</v>
      </c>
      <c r="AH12" s="393">
        <v>201000</v>
      </c>
      <c r="AI12" s="612">
        <v>3.109452736318408E-2</v>
      </c>
      <c r="AJ12" s="607">
        <v>0.03</v>
      </c>
      <c r="AK12" s="607">
        <v>1.0364842454394694</v>
      </c>
      <c r="AL12" s="65" t="s">
        <v>1256</v>
      </c>
      <c r="AM12" s="620">
        <v>6335</v>
      </c>
      <c r="AN12" s="393">
        <v>201000</v>
      </c>
      <c r="AO12" s="621">
        <v>3.1517412935323383E-2</v>
      </c>
      <c r="AP12" s="607">
        <v>0.03</v>
      </c>
      <c r="AQ12" s="607">
        <v>1.050580431177446</v>
      </c>
      <c r="AR12" s="65" t="s">
        <v>1257</v>
      </c>
      <c r="AS12" s="393">
        <v>12440</v>
      </c>
      <c r="AT12" s="393">
        <v>201000</v>
      </c>
      <c r="AU12" s="621">
        <v>6.1890547263681595E-2</v>
      </c>
      <c r="AV12" s="607">
        <v>0.06</v>
      </c>
      <c r="AW12" s="607">
        <v>1.0315091210613601</v>
      </c>
      <c r="AX12" s="65" t="s">
        <v>1258</v>
      </c>
      <c r="AY12" s="68">
        <v>18132</v>
      </c>
      <c r="AZ12" s="68">
        <v>201000</v>
      </c>
      <c r="BA12" s="615">
        <v>9.0208955223880602E-2</v>
      </c>
      <c r="BB12" s="621">
        <v>0.09</v>
      </c>
      <c r="BC12" s="607">
        <v>1.0023217247097844</v>
      </c>
      <c r="BD12" s="65" t="s">
        <v>1259</v>
      </c>
      <c r="BE12" s="68">
        <v>20150</v>
      </c>
      <c r="BF12" s="68">
        <v>201000</v>
      </c>
      <c r="BG12" s="615">
        <v>0.10024875621890547</v>
      </c>
      <c r="BH12" s="607">
        <v>0.1</v>
      </c>
      <c r="BI12" s="607">
        <v>1.0024875621890545</v>
      </c>
      <c r="BJ12" s="65" t="s">
        <v>1260</v>
      </c>
      <c r="BK12" s="393">
        <v>22110</v>
      </c>
      <c r="BL12" s="393">
        <v>201000</v>
      </c>
      <c r="BM12" s="607">
        <f>+BK12/BL12</f>
        <v>0.11</v>
      </c>
      <c r="BN12" s="607">
        <f>+BB12</f>
        <v>0.09</v>
      </c>
      <c r="BO12" s="607">
        <f>+BM12/BN12</f>
        <v>1.2222222222222223</v>
      </c>
      <c r="BP12" s="65" t="s">
        <v>1261</v>
      </c>
      <c r="BQ12" s="393">
        <v>18650</v>
      </c>
      <c r="BR12" s="393">
        <v>201000</v>
      </c>
      <c r="BS12" s="621">
        <f>+BQ12/BR12</f>
        <v>9.2786069651741299E-2</v>
      </c>
      <c r="BT12" s="607">
        <f>+S12</f>
        <v>0.11</v>
      </c>
      <c r="BU12" s="607">
        <f>+BS12/BT12</f>
        <v>0.84350972410673908</v>
      </c>
      <c r="BV12" s="101" t="s">
        <v>1262</v>
      </c>
      <c r="BW12" s="622">
        <v>22250</v>
      </c>
      <c r="BX12" s="622">
        <v>201000</v>
      </c>
      <c r="BY12" s="609">
        <f>+BW12/BX12</f>
        <v>0.11069651741293532</v>
      </c>
      <c r="BZ12" s="609">
        <f>+T12</f>
        <v>0.12</v>
      </c>
      <c r="CA12" s="609">
        <f>+BY12/BZ12</f>
        <v>0.92247097844112769</v>
      </c>
      <c r="CB12" s="617" t="s">
        <v>1263</v>
      </c>
      <c r="CC12" s="393">
        <v>28457</v>
      </c>
      <c r="CD12" s="393">
        <v>201000</v>
      </c>
      <c r="CE12" s="615">
        <f>+CC12/CD12</f>
        <v>0.1415771144278607</v>
      </c>
      <c r="CF12" s="607">
        <f>+U12</f>
        <v>0.12</v>
      </c>
      <c r="CG12" s="607">
        <f>+CE12/CF12</f>
        <v>1.1798092868988392</v>
      </c>
      <c r="CH12" s="101" t="s">
        <v>1264</v>
      </c>
      <c r="CI12" s="393">
        <v>24220</v>
      </c>
      <c r="CJ12" s="393">
        <v>201000</v>
      </c>
      <c r="CK12" s="615">
        <f>+CI12/CJ12</f>
        <v>0.12049751243781094</v>
      </c>
      <c r="CL12" s="607">
        <f>+V12</f>
        <v>0.12</v>
      </c>
      <c r="CM12" s="607">
        <f>+CK12/CL12</f>
        <v>1.0041459369817578</v>
      </c>
      <c r="CN12" s="101" t="s">
        <v>1265</v>
      </c>
      <c r="CO12" s="623">
        <v>22112</v>
      </c>
      <c r="CP12" s="624">
        <v>201000</v>
      </c>
      <c r="CQ12" s="625">
        <f>+CO12/CP12</f>
        <v>0.11000995024875622</v>
      </c>
      <c r="CR12" s="626">
        <f>+W12</f>
        <v>0.11</v>
      </c>
      <c r="CS12" s="607">
        <f>+CQ12/CR12</f>
        <v>1.0000904568068747</v>
      </c>
      <c r="CT12" s="215" t="s">
        <v>1266</v>
      </c>
      <c r="CU12" s="68">
        <f>+AG12+AM12+AS12+AY12+BE12+BK12+BQ12+BW12+CC12+CI12+CO12</f>
        <v>201106</v>
      </c>
      <c r="CV12" s="68">
        <v>201000</v>
      </c>
      <c r="CW12" s="606">
        <f>+CU12/CV12</f>
        <v>1.0005273631840796</v>
      </c>
      <c r="CX12" s="607">
        <f>+M12+N12+O12+P12+Q12+R12+S12+T12+V12+U12+CR12</f>
        <v>1</v>
      </c>
      <c r="CY12" s="607">
        <f>+CW12/CX12</f>
        <v>1.0005273631840796</v>
      </c>
      <c r="CZ12" s="101" t="s">
        <v>1267</v>
      </c>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row>
    <row r="13" spans="1:256" ht="15.75">
      <c r="A13" s="627"/>
      <c r="B13" s="2278" t="s">
        <v>49</v>
      </c>
      <c r="C13" s="2278"/>
      <c r="D13" s="2278"/>
      <c r="E13" s="2278"/>
      <c r="F13" s="2278"/>
      <c r="G13" s="2278"/>
      <c r="H13" s="2278"/>
      <c r="I13" s="2278"/>
      <c r="J13" s="2278"/>
      <c r="K13" s="2278"/>
      <c r="L13" s="2278"/>
      <c r="M13" s="2278"/>
      <c r="N13" s="2278"/>
      <c r="O13" s="2278"/>
      <c r="P13" s="2278"/>
      <c r="Q13" s="2278"/>
      <c r="R13" s="2278"/>
      <c r="S13" s="2278"/>
      <c r="T13" s="2278"/>
      <c r="U13" s="2278"/>
      <c r="V13" s="2278"/>
      <c r="W13" s="2278"/>
      <c r="X13" s="2278"/>
      <c r="Y13" s="2278"/>
      <c r="Z13" s="629"/>
      <c r="AA13" s="605"/>
      <c r="AB13" s="68"/>
      <c r="AC13" s="606"/>
      <c r="AD13" s="607"/>
      <c r="AE13" s="607"/>
      <c r="AF13" s="8"/>
      <c r="AG13" s="8"/>
      <c r="AH13" s="68"/>
      <c r="AI13" s="68"/>
      <c r="AJ13" s="606"/>
      <c r="AK13" s="607"/>
      <c r="AL13" s="607"/>
      <c r="AM13" s="8"/>
      <c r="AN13" s="68"/>
      <c r="AO13" s="68"/>
      <c r="AP13" s="606"/>
      <c r="AQ13" s="607"/>
      <c r="AR13" s="607"/>
      <c r="AS13" s="68"/>
      <c r="AT13" s="68"/>
      <c r="AU13" s="606"/>
      <c r="AV13" s="607"/>
      <c r="AW13" s="607"/>
      <c r="AX13" s="65"/>
      <c r="AY13" s="8"/>
      <c r="AZ13" s="68"/>
      <c r="BA13" s="68"/>
      <c r="BB13" s="606"/>
      <c r="BC13" s="607"/>
      <c r="BD13" s="607"/>
      <c r="BE13" s="68"/>
      <c r="BF13" s="68"/>
      <c r="BG13" s="606"/>
      <c r="BH13" s="607"/>
      <c r="BI13" s="607"/>
      <c r="BJ13" s="65"/>
      <c r="BK13" s="8"/>
      <c r="BL13" s="68"/>
      <c r="BM13" s="68"/>
      <c r="BN13" s="606"/>
      <c r="BO13" s="607"/>
      <c r="BP13" s="607"/>
      <c r="BQ13" s="68"/>
      <c r="BR13" s="68"/>
      <c r="BS13" s="606"/>
      <c r="BT13" s="607"/>
      <c r="BU13" s="607"/>
      <c r="BV13" s="65"/>
      <c r="BW13" s="608"/>
      <c r="BX13" s="608"/>
      <c r="BY13" s="609"/>
      <c r="BZ13" s="609"/>
      <c r="CA13" s="609"/>
      <c r="CB13" s="610"/>
      <c r="CC13" s="68"/>
      <c r="CD13" s="68"/>
      <c r="CE13" s="606"/>
      <c r="CF13" s="607"/>
      <c r="CG13" s="607"/>
      <c r="CH13" s="65"/>
      <c r="CI13" s="68"/>
      <c r="CJ13" s="68"/>
      <c r="CK13" s="606"/>
      <c r="CL13" s="607"/>
      <c r="CM13" s="607"/>
      <c r="CN13" s="65"/>
      <c r="CO13" s="68"/>
      <c r="CP13" s="68"/>
      <c r="CQ13" s="606"/>
      <c r="CR13" s="607"/>
      <c r="CS13" s="607"/>
      <c r="CT13" s="65"/>
      <c r="CU13" s="9"/>
      <c r="CV13" s="68"/>
      <c r="CW13" s="68"/>
      <c r="CX13" s="606"/>
      <c r="CY13" s="607"/>
      <c r="CZ13" s="607" t="s">
        <v>1268</v>
      </c>
      <c r="DA13" s="630"/>
      <c r="DB13" s="627"/>
      <c r="DC13" s="126"/>
      <c r="DD13" s="627"/>
      <c r="DE13" s="627"/>
      <c r="DF13" s="627"/>
      <c r="DG13" s="627"/>
      <c r="DH13" s="627"/>
      <c r="DI13" s="627"/>
      <c r="DJ13" s="627"/>
      <c r="DK13" s="627"/>
      <c r="DL13" s="627"/>
      <c r="DM13" s="627"/>
      <c r="DN13" s="627"/>
      <c r="DO13" s="627"/>
      <c r="DP13" s="627"/>
      <c r="DQ13" s="627"/>
      <c r="DR13" s="627"/>
      <c r="DS13" s="627"/>
      <c r="DT13" s="627"/>
      <c r="DU13" s="627"/>
      <c r="DV13" s="627"/>
      <c r="DW13" s="627"/>
      <c r="DX13" s="627"/>
      <c r="DY13" s="627"/>
      <c r="DZ13" s="627"/>
      <c r="EA13" s="627"/>
      <c r="EB13" s="627"/>
      <c r="EC13" s="627"/>
      <c r="ED13" s="627"/>
      <c r="EE13" s="627"/>
      <c r="EF13" s="627"/>
      <c r="EG13" s="627"/>
      <c r="EH13" s="627"/>
      <c r="EI13" s="627"/>
      <c r="EJ13" s="627"/>
      <c r="EK13" s="627"/>
      <c r="EL13" s="627"/>
      <c r="EM13" s="627"/>
      <c r="EN13" s="627"/>
      <c r="EO13" s="627"/>
      <c r="EP13" s="627"/>
      <c r="EQ13" s="627"/>
      <c r="ER13" s="627"/>
      <c r="ES13" s="627"/>
      <c r="ET13" s="627"/>
      <c r="EU13" s="627"/>
      <c r="EV13" s="627"/>
      <c r="EW13" s="627"/>
      <c r="EX13" s="627"/>
      <c r="EY13" s="627"/>
      <c r="EZ13" s="627"/>
      <c r="FA13" s="627"/>
      <c r="FB13" s="627"/>
      <c r="FC13" s="627"/>
      <c r="FD13" s="627"/>
      <c r="FE13" s="627"/>
      <c r="FF13" s="627"/>
      <c r="FG13" s="627"/>
      <c r="FH13" s="627"/>
      <c r="FI13" s="627"/>
      <c r="FJ13" s="627"/>
      <c r="FK13" s="627"/>
      <c r="FL13" s="627"/>
      <c r="FM13" s="627"/>
      <c r="FN13" s="627"/>
      <c r="FO13" s="627"/>
      <c r="FP13" s="627"/>
      <c r="FQ13" s="627"/>
      <c r="FR13" s="627"/>
      <c r="FS13" s="627"/>
      <c r="FT13" s="627"/>
      <c r="FU13" s="627"/>
      <c r="FV13" s="627"/>
      <c r="FW13" s="627"/>
      <c r="FX13" s="627"/>
      <c r="FY13" s="627"/>
      <c r="FZ13" s="627"/>
      <c r="GA13" s="627"/>
      <c r="GB13" s="627"/>
      <c r="GC13" s="627"/>
      <c r="GD13" s="627"/>
      <c r="GE13" s="627"/>
      <c r="GF13" s="627"/>
      <c r="GG13" s="627"/>
      <c r="GH13" s="627"/>
      <c r="GI13" s="627"/>
      <c r="GJ13" s="627"/>
      <c r="GK13" s="627"/>
      <c r="GL13" s="627"/>
      <c r="GM13" s="627"/>
      <c r="GN13" s="627"/>
      <c r="GO13" s="627"/>
      <c r="GP13" s="627"/>
      <c r="GQ13" s="627"/>
      <c r="GR13" s="627"/>
      <c r="GS13" s="627"/>
      <c r="GT13" s="627"/>
      <c r="GU13" s="627"/>
      <c r="GV13" s="627"/>
      <c r="GW13" s="627"/>
      <c r="GX13" s="627"/>
      <c r="GY13" s="627"/>
      <c r="GZ13" s="627"/>
      <c r="HA13" s="627"/>
      <c r="HB13" s="627"/>
      <c r="HC13" s="627"/>
      <c r="HD13" s="627"/>
      <c r="HE13" s="627"/>
      <c r="HF13" s="627"/>
      <c r="HG13" s="627"/>
      <c r="HH13" s="627"/>
      <c r="HI13" s="627"/>
      <c r="HJ13" s="627"/>
      <c r="HK13" s="627"/>
      <c r="HL13" s="627"/>
      <c r="HM13" s="627"/>
      <c r="HN13" s="627"/>
      <c r="HO13" s="627"/>
      <c r="HP13" s="627"/>
      <c r="HQ13" s="627"/>
      <c r="HR13" s="627"/>
      <c r="HS13" s="627"/>
      <c r="HT13" s="627"/>
      <c r="HU13" s="627"/>
      <c r="HV13" s="627"/>
      <c r="HW13" s="627"/>
      <c r="HX13" s="627"/>
      <c r="HY13" s="627"/>
      <c r="HZ13" s="627"/>
      <c r="IA13" s="627"/>
      <c r="IB13" s="627"/>
      <c r="IC13" s="627"/>
      <c r="ID13" s="627"/>
      <c r="IE13" s="627"/>
      <c r="IF13" s="627"/>
      <c r="IG13" s="627"/>
      <c r="IH13" s="627"/>
      <c r="II13" s="627"/>
      <c r="IJ13" s="627"/>
      <c r="IK13" s="627"/>
      <c r="IL13" s="627"/>
      <c r="IM13" s="627"/>
      <c r="IN13" s="627"/>
      <c r="IO13" s="627"/>
      <c r="IP13" s="627"/>
      <c r="IQ13" s="627"/>
      <c r="IR13" s="627"/>
      <c r="IS13" s="627"/>
      <c r="IT13" s="627"/>
      <c r="IU13" s="627"/>
      <c r="IV13" s="627"/>
    </row>
    <row r="14" spans="1:256" ht="24">
      <c r="A14" s="627"/>
      <c r="B14" s="628"/>
      <c r="C14" s="631"/>
      <c r="D14" s="632"/>
      <c r="E14" s="2279" t="s">
        <v>23</v>
      </c>
      <c r="F14" s="2091" t="s">
        <v>19</v>
      </c>
      <c r="G14" s="2091" t="s">
        <v>11</v>
      </c>
      <c r="H14" s="2091" t="s">
        <v>15</v>
      </c>
      <c r="I14" s="2280" t="s">
        <v>12</v>
      </c>
      <c r="J14" s="2282" t="s">
        <v>20</v>
      </c>
      <c r="K14" s="2091" t="s">
        <v>16</v>
      </c>
      <c r="L14" s="2289" t="s">
        <v>24</v>
      </c>
      <c r="M14" s="2289"/>
      <c r="N14" s="2289"/>
      <c r="O14" s="2289"/>
      <c r="P14" s="2289"/>
      <c r="Q14" s="2289"/>
      <c r="R14" s="2289"/>
      <c r="S14" s="2289"/>
      <c r="T14" s="2289"/>
      <c r="U14" s="2289"/>
      <c r="V14" s="2289"/>
      <c r="W14" s="2289"/>
      <c r="X14" s="297"/>
      <c r="Y14" s="298"/>
      <c r="Z14" s="587"/>
      <c r="AA14" s="2288" t="s">
        <v>37</v>
      </c>
      <c r="AB14" s="2290"/>
      <c r="AC14" s="2290"/>
      <c r="AD14" s="2290"/>
      <c r="AE14" s="2290"/>
      <c r="AF14" s="2290"/>
      <c r="AG14" s="2291" t="s">
        <v>38</v>
      </c>
      <c r="AH14" s="2290"/>
      <c r="AI14" s="2290"/>
      <c r="AJ14" s="2290"/>
      <c r="AK14" s="2290"/>
      <c r="AL14" s="2290"/>
      <c r="AM14" s="2291" t="s">
        <v>39</v>
      </c>
      <c r="AN14" s="2290"/>
      <c r="AO14" s="2290"/>
      <c r="AP14" s="2290"/>
      <c r="AQ14" s="2290"/>
      <c r="AR14" s="2290"/>
      <c r="AS14" s="2291" t="s">
        <v>40</v>
      </c>
      <c r="AT14" s="2290"/>
      <c r="AU14" s="2290"/>
      <c r="AV14" s="2290"/>
      <c r="AW14" s="2290"/>
      <c r="AX14" s="2290"/>
      <c r="AY14" s="2291" t="s">
        <v>41</v>
      </c>
      <c r="AZ14" s="2290"/>
      <c r="BA14" s="2290"/>
      <c r="BB14" s="2290"/>
      <c r="BC14" s="2290"/>
      <c r="BD14" s="2290"/>
      <c r="BE14" s="2291" t="s">
        <v>42</v>
      </c>
      <c r="BF14" s="2290"/>
      <c r="BG14" s="2290"/>
      <c r="BH14" s="2290"/>
      <c r="BI14" s="2290"/>
      <c r="BJ14" s="2290"/>
      <c r="BK14" s="2291" t="s">
        <v>43</v>
      </c>
      <c r="BL14" s="2290"/>
      <c r="BM14" s="2290"/>
      <c r="BN14" s="2290"/>
      <c r="BO14" s="2290"/>
      <c r="BP14" s="2290"/>
      <c r="BQ14" s="2291" t="s">
        <v>44</v>
      </c>
      <c r="BR14" s="2290"/>
      <c r="BS14" s="2290"/>
      <c r="BT14" s="2290"/>
      <c r="BU14" s="2290"/>
      <c r="BV14" s="2290"/>
      <c r="BW14" s="2283" t="s">
        <v>1182</v>
      </c>
      <c r="BX14" s="2284"/>
      <c r="BY14" s="2284"/>
      <c r="BZ14" s="2284"/>
      <c r="CA14" s="2284"/>
      <c r="CB14" s="2285"/>
      <c r="CC14" s="2286" t="s">
        <v>46</v>
      </c>
      <c r="CD14" s="2287"/>
      <c r="CE14" s="2287"/>
      <c r="CF14" s="2287"/>
      <c r="CG14" s="2287"/>
      <c r="CH14" s="2288"/>
      <c r="CI14" s="2291" t="s">
        <v>47</v>
      </c>
      <c r="CJ14" s="2290"/>
      <c r="CK14" s="2290"/>
      <c r="CL14" s="2290"/>
      <c r="CM14" s="2290"/>
      <c r="CN14" s="2290"/>
      <c r="CO14" s="2291" t="s">
        <v>87</v>
      </c>
      <c r="CP14" s="2290"/>
      <c r="CQ14" s="2290"/>
      <c r="CR14" s="2290"/>
      <c r="CS14" s="2290"/>
      <c r="CT14" s="2290"/>
      <c r="CU14" s="633" t="s">
        <v>51</v>
      </c>
      <c r="CV14" s="634"/>
      <c r="CW14" s="634"/>
      <c r="CX14" s="634"/>
      <c r="CY14" s="595" t="s">
        <v>1184</v>
      </c>
      <c r="CZ14" s="591" t="s">
        <v>36</v>
      </c>
      <c r="DA14" s="630"/>
      <c r="DB14" s="627"/>
      <c r="DC14" s="126"/>
      <c r="DD14" s="627"/>
      <c r="DE14" s="627"/>
      <c r="DF14" s="627"/>
      <c r="DG14" s="627"/>
      <c r="DH14" s="627"/>
      <c r="DI14" s="627"/>
      <c r="DJ14" s="627"/>
      <c r="DK14" s="627"/>
      <c r="DL14" s="627"/>
      <c r="DM14" s="627"/>
      <c r="DN14" s="627"/>
      <c r="DO14" s="627"/>
      <c r="DP14" s="627"/>
      <c r="DQ14" s="627"/>
      <c r="DR14" s="627"/>
      <c r="DS14" s="627"/>
      <c r="DT14" s="627"/>
      <c r="DU14" s="627"/>
      <c r="DV14" s="627"/>
      <c r="DW14" s="627"/>
      <c r="DX14" s="627"/>
      <c r="DY14" s="627"/>
      <c r="DZ14" s="627"/>
      <c r="EA14" s="627"/>
      <c r="EB14" s="627"/>
      <c r="EC14" s="627"/>
      <c r="ED14" s="627"/>
      <c r="EE14" s="627"/>
      <c r="EF14" s="627"/>
      <c r="EG14" s="627"/>
      <c r="EH14" s="627"/>
      <c r="EI14" s="627"/>
      <c r="EJ14" s="627"/>
      <c r="EK14" s="627"/>
      <c r="EL14" s="627"/>
      <c r="EM14" s="627"/>
      <c r="EN14" s="627"/>
      <c r="EO14" s="627"/>
      <c r="EP14" s="627"/>
      <c r="EQ14" s="627"/>
      <c r="ER14" s="627"/>
      <c r="ES14" s="627"/>
      <c r="ET14" s="627"/>
      <c r="EU14" s="627"/>
      <c r="EV14" s="627"/>
      <c r="EW14" s="627"/>
      <c r="EX14" s="627"/>
      <c r="EY14" s="627"/>
      <c r="EZ14" s="627"/>
      <c r="FA14" s="627"/>
      <c r="FB14" s="627"/>
      <c r="FC14" s="627"/>
      <c r="FD14" s="627"/>
      <c r="FE14" s="627"/>
      <c r="FF14" s="627"/>
      <c r="FG14" s="627"/>
      <c r="FH14" s="627"/>
      <c r="FI14" s="627"/>
      <c r="FJ14" s="627"/>
      <c r="FK14" s="627"/>
      <c r="FL14" s="627"/>
      <c r="FM14" s="627"/>
      <c r="FN14" s="627"/>
      <c r="FO14" s="627"/>
      <c r="FP14" s="627"/>
      <c r="FQ14" s="627"/>
      <c r="FR14" s="627"/>
      <c r="FS14" s="627"/>
      <c r="FT14" s="627"/>
      <c r="FU14" s="627"/>
      <c r="FV14" s="627"/>
      <c r="FW14" s="627"/>
      <c r="FX14" s="627"/>
      <c r="FY14" s="627"/>
      <c r="FZ14" s="627"/>
      <c r="GA14" s="627"/>
      <c r="GB14" s="627"/>
      <c r="GC14" s="627"/>
      <c r="GD14" s="627"/>
      <c r="GE14" s="627"/>
      <c r="GF14" s="627"/>
      <c r="GG14" s="627"/>
      <c r="GH14" s="627"/>
      <c r="GI14" s="627"/>
      <c r="GJ14" s="627"/>
      <c r="GK14" s="627"/>
      <c r="GL14" s="627"/>
      <c r="GM14" s="627"/>
      <c r="GN14" s="627"/>
      <c r="GO14" s="627"/>
      <c r="GP14" s="627"/>
      <c r="GQ14" s="627"/>
      <c r="GR14" s="627"/>
      <c r="GS14" s="627"/>
      <c r="GT14" s="627"/>
      <c r="GU14" s="627"/>
      <c r="GV14" s="627"/>
      <c r="GW14" s="627"/>
      <c r="GX14" s="627"/>
      <c r="GY14" s="627"/>
      <c r="GZ14" s="627"/>
      <c r="HA14" s="627"/>
      <c r="HB14" s="627"/>
      <c r="HC14" s="627"/>
      <c r="HD14" s="627"/>
      <c r="HE14" s="627"/>
      <c r="HF14" s="627"/>
      <c r="HG14" s="627"/>
      <c r="HH14" s="627"/>
      <c r="HI14" s="627"/>
      <c r="HJ14" s="627"/>
      <c r="HK14" s="627"/>
      <c r="HL14" s="627"/>
      <c r="HM14" s="627"/>
      <c r="HN14" s="627"/>
      <c r="HO14" s="627"/>
      <c r="HP14" s="627"/>
      <c r="HQ14" s="627"/>
      <c r="HR14" s="627"/>
      <c r="HS14" s="627"/>
      <c r="HT14" s="627"/>
      <c r="HU14" s="627"/>
      <c r="HV14" s="627"/>
      <c r="HW14" s="627"/>
      <c r="HX14" s="627"/>
      <c r="HY14" s="627"/>
      <c r="HZ14" s="627"/>
      <c r="IA14" s="627"/>
      <c r="IB14" s="627"/>
      <c r="IC14" s="627"/>
      <c r="ID14" s="627"/>
      <c r="IE14" s="627"/>
      <c r="IF14" s="627"/>
      <c r="IG14" s="627"/>
      <c r="IH14" s="627"/>
      <c r="II14" s="627"/>
      <c r="IJ14" s="627"/>
      <c r="IK14" s="627"/>
      <c r="IL14" s="627"/>
      <c r="IM14" s="627"/>
      <c r="IN14" s="627"/>
      <c r="IO14" s="627"/>
      <c r="IP14" s="627"/>
      <c r="IQ14" s="627"/>
      <c r="IR14" s="627"/>
      <c r="IS14" s="627"/>
      <c r="IT14" s="627"/>
      <c r="IU14" s="627"/>
      <c r="IV14" s="627"/>
    </row>
    <row r="15" spans="1:256" ht="45">
      <c r="A15" s="627"/>
      <c r="B15" s="628"/>
      <c r="C15" s="631"/>
      <c r="D15" s="632"/>
      <c r="E15" s="2279"/>
      <c r="F15" s="2091"/>
      <c r="G15" s="2091"/>
      <c r="H15" s="2091"/>
      <c r="I15" s="2281"/>
      <c r="J15" s="2282"/>
      <c r="K15" s="2091"/>
      <c r="L15" s="300" t="s">
        <v>13</v>
      </c>
      <c r="M15" s="300" t="s">
        <v>0</v>
      </c>
      <c r="N15" s="300" t="s">
        <v>1</v>
      </c>
      <c r="O15" s="300" t="s">
        <v>14</v>
      </c>
      <c r="P15" s="300" t="s">
        <v>2</v>
      </c>
      <c r="Q15" s="300" t="s">
        <v>3</v>
      </c>
      <c r="R15" s="300" t="s">
        <v>4</v>
      </c>
      <c r="S15" s="300" t="s">
        <v>5</v>
      </c>
      <c r="T15" s="300" t="s">
        <v>6</v>
      </c>
      <c r="U15" s="300" t="s">
        <v>7</v>
      </c>
      <c r="V15" s="300" t="s">
        <v>8</v>
      </c>
      <c r="W15" s="300" t="s">
        <v>9</v>
      </c>
      <c r="X15" s="300" t="s">
        <v>54</v>
      </c>
      <c r="Y15" s="301" t="s">
        <v>65</v>
      </c>
      <c r="Z15" s="588" t="s">
        <v>1183</v>
      </c>
      <c r="AA15" s="589" t="s">
        <v>31</v>
      </c>
      <c r="AB15" s="590" t="s">
        <v>32</v>
      </c>
      <c r="AC15" s="591" t="s">
        <v>33</v>
      </c>
      <c r="AD15" s="590" t="s">
        <v>34</v>
      </c>
      <c r="AE15" s="592" t="s">
        <v>35</v>
      </c>
      <c r="AF15" s="591" t="s">
        <v>36</v>
      </c>
      <c r="AG15" s="590" t="s">
        <v>31</v>
      </c>
      <c r="AH15" s="590" t="s">
        <v>32</v>
      </c>
      <c r="AI15" s="591" t="s">
        <v>33</v>
      </c>
      <c r="AJ15" s="590" t="s">
        <v>34</v>
      </c>
      <c r="AK15" s="592" t="s">
        <v>35</v>
      </c>
      <c r="AL15" s="591" t="s">
        <v>36</v>
      </c>
      <c r="AM15" s="590" t="s">
        <v>31</v>
      </c>
      <c r="AN15" s="590" t="s">
        <v>32</v>
      </c>
      <c r="AO15" s="591" t="s">
        <v>33</v>
      </c>
      <c r="AP15" s="590" t="s">
        <v>34</v>
      </c>
      <c r="AQ15" s="592" t="s">
        <v>35</v>
      </c>
      <c r="AR15" s="591" t="s">
        <v>36</v>
      </c>
      <c r="AS15" s="590" t="s">
        <v>31</v>
      </c>
      <c r="AT15" s="590" t="s">
        <v>32</v>
      </c>
      <c r="AU15" s="591" t="s">
        <v>33</v>
      </c>
      <c r="AV15" s="590" t="s">
        <v>34</v>
      </c>
      <c r="AW15" s="592" t="s">
        <v>35</v>
      </c>
      <c r="AX15" s="591" t="s">
        <v>36</v>
      </c>
      <c r="AY15" s="590" t="s">
        <v>31</v>
      </c>
      <c r="AZ15" s="590" t="s">
        <v>32</v>
      </c>
      <c r="BA15" s="591" t="s">
        <v>33</v>
      </c>
      <c r="BB15" s="590" t="s">
        <v>34</v>
      </c>
      <c r="BC15" s="592" t="s">
        <v>35</v>
      </c>
      <c r="BD15" s="591" t="s">
        <v>36</v>
      </c>
      <c r="BE15" s="590" t="s">
        <v>31</v>
      </c>
      <c r="BF15" s="590" t="s">
        <v>32</v>
      </c>
      <c r="BG15" s="591" t="s">
        <v>33</v>
      </c>
      <c r="BH15" s="590" t="s">
        <v>34</v>
      </c>
      <c r="BI15" s="592" t="s">
        <v>35</v>
      </c>
      <c r="BJ15" s="591" t="s">
        <v>36</v>
      </c>
      <c r="BK15" s="590" t="s">
        <v>31</v>
      </c>
      <c r="BL15" s="590" t="s">
        <v>32</v>
      </c>
      <c r="BM15" s="591" t="s">
        <v>33</v>
      </c>
      <c r="BN15" s="590" t="s">
        <v>34</v>
      </c>
      <c r="BO15" s="592" t="s">
        <v>35</v>
      </c>
      <c r="BP15" s="591" t="s">
        <v>36</v>
      </c>
      <c r="BQ15" s="590" t="s">
        <v>31</v>
      </c>
      <c r="BR15" s="590" t="s">
        <v>32</v>
      </c>
      <c r="BS15" s="591" t="s">
        <v>33</v>
      </c>
      <c r="BT15" s="590" t="s">
        <v>34</v>
      </c>
      <c r="BU15" s="592" t="s">
        <v>35</v>
      </c>
      <c r="BV15" s="591" t="s">
        <v>36</v>
      </c>
      <c r="BW15" s="593" t="s">
        <v>31</v>
      </c>
      <c r="BX15" s="593" t="s">
        <v>32</v>
      </c>
      <c r="BY15" s="593" t="s">
        <v>33</v>
      </c>
      <c r="BZ15" s="593" t="s">
        <v>34</v>
      </c>
      <c r="CA15" s="593" t="s">
        <v>35</v>
      </c>
      <c r="CB15" s="594" t="s">
        <v>36</v>
      </c>
      <c r="CC15" s="590" t="s">
        <v>31</v>
      </c>
      <c r="CD15" s="590" t="s">
        <v>32</v>
      </c>
      <c r="CE15" s="591" t="s">
        <v>33</v>
      </c>
      <c r="CF15" s="590" t="s">
        <v>34</v>
      </c>
      <c r="CG15" s="592" t="s">
        <v>35</v>
      </c>
      <c r="CH15" s="591" t="s">
        <v>36</v>
      </c>
      <c r="CI15" s="590" t="s">
        <v>31</v>
      </c>
      <c r="CJ15" s="590" t="s">
        <v>32</v>
      </c>
      <c r="CK15" s="591" t="s">
        <v>33</v>
      </c>
      <c r="CL15" s="590" t="s">
        <v>34</v>
      </c>
      <c r="CM15" s="592" t="s">
        <v>35</v>
      </c>
      <c r="CN15" s="591" t="s">
        <v>36</v>
      </c>
      <c r="CO15" s="591" t="s">
        <v>31</v>
      </c>
      <c r="CP15" s="591" t="s">
        <v>32</v>
      </c>
      <c r="CQ15" s="591" t="s">
        <v>33</v>
      </c>
      <c r="CR15" s="590" t="s">
        <v>34</v>
      </c>
      <c r="CS15" s="592" t="s">
        <v>35</v>
      </c>
      <c r="CT15" s="591" t="s">
        <v>36</v>
      </c>
      <c r="CU15" s="591" t="s">
        <v>31</v>
      </c>
      <c r="CV15" s="591" t="s">
        <v>32</v>
      </c>
      <c r="CW15" s="591" t="s">
        <v>33</v>
      </c>
      <c r="CX15" s="590" t="s">
        <v>34</v>
      </c>
      <c r="CY15" s="595" t="s">
        <v>1184</v>
      </c>
      <c r="CZ15" s="591" t="s">
        <v>36</v>
      </c>
      <c r="DA15" s="630"/>
      <c r="DB15" s="627"/>
      <c r="DC15" s="126"/>
      <c r="DD15" s="627"/>
      <c r="DE15" s="627"/>
      <c r="DF15" s="627"/>
      <c r="DG15" s="627"/>
      <c r="DH15" s="627"/>
      <c r="DI15" s="627"/>
      <c r="DJ15" s="627"/>
      <c r="DK15" s="627"/>
      <c r="DL15" s="627"/>
      <c r="DM15" s="627"/>
      <c r="DN15" s="627"/>
      <c r="DO15" s="627"/>
      <c r="DP15" s="627"/>
      <c r="DQ15" s="627"/>
      <c r="DR15" s="627"/>
      <c r="DS15" s="627"/>
      <c r="DT15" s="627"/>
      <c r="DU15" s="627"/>
      <c r="DV15" s="627"/>
      <c r="DW15" s="627"/>
      <c r="DX15" s="627"/>
      <c r="DY15" s="627"/>
      <c r="DZ15" s="627"/>
      <c r="EA15" s="627"/>
      <c r="EB15" s="627"/>
      <c r="EC15" s="627"/>
      <c r="ED15" s="627"/>
      <c r="EE15" s="627"/>
      <c r="EF15" s="627"/>
      <c r="EG15" s="627"/>
      <c r="EH15" s="627"/>
      <c r="EI15" s="627"/>
      <c r="EJ15" s="627"/>
      <c r="EK15" s="627"/>
      <c r="EL15" s="627"/>
      <c r="EM15" s="627"/>
      <c r="EN15" s="627"/>
      <c r="EO15" s="627"/>
      <c r="EP15" s="627"/>
      <c r="EQ15" s="627"/>
      <c r="ER15" s="627"/>
      <c r="ES15" s="627"/>
      <c r="ET15" s="627"/>
      <c r="EU15" s="627"/>
      <c r="EV15" s="627"/>
      <c r="EW15" s="627"/>
      <c r="EX15" s="627"/>
      <c r="EY15" s="627"/>
      <c r="EZ15" s="627"/>
      <c r="FA15" s="627"/>
      <c r="FB15" s="627"/>
      <c r="FC15" s="627"/>
      <c r="FD15" s="627"/>
      <c r="FE15" s="627"/>
      <c r="FF15" s="627"/>
      <c r="FG15" s="627"/>
      <c r="FH15" s="627"/>
      <c r="FI15" s="627"/>
      <c r="FJ15" s="627"/>
      <c r="FK15" s="627"/>
      <c r="FL15" s="627"/>
      <c r="FM15" s="627"/>
      <c r="FN15" s="627"/>
      <c r="FO15" s="627"/>
      <c r="FP15" s="627"/>
      <c r="FQ15" s="627"/>
      <c r="FR15" s="627"/>
      <c r="FS15" s="627"/>
      <c r="FT15" s="627"/>
      <c r="FU15" s="627"/>
      <c r="FV15" s="627"/>
      <c r="FW15" s="627"/>
      <c r="FX15" s="627"/>
      <c r="FY15" s="627"/>
      <c r="FZ15" s="627"/>
      <c r="GA15" s="627"/>
      <c r="GB15" s="627"/>
      <c r="GC15" s="627"/>
      <c r="GD15" s="627"/>
      <c r="GE15" s="627"/>
      <c r="GF15" s="627"/>
      <c r="GG15" s="627"/>
      <c r="GH15" s="627"/>
      <c r="GI15" s="627"/>
      <c r="GJ15" s="627"/>
      <c r="GK15" s="627"/>
      <c r="GL15" s="627"/>
      <c r="GM15" s="627"/>
      <c r="GN15" s="627"/>
      <c r="GO15" s="627"/>
      <c r="GP15" s="627"/>
      <c r="GQ15" s="627"/>
      <c r="GR15" s="627"/>
      <c r="GS15" s="627"/>
      <c r="GT15" s="627"/>
      <c r="GU15" s="627"/>
      <c r="GV15" s="627"/>
      <c r="GW15" s="627"/>
      <c r="GX15" s="627"/>
      <c r="GY15" s="627"/>
      <c r="GZ15" s="627"/>
      <c r="HA15" s="627"/>
      <c r="HB15" s="627"/>
      <c r="HC15" s="627"/>
      <c r="HD15" s="627"/>
      <c r="HE15" s="627"/>
      <c r="HF15" s="627"/>
      <c r="HG15" s="627"/>
      <c r="HH15" s="627"/>
      <c r="HI15" s="627"/>
      <c r="HJ15" s="627"/>
      <c r="HK15" s="627"/>
      <c r="HL15" s="627"/>
      <c r="HM15" s="627"/>
      <c r="HN15" s="627"/>
      <c r="HO15" s="627"/>
      <c r="HP15" s="627"/>
      <c r="HQ15" s="627"/>
      <c r="HR15" s="627"/>
      <c r="HS15" s="627"/>
      <c r="HT15" s="627"/>
      <c r="HU15" s="627"/>
      <c r="HV15" s="627"/>
      <c r="HW15" s="627"/>
      <c r="HX15" s="627"/>
      <c r="HY15" s="627"/>
      <c r="HZ15" s="627"/>
      <c r="IA15" s="627"/>
      <c r="IB15" s="627"/>
      <c r="IC15" s="627"/>
      <c r="ID15" s="627"/>
      <c r="IE15" s="627"/>
      <c r="IF15" s="627"/>
      <c r="IG15" s="627"/>
      <c r="IH15" s="627"/>
      <c r="II15" s="627"/>
      <c r="IJ15" s="627"/>
      <c r="IK15" s="627"/>
      <c r="IL15" s="627"/>
      <c r="IM15" s="627"/>
      <c r="IN15" s="627"/>
      <c r="IO15" s="627"/>
      <c r="IP15" s="627"/>
      <c r="IQ15" s="627"/>
      <c r="IR15" s="627"/>
      <c r="IS15" s="627"/>
      <c r="IT15" s="627"/>
      <c r="IU15" s="627"/>
      <c r="IV15" s="627"/>
    </row>
    <row r="16" spans="1:256" ht="15.75">
      <c r="A16" s="627"/>
      <c r="B16" s="628"/>
      <c r="C16" s="631"/>
      <c r="D16" s="632"/>
      <c r="E16" s="635"/>
      <c r="F16" s="628"/>
      <c r="G16" s="628"/>
      <c r="H16" s="628"/>
      <c r="I16" s="628"/>
      <c r="J16" s="628"/>
      <c r="K16" s="628"/>
      <c r="L16" s="628"/>
      <c r="M16" s="628"/>
      <c r="N16" s="628"/>
      <c r="O16" s="628"/>
      <c r="P16" s="628"/>
      <c r="Q16" s="628"/>
      <c r="R16" s="628"/>
      <c r="S16" s="628"/>
      <c r="T16" s="628"/>
      <c r="U16" s="628"/>
      <c r="V16" s="628"/>
      <c r="W16" s="628"/>
      <c r="X16" s="628"/>
      <c r="Y16" s="628"/>
      <c r="Z16" s="629"/>
      <c r="AA16" s="605"/>
      <c r="AB16" s="68"/>
      <c r="AC16" s="606"/>
      <c r="AD16" s="607"/>
      <c r="AE16" s="607"/>
      <c r="AF16" s="8"/>
      <c r="AG16" s="636"/>
      <c r="AH16" s="68"/>
      <c r="AI16" s="68"/>
      <c r="AJ16" s="606"/>
      <c r="AK16" s="607"/>
      <c r="AL16" s="607"/>
      <c r="AM16" s="636"/>
      <c r="AN16" s="68"/>
      <c r="AO16" s="68"/>
      <c r="AP16" s="606"/>
      <c r="AQ16" s="607"/>
      <c r="AR16" s="607"/>
      <c r="AS16" s="605"/>
      <c r="AT16" s="68"/>
      <c r="AU16" s="606"/>
      <c r="AV16" s="607"/>
      <c r="AW16" s="607"/>
      <c r="AX16" s="65"/>
      <c r="AY16" s="8"/>
      <c r="AZ16" s="68"/>
      <c r="BA16" s="68"/>
      <c r="BB16" s="606"/>
      <c r="BC16" s="607"/>
      <c r="BD16" s="607"/>
      <c r="BE16" s="68"/>
      <c r="BF16" s="68"/>
      <c r="BG16" s="606"/>
      <c r="BH16" s="607"/>
      <c r="BI16" s="607"/>
      <c r="BJ16" s="65"/>
      <c r="BK16" s="8"/>
      <c r="BL16" s="68"/>
      <c r="BM16" s="68"/>
      <c r="BN16" s="606"/>
      <c r="BO16" s="607"/>
      <c r="BP16" s="607"/>
      <c r="BQ16" s="68"/>
      <c r="BR16" s="68"/>
      <c r="BS16" s="606"/>
      <c r="BT16" s="607"/>
      <c r="BU16" s="607"/>
      <c r="BV16" s="65"/>
      <c r="BW16" s="608"/>
      <c r="BX16" s="608"/>
      <c r="BY16" s="609"/>
      <c r="BZ16" s="609"/>
      <c r="CA16" s="609"/>
      <c r="CB16" s="610"/>
      <c r="CC16" s="68"/>
      <c r="CD16" s="68"/>
      <c r="CE16" s="606"/>
      <c r="CF16" s="607"/>
      <c r="CG16" s="607"/>
      <c r="CH16" s="65"/>
      <c r="CI16" s="68"/>
      <c r="CJ16" s="68"/>
      <c r="CK16" s="606"/>
      <c r="CL16" s="607"/>
      <c r="CM16" s="607"/>
      <c r="CN16" s="65"/>
      <c r="CO16" s="68"/>
      <c r="CP16" s="68"/>
      <c r="CQ16" s="606"/>
      <c r="CR16" s="607"/>
      <c r="CS16" s="607"/>
      <c r="CT16" s="65"/>
      <c r="CU16" s="9"/>
      <c r="CV16" s="68"/>
      <c r="CW16" s="68"/>
      <c r="CX16" s="606"/>
      <c r="CY16" s="607"/>
      <c r="CZ16" s="607"/>
      <c r="DA16" s="630"/>
      <c r="DB16" s="627"/>
      <c r="DC16" s="126"/>
      <c r="DD16" s="627"/>
      <c r="DE16" s="627"/>
      <c r="DF16" s="627"/>
      <c r="DG16" s="627"/>
      <c r="DH16" s="627"/>
      <c r="DI16" s="627"/>
      <c r="DJ16" s="627"/>
      <c r="DK16" s="627"/>
      <c r="DL16" s="627"/>
      <c r="DM16" s="627"/>
      <c r="DN16" s="627"/>
      <c r="DO16" s="627"/>
      <c r="DP16" s="627"/>
      <c r="DQ16" s="627"/>
      <c r="DR16" s="627"/>
      <c r="DS16" s="627"/>
      <c r="DT16" s="627"/>
      <c r="DU16" s="627"/>
      <c r="DV16" s="627"/>
      <c r="DW16" s="627"/>
      <c r="DX16" s="627"/>
      <c r="DY16" s="627"/>
      <c r="DZ16" s="627"/>
      <c r="EA16" s="627"/>
      <c r="EB16" s="627"/>
      <c r="EC16" s="627"/>
      <c r="ED16" s="627"/>
      <c r="EE16" s="627"/>
      <c r="EF16" s="627"/>
      <c r="EG16" s="627"/>
      <c r="EH16" s="627"/>
      <c r="EI16" s="627"/>
      <c r="EJ16" s="627"/>
      <c r="EK16" s="627"/>
      <c r="EL16" s="627"/>
      <c r="EM16" s="627"/>
      <c r="EN16" s="627"/>
      <c r="EO16" s="627"/>
      <c r="EP16" s="627"/>
      <c r="EQ16" s="627"/>
      <c r="ER16" s="627"/>
      <c r="ES16" s="627"/>
      <c r="ET16" s="627"/>
      <c r="EU16" s="627"/>
      <c r="EV16" s="627"/>
      <c r="EW16" s="627"/>
      <c r="EX16" s="627"/>
      <c r="EY16" s="627"/>
      <c r="EZ16" s="627"/>
      <c r="FA16" s="627"/>
      <c r="FB16" s="627"/>
      <c r="FC16" s="627"/>
      <c r="FD16" s="627"/>
      <c r="FE16" s="627"/>
      <c r="FF16" s="627"/>
      <c r="FG16" s="627"/>
      <c r="FH16" s="627"/>
      <c r="FI16" s="627"/>
      <c r="FJ16" s="627"/>
      <c r="FK16" s="627"/>
      <c r="FL16" s="627"/>
      <c r="FM16" s="627"/>
      <c r="FN16" s="627"/>
      <c r="FO16" s="627"/>
      <c r="FP16" s="627"/>
      <c r="FQ16" s="627"/>
      <c r="FR16" s="627"/>
      <c r="FS16" s="627"/>
      <c r="FT16" s="627"/>
      <c r="FU16" s="627"/>
      <c r="FV16" s="627"/>
      <c r="FW16" s="627"/>
      <c r="FX16" s="627"/>
      <c r="FY16" s="627"/>
      <c r="FZ16" s="627"/>
      <c r="GA16" s="627"/>
      <c r="GB16" s="627"/>
      <c r="GC16" s="627"/>
      <c r="GD16" s="627"/>
      <c r="GE16" s="627"/>
      <c r="GF16" s="627"/>
      <c r="GG16" s="627"/>
      <c r="GH16" s="627"/>
      <c r="GI16" s="627"/>
      <c r="GJ16" s="627"/>
      <c r="GK16" s="627"/>
      <c r="GL16" s="627"/>
      <c r="GM16" s="627"/>
      <c r="GN16" s="627"/>
      <c r="GO16" s="627"/>
      <c r="GP16" s="627"/>
      <c r="GQ16" s="627"/>
      <c r="GR16" s="627"/>
      <c r="GS16" s="627"/>
      <c r="GT16" s="627"/>
      <c r="GU16" s="627"/>
      <c r="GV16" s="627"/>
      <c r="GW16" s="627"/>
      <c r="GX16" s="627"/>
      <c r="GY16" s="627"/>
      <c r="GZ16" s="627"/>
      <c r="HA16" s="627"/>
      <c r="HB16" s="627"/>
      <c r="HC16" s="627"/>
      <c r="HD16" s="627"/>
      <c r="HE16" s="627"/>
      <c r="HF16" s="627"/>
      <c r="HG16" s="627"/>
      <c r="HH16" s="627"/>
      <c r="HI16" s="627"/>
      <c r="HJ16" s="627"/>
      <c r="HK16" s="627"/>
      <c r="HL16" s="627"/>
      <c r="HM16" s="627"/>
      <c r="HN16" s="627"/>
      <c r="HO16" s="627"/>
      <c r="HP16" s="627"/>
      <c r="HQ16" s="627"/>
      <c r="HR16" s="627"/>
      <c r="HS16" s="627"/>
      <c r="HT16" s="627"/>
      <c r="HU16" s="627"/>
      <c r="HV16" s="627"/>
      <c r="HW16" s="627"/>
      <c r="HX16" s="627"/>
      <c r="HY16" s="627"/>
      <c r="HZ16" s="627"/>
      <c r="IA16" s="627"/>
      <c r="IB16" s="627"/>
      <c r="IC16" s="627"/>
      <c r="ID16" s="627"/>
      <c r="IE16" s="627"/>
      <c r="IF16" s="627"/>
      <c r="IG16" s="627"/>
      <c r="IH16" s="627"/>
      <c r="II16" s="627"/>
      <c r="IJ16" s="627"/>
      <c r="IK16" s="627"/>
      <c r="IL16" s="627"/>
      <c r="IM16" s="627"/>
      <c r="IN16" s="627"/>
      <c r="IO16" s="627"/>
      <c r="IP16" s="627"/>
      <c r="IQ16" s="627"/>
      <c r="IR16" s="627"/>
      <c r="IS16" s="627"/>
      <c r="IT16" s="627"/>
      <c r="IU16" s="627"/>
      <c r="IV16" s="627"/>
    </row>
    <row r="17" spans="1:256" ht="67.5">
      <c r="A17" s="637"/>
      <c r="B17" s="305" t="s">
        <v>49</v>
      </c>
      <c r="C17" s="596" t="s">
        <v>1269</v>
      </c>
      <c r="D17" s="638"/>
      <c r="E17" s="598" t="s">
        <v>157</v>
      </c>
      <c r="F17" s="347" t="s">
        <v>158</v>
      </c>
      <c r="G17" s="599" t="s">
        <v>159</v>
      </c>
      <c r="H17" s="639" t="s">
        <v>53</v>
      </c>
      <c r="I17" s="601" t="s">
        <v>160</v>
      </c>
      <c r="J17" s="599" t="s">
        <v>161</v>
      </c>
      <c r="K17" s="8" t="s">
        <v>54</v>
      </c>
      <c r="L17" s="603"/>
      <c r="M17" s="603"/>
      <c r="N17" s="603">
        <v>1</v>
      </c>
      <c r="O17" s="603"/>
      <c r="P17" s="603"/>
      <c r="Q17" s="603">
        <v>1</v>
      </c>
      <c r="R17" s="603"/>
      <c r="S17" s="603"/>
      <c r="T17" s="603">
        <v>1</v>
      </c>
      <c r="U17" s="603"/>
      <c r="V17" s="603"/>
      <c r="W17" s="603">
        <v>1</v>
      </c>
      <c r="X17" s="603">
        <v>1</v>
      </c>
      <c r="Y17" s="8" t="s">
        <v>79</v>
      </c>
      <c r="Z17" s="603">
        <v>1</v>
      </c>
      <c r="AA17" s="361">
        <v>0</v>
      </c>
      <c r="AB17" s="350">
        <v>0</v>
      </c>
      <c r="AC17" s="640">
        <v>0</v>
      </c>
      <c r="AD17" s="640">
        <v>0</v>
      </c>
      <c r="AE17" s="640" t="s">
        <v>332</v>
      </c>
      <c r="AF17" s="332" t="s">
        <v>1270</v>
      </c>
      <c r="AG17" s="361">
        <v>0</v>
      </c>
      <c r="AH17" s="350">
        <v>0</v>
      </c>
      <c r="AI17" s="612">
        <v>0</v>
      </c>
      <c r="AJ17" s="640">
        <v>0</v>
      </c>
      <c r="AK17" s="640" t="s">
        <v>332</v>
      </c>
      <c r="AL17" s="332" t="s">
        <v>1271</v>
      </c>
      <c r="AM17" s="361">
        <v>1</v>
      </c>
      <c r="AN17" s="350">
        <v>1</v>
      </c>
      <c r="AO17" s="640">
        <v>1</v>
      </c>
      <c r="AP17" s="640">
        <v>1</v>
      </c>
      <c r="AQ17" s="640">
        <v>1</v>
      </c>
      <c r="AR17" s="332" t="s">
        <v>1272</v>
      </c>
      <c r="AS17" s="361">
        <v>0</v>
      </c>
      <c r="AT17" s="350">
        <v>0</v>
      </c>
      <c r="AU17" s="640">
        <v>0</v>
      </c>
      <c r="AV17" s="640">
        <v>0</v>
      </c>
      <c r="AW17" s="640" t="s">
        <v>332</v>
      </c>
      <c r="AX17" s="332" t="s">
        <v>1273</v>
      </c>
      <c r="AY17" s="350"/>
      <c r="AZ17" s="350"/>
      <c r="BA17" s="640" t="s">
        <v>332</v>
      </c>
      <c r="BB17" s="640"/>
      <c r="BC17" s="640" t="s">
        <v>332</v>
      </c>
      <c r="BD17" s="332" t="s">
        <v>1274</v>
      </c>
      <c r="BE17" s="350">
        <v>6</v>
      </c>
      <c r="BF17" s="350">
        <v>5</v>
      </c>
      <c r="BG17" s="640">
        <v>0.83333333333333337</v>
      </c>
      <c r="BH17" s="640">
        <v>1</v>
      </c>
      <c r="BI17" s="640">
        <v>0.83333333333333337</v>
      </c>
      <c r="BJ17" s="332" t="s">
        <v>1275</v>
      </c>
      <c r="BK17" s="350"/>
      <c r="BL17" s="350"/>
      <c r="BM17" s="640" t="s">
        <v>332</v>
      </c>
      <c r="BN17" s="640"/>
      <c r="BO17" s="640" t="s">
        <v>332</v>
      </c>
      <c r="BP17" s="65" t="s">
        <v>1196</v>
      </c>
      <c r="BQ17" s="350"/>
      <c r="BR17" s="350"/>
      <c r="BS17" s="640" t="s">
        <v>332</v>
      </c>
      <c r="BT17" s="640"/>
      <c r="BU17" s="640" t="s">
        <v>332</v>
      </c>
      <c r="BV17" s="65" t="s">
        <v>1197</v>
      </c>
      <c r="BW17" s="608">
        <v>9</v>
      </c>
      <c r="BX17" s="608">
        <v>9</v>
      </c>
      <c r="BY17" s="641">
        <f>IF(BX17=0," ",BW17/BX17)</f>
        <v>1</v>
      </c>
      <c r="BZ17" s="641">
        <v>1</v>
      </c>
      <c r="CA17" s="641">
        <f>IF(BX17=0," ",BY17/BZ17)</f>
        <v>1</v>
      </c>
      <c r="CB17" s="617" t="s">
        <v>1276</v>
      </c>
      <c r="CC17" s="350"/>
      <c r="CD17" s="350"/>
      <c r="CE17" s="615" t="s">
        <v>332</v>
      </c>
      <c r="CF17" s="607"/>
      <c r="CG17" s="607" t="s">
        <v>332</v>
      </c>
      <c r="CH17" s="610" t="s">
        <v>1199</v>
      </c>
      <c r="CI17" s="350"/>
      <c r="CJ17" s="350"/>
      <c r="CK17" s="615" t="s">
        <v>332</v>
      </c>
      <c r="CL17" s="607"/>
      <c r="CM17" s="607" t="s">
        <v>332</v>
      </c>
      <c r="CN17" s="610" t="s">
        <v>1199</v>
      </c>
      <c r="CO17" s="68">
        <v>11</v>
      </c>
      <c r="CP17" s="68">
        <v>11</v>
      </c>
      <c r="CQ17" s="640">
        <f>+CO17/CP17</f>
        <v>1</v>
      </c>
      <c r="CR17" s="640">
        <v>1</v>
      </c>
      <c r="CS17" s="609">
        <f>+CQ17/CR17</f>
        <v>1</v>
      </c>
      <c r="CT17" s="101" t="s">
        <v>1277</v>
      </c>
      <c r="CU17" s="68">
        <v>11</v>
      </c>
      <c r="CV17" s="68">
        <v>11</v>
      </c>
      <c r="CW17" s="642">
        <f>IF(CV17=0," ",CU17/CV17)</f>
        <v>1</v>
      </c>
      <c r="CX17" s="643">
        <v>1</v>
      </c>
      <c r="CY17" s="643">
        <f>IF(CV17=0," ",CW17/CX17)</f>
        <v>1</v>
      </c>
      <c r="CZ17" s="101" t="s">
        <v>1278</v>
      </c>
      <c r="DA17" s="644"/>
      <c r="DB17" s="637"/>
      <c r="DC17" s="637"/>
      <c r="DD17" s="637"/>
      <c r="DE17" s="637"/>
      <c r="DF17" s="637"/>
      <c r="DG17" s="637"/>
      <c r="DH17" s="637"/>
      <c r="DI17" s="637"/>
      <c r="DJ17" s="637"/>
      <c r="DK17" s="637"/>
      <c r="DL17" s="637"/>
      <c r="DM17" s="637"/>
      <c r="DN17" s="637"/>
      <c r="DO17" s="637"/>
      <c r="DP17" s="637"/>
      <c r="DQ17" s="637"/>
      <c r="DR17" s="637"/>
      <c r="DS17" s="637"/>
      <c r="DT17" s="637"/>
      <c r="DU17" s="637"/>
      <c r="DV17" s="637"/>
      <c r="DW17" s="637"/>
      <c r="DX17" s="637"/>
      <c r="DY17" s="637"/>
      <c r="DZ17" s="637"/>
      <c r="EA17" s="637"/>
      <c r="EB17" s="637"/>
      <c r="EC17" s="637"/>
      <c r="ED17" s="637"/>
      <c r="EE17" s="637"/>
      <c r="EF17" s="637"/>
      <c r="EG17" s="637"/>
      <c r="EH17" s="637"/>
      <c r="EI17" s="637"/>
      <c r="EJ17" s="637"/>
      <c r="EK17" s="637"/>
      <c r="EL17" s="637"/>
      <c r="EM17" s="637"/>
      <c r="EN17" s="637"/>
      <c r="EO17" s="637"/>
      <c r="EP17" s="637"/>
      <c r="EQ17" s="637"/>
      <c r="ER17" s="637"/>
      <c r="ES17" s="637"/>
      <c r="ET17" s="637"/>
      <c r="EU17" s="637"/>
      <c r="EV17" s="637"/>
      <c r="EW17" s="637"/>
      <c r="EX17" s="637"/>
      <c r="EY17" s="637"/>
      <c r="EZ17" s="637"/>
      <c r="FA17" s="637"/>
      <c r="FB17" s="637"/>
      <c r="FC17" s="637"/>
      <c r="FD17" s="637"/>
      <c r="FE17" s="637"/>
      <c r="FF17" s="637"/>
      <c r="FG17" s="637"/>
      <c r="FH17" s="637"/>
      <c r="FI17" s="637"/>
      <c r="FJ17" s="637"/>
      <c r="FK17" s="637"/>
      <c r="FL17" s="637"/>
      <c r="FM17" s="637"/>
      <c r="FN17" s="637"/>
      <c r="FO17" s="637"/>
      <c r="FP17" s="637"/>
      <c r="FQ17" s="637"/>
      <c r="FR17" s="637"/>
      <c r="FS17" s="637"/>
      <c r="FT17" s="637"/>
      <c r="FU17" s="637"/>
      <c r="FV17" s="637"/>
      <c r="FW17" s="637"/>
      <c r="FX17" s="637"/>
      <c r="FY17" s="637"/>
      <c r="FZ17" s="637"/>
      <c r="GA17" s="637"/>
      <c r="GB17" s="637"/>
      <c r="GC17" s="637"/>
      <c r="GD17" s="637"/>
      <c r="GE17" s="637"/>
      <c r="GF17" s="637"/>
      <c r="GG17" s="637"/>
      <c r="GH17" s="637"/>
      <c r="GI17" s="637"/>
      <c r="GJ17" s="637"/>
      <c r="GK17" s="637"/>
      <c r="GL17" s="637"/>
      <c r="GM17" s="637"/>
      <c r="GN17" s="637"/>
      <c r="GO17" s="637"/>
      <c r="GP17" s="637"/>
      <c r="GQ17" s="637"/>
      <c r="GR17" s="637"/>
      <c r="GS17" s="637"/>
      <c r="GT17" s="637"/>
      <c r="GU17" s="637"/>
      <c r="GV17" s="637"/>
      <c r="GW17" s="637"/>
      <c r="GX17" s="637"/>
      <c r="GY17" s="637"/>
      <c r="GZ17" s="637"/>
      <c r="HA17" s="637"/>
      <c r="HB17" s="637"/>
      <c r="HC17" s="637"/>
      <c r="HD17" s="637"/>
      <c r="HE17" s="637"/>
      <c r="HF17" s="637"/>
      <c r="HG17" s="637"/>
      <c r="HH17" s="637"/>
      <c r="HI17" s="637"/>
      <c r="HJ17" s="637"/>
      <c r="HK17" s="637"/>
      <c r="HL17" s="637"/>
      <c r="HM17" s="637"/>
      <c r="HN17" s="637"/>
      <c r="HO17" s="637"/>
      <c r="HP17" s="637"/>
      <c r="HQ17" s="637"/>
      <c r="HR17" s="637"/>
      <c r="HS17" s="637"/>
      <c r="HT17" s="637"/>
      <c r="HU17" s="637"/>
      <c r="HV17" s="637"/>
      <c r="HW17" s="637"/>
      <c r="HX17" s="637"/>
      <c r="HY17" s="637"/>
      <c r="HZ17" s="637"/>
      <c r="IA17" s="637"/>
      <c r="IB17" s="637"/>
      <c r="IC17" s="637"/>
      <c r="ID17" s="637"/>
      <c r="IE17" s="637"/>
      <c r="IF17" s="637"/>
      <c r="IG17" s="637"/>
      <c r="IH17" s="637"/>
      <c r="II17" s="637"/>
      <c r="IJ17" s="637"/>
      <c r="IK17" s="637"/>
      <c r="IL17" s="637"/>
      <c r="IM17" s="637"/>
      <c r="IN17" s="637"/>
      <c r="IO17" s="637"/>
      <c r="IP17" s="637"/>
      <c r="IQ17" s="637"/>
      <c r="IR17" s="637"/>
      <c r="IS17" s="637"/>
      <c r="IT17" s="637"/>
      <c r="IU17" s="637"/>
      <c r="IV17" s="637"/>
    </row>
    <row r="18" spans="1:256" ht="108">
      <c r="A18" s="637"/>
      <c r="B18" s="305" t="s">
        <v>49</v>
      </c>
      <c r="C18" s="596" t="s">
        <v>55</v>
      </c>
      <c r="D18" s="638"/>
      <c r="E18" s="645" t="s">
        <v>56</v>
      </c>
      <c r="F18" s="599" t="s">
        <v>57</v>
      </c>
      <c r="G18" s="599" t="s">
        <v>58</v>
      </c>
      <c r="H18" s="639" t="s">
        <v>53</v>
      </c>
      <c r="I18" s="646" t="s">
        <v>1279</v>
      </c>
      <c r="J18" s="599" t="s">
        <v>60</v>
      </c>
      <c r="K18" s="8" t="s">
        <v>54</v>
      </c>
      <c r="L18" s="647"/>
      <c r="M18" s="647"/>
      <c r="N18" s="603">
        <v>1</v>
      </c>
      <c r="O18" s="647"/>
      <c r="P18" s="647"/>
      <c r="Q18" s="603">
        <v>1</v>
      </c>
      <c r="R18" s="603"/>
      <c r="S18" s="647"/>
      <c r="T18" s="603">
        <v>1</v>
      </c>
      <c r="U18" s="603"/>
      <c r="V18" s="647"/>
      <c r="W18" s="603">
        <v>1</v>
      </c>
      <c r="X18" s="603">
        <v>1</v>
      </c>
      <c r="Y18" s="8" t="s">
        <v>79</v>
      </c>
      <c r="Z18" s="603">
        <v>1</v>
      </c>
      <c r="AA18" s="361"/>
      <c r="AB18" s="350"/>
      <c r="AC18" s="640" t="s">
        <v>332</v>
      </c>
      <c r="AD18" s="640"/>
      <c r="AE18" s="640" t="s">
        <v>332</v>
      </c>
      <c r="AF18" s="332" t="s">
        <v>1280</v>
      </c>
      <c r="AG18" s="350" t="s">
        <v>325</v>
      </c>
      <c r="AH18" s="350"/>
      <c r="AI18" s="640" t="s">
        <v>332</v>
      </c>
      <c r="AJ18" s="640" t="s">
        <v>325</v>
      </c>
      <c r="AK18" s="640" t="s">
        <v>332</v>
      </c>
      <c r="AL18" s="332" t="s">
        <v>148</v>
      </c>
      <c r="AM18" s="350"/>
      <c r="AN18" s="350"/>
      <c r="AO18" s="640" t="s">
        <v>332</v>
      </c>
      <c r="AP18" s="640"/>
      <c r="AQ18" s="640" t="s">
        <v>332</v>
      </c>
      <c r="AR18" s="648" t="s">
        <v>1280</v>
      </c>
      <c r="AS18" s="350"/>
      <c r="AT18" s="350"/>
      <c r="AU18" s="640" t="s">
        <v>332</v>
      </c>
      <c r="AV18" s="640"/>
      <c r="AW18" s="640" t="s">
        <v>332</v>
      </c>
      <c r="AX18" s="332" t="s">
        <v>148</v>
      </c>
      <c r="AY18" s="350"/>
      <c r="AZ18" s="350"/>
      <c r="BA18" s="640" t="s">
        <v>332</v>
      </c>
      <c r="BB18" s="640"/>
      <c r="BC18" s="640" t="s">
        <v>332</v>
      </c>
      <c r="BD18" s="332" t="s">
        <v>1194</v>
      </c>
      <c r="BE18" s="350">
        <v>0</v>
      </c>
      <c r="BF18" s="350" t="s">
        <v>332</v>
      </c>
      <c r="BG18" s="640">
        <v>1</v>
      </c>
      <c r="BH18" s="640" t="s">
        <v>332</v>
      </c>
      <c r="BI18" s="640">
        <v>1</v>
      </c>
      <c r="BJ18" s="332" t="s">
        <v>1281</v>
      </c>
      <c r="BK18" s="350"/>
      <c r="BL18" s="350"/>
      <c r="BM18" s="640" t="s">
        <v>332</v>
      </c>
      <c r="BN18" s="640"/>
      <c r="BO18" s="640" t="s">
        <v>332</v>
      </c>
      <c r="BP18" s="65" t="s">
        <v>1196</v>
      </c>
      <c r="BQ18" s="350"/>
      <c r="BR18" s="350"/>
      <c r="BS18" s="640" t="s">
        <v>332</v>
      </c>
      <c r="BT18" s="640"/>
      <c r="BU18" s="640" t="s">
        <v>332</v>
      </c>
      <c r="BV18" s="65" t="s">
        <v>1197</v>
      </c>
      <c r="BW18" s="608"/>
      <c r="BX18" s="608"/>
      <c r="BY18" s="609" t="s">
        <v>332</v>
      </c>
      <c r="BZ18" s="609"/>
      <c r="CA18" s="609" t="s">
        <v>332</v>
      </c>
      <c r="CB18" s="617" t="s">
        <v>1282</v>
      </c>
      <c r="CC18" s="350"/>
      <c r="CD18" s="350"/>
      <c r="CE18" s="615" t="s">
        <v>332</v>
      </c>
      <c r="CF18" s="607"/>
      <c r="CG18" s="607" t="s">
        <v>332</v>
      </c>
      <c r="CH18" s="610" t="s">
        <v>1199</v>
      </c>
      <c r="CI18" s="350"/>
      <c r="CJ18" s="350"/>
      <c r="CK18" s="615" t="s">
        <v>332</v>
      </c>
      <c r="CL18" s="607"/>
      <c r="CM18" s="607" t="s">
        <v>332</v>
      </c>
      <c r="CN18" s="610" t="s">
        <v>1199</v>
      </c>
      <c r="CO18" s="231" t="s">
        <v>1283</v>
      </c>
      <c r="CP18" s="649">
        <v>1</v>
      </c>
      <c r="CQ18" s="650" t="s">
        <v>1110</v>
      </c>
      <c r="CR18" s="651">
        <v>1</v>
      </c>
      <c r="CS18" s="652" t="s">
        <v>1110</v>
      </c>
      <c r="CT18" s="25" t="s">
        <v>326</v>
      </c>
      <c r="CU18" s="653" t="s">
        <v>1108</v>
      </c>
      <c r="CV18" s="21">
        <v>100</v>
      </c>
      <c r="CW18" s="650" t="s">
        <v>1110</v>
      </c>
      <c r="CX18" s="651">
        <v>1</v>
      </c>
      <c r="CY18" s="652" t="s">
        <v>1110</v>
      </c>
      <c r="CZ18" s="25" t="s">
        <v>327</v>
      </c>
      <c r="DA18" s="637"/>
      <c r="DB18" s="637"/>
      <c r="DC18" s="637"/>
      <c r="DD18" s="637"/>
      <c r="DE18" s="637"/>
      <c r="DF18" s="637"/>
      <c r="DG18" s="637"/>
      <c r="DH18" s="637"/>
      <c r="DI18" s="637"/>
      <c r="DJ18" s="637"/>
      <c r="DK18" s="637"/>
      <c r="DL18" s="637"/>
      <c r="DM18" s="637"/>
      <c r="DN18" s="637"/>
      <c r="DO18" s="637"/>
      <c r="DP18" s="637"/>
      <c r="DQ18" s="637"/>
      <c r="DR18" s="637"/>
      <c r="DS18" s="637"/>
      <c r="DT18" s="637"/>
      <c r="DU18" s="637"/>
      <c r="DV18" s="637"/>
      <c r="DW18" s="637"/>
      <c r="DX18" s="637"/>
      <c r="DY18" s="637"/>
      <c r="DZ18" s="637"/>
      <c r="EA18" s="637"/>
      <c r="EB18" s="637"/>
      <c r="EC18" s="637"/>
      <c r="ED18" s="637"/>
      <c r="EE18" s="637"/>
      <c r="EF18" s="637"/>
      <c r="EG18" s="637"/>
      <c r="EH18" s="637"/>
      <c r="EI18" s="637"/>
      <c r="EJ18" s="637"/>
      <c r="EK18" s="637"/>
      <c r="EL18" s="637"/>
      <c r="EM18" s="637"/>
      <c r="EN18" s="637"/>
      <c r="EO18" s="637"/>
      <c r="EP18" s="637"/>
      <c r="EQ18" s="637"/>
      <c r="ER18" s="637"/>
      <c r="ES18" s="637"/>
      <c r="ET18" s="637"/>
      <c r="EU18" s="637"/>
      <c r="EV18" s="637"/>
      <c r="EW18" s="637"/>
      <c r="EX18" s="637"/>
      <c r="EY18" s="637"/>
      <c r="EZ18" s="637"/>
      <c r="FA18" s="637"/>
      <c r="FB18" s="637"/>
      <c r="FC18" s="637"/>
      <c r="FD18" s="637"/>
      <c r="FE18" s="637"/>
      <c r="FF18" s="637"/>
      <c r="FG18" s="637"/>
      <c r="FH18" s="637"/>
      <c r="FI18" s="637"/>
      <c r="FJ18" s="637"/>
      <c r="FK18" s="637"/>
      <c r="FL18" s="637"/>
      <c r="FM18" s="637"/>
      <c r="FN18" s="637"/>
      <c r="FO18" s="637"/>
      <c r="FP18" s="637"/>
      <c r="FQ18" s="637"/>
      <c r="FR18" s="637"/>
      <c r="FS18" s="637"/>
      <c r="FT18" s="637"/>
      <c r="FU18" s="637"/>
      <c r="FV18" s="637"/>
      <c r="FW18" s="637"/>
      <c r="FX18" s="637"/>
      <c r="FY18" s="637"/>
      <c r="FZ18" s="637"/>
      <c r="GA18" s="637"/>
      <c r="GB18" s="637"/>
      <c r="GC18" s="637"/>
      <c r="GD18" s="637"/>
      <c r="GE18" s="637"/>
      <c r="GF18" s="637"/>
      <c r="GG18" s="637"/>
      <c r="GH18" s="637"/>
      <c r="GI18" s="637"/>
      <c r="GJ18" s="637"/>
      <c r="GK18" s="637"/>
      <c r="GL18" s="637"/>
      <c r="GM18" s="637"/>
      <c r="GN18" s="637"/>
      <c r="GO18" s="637"/>
      <c r="GP18" s="637"/>
      <c r="GQ18" s="637"/>
      <c r="GR18" s="637"/>
      <c r="GS18" s="637"/>
      <c r="GT18" s="637"/>
      <c r="GU18" s="637"/>
      <c r="GV18" s="637"/>
      <c r="GW18" s="637"/>
      <c r="GX18" s="637"/>
      <c r="GY18" s="637"/>
      <c r="GZ18" s="637"/>
      <c r="HA18" s="637"/>
      <c r="HB18" s="637"/>
      <c r="HC18" s="637"/>
      <c r="HD18" s="637"/>
      <c r="HE18" s="637"/>
      <c r="HF18" s="637"/>
      <c r="HG18" s="637"/>
      <c r="HH18" s="637"/>
      <c r="HI18" s="637"/>
      <c r="HJ18" s="637"/>
      <c r="HK18" s="637"/>
      <c r="HL18" s="637"/>
      <c r="HM18" s="637"/>
      <c r="HN18" s="637"/>
      <c r="HO18" s="637"/>
      <c r="HP18" s="637"/>
      <c r="HQ18" s="637"/>
      <c r="HR18" s="637"/>
      <c r="HS18" s="637"/>
      <c r="HT18" s="637"/>
      <c r="HU18" s="637"/>
      <c r="HV18" s="637"/>
      <c r="HW18" s="637"/>
      <c r="HX18" s="637"/>
      <c r="HY18" s="637"/>
      <c r="HZ18" s="637"/>
      <c r="IA18" s="637"/>
      <c r="IB18" s="637"/>
      <c r="IC18" s="637"/>
      <c r="ID18" s="637"/>
      <c r="IE18" s="637"/>
      <c r="IF18" s="637"/>
      <c r="IG18" s="637"/>
      <c r="IH18" s="637"/>
      <c r="II18" s="637"/>
      <c r="IJ18" s="637"/>
      <c r="IK18" s="637"/>
      <c r="IL18" s="637"/>
      <c r="IM18" s="637"/>
      <c r="IN18" s="637"/>
      <c r="IO18" s="637"/>
      <c r="IP18" s="637"/>
      <c r="IQ18" s="637"/>
      <c r="IR18" s="637"/>
      <c r="IS18" s="637"/>
      <c r="IT18" s="637"/>
      <c r="IU18" s="637"/>
      <c r="IV18" s="637"/>
    </row>
    <row r="19" spans="1:256" ht="121.5">
      <c r="A19" s="637"/>
      <c r="B19" s="305" t="s">
        <v>49</v>
      </c>
      <c r="C19" s="596" t="s">
        <v>55</v>
      </c>
      <c r="D19" s="638"/>
      <c r="E19" s="645" t="s">
        <v>61</v>
      </c>
      <c r="F19" s="599" t="s">
        <v>57</v>
      </c>
      <c r="G19" s="599" t="s">
        <v>62</v>
      </c>
      <c r="H19" s="639" t="s">
        <v>53</v>
      </c>
      <c r="I19" s="646" t="s">
        <v>1284</v>
      </c>
      <c r="J19" s="599" t="s">
        <v>64</v>
      </c>
      <c r="K19" s="8" t="s">
        <v>54</v>
      </c>
      <c r="L19" s="387"/>
      <c r="M19" s="388"/>
      <c r="N19" s="388">
        <v>1</v>
      </c>
      <c r="O19" s="388"/>
      <c r="P19" s="387"/>
      <c r="Q19" s="388">
        <v>1</v>
      </c>
      <c r="R19" s="388"/>
      <c r="S19" s="603">
        <v>1</v>
      </c>
      <c r="T19" s="388"/>
      <c r="U19" s="603">
        <v>1</v>
      </c>
      <c r="V19" s="387"/>
      <c r="W19" s="603">
        <v>1</v>
      </c>
      <c r="X19" s="603">
        <v>1</v>
      </c>
      <c r="Y19" s="8" t="s">
        <v>79</v>
      </c>
      <c r="Z19" s="603">
        <v>1</v>
      </c>
      <c r="AA19" s="318"/>
      <c r="AB19" s="350"/>
      <c r="AC19" s="640" t="s">
        <v>332</v>
      </c>
      <c r="AD19" s="640"/>
      <c r="AE19" s="640" t="s">
        <v>332</v>
      </c>
      <c r="AF19" s="310" t="s">
        <v>1280</v>
      </c>
      <c r="AG19" s="350" t="s">
        <v>325</v>
      </c>
      <c r="AH19" s="350"/>
      <c r="AI19" s="640" t="s">
        <v>332</v>
      </c>
      <c r="AJ19" s="640" t="s">
        <v>325</v>
      </c>
      <c r="AK19" s="654" t="s">
        <v>332</v>
      </c>
      <c r="AL19" s="655" t="s">
        <v>148</v>
      </c>
      <c r="AM19" s="350"/>
      <c r="AN19" s="350"/>
      <c r="AO19" s="654" t="s">
        <v>332</v>
      </c>
      <c r="AP19" s="656"/>
      <c r="AQ19" s="654" t="s">
        <v>332</v>
      </c>
      <c r="AR19" s="648" t="s">
        <v>1280</v>
      </c>
      <c r="AS19" s="350"/>
      <c r="AT19" s="350"/>
      <c r="AU19" s="654" t="s">
        <v>332</v>
      </c>
      <c r="AV19" s="656"/>
      <c r="AW19" s="654" t="s">
        <v>332</v>
      </c>
      <c r="AX19" s="655" t="s">
        <v>148</v>
      </c>
      <c r="AY19" s="350"/>
      <c r="AZ19" s="350"/>
      <c r="BA19" s="640" t="s">
        <v>332</v>
      </c>
      <c r="BB19" s="640"/>
      <c r="BC19" s="640" t="s">
        <v>332</v>
      </c>
      <c r="BD19" s="332" t="s">
        <v>1194</v>
      </c>
      <c r="BE19" s="350">
        <v>100</v>
      </c>
      <c r="BF19" s="350">
        <v>100</v>
      </c>
      <c r="BG19" s="640">
        <v>1</v>
      </c>
      <c r="BH19" s="640">
        <v>1</v>
      </c>
      <c r="BI19" s="640">
        <v>1</v>
      </c>
      <c r="BJ19" s="332" t="s">
        <v>1285</v>
      </c>
      <c r="BK19" s="350"/>
      <c r="BL19" s="350"/>
      <c r="BM19" s="640" t="s">
        <v>332</v>
      </c>
      <c r="BN19" s="640"/>
      <c r="BO19" s="640" t="s">
        <v>332</v>
      </c>
      <c r="BP19" s="65" t="s">
        <v>1196</v>
      </c>
      <c r="BQ19" s="350"/>
      <c r="BR19" s="350"/>
      <c r="BS19" s="640" t="s">
        <v>332</v>
      </c>
      <c r="BT19" s="640"/>
      <c r="BU19" s="640" t="s">
        <v>332</v>
      </c>
      <c r="BV19" s="65" t="s">
        <v>1197</v>
      </c>
      <c r="BW19" s="608"/>
      <c r="BX19" s="608"/>
      <c r="BY19" s="609" t="s">
        <v>332</v>
      </c>
      <c r="BZ19" s="609"/>
      <c r="CA19" s="609" t="s">
        <v>332</v>
      </c>
      <c r="CB19" s="610" t="s">
        <v>1198</v>
      </c>
      <c r="CC19" s="350"/>
      <c r="CD19" s="350"/>
      <c r="CE19" s="615" t="s">
        <v>332</v>
      </c>
      <c r="CF19" s="607"/>
      <c r="CG19" s="607" t="s">
        <v>332</v>
      </c>
      <c r="CH19" s="610" t="s">
        <v>1286</v>
      </c>
      <c r="CI19" s="350"/>
      <c r="CJ19" s="350"/>
      <c r="CK19" s="615" t="s">
        <v>332</v>
      </c>
      <c r="CL19" s="607"/>
      <c r="CM19" s="607" t="s">
        <v>332</v>
      </c>
      <c r="CN19" s="610" t="s">
        <v>1199</v>
      </c>
      <c r="CO19" s="657" t="s">
        <v>325</v>
      </c>
      <c r="CP19" s="658"/>
      <c r="CQ19" s="659" t="str">
        <f>IF(CP19=0," ",CO19/CP19)</f>
        <v xml:space="preserve"> </v>
      </c>
      <c r="CR19" s="660" t="s">
        <v>325</v>
      </c>
      <c r="CS19" s="661" t="str">
        <f>IF(CP19=0," ",CQ19/CR19)</f>
        <v xml:space="preserve"> </v>
      </c>
      <c r="CT19" s="241" t="s">
        <v>162</v>
      </c>
      <c r="CU19" s="68">
        <v>100</v>
      </c>
      <c r="CV19" s="68">
        <v>100</v>
      </c>
      <c r="CW19" s="640">
        <v>1</v>
      </c>
      <c r="CX19" s="640">
        <v>1</v>
      </c>
      <c r="CY19" s="640">
        <v>1</v>
      </c>
      <c r="CZ19" s="332" t="s">
        <v>1287</v>
      </c>
      <c r="DA19" s="637"/>
      <c r="DB19" s="637"/>
      <c r="DC19" s="637"/>
      <c r="DD19" s="637"/>
      <c r="DE19" s="637"/>
      <c r="DF19" s="637"/>
      <c r="DG19" s="637"/>
      <c r="DH19" s="637"/>
      <c r="DI19" s="637"/>
      <c r="DJ19" s="637"/>
      <c r="DK19" s="637"/>
      <c r="DL19" s="637"/>
      <c r="DM19" s="637"/>
      <c r="DN19" s="637"/>
      <c r="DO19" s="637"/>
      <c r="DP19" s="637"/>
      <c r="DQ19" s="637"/>
      <c r="DR19" s="637"/>
      <c r="DS19" s="637"/>
      <c r="DT19" s="637"/>
      <c r="DU19" s="637"/>
      <c r="DV19" s="637"/>
      <c r="DW19" s="637"/>
      <c r="DX19" s="637"/>
      <c r="DY19" s="637"/>
      <c r="DZ19" s="637"/>
      <c r="EA19" s="637"/>
      <c r="EB19" s="637"/>
      <c r="EC19" s="637"/>
      <c r="ED19" s="637"/>
      <c r="EE19" s="637"/>
      <c r="EF19" s="637"/>
      <c r="EG19" s="637"/>
      <c r="EH19" s="637"/>
      <c r="EI19" s="637"/>
      <c r="EJ19" s="637"/>
      <c r="EK19" s="637"/>
      <c r="EL19" s="637"/>
      <c r="EM19" s="637"/>
      <c r="EN19" s="637"/>
      <c r="EO19" s="637"/>
      <c r="EP19" s="637"/>
      <c r="EQ19" s="637"/>
      <c r="ER19" s="637"/>
      <c r="ES19" s="637"/>
      <c r="ET19" s="637"/>
      <c r="EU19" s="637"/>
      <c r="EV19" s="637"/>
      <c r="EW19" s="637"/>
      <c r="EX19" s="637"/>
      <c r="EY19" s="637"/>
      <c r="EZ19" s="637"/>
      <c r="FA19" s="637"/>
      <c r="FB19" s="637"/>
      <c r="FC19" s="637"/>
      <c r="FD19" s="637"/>
      <c r="FE19" s="637"/>
      <c r="FF19" s="637"/>
      <c r="FG19" s="637"/>
      <c r="FH19" s="637"/>
      <c r="FI19" s="637"/>
      <c r="FJ19" s="637"/>
      <c r="FK19" s="637"/>
      <c r="FL19" s="637"/>
      <c r="FM19" s="637"/>
      <c r="FN19" s="637"/>
      <c r="FO19" s="637"/>
      <c r="FP19" s="637"/>
      <c r="FQ19" s="637"/>
      <c r="FR19" s="637"/>
      <c r="FS19" s="637"/>
      <c r="FT19" s="637"/>
      <c r="FU19" s="637"/>
      <c r="FV19" s="637"/>
      <c r="FW19" s="637"/>
      <c r="FX19" s="637"/>
      <c r="FY19" s="637"/>
      <c r="FZ19" s="637"/>
      <c r="GA19" s="637"/>
      <c r="GB19" s="637"/>
      <c r="GC19" s="637"/>
      <c r="GD19" s="637"/>
      <c r="GE19" s="637"/>
      <c r="GF19" s="637"/>
      <c r="GG19" s="637"/>
      <c r="GH19" s="637"/>
      <c r="GI19" s="637"/>
      <c r="GJ19" s="637"/>
      <c r="GK19" s="637"/>
      <c r="GL19" s="637"/>
      <c r="GM19" s="637"/>
      <c r="GN19" s="637"/>
      <c r="GO19" s="637"/>
      <c r="GP19" s="637"/>
      <c r="GQ19" s="637"/>
      <c r="GR19" s="637"/>
      <c r="GS19" s="637"/>
      <c r="GT19" s="637"/>
      <c r="GU19" s="637"/>
      <c r="GV19" s="637"/>
      <c r="GW19" s="637"/>
      <c r="GX19" s="637"/>
      <c r="GY19" s="637"/>
      <c r="GZ19" s="637"/>
      <c r="HA19" s="637"/>
      <c r="HB19" s="637"/>
      <c r="HC19" s="637"/>
      <c r="HD19" s="637"/>
      <c r="HE19" s="637"/>
      <c r="HF19" s="637"/>
      <c r="HG19" s="637"/>
      <c r="HH19" s="637"/>
      <c r="HI19" s="637"/>
      <c r="HJ19" s="637"/>
      <c r="HK19" s="637"/>
      <c r="HL19" s="637"/>
      <c r="HM19" s="637"/>
      <c r="HN19" s="637"/>
      <c r="HO19" s="637"/>
      <c r="HP19" s="637"/>
      <c r="HQ19" s="637"/>
      <c r="HR19" s="637"/>
      <c r="HS19" s="637"/>
      <c r="HT19" s="637"/>
      <c r="HU19" s="637"/>
      <c r="HV19" s="637"/>
      <c r="HW19" s="637"/>
      <c r="HX19" s="637"/>
      <c r="HY19" s="637"/>
      <c r="HZ19" s="637"/>
      <c r="IA19" s="637"/>
      <c r="IB19" s="637"/>
      <c r="IC19" s="637"/>
      <c r="ID19" s="637"/>
      <c r="IE19" s="637"/>
      <c r="IF19" s="637"/>
      <c r="IG19" s="637"/>
      <c r="IH19" s="637"/>
      <c r="II19" s="637"/>
      <c r="IJ19" s="637"/>
      <c r="IK19" s="637"/>
      <c r="IL19" s="637"/>
      <c r="IM19" s="637"/>
      <c r="IN19" s="637"/>
      <c r="IO19" s="637"/>
      <c r="IP19" s="637"/>
      <c r="IQ19" s="637"/>
      <c r="IR19" s="637"/>
      <c r="IS19" s="637"/>
      <c r="IT19" s="637"/>
      <c r="IU19" s="637"/>
      <c r="IV19" s="637"/>
    </row>
    <row r="20" spans="1:256" ht="117">
      <c r="A20" s="637"/>
      <c r="B20" s="305" t="s">
        <v>49</v>
      </c>
      <c r="C20" s="596" t="s">
        <v>1288</v>
      </c>
      <c r="D20" s="638"/>
      <c r="E20" s="645" t="s">
        <v>1289</v>
      </c>
      <c r="F20" s="599" t="s">
        <v>263</v>
      </c>
      <c r="G20" s="599" t="s">
        <v>264</v>
      </c>
      <c r="H20" s="639" t="s">
        <v>66</v>
      </c>
      <c r="I20" s="646" t="s">
        <v>390</v>
      </c>
      <c r="J20" s="599" t="s">
        <v>267</v>
      </c>
      <c r="K20" s="8" t="s">
        <v>391</v>
      </c>
      <c r="L20" s="647"/>
      <c r="M20" s="647"/>
      <c r="N20" s="603">
        <v>7.739853770134654E-2</v>
      </c>
      <c r="O20" s="603">
        <v>4.8928685664107872E-2</v>
      </c>
      <c r="P20" s="603">
        <v>0.10319805122399958</v>
      </c>
      <c r="Q20" s="603"/>
      <c r="R20" s="603"/>
      <c r="S20" s="603">
        <v>0.33</v>
      </c>
      <c r="T20" s="603">
        <v>0.23</v>
      </c>
      <c r="U20" s="603"/>
      <c r="V20" s="603"/>
      <c r="W20" s="603"/>
      <c r="X20" s="603">
        <f>+R20+S20+T20+U20+V20+W20</f>
        <v>0.56000000000000005</v>
      </c>
      <c r="Y20" s="391" t="s">
        <v>1290</v>
      </c>
      <c r="Z20" s="603" t="e">
        <f>+#REF!+X20</f>
        <v>#REF!</v>
      </c>
      <c r="AA20" s="662">
        <v>0</v>
      </c>
      <c r="AB20" s="663">
        <v>0</v>
      </c>
      <c r="AC20" s="640" t="s">
        <v>332</v>
      </c>
      <c r="AD20" s="640">
        <v>0</v>
      </c>
      <c r="AE20" s="640" t="s">
        <v>332</v>
      </c>
      <c r="AF20" s="332" t="s">
        <v>271</v>
      </c>
      <c r="AG20" s="663">
        <v>0</v>
      </c>
      <c r="AH20" s="663">
        <v>0</v>
      </c>
      <c r="AI20" s="640" t="s">
        <v>332</v>
      </c>
      <c r="AJ20" s="640">
        <v>0</v>
      </c>
      <c r="AK20" s="640" t="s">
        <v>332</v>
      </c>
      <c r="AL20" s="332" t="s">
        <v>271</v>
      </c>
      <c r="AM20" s="663">
        <v>26999999</v>
      </c>
      <c r="AN20" s="663">
        <v>348843787</v>
      </c>
      <c r="AO20" s="640">
        <v>7.739853770134654E-2</v>
      </c>
      <c r="AP20" s="640">
        <v>7.739853770134654E-2</v>
      </c>
      <c r="AQ20" s="640">
        <v>1</v>
      </c>
      <c r="AR20" s="332" t="s">
        <v>1291</v>
      </c>
      <c r="AS20" s="663">
        <v>17068468</v>
      </c>
      <c r="AT20" s="663">
        <v>348843787</v>
      </c>
      <c r="AU20" s="640">
        <v>4.8928685664107872E-2</v>
      </c>
      <c r="AV20" s="640">
        <v>4.8928685664107872E-2</v>
      </c>
      <c r="AW20" s="640">
        <v>1</v>
      </c>
      <c r="AX20" s="332" t="s">
        <v>1292</v>
      </c>
      <c r="AY20" s="663">
        <v>35999999</v>
      </c>
      <c r="AZ20" s="663">
        <v>348843787</v>
      </c>
      <c r="BA20" s="640">
        <v>0.10319805122399958</v>
      </c>
      <c r="BB20" s="640">
        <v>0.10319805122399958</v>
      </c>
      <c r="BC20" s="640">
        <v>1</v>
      </c>
      <c r="BD20" s="332" t="s">
        <v>1293</v>
      </c>
      <c r="BE20" s="350">
        <v>0</v>
      </c>
      <c r="BF20" s="350">
        <v>0</v>
      </c>
      <c r="BG20" s="640">
        <v>0</v>
      </c>
      <c r="BH20" s="640">
        <v>0</v>
      </c>
      <c r="BI20" s="640"/>
      <c r="BJ20" s="332" t="s">
        <v>271</v>
      </c>
      <c r="BK20" s="664">
        <v>0</v>
      </c>
      <c r="BL20" s="664">
        <v>348843787</v>
      </c>
      <c r="BM20" s="606">
        <f>IF(BL20=0," ",BK20/BL20)</f>
        <v>0</v>
      </c>
      <c r="BN20" s="607">
        <f>BB20</f>
        <v>0.10319805122399958</v>
      </c>
      <c r="BO20" s="607">
        <f>IF(BL20=0," ",BM20/BN20)</f>
        <v>0</v>
      </c>
      <c r="BP20" s="332" t="s">
        <v>1294</v>
      </c>
      <c r="BQ20" s="341">
        <v>115880000</v>
      </c>
      <c r="BR20" s="350">
        <v>348843787</v>
      </c>
      <c r="BS20" s="640">
        <f>+BQ20/BR20</f>
        <v>0.33218306966722616</v>
      </c>
      <c r="BT20" s="640">
        <f>+T20</f>
        <v>0.23</v>
      </c>
      <c r="BU20" s="640">
        <f>+BS20/BT20</f>
        <v>1.4442742159444615</v>
      </c>
      <c r="BV20" s="65" t="s">
        <v>1295</v>
      </c>
      <c r="BW20" s="622">
        <v>43550000</v>
      </c>
      <c r="BX20" s="622">
        <v>348843787</v>
      </c>
      <c r="BY20" s="609">
        <f>+BW20/BX20</f>
        <v>0.12484097932350448</v>
      </c>
      <c r="BZ20" s="609">
        <f>+T20</f>
        <v>0.23</v>
      </c>
      <c r="CA20" s="609">
        <f>+BY20/BZ20</f>
        <v>0.5427868666239325</v>
      </c>
      <c r="CB20" s="610" t="s">
        <v>1296</v>
      </c>
      <c r="CC20" s="341">
        <f>19015321+18000000</f>
        <v>37015321</v>
      </c>
      <c r="CD20" s="341">
        <f>+BX20</f>
        <v>348843787</v>
      </c>
      <c r="CE20" s="615">
        <f>+CC20/CD20</f>
        <v>0.10610858607609371</v>
      </c>
      <c r="CF20" s="607"/>
      <c r="CG20" s="607"/>
      <c r="CH20" s="332" t="s">
        <v>1297</v>
      </c>
      <c r="CI20" s="341"/>
      <c r="CJ20" s="341"/>
      <c r="CK20" s="615"/>
      <c r="CL20" s="607"/>
      <c r="CM20" s="607"/>
      <c r="CN20" s="610" t="s">
        <v>1199</v>
      </c>
      <c r="CO20" s="68"/>
      <c r="CP20" s="68"/>
      <c r="CQ20" s="640" t="s">
        <v>332</v>
      </c>
      <c r="CR20" s="640"/>
      <c r="CS20" s="640" t="s">
        <v>332</v>
      </c>
      <c r="CT20" s="610" t="s">
        <v>1199</v>
      </c>
      <c r="CU20" s="393">
        <f>+AM20+AS20+AY20+BK20+BQ20+BW20+CC20</f>
        <v>276513787</v>
      </c>
      <c r="CV20" s="393">
        <v>348843787</v>
      </c>
      <c r="CW20" s="640">
        <f>+CU20/CV20</f>
        <v>0.79265790965627836</v>
      </c>
      <c r="CX20" s="640">
        <f>+M20+N20+O20+P20+Q20+R20+S20+T20+U20</f>
        <v>0.78952527458945398</v>
      </c>
      <c r="CY20" s="640">
        <f>+CW20/CX20</f>
        <v>1.0039677451345093</v>
      </c>
      <c r="CZ20" s="332" t="s">
        <v>1298</v>
      </c>
      <c r="DA20" s="637"/>
      <c r="DB20" s="637"/>
      <c r="DC20" s="637"/>
      <c r="DD20" s="637"/>
      <c r="DE20" s="637"/>
      <c r="DF20" s="637"/>
      <c r="DG20" s="637"/>
      <c r="DH20" s="637"/>
      <c r="DI20" s="637"/>
      <c r="DJ20" s="637"/>
      <c r="DK20" s="637"/>
      <c r="DL20" s="637"/>
      <c r="DM20" s="637"/>
      <c r="DN20" s="637"/>
      <c r="DO20" s="637"/>
      <c r="DP20" s="637"/>
      <c r="DQ20" s="637"/>
      <c r="DR20" s="637"/>
      <c r="DS20" s="637"/>
      <c r="DT20" s="637"/>
      <c r="DU20" s="637"/>
      <c r="DV20" s="637"/>
      <c r="DW20" s="637"/>
      <c r="DX20" s="637"/>
      <c r="DY20" s="637"/>
      <c r="DZ20" s="637"/>
      <c r="EA20" s="637"/>
      <c r="EB20" s="637"/>
      <c r="EC20" s="637"/>
      <c r="ED20" s="637"/>
      <c r="EE20" s="637"/>
      <c r="EF20" s="637"/>
      <c r="EG20" s="637"/>
      <c r="EH20" s="637"/>
      <c r="EI20" s="637"/>
      <c r="EJ20" s="637"/>
      <c r="EK20" s="637"/>
      <c r="EL20" s="637"/>
      <c r="EM20" s="637"/>
      <c r="EN20" s="637"/>
      <c r="EO20" s="637"/>
      <c r="EP20" s="637"/>
      <c r="EQ20" s="637"/>
      <c r="ER20" s="637"/>
      <c r="ES20" s="637"/>
      <c r="ET20" s="637"/>
      <c r="EU20" s="637"/>
      <c r="EV20" s="637"/>
      <c r="EW20" s="637"/>
      <c r="EX20" s="637"/>
      <c r="EY20" s="637"/>
      <c r="EZ20" s="637"/>
      <c r="FA20" s="637"/>
      <c r="FB20" s="637"/>
      <c r="FC20" s="637"/>
      <c r="FD20" s="637"/>
      <c r="FE20" s="637"/>
      <c r="FF20" s="637"/>
      <c r="FG20" s="637"/>
      <c r="FH20" s="637"/>
      <c r="FI20" s="637"/>
      <c r="FJ20" s="637"/>
      <c r="FK20" s="637"/>
      <c r="FL20" s="637"/>
      <c r="FM20" s="637"/>
      <c r="FN20" s="637"/>
      <c r="FO20" s="637"/>
      <c r="FP20" s="637"/>
      <c r="FQ20" s="637"/>
      <c r="FR20" s="637"/>
      <c r="FS20" s="637"/>
      <c r="FT20" s="637"/>
      <c r="FU20" s="637"/>
      <c r="FV20" s="637"/>
      <c r="FW20" s="637"/>
      <c r="FX20" s="637"/>
      <c r="FY20" s="637"/>
      <c r="FZ20" s="637"/>
      <c r="GA20" s="637"/>
      <c r="GB20" s="637"/>
      <c r="GC20" s="637"/>
      <c r="GD20" s="637"/>
      <c r="GE20" s="637"/>
      <c r="GF20" s="637"/>
      <c r="GG20" s="637"/>
      <c r="GH20" s="637"/>
      <c r="GI20" s="637"/>
      <c r="GJ20" s="637"/>
      <c r="GK20" s="637"/>
      <c r="GL20" s="637"/>
      <c r="GM20" s="637"/>
      <c r="GN20" s="637"/>
      <c r="GO20" s="637"/>
      <c r="GP20" s="637"/>
      <c r="GQ20" s="637"/>
      <c r="GR20" s="637"/>
      <c r="GS20" s="637"/>
      <c r="GT20" s="637"/>
      <c r="GU20" s="637"/>
      <c r="GV20" s="637"/>
      <c r="GW20" s="637"/>
      <c r="GX20" s="637"/>
      <c r="GY20" s="637"/>
      <c r="GZ20" s="637"/>
      <c r="HA20" s="637"/>
      <c r="HB20" s="637"/>
      <c r="HC20" s="637"/>
      <c r="HD20" s="637"/>
      <c r="HE20" s="637"/>
      <c r="HF20" s="637"/>
      <c r="HG20" s="637"/>
      <c r="HH20" s="637"/>
      <c r="HI20" s="637"/>
      <c r="HJ20" s="637"/>
      <c r="HK20" s="637"/>
      <c r="HL20" s="637"/>
      <c r="HM20" s="637"/>
      <c r="HN20" s="637"/>
      <c r="HO20" s="637"/>
      <c r="HP20" s="637"/>
      <c r="HQ20" s="637"/>
      <c r="HR20" s="637"/>
      <c r="HS20" s="637"/>
      <c r="HT20" s="637"/>
      <c r="HU20" s="637"/>
      <c r="HV20" s="637"/>
      <c r="HW20" s="637"/>
      <c r="HX20" s="637"/>
      <c r="HY20" s="637"/>
      <c r="HZ20" s="637"/>
      <c r="IA20" s="637"/>
      <c r="IB20" s="637"/>
      <c r="IC20" s="637"/>
      <c r="ID20" s="637"/>
      <c r="IE20" s="637"/>
      <c r="IF20" s="637"/>
      <c r="IG20" s="637"/>
      <c r="IH20" s="637"/>
      <c r="II20" s="637"/>
      <c r="IJ20" s="637"/>
      <c r="IK20" s="637"/>
      <c r="IL20" s="637"/>
      <c r="IM20" s="637"/>
      <c r="IN20" s="637"/>
      <c r="IO20" s="637"/>
      <c r="IP20" s="637"/>
      <c r="IQ20" s="637"/>
      <c r="IR20" s="637"/>
      <c r="IS20" s="637"/>
      <c r="IT20" s="637"/>
      <c r="IU20" s="637"/>
      <c r="IV20" s="637"/>
    </row>
    <row r="21" spans="1:256" ht="90">
      <c r="A21" s="637"/>
      <c r="B21" s="305" t="s">
        <v>49</v>
      </c>
      <c r="C21" s="596" t="s">
        <v>1288</v>
      </c>
      <c r="D21" s="638"/>
      <c r="E21" s="645" t="s">
        <v>274</v>
      </c>
      <c r="F21" s="599" t="s">
        <v>275</v>
      </c>
      <c r="G21" s="599" t="s">
        <v>276</v>
      </c>
      <c r="H21" s="639" t="s">
        <v>66</v>
      </c>
      <c r="I21" s="646" t="s">
        <v>394</v>
      </c>
      <c r="J21" s="599" t="s">
        <v>267</v>
      </c>
      <c r="K21" s="8" t="s">
        <v>391</v>
      </c>
      <c r="L21" s="647"/>
      <c r="M21" s="647"/>
      <c r="N21" s="603">
        <v>0.83</v>
      </c>
      <c r="O21" s="603"/>
      <c r="P21" s="603">
        <v>0.08</v>
      </c>
      <c r="Q21" s="603"/>
      <c r="R21" s="603">
        <v>0.1</v>
      </c>
      <c r="S21" s="603"/>
      <c r="T21" s="603"/>
      <c r="U21" s="603"/>
      <c r="V21" s="603"/>
      <c r="W21" s="603"/>
      <c r="X21" s="603">
        <v>9.588939943863814E-2</v>
      </c>
      <c r="Y21" s="391" t="s">
        <v>751</v>
      </c>
      <c r="Z21" s="603">
        <v>1</v>
      </c>
      <c r="AA21" s="662">
        <v>0</v>
      </c>
      <c r="AB21" s="663">
        <v>0</v>
      </c>
      <c r="AC21" s="640" t="s">
        <v>332</v>
      </c>
      <c r="AD21" s="640">
        <v>0</v>
      </c>
      <c r="AE21" s="640" t="s">
        <v>332</v>
      </c>
      <c r="AF21" s="332" t="s">
        <v>271</v>
      </c>
      <c r="AG21" s="663">
        <v>0</v>
      </c>
      <c r="AH21" s="663">
        <v>0</v>
      </c>
      <c r="AI21" s="640" t="s">
        <v>332</v>
      </c>
      <c r="AJ21" s="640">
        <v>0</v>
      </c>
      <c r="AK21" s="640" t="s">
        <v>332</v>
      </c>
      <c r="AL21" s="332" t="s">
        <v>271</v>
      </c>
      <c r="AM21" s="663">
        <v>534880000</v>
      </c>
      <c r="AN21" s="663">
        <v>647824560</v>
      </c>
      <c r="AO21" s="665">
        <v>0.82565563738429426</v>
      </c>
      <c r="AP21" s="640">
        <v>0.82565563738429426</v>
      </c>
      <c r="AQ21" s="640">
        <v>1</v>
      </c>
      <c r="AR21" s="332" t="s">
        <v>1299</v>
      </c>
      <c r="AS21" s="663">
        <v>0</v>
      </c>
      <c r="AT21" s="663">
        <v>0</v>
      </c>
      <c r="AU21" s="640" t="s">
        <v>332</v>
      </c>
      <c r="AV21" s="640">
        <v>9.588939943863814E-2</v>
      </c>
      <c r="AW21" s="640" t="s">
        <v>332</v>
      </c>
      <c r="AX21" s="332" t="s">
        <v>271</v>
      </c>
      <c r="AY21" s="350">
        <v>50825052</v>
      </c>
      <c r="AZ21" s="350">
        <v>647824560</v>
      </c>
      <c r="BA21" s="665">
        <v>7.8454963177067572E-2</v>
      </c>
      <c r="BB21" s="640">
        <v>7.8454963177067572E-2</v>
      </c>
      <c r="BC21" s="640">
        <v>1</v>
      </c>
      <c r="BD21" s="332" t="s">
        <v>1300</v>
      </c>
      <c r="BE21" s="350">
        <v>0</v>
      </c>
      <c r="BF21" s="350">
        <v>0</v>
      </c>
      <c r="BG21" s="640">
        <v>0</v>
      </c>
      <c r="BH21" s="640">
        <v>0</v>
      </c>
      <c r="BI21" s="640"/>
      <c r="BJ21" s="332" t="s">
        <v>271</v>
      </c>
      <c r="BK21" s="664">
        <v>62119508</v>
      </c>
      <c r="BL21" s="664">
        <v>647824560</v>
      </c>
      <c r="BM21" s="666">
        <f>+BK21/BL21</f>
        <v>9.588939943863814E-2</v>
      </c>
      <c r="BN21" s="607">
        <f>+R21</f>
        <v>0.1</v>
      </c>
      <c r="BO21" s="607">
        <v>1</v>
      </c>
      <c r="BP21" s="332" t="s">
        <v>1301</v>
      </c>
      <c r="BQ21" s="350"/>
      <c r="BR21" s="350"/>
      <c r="BS21" s="640" t="s">
        <v>332</v>
      </c>
      <c r="BT21" s="640"/>
      <c r="BU21" s="640" t="s">
        <v>332</v>
      </c>
      <c r="BV21" s="65" t="s">
        <v>1197</v>
      </c>
      <c r="BW21" s="608"/>
      <c r="BX21" s="608"/>
      <c r="BY21" s="609" t="s">
        <v>332</v>
      </c>
      <c r="BZ21" s="609"/>
      <c r="CA21" s="609" t="s">
        <v>332</v>
      </c>
      <c r="CB21" s="610" t="s">
        <v>1198</v>
      </c>
      <c r="CC21" s="350"/>
      <c r="CD21" s="350"/>
      <c r="CE21" s="615" t="s">
        <v>332</v>
      </c>
      <c r="CF21" s="607"/>
      <c r="CG21" s="607" t="s">
        <v>332</v>
      </c>
      <c r="CH21" s="610" t="s">
        <v>1199</v>
      </c>
      <c r="CI21" s="350"/>
      <c r="CJ21" s="350"/>
      <c r="CK21" s="615" t="s">
        <v>332</v>
      </c>
      <c r="CL21" s="607"/>
      <c r="CM21" s="607" t="s">
        <v>332</v>
      </c>
      <c r="CN21" s="610" t="s">
        <v>1199</v>
      </c>
      <c r="CO21" s="68"/>
      <c r="CP21" s="68"/>
      <c r="CQ21" s="640" t="s">
        <v>332</v>
      </c>
      <c r="CR21" s="640"/>
      <c r="CS21" s="640" t="s">
        <v>332</v>
      </c>
      <c r="CT21" s="610" t="s">
        <v>1199</v>
      </c>
      <c r="CU21" s="393">
        <f>534880000+112944560</f>
        <v>647824560</v>
      </c>
      <c r="CV21" s="393">
        <f>+AZ21</f>
        <v>647824560</v>
      </c>
      <c r="CW21" s="667">
        <f>+CU21/CV21</f>
        <v>1</v>
      </c>
      <c r="CX21" s="316">
        <v>1</v>
      </c>
      <c r="CY21" s="640">
        <f>+CW21/CX21</f>
        <v>1</v>
      </c>
      <c r="CZ21" s="332" t="s">
        <v>1302</v>
      </c>
      <c r="DA21" s="637"/>
      <c r="DB21" s="637"/>
      <c r="DC21" s="637"/>
      <c r="DD21" s="637"/>
      <c r="DE21" s="637"/>
      <c r="DF21" s="637"/>
      <c r="DG21" s="637"/>
      <c r="DH21" s="637"/>
      <c r="DI21" s="637"/>
      <c r="DJ21" s="637"/>
      <c r="DK21" s="637"/>
      <c r="DL21" s="637"/>
      <c r="DM21" s="637"/>
      <c r="DN21" s="637"/>
      <c r="DO21" s="637"/>
      <c r="DP21" s="637"/>
      <c r="DQ21" s="637"/>
      <c r="DR21" s="637"/>
      <c r="DS21" s="637"/>
      <c r="DT21" s="637"/>
      <c r="DU21" s="637"/>
      <c r="DV21" s="637"/>
      <c r="DW21" s="637"/>
      <c r="DX21" s="637"/>
      <c r="DY21" s="637"/>
      <c r="DZ21" s="637"/>
      <c r="EA21" s="637"/>
      <c r="EB21" s="637"/>
      <c r="EC21" s="637"/>
      <c r="ED21" s="637"/>
      <c r="EE21" s="637"/>
      <c r="EF21" s="637"/>
      <c r="EG21" s="637"/>
      <c r="EH21" s="637"/>
      <c r="EI21" s="637"/>
      <c r="EJ21" s="637"/>
      <c r="EK21" s="637"/>
      <c r="EL21" s="637"/>
      <c r="EM21" s="637"/>
      <c r="EN21" s="637"/>
      <c r="EO21" s="637"/>
      <c r="EP21" s="637"/>
      <c r="EQ21" s="637"/>
      <c r="ER21" s="637"/>
      <c r="ES21" s="637"/>
      <c r="ET21" s="637"/>
      <c r="EU21" s="637"/>
      <c r="EV21" s="637"/>
      <c r="EW21" s="637"/>
      <c r="EX21" s="637"/>
      <c r="EY21" s="637"/>
      <c r="EZ21" s="637"/>
      <c r="FA21" s="637"/>
      <c r="FB21" s="637"/>
      <c r="FC21" s="637"/>
      <c r="FD21" s="637"/>
      <c r="FE21" s="637"/>
      <c r="FF21" s="637"/>
      <c r="FG21" s="637"/>
      <c r="FH21" s="637"/>
      <c r="FI21" s="637"/>
      <c r="FJ21" s="637"/>
      <c r="FK21" s="637"/>
      <c r="FL21" s="637"/>
      <c r="FM21" s="637"/>
      <c r="FN21" s="637"/>
      <c r="FO21" s="637"/>
      <c r="FP21" s="637"/>
      <c r="FQ21" s="637"/>
      <c r="FR21" s="637"/>
      <c r="FS21" s="637"/>
      <c r="FT21" s="637"/>
      <c r="FU21" s="637"/>
      <c r="FV21" s="637"/>
      <c r="FW21" s="637"/>
      <c r="FX21" s="637"/>
      <c r="FY21" s="637"/>
      <c r="FZ21" s="637"/>
      <c r="GA21" s="637"/>
      <c r="GB21" s="637"/>
      <c r="GC21" s="637"/>
      <c r="GD21" s="637"/>
      <c r="GE21" s="637"/>
      <c r="GF21" s="637"/>
      <c r="GG21" s="637"/>
      <c r="GH21" s="637"/>
      <c r="GI21" s="637"/>
      <c r="GJ21" s="637"/>
      <c r="GK21" s="637"/>
      <c r="GL21" s="637"/>
      <c r="GM21" s="637"/>
      <c r="GN21" s="637"/>
      <c r="GO21" s="637"/>
      <c r="GP21" s="637"/>
      <c r="GQ21" s="637"/>
      <c r="GR21" s="637"/>
      <c r="GS21" s="637"/>
      <c r="GT21" s="637"/>
      <c r="GU21" s="637"/>
      <c r="GV21" s="637"/>
      <c r="GW21" s="637"/>
      <c r="GX21" s="637"/>
      <c r="GY21" s="637"/>
      <c r="GZ21" s="637"/>
      <c r="HA21" s="637"/>
      <c r="HB21" s="637"/>
      <c r="HC21" s="637"/>
      <c r="HD21" s="637"/>
      <c r="HE21" s="637"/>
      <c r="HF21" s="637"/>
      <c r="HG21" s="637"/>
      <c r="HH21" s="637"/>
      <c r="HI21" s="637"/>
      <c r="HJ21" s="637"/>
      <c r="HK21" s="637"/>
      <c r="HL21" s="637"/>
      <c r="HM21" s="637"/>
      <c r="HN21" s="637"/>
      <c r="HO21" s="637"/>
      <c r="HP21" s="637"/>
      <c r="HQ21" s="637"/>
      <c r="HR21" s="637"/>
      <c r="HS21" s="637"/>
      <c r="HT21" s="637"/>
      <c r="HU21" s="637"/>
      <c r="HV21" s="637"/>
      <c r="HW21" s="637"/>
      <c r="HX21" s="637"/>
      <c r="HY21" s="637"/>
      <c r="HZ21" s="637"/>
      <c r="IA21" s="637"/>
      <c r="IB21" s="637"/>
      <c r="IC21" s="637"/>
      <c r="ID21" s="637"/>
      <c r="IE21" s="637"/>
      <c r="IF21" s="637"/>
      <c r="IG21" s="637"/>
      <c r="IH21" s="637"/>
      <c r="II21" s="637"/>
      <c r="IJ21" s="637"/>
      <c r="IK21" s="637"/>
      <c r="IL21" s="637"/>
      <c r="IM21" s="637"/>
      <c r="IN21" s="637"/>
      <c r="IO21" s="637"/>
      <c r="IP21" s="637"/>
      <c r="IQ21" s="637"/>
      <c r="IR21" s="637"/>
      <c r="IS21" s="637"/>
      <c r="IT21" s="637"/>
      <c r="IU21" s="637"/>
      <c r="IV21" s="637"/>
    </row>
    <row r="22" spans="1:256" ht="117">
      <c r="A22" s="637"/>
      <c r="B22" s="305" t="s">
        <v>49</v>
      </c>
      <c r="C22" s="596" t="s">
        <v>1303</v>
      </c>
      <c r="D22" s="638"/>
      <c r="E22" s="645" t="s">
        <v>1304</v>
      </c>
      <c r="F22" s="599" t="s">
        <v>68</v>
      </c>
      <c r="G22" s="599" t="s">
        <v>69</v>
      </c>
      <c r="H22" s="639" t="s">
        <v>53</v>
      </c>
      <c r="I22" s="646" t="s">
        <v>70</v>
      </c>
      <c r="J22" s="599" t="s">
        <v>71</v>
      </c>
      <c r="K22" s="8" t="s">
        <v>54</v>
      </c>
      <c r="L22" s="668"/>
      <c r="M22" s="669"/>
      <c r="N22" s="669"/>
      <c r="O22" s="670"/>
      <c r="P22" s="670"/>
      <c r="Q22" s="670"/>
      <c r="R22" s="670"/>
      <c r="S22" s="669"/>
      <c r="T22" s="670"/>
      <c r="U22" s="670"/>
      <c r="V22" s="669"/>
      <c r="W22" s="670">
        <v>1</v>
      </c>
      <c r="X22" s="670">
        <v>0.20019512195121952</v>
      </c>
      <c r="Y22" s="391" t="s">
        <v>72</v>
      </c>
      <c r="Z22" s="670">
        <v>0.80019512195121956</v>
      </c>
      <c r="AA22" s="361"/>
      <c r="AB22" s="350"/>
      <c r="AC22" s="640" t="s">
        <v>332</v>
      </c>
      <c r="AD22" s="640"/>
      <c r="AE22" s="640" t="s">
        <v>332</v>
      </c>
      <c r="AF22" s="332"/>
      <c r="AG22" s="350"/>
      <c r="AH22" s="350"/>
      <c r="AI22" s="640" t="s">
        <v>332</v>
      </c>
      <c r="AJ22" s="640"/>
      <c r="AK22" s="640" t="s">
        <v>332</v>
      </c>
      <c r="AL22" s="332"/>
      <c r="AM22" s="350"/>
      <c r="AN22" s="350"/>
      <c r="AO22" s="640" t="s">
        <v>332</v>
      </c>
      <c r="AP22" s="640"/>
      <c r="AQ22" s="640" t="s">
        <v>332</v>
      </c>
      <c r="AR22" s="332"/>
      <c r="AS22" s="350"/>
      <c r="AT22" s="350"/>
      <c r="AU22" s="640" t="s">
        <v>332</v>
      </c>
      <c r="AV22" s="640"/>
      <c r="AW22" s="640" t="s">
        <v>332</v>
      </c>
      <c r="AX22" s="330">
        <f>+AO21+BA21+BM21</f>
        <v>1</v>
      </c>
      <c r="AY22" s="350">
        <v>0</v>
      </c>
      <c r="AZ22" s="350">
        <v>0</v>
      </c>
      <c r="BA22" s="640">
        <v>0</v>
      </c>
      <c r="BB22" s="640">
        <v>0.32</v>
      </c>
      <c r="BC22" s="640">
        <v>0</v>
      </c>
      <c r="BD22" s="332" t="s">
        <v>1305</v>
      </c>
      <c r="BE22" s="350"/>
      <c r="BF22" s="350">
        <v>0</v>
      </c>
      <c r="BG22" s="640">
        <v>0</v>
      </c>
      <c r="BH22" s="640">
        <v>0.3073170731707317</v>
      </c>
      <c r="BI22" s="640">
        <v>0</v>
      </c>
      <c r="BJ22" s="332" t="s">
        <v>1306</v>
      </c>
      <c r="BK22" s="350"/>
      <c r="BL22" s="350"/>
      <c r="BM22" s="640" t="s">
        <v>332</v>
      </c>
      <c r="BN22" s="640"/>
      <c r="BO22" s="640" t="s">
        <v>332</v>
      </c>
      <c r="BP22" s="65" t="s">
        <v>1196</v>
      </c>
      <c r="BQ22" s="350"/>
      <c r="BR22" s="350"/>
      <c r="BS22" s="640" t="s">
        <v>332</v>
      </c>
      <c r="BT22" s="640"/>
      <c r="BU22" s="640" t="s">
        <v>332</v>
      </c>
      <c r="BV22" s="65" t="s">
        <v>1197</v>
      </c>
      <c r="BW22" s="608"/>
      <c r="BX22" s="608"/>
      <c r="BY22" s="609" t="s">
        <v>332</v>
      </c>
      <c r="BZ22" s="609"/>
      <c r="CA22" s="609" t="s">
        <v>332</v>
      </c>
      <c r="CB22" s="610" t="s">
        <v>1198</v>
      </c>
      <c r="CC22" s="341"/>
      <c r="CD22" s="341"/>
      <c r="CE22" s="615"/>
      <c r="CF22" s="607"/>
      <c r="CG22" s="607"/>
      <c r="CH22" s="610" t="s">
        <v>1199</v>
      </c>
      <c r="CI22" s="341"/>
      <c r="CJ22" s="341"/>
      <c r="CK22" s="615"/>
      <c r="CL22" s="607"/>
      <c r="CM22" s="607"/>
      <c r="CN22" s="610" t="s">
        <v>1199</v>
      </c>
      <c r="CO22" s="671">
        <f>200000000+413639373</f>
        <v>613639373</v>
      </c>
      <c r="CP22" s="671">
        <v>613639373</v>
      </c>
      <c r="CQ22" s="609">
        <f>+CO22/CP22</f>
        <v>1</v>
      </c>
      <c r="CR22" s="609">
        <f>+W22</f>
        <v>1</v>
      </c>
      <c r="CS22" s="609">
        <f>+CQ22/CR22</f>
        <v>1</v>
      </c>
      <c r="CT22" s="364" t="s">
        <v>1307</v>
      </c>
      <c r="CU22" s="393">
        <f>+CO22</f>
        <v>613639373</v>
      </c>
      <c r="CV22" s="393">
        <v>613639373</v>
      </c>
      <c r="CW22" s="640">
        <f>+CU22/CV22</f>
        <v>1</v>
      </c>
      <c r="CX22" s="640">
        <v>1</v>
      </c>
      <c r="CY22" s="640">
        <v>1</v>
      </c>
      <c r="CZ22" s="364" t="s">
        <v>1307</v>
      </c>
      <c r="DA22" s="637"/>
      <c r="DB22" s="637"/>
      <c r="DC22" s="637"/>
      <c r="DD22" s="637"/>
      <c r="DE22" s="637"/>
      <c r="DF22" s="637"/>
      <c r="DG22" s="637"/>
      <c r="DH22" s="637"/>
      <c r="DI22" s="637"/>
      <c r="DJ22" s="637"/>
      <c r="DK22" s="637"/>
      <c r="DL22" s="637"/>
      <c r="DM22" s="637"/>
      <c r="DN22" s="637"/>
      <c r="DO22" s="637"/>
      <c r="DP22" s="637"/>
      <c r="DQ22" s="637"/>
      <c r="DR22" s="637"/>
      <c r="DS22" s="637"/>
      <c r="DT22" s="637"/>
      <c r="DU22" s="637"/>
      <c r="DV22" s="637"/>
      <c r="DW22" s="637"/>
      <c r="DX22" s="637"/>
      <c r="DY22" s="637"/>
      <c r="DZ22" s="637"/>
      <c r="EA22" s="637"/>
      <c r="EB22" s="637"/>
      <c r="EC22" s="637"/>
      <c r="ED22" s="637"/>
      <c r="EE22" s="637"/>
      <c r="EF22" s="637"/>
      <c r="EG22" s="637"/>
      <c r="EH22" s="637"/>
      <c r="EI22" s="637"/>
      <c r="EJ22" s="637"/>
      <c r="EK22" s="637"/>
      <c r="EL22" s="637"/>
      <c r="EM22" s="637"/>
      <c r="EN22" s="637"/>
      <c r="EO22" s="637"/>
      <c r="EP22" s="637"/>
      <c r="EQ22" s="637"/>
      <c r="ER22" s="637"/>
      <c r="ES22" s="637"/>
      <c r="ET22" s="637"/>
      <c r="EU22" s="637"/>
      <c r="EV22" s="637"/>
      <c r="EW22" s="637"/>
      <c r="EX22" s="637"/>
      <c r="EY22" s="637"/>
      <c r="EZ22" s="637"/>
      <c r="FA22" s="637"/>
      <c r="FB22" s="637"/>
      <c r="FC22" s="637"/>
      <c r="FD22" s="637"/>
      <c r="FE22" s="637"/>
      <c r="FF22" s="637"/>
      <c r="FG22" s="637"/>
      <c r="FH22" s="637"/>
      <c r="FI22" s="637"/>
      <c r="FJ22" s="637"/>
      <c r="FK22" s="637"/>
      <c r="FL22" s="637"/>
      <c r="FM22" s="637"/>
      <c r="FN22" s="637"/>
      <c r="FO22" s="637"/>
      <c r="FP22" s="637"/>
      <c r="FQ22" s="637"/>
      <c r="FR22" s="637"/>
      <c r="FS22" s="637"/>
      <c r="FT22" s="637"/>
      <c r="FU22" s="637"/>
      <c r="FV22" s="637"/>
      <c r="FW22" s="637"/>
      <c r="FX22" s="637"/>
      <c r="FY22" s="637"/>
      <c r="FZ22" s="637"/>
      <c r="GA22" s="637"/>
      <c r="GB22" s="637"/>
      <c r="GC22" s="637"/>
      <c r="GD22" s="637"/>
      <c r="GE22" s="637"/>
      <c r="GF22" s="637"/>
      <c r="GG22" s="637"/>
      <c r="GH22" s="637"/>
      <c r="GI22" s="637"/>
      <c r="GJ22" s="637"/>
      <c r="GK22" s="637"/>
      <c r="GL22" s="637"/>
      <c r="GM22" s="637"/>
      <c r="GN22" s="637"/>
      <c r="GO22" s="637"/>
      <c r="GP22" s="637"/>
      <c r="GQ22" s="637"/>
      <c r="GR22" s="637"/>
      <c r="GS22" s="637"/>
      <c r="GT22" s="637"/>
      <c r="GU22" s="637"/>
      <c r="GV22" s="637"/>
      <c r="GW22" s="637"/>
      <c r="GX22" s="637"/>
      <c r="GY22" s="637"/>
      <c r="GZ22" s="637"/>
      <c r="HA22" s="637"/>
      <c r="HB22" s="637"/>
      <c r="HC22" s="637"/>
      <c r="HD22" s="637"/>
      <c r="HE22" s="637"/>
      <c r="HF22" s="637"/>
      <c r="HG22" s="637"/>
      <c r="HH22" s="637"/>
      <c r="HI22" s="637"/>
      <c r="HJ22" s="637"/>
      <c r="HK22" s="637"/>
      <c r="HL22" s="637"/>
      <c r="HM22" s="637"/>
      <c r="HN22" s="637"/>
      <c r="HO22" s="637"/>
      <c r="HP22" s="637"/>
      <c r="HQ22" s="637"/>
      <c r="HR22" s="637"/>
      <c r="HS22" s="637"/>
      <c r="HT22" s="637"/>
      <c r="HU22" s="637"/>
      <c r="HV22" s="637"/>
      <c r="HW22" s="637"/>
      <c r="HX22" s="637"/>
      <c r="HY22" s="637"/>
      <c r="HZ22" s="637"/>
      <c r="IA22" s="637"/>
      <c r="IB22" s="637"/>
      <c r="IC22" s="637"/>
      <c r="ID22" s="637"/>
      <c r="IE22" s="637"/>
      <c r="IF22" s="637"/>
      <c r="IG22" s="637"/>
      <c r="IH22" s="637"/>
      <c r="II22" s="637"/>
      <c r="IJ22" s="637"/>
      <c r="IK22" s="637"/>
      <c r="IL22" s="637"/>
      <c r="IM22" s="637"/>
      <c r="IN22" s="637"/>
      <c r="IO22" s="637"/>
      <c r="IP22" s="637"/>
      <c r="IQ22" s="637"/>
      <c r="IR22" s="637"/>
      <c r="IS22" s="637"/>
      <c r="IT22" s="637"/>
      <c r="IU22" s="637"/>
      <c r="IV22" s="637"/>
    </row>
    <row r="23" spans="1:256" ht="270">
      <c r="A23" s="637"/>
      <c r="B23" s="305" t="s">
        <v>49</v>
      </c>
      <c r="C23" s="596" t="s">
        <v>1308</v>
      </c>
      <c r="D23" s="638"/>
      <c r="E23" s="645" t="s">
        <v>74</v>
      </c>
      <c r="F23" s="599" t="s">
        <v>75</v>
      </c>
      <c r="G23" s="599" t="s">
        <v>76</v>
      </c>
      <c r="H23" s="639" t="s">
        <v>53</v>
      </c>
      <c r="I23" s="646" t="s">
        <v>77</v>
      </c>
      <c r="J23" s="599" t="s">
        <v>78</v>
      </c>
      <c r="K23" s="8" t="s">
        <v>54</v>
      </c>
      <c r="L23" s="672">
        <v>0.8</v>
      </c>
      <c r="M23" s="672">
        <v>0.8</v>
      </c>
      <c r="N23" s="672">
        <v>0.8</v>
      </c>
      <c r="O23" s="672">
        <v>0.8</v>
      </c>
      <c r="P23" s="672">
        <v>0.8</v>
      </c>
      <c r="Q23" s="672">
        <v>0.8</v>
      </c>
      <c r="R23" s="672">
        <v>0.8</v>
      </c>
      <c r="S23" s="672">
        <v>0.8</v>
      </c>
      <c r="T23" s="672">
        <v>0.8</v>
      </c>
      <c r="U23" s="672">
        <v>0.8</v>
      </c>
      <c r="V23" s="672">
        <v>0.8</v>
      </c>
      <c r="W23" s="672">
        <v>0.8</v>
      </c>
      <c r="X23" s="672">
        <v>0.8</v>
      </c>
      <c r="Y23" s="673" t="s">
        <v>80</v>
      </c>
      <c r="Z23" s="672">
        <v>0.8</v>
      </c>
      <c r="AA23" s="674">
        <v>100</v>
      </c>
      <c r="AB23" s="608">
        <v>100</v>
      </c>
      <c r="AC23" s="609">
        <v>1</v>
      </c>
      <c r="AD23" s="609">
        <v>0.8</v>
      </c>
      <c r="AE23" s="609">
        <v>1.25</v>
      </c>
      <c r="AF23" s="617" t="s">
        <v>1309</v>
      </c>
      <c r="AG23" s="674">
        <v>65</v>
      </c>
      <c r="AH23" s="608">
        <v>100</v>
      </c>
      <c r="AI23" s="609">
        <v>0.65</v>
      </c>
      <c r="AJ23" s="609">
        <v>0.8</v>
      </c>
      <c r="AK23" s="609">
        <v>0.8125</v>
      </c>
      <c r="AL23" s="617" t="s">
        <v>1310</v>
      </c>
      <c r="AM23" s="608">
        <v>35</v>
      </c>
      <c r="AN23" s="608">
        <v>100</v>
      </c>
      <c r="AO23" s="609">
        <v>0.35</v>
      </c>
      <c r="AP23" s="609">
        <v>0.8</v>
      </c>
      <c r="AQ23" s="609">
        <v>0.43749999999999994</v>
      </c>
      <c r="AR23" s="610" t="s">
        <v>1311</v>
      </c>
      <c r="AS23" s="608">
        <v>75</v>
      </c>
      <c r="AT23" s="608">
        <v>100</v>
      </c>
      <c r="AU23" s="609">
        <v>0.75</v>
      </c>
      <c r="AV23" s="609">
        <v>0.8</v>
      </c>
      <c r="AW23" s="609">
        <v>0.9375</v>
      </c>
      <c r="AX23" s="610" t="s">
        <v>1312</v>
      </c>
      <c r="AY23" s="608">
        <v>65</v>
      </c>
      <c r="AZ23" s="608">
        <v>100</v>
      </c>
      <c r="BA23" s="609">
        <v>0.65</v>
      </c>
      <c r="BB23" s="609">
        <v>0.8</v>
      </c>
      <c r="BC23" s="609">
        <v>0.8125</v>
      </c>
      <c r="BD23" s="610" t="s">
        <v>1313</v>
      </c>
      <c r="BE23" s="608">
        <v>100</v>
      </c>
      <c r="BF23" s="608">
        <v>100</v>
      </c>
      <c r="BG23" s="609">
        <v>1</v>
      </c>
      <c r="BH23" s="609">
        <v>0.8</v>
      </c>
      <c r="BI23" s="609">
        <v>1.25</v>
      </c>
      <c r="BJ23" s="610" t="s">
        <v>1314</v>
      </c>
      <c r="BK23" s="608">
        <v>90</v>
      </c>
      <c r="BL23" s="608">
        <v>100</v>
      </c>
      <c r="BM23" s="609">
        <v>0.9</v>
      </c>
      <c r="BN23" s="609">
        <f>+BB23</f>
        <v>0.8</v>
      </c>
      <c r="BO23" s="609">
        <f>+BM23/BN23</f>
        <v>1.125</v>
      </c>
      <c r="BP23" s="617" t="s">
        <v>1315</v>
      </c>
      <c r="BQ23" s="608">
        <v>75</v>
      </c>
      <c r="BR23" s="608">
        <v>1</v>
      </c>
      <c r="BS23" s="609">
        <f>+BQ23/BR23/100</f>
        <v>0.75</v>
      </c>
      <c r="BT23" s="609">
        <f>+S23</f>
        <v>0.8</v>
      </c>
      <c r="BU23" s="609">
        <f>+BS23/BT23</f>
        <v>0.9375</v>
      </c>
      <c r="BV23" s="610" t="s">
        <v>1316</v>
      </c>
      <c r="BW23" s="608">
        <v>55</v>
      </c>
      <c r="BX23" s="608">
        <v>1</v>
      </c>
      <c r="BY23" s="609">
        <f>+BW23/BX23/100</f>
        <v>0.55000000000000004</v>
      </c>
      <c r="BZ23" s="609">
        <f>+T23</f>
        <v>0.8</v>
      </c>
      <c r="CA23" s="609">
        <f>+BY23/BZ23</f>
        <v>0.6875</v>
      </c>
      <c r="CB23" s="610" t="s">
        <v>1317</v>
      </c>
      <c r="CC23" s="608">
        <v>70</v>
      </c>
      <c r="CD23" s="608">
        <v>1</v>
      </c>
      <c r="CE23" s="609">
        <f>+CC23/CD23/100</f>
        <v>0.7</v>
      </c>
      <c r="CF23" s="609">
        <f>+U23</f>
        <v>0.8</v>
      </c>
      <c r="CG23" s="609">
        <f>+CE23/CF23</f>
        <v>0.87499999999999989</v>
      </c>
      <c r="CH23" s="617" t="s">
        <v>1318</v>
      </c>
      <c r="CI23" s="608">
        <v>65</v>
      </c>
      <c r="CJ23" s="608">
        <v>1</v>
      </c>
      <c r="CK23" s="609">
        <f>+CI23/CJ23/100</f>
        <v>0.65</v>
      </c>
      <c r="CL23" s="609">
        <f>+U23</f>
        <v>0.8</v>
      </c>
      <c r="CM23" s="609">
        <f>+CK23/CL23</f>
        <v>0.8125</v>
      </c>
      <c r="CN23" s="364" t="s">
        <v>1319</v>
      </c>
      <c r="CO23" s="68">
        <v>65</v>
      </c>
      <c r="CP23" s="68">
        <v>1</v>
      </c>
      <c r="CQ23" s="609">
        <f>+CO23/CP23/100</f>
        <v>0.65</v>
      </c>
      <c r="CR23" s="609">
        <f>+W23</f>
        <v>0.8</v>
      </c>
      <c r="CS23" s="609">
        <f>+CQ23/CR23</f>
        <v>0.8125</v>
      </c>
      <c r="CT23" s="332" t="s">
        <v>1320</v>
      </c>
      <c r="CU23" s="119">
        <f>(+AA23+AG23+AM23+AS23+AY23+BE23+BK23+BQ23+BW23+CC23+CI23+CO23)/12</f>
        <v>71.666666666666671</v>
      </c>
      <c r="CV23" s="68">
        <v>1</v>
      </c>
      <c r="CW23" s="667">
        <f>+CU23/CV23/100</f>
        <v>0.71666666666666667</v>
      </c>
      <c r="CX23" s="316">
        <v>0.8</v>
      </c>
      <c r="CY23" s="640">
        <f>+CW23/CX23</f>
        <v>0.89583333333333326</v>
      </c>
      <c r="CZ23" s="332" t="s">
        <v>1321</v>
      </c>
      <c r="DA23" s="637"/>
      <c r="DB23" s="637"/>
      <c r="DC23" s="637"/>
      <c r="DD23" s="637"/>
      <c r="DE23" s="637"/>
      <c r="DF23" s="637"/>
      <c r="DG23" s="637"/>
      <c r="DH23" s="637"/>
      <c r="DI23" s="637"/>
      <c r="DJ23" s="637"/>
      <c r="DK23" s="637"/>
      <c r="DL23" s="637"/>
      <c r="DM23" s="637"/>
      <c r="DN23" s="637"/>
      <c r="DO23" s="637"/>
      <c r="DP23" s="637"/>
      <c r="DQ23" s="637"/>
      <c r="DR23" s="637"/>
      <c r="DS23" s="637"/>
      <c r="DT23" s="637"/>
      <c r="DU23" s="637"/>
      <c r="DV23" s="637"/>
      <c r="DW23" s="637"/>
      <c r="DX23" s="637"/>
      <c r="DY23" s="637"/>
      <c r="DZ23" s="637"/>
      <c r="EA23" s="637"/>
      <c r="EB23" s="637"/>
      <c r="EC23" s="637"/>
      <c r="ED23" s="637"/>
      <c r="EE23" s="637"/>
      <c r="EF23" s="637"/>
      <c r="EG23" s="637"/>
      <c r="EH23" s="637"/>
      <c r="EI23" s="637"/>
      <c r="EJ23" s="637"/>
      <c r="EK23" s="637"/>
      <c r="EL23" s="637"/>
      <c r="EM23" s="637"/>
      <c r="EN23" s="637"/>
      <c r="EO23" s="637"/>
      <c r="EP23" s="637"/>
      <c r="EQ23" s="637"/>
      <c r="ER23" s="637"/>
      <c r="ES23" s="637"/>
      <c r="ET23" s="637"/>
      <c r="EU23" s="637"/>
      <c r="EV23" s="637"/>
      <c r="EW23" s="637"/>
      <c r="EX23" s="637"/>
      <c r="EY23" s="637"/>
      <c r="EZ23" s="637"/>
      <c r="FA23" s="637"/>
      <c r="FB23" s="637"/>
      <c r="FC23" s="637"/>
      <c r="FD23" s="637"/>
      <c r="FE23" s="637"/>
      <c r="FF23" s="637"/>
      <c r="FG23" s="637"/>
      <c r="FH23" s="637"/>
      <c r="FI23" s="637"/>
      <c r="FJ23" s="637"/>
      <c r="FK23" s="637"/>
      <c r="FL23" s="637"/>
      <c r="FM23" s="637"/>
      <c r="FN23" s="637"/>
      <c r="FO23" s="637"/>
      <c r="FP23" s="637"/>
      <c r="FQ23" s="637"/>
      <c r="FR23" s="637"/>
      <c r="FS23" s="637"/>
      <c r="FT23" s="637"/>
      <c r="FU23" s="637"/>
      <c r="FV23" s="637"/>
      <c r="FW23" s="637"/>
      <c r="FX23" s="637"/>
      <c r="FY23" s="637"/>
      <c r="FZ23" s="637"/>
      <c r="GA23" s="637"/>
      <c r="GB23" s="637"/>
      <c r="GC23" s="637"/>
      <c r="GD23" s="637"/>
      <c r="GE23" s="637"/>
      <c r="GF23" s="637"/>
      <c r="GG23" s="637"/>
      <c r="GH23" s="637"/>
      <c r="GI23" s="637"/>
      <c r="GJ23" s="637"/>
      <c r="GK23" s="637"/>
      <c r="GL23" s="637"/>
      <c r="GM23" s="637"/>
      <c r="GN23" s="637"/>
      <c r="GO23" s="637"/>
      <c r="GP23" s="637"/>
      <c r="GQ23" s="637"/>
      <c r="GR23" s="637"/>
      <c r="GS23" s="637"/>
      <c r="GT23" s="637"/>
      <c r="GU23" s="637"/>
      <c r="GV23" s="637"/>
      <c r="GW23" s="637"/>
      <c r="GX23" s="637"/>
      <c r="GY23" s="637"/>
      <c r="GZ23" s="637"/>
      <c r="HA23" s="637"/>
      <c r="HB23" s="637"/>
      <c r="HC23" s="637"/>
      <c r="HD23" s="637"/>
      <c r="HE23" s="637"/>
      <c r="HF23" s="637"/>
      <c r="HG23" s="637"/>
      <c r="HH23" s="637"/>
      <c r="HI23" s="637"/>
      <c r="HJ23" s="637"/>
      <c r="HK23" s="637"/>
      <c r="HL23" s="637"/>
      <c r="HM23" s="637"/>
      <c r="HN23" s="637"/>
      <c r="HO23" s="637"/>
      <c r="HP23" s="637"/>
      <c r="HQ23" s="637"/>
      <c r="HR23" s="637"/>
      <c r="HS23" s="637"/>
      <c r="HT23" s="637"/>
      <c r="HU23" s="637"/>
      <c r="HV23" s="637"/>
      <c r="HW23" s="637"/>
      <c r="HX23" s="637"/>
      <c r="HY23" s="637"/>
      <c r="HZ23" s="637"/>
      <c r="IA23" s="637"/>
      <c r="IB23" s="637"/>
      <c r="IC23" s="637"/>
      <c r="ID23" s="637"/>
      <c r="IE23" s="637"/>
      <c r="IF23" s="637"/>
      <c r="IG23" s="637"/>
      <c r="IH23" s="637"/>
      <c r="II23" s="637"/>
      <c r="IJ23" s="637"/>
      <c r="IK23" s="637"/>
      <c r="IL23" s="637"/>
      <c r="IM23" s="637"/>
      <c r="IN23" s="637"/>
      <c r="IO23" s="637"/>
      <c r="IP23" s="637"/>
      <c r="IQ23" s="637"/>
      <c r="IR23" s="637"/>
      <c r="IS23" s="637"/>
      <c r="IT23" s="637"/>
      <c r="IU23" s="637"/>
      <c r="IV23" s="637"/>
    </row>
    <row r="24" spans="1:256" ht="90">
      <c r="A24" s="637"/>
      <c r="B24" s="305" t="s">
        <v>49</v>
      </c>
      <c r="C24" s="596" t="s">
        <v>81</v>
      </c>
      <c r="D24" s="638"/>
      <c r="E24" s="598" t="s">
        <v>83</v>
      </c>
      <c r="F24" s="599" t="s">
        <v>84</v>
      </c>
      <c r="G24" s="599" t="s">
        <v>1322</v>
      </c>
      <c r="H24" s="639" t="s">
        <v>66</v>
      </c>
      <c r="I24" s="646" t="s">
        <v>1323</v>
      </c>
      <c r="J24" s="599" t="s">
        <v>85</v>
      </c>
      <c r="K24" s="8" t="s">
        <v>54</v>
      </c>
      <c r="L24" s="603"/>
      <c r="M24" s="603"/>
      <c r="N24" s="603">
        <v>1</v>
      </c>
      <c r="O24" s="603"/>
      <c r="P24" s="603"/>
      <c r="Q24" s="603">
        <v>1</v>
      </c>
      <c r="R24" s="603"/>
      <c r="S24" s="603"/>
      <c r="T24" s="603">
        <v>1</v>
      </c>
      <c r="U24" s="603"/>
      <c r="V24" s="603"/>
      <c r="W24" s="603">
        <v>1</v>
      </c>
      <c r="X24" s="603">
        <v>1</v>
      </c>
      <c r="Y24" s="8" t="s">
        <v>79</v>
      </c>
      <c r="Z24" s="603">
        <v>1</v>
      </c>
      <c r="AA24" s="361"/>
      <c r="AB24" s="350"/>
      <c r="AC24" s="640" t="s">
        <v>332</v>
      </c>
      <c r="AD24" s="640"/>
      <c r="AE24" s="640" t="s">
        <v>332</v>
      </c>
      <c r="AF24" s="332"/>
      <c r="AG24" s="350"/>
      <c r="AH24" s="350"/>
      <c r="AI24" s="640" t="s">
        <v>332</v>
      </c>
      <c r="AJ24" s="640"/>
      <c r="AK24" s="640" t="s">
        <v>332</v>
      </c>
      <c r="AL24" s="332"/>
      <c r="AM24" s="310">
        <v>54</v>
      </c>
      <c r="AN24" s="310">
        <v>54</v>
      </c>
      <c r="AO24" s="654">
        <v>1</v>
      </c>
      <c r="AP24" s="654">
        <v>1</v>
      </c>
      <c r="AQ24" s="654">
        <v>1</v>
      </c>
      <c r="AR24" s="364" t="s">
        <v>1324</v>
      </c>
      <c r="AS24" s="350"/>
      <c r="AT24" s="350"/>
      <c r="AU24" s="640" t="s">
        <v>332</v>
      </c>
      <c r="AV24" s="640"/>
      <c r="AW24" s="640" t="s">
        <v>332</v>
      </c>
      <c r="AX24" s="332"/>
      <c r="AY24" s="350"/>
      <c r="AZ24" s="350"/>
      <c r="BA24" s="640" t="s">
        <v>332</v>
      </c>
      <c r="BB24" s="640"/>
      <c r="BC24" s="640" t="s">
        <v>332</v>
      </c>
      <c r="BD24" s="332" t="s">
        <v>1194</v>
      </c>
      <c r="BE24" s="350">
        <v>62</v>
      </c>
      <c r="BF24" s="350">
        <v>62</v>
      </c>
      <c r="BG24" s="640">
        <v>1</v>
      </c>
      <c r="BH24" s="640">
        <v>1</v>
      </c>
      <c r="BI24" s="640">
        <v>1</v>
      </c>
      <c r="BJ24" s="332" t="s">
        <v>1325</v>
      </c>
      <c r="BK24" s="350"/>
      <c r="BL24" s="350"/>
      <c r="BM24" s="640" t="s">
        <v>332</v>
      </c>
      <c r="BN24" s="640"/>
      <c r="BO24" s="640" t="s">
        <v>332</v>
      </c>
      <c r="BP24" s="65" t="s">
        <v>1196</v>
      </c>
      <c r="BQ24" s="350"/>
      <c r="BR24" s="350"/>
      <c r="BS24" s="640" t="s">
        <v>332</v>
      </c>
      <c r="BT24" s="640"/>
      <c r="BU24" s="640" t="s">
        <v>332</v>
      </c>
      <c r="BV24" s="65" t="s">
        <v>1197</v>
      </c>
      <c r="BW24" s="608">
        <v>84</v>
      </c>
      <c r="BX24" s="608">
        <v>86</v>
      </c>
      <c r="BY24" s="609">
        <v>0.97674418604651159</v>
      </c>
      <c r="BZ24" s="609">
        <v>1</v>
      </c>
      <c r="CA24" s="609">
        <v>0.97674418604651159</v>
      </c>
      <c r="CB24" s="610" t="s">
        <v>1326</v>
      </c>
      <c r="CC24" s="305"/>
      <c r="CD24" s="305"/>
      <c r="CE24" s="615"/>
      <c r="CF24" s="607"/>
      <c r="CG24" s="607"/>
      <c r="CH24" s="610" t="s">
        <v>1199</v>
      </c>
      <c r="CI24" s="305"/>
      <c r="CJ24" s="305"/>
      <c r="CK24" s="615"/>
      <c r="CL24" s="607"/>
      <c r="CM24" s="607"/>
      <c r="CN24" s="610" t="s">
        <v>1199</v>
      </c>
      <c r="CO24" s="68">
        <v>93</v>
      </c>
      <c r="CP24" s="68">
        <v>93</v>
      </c>
      <c r="CQ24" s="609">
        <f>CO24/CP24</f>
        <v>1</v>
      </c>
      <c r="CR24" s="609">
        <v>1</v>
      </c>
      <c r="CS24" s="609">
        <f>IF(CP24=0," ",CQ24/CR24)</f>
        <v>1</v>
      </c>
      <c r="CT24" s="332" t="s">
        <v>1327</v>
      </c>
      <c r="CU24" s="68">
        <f>+AM24+BE24+BW24+CO24</f>
        <v>293</v>
      </c>
      <c r="CV24" s="68">
        <f>+AN24+BF24+BX24+CP24</f>
        <v>295</v>
      </c>
      <c r="CW24" s="640">
        <f>+CU24/CV24</f>
        <v>0.99322033898305084</v>
      </c>
      <c r="CX24" s="640">
        <v>1</v>
      </c>
      <c r="CY24" s="640">
        <f>+CW24/CX24</f>
        <v>0.99322033898305084</v>
      </c>
      <c r="CZ24" s="332" t="s">
        <v>1328</v>
      </c>
      <c r="DA24" s="637"/>
      <c r="DB24" s="637"/>
      <c r="DC24" s="637"/>
      <c r="DD24" s="637"/>
      <c r="DE24" s="637"/>
      <c r="DF24" s="637"/>
      <c r="DG24" s="637"/>
      <c r="DH24" s="637"/>
      <c r="DI24" s="637"/>
      <c r="DJ24" s="637"/>
      <c r="DK24" s="637"/>
      <c r="DL24" s="637"/>
      <c r="DM24" s="637"/>
      <c r="DN24" s="637"/>
      <c r="DO24" s="637"/>
      <c r="DP24" s="637"/>
      <c r="DQ24" s="637"/>
      <c r="DR24" s="637"/>
      <c r="DS24" s="637"/>
      <c r="DT24" s="637"/>
      <c r="DU24" s="637"/>
      <c r="DV24" s="637"/>
      <c r="DW24" s="637"/>
      <c r="DX24" s="637"/>
      <c r="DY24" s="637"/>
      <c r="DZ24" s="637"/>
      <c r="EA24" s="637"/>
      <c r="EB24" s="637"/>
      <c r="EC24" s="637"/>
      <c r="ED24" s="637"/>
      <c r="EE24" s="637"/>
      <c r="EF24" s="637"/>
      <c r="EG24" s="637"/>
      <c r="EH24" s="637"/>
      <c r="EI24" s="637"/>
      <c r="EJ24" s="637"/>
      <c r="EK24" s="637"/>
      <c r="EL24" s="637"/>
      <c r="EM24" s="637"/>
      <c r="EN24" s="637"/>
      <c r="EO24" s="637"/>
      <c r="EP24" s="637"/>
      <c r="EQ24" s="637"/>
      <c r="ER24" s="637"/>
      <c r="ES24" s="637"/>
      <c r="ET24" s="637"/>
      <c r="EU24" s="637"/>
      <c r="EV24" s="637"/>
      <c r="EW24" s="637"/>
      <c r="EX24" s="637"/>
      <c r="EY24" s="637"/>
      <c r="EZ24" s="637"/>
      <c r="FA24" s="637"/>
      <c r="FB24" s="637"/>
      <c r="FC24" s="637"/>
      <c r="FD24" s="637"/>
      <c r="FE24" s="637"/>
      <c r="FF24" s="637"/>
      <c r="FG24" s="637"/>
      <c r="FH24" s="637"/>
      <c r="FI24" s="637"/>
      <c r="FJ24" s="637"/>
      <c r="FK24" s="637"/>
      <c r="FL24" s="637"/>
      <c r="FM24" s="637"/>
      <c r="FN24" s="637"/>
      <c r="FO24" s="637"/>
      <c r="FP24" s="637"/>
      <c r="FQ24" s="637"/>
      <c r="FR24" s="637"/>
      <c r="FS24" s="637"/>
      <c r="FT24" s="637"/>
      <c r="FU24" s="637"/>
      <c r="FV24" s="637"/>
      <c r="FW24" s="637"/>
      <c r="FX24" s="637"/>
      <c r="FY24" s="637"/>
      <c r="FZ24" s="637"/>
      <c r="GA24" s="637"/>
      <c r="GB24" s="637"/>
      <c r="GC24" s="637"/>
      <c r="GD24" s="637"/>
      <c r="GE24" s="637"/>
      <c r="GF24" s="637"/>
      <c r="GG24" s="637"/>
      <c r="GH24" s="637"/>
      <c r="GI24" s="637"/>
      <c r="GJ24" s="637"/>
      <c r="GK24" s="637"/>
      <c r="GL24" s="637"/>
      <c r="GM24" s="637"/>
      <c r="GN24" s="637"/>
      <c r="GO24" s="637"/>
      <c r="GP24" s="637"/>
      <c r="GQ24" s="637"/>
      <c r="GR24" s="637"/>
      <c r="GS24" s="637"/>
      <c r="GT24" s="637"/>
      <c r="GU24" s="637"/>
      <c r="GV24" s="637"/>
      <c r="GW24" s="637"/>
      <c r="GX24" s="637"/>
      <c r="GY24" s="637"/>
      <c r="GZ24" s="637"/>
      <c r="HA24" s="637"/>
      <c r="HB24" s="637"/>
      <c r="HC24" s="637"/>
      <c r="HD24" s="637"/>
      <c r="HE24" s="637"/>
      <c r="HF24" s="637"/>
      <c r="HG24" s="637"/>
      <c r="HH24" s="637"/>
      <c r="HI24" s="637"/>
      <c r="HJ24" s="637"/>
      <c r="HK24" s="637"/>
      <c r="HL24" s="637"/>
      <c r="HM24" s="637"/>
      <c r="HN24" s="637"/>
      <c r="HO24" s="637"/>
      <c r="HP24" s="637"/>
      <c r="HQ24" s="637"/>
      <c r="HR24" s="637"/>
      <c r="HS24" s="637"/>
      <c r="HT24" s="637"/>
      <c r="HU24" s="637"/>
      <c r="HV24" s="637"/>
      <c r="HW24" s="637"/>
      <c r="HX24" s="637"/>
      <c r="HY24" s="637"/>
      <c r="HZ24" s="637"/>
      <c r="IA24" s="637"/>
      <c r="IB24" s="637"/>
      <c r="IC24" s="637"/>
      <c r="ID24" s="637"/>
      <c r="IE24" s="637"/>
      <c r="IF24" s="637"/>
      <c r="IG24" s="637"/>
      <c r="IH24" s="637"/>
      <c r="II24" s="637"/>
      <c r="IJ24" s="637"/>
      <c r="IK24" s="637"/>
      <c r="IL24" s="637"/>
      <c r="IM24" s="637"/>
      <c r="IN24" s="637"/>
      <c r="IO24" s="637"/>
      <c r="IP24" s="637"/>
      <c r="IQ24" s="637"/>
      <c r="IR24" s="637"/>
      <c r="IS24" s="637"/>
      <c r="IT24" s="637"/>
      <c r="IU24" s="637"/>
      <c r="IV24" s="637"/>
    </row>
    <row r="25" spans="1:256">
      <c r="C25" s="129"/>
      <c r="D25" s="129"/>
      <c r="E25" s="2292" t="s">
        <v>17</v>
      </c>
      <c r="F25" s="2292"/>
      <c r="G25" s="2292"/>
      <c r="H25" s="675"/>
      <c r="I25" s="676"/>
      <c r="J25" s="677"/>
      <c r="K25" s="5"/>
      <c r="L25" s="678"/>
      <c r="M25" s="678"/>
      <c r="N25" s="678"/>
      <c r="O25" s="678"/>
      <c r="P25" s="678"/>
      <c r="Q25" s="678"/>
      <c r="R25" s="678"/>
      <c r="S25" s="678"/>
      <c r="T25" s="678"/>
      <c r="U25" s="678"/>
      <c r="V25" s="678"/>
      <c r="W25" s="678"/>
      <c r="X25" s="678"/>
      <c r="Y25" s="126"/>
      <c r="Z25" s="126"/>
      <c r="AA25" s="126"/>
      <c r="AB25" s="126"/>
    </row>
    <row r="26" spans="1:256">
      <c r="D26" s="679"/>
      <c r="E26" s="128"/>
      <c r="T26" s="126"/>
      <c r="W26" s="126"/>
      <c r="CY26" s="680"/>
    </row>
    <row r="27" spans="1:256">
      <c r="D27" s="679"/>
      <c r="E27" s="128"/>
      <c r="T27" s="126"/>
      <c r="W27" s="126"/>
    </row>
    <row r="28" spans="1:256">
      <c r="D28" s="679"/>
      <c r="E28" s="128"/>
      <c r="F28" s="1971"/>
      <c r="G28" s="1971"/>
      <c r="H28" s="1971"/>
      <c r="I28" s="1971"/>
      <c r="L28" s="15" t="s">
        <v>28</v>
      </c>
      <c r="T28" s="126"/>
      <c r="W28" s="126"/>
    </row>
    <row r="29" spans="1:256">
      <c r="D29" s="679"/>
      <c r="E29" s="128"/>
      <c r="F29" s="1972" t="s">
        <v>1329</v>
      </c>
      <c r="G29" s="1972"/>
      <c r="H29" s="1972"/>
      <c r="I29" s="1972"/>
      <c r="T29" s="126"/>
      <c r="W29" s="126"/>
    </row>
    <row r="30" spans="1:256">
      <c r="D30" s="679"/>
      <c r="E30" s="128"/>
      <c r="F30" s="1974" t="s">
        <v>1330</v>
      </c>
      <c r="G30" s="1974"/>
      <c r="H30" s="1974"/>
      <c r="I30" s="1974"/>
      <c r="T30" s="126"/>
      <c r="W30" s="126"/>
    </row>
    <row r="31" spans="1:256">
      <c r="D31" s="128"/>
      <c r="E31" s="128"/>
      <c r="F31" s="128"/>
      <c r="G31" s="128"/>
      <c r="H31" s="681"/>
      <c r="I31" s="682"/>
      <c r="T31" s="126"/>
      <c r="W31" s="126"/>
    </row>
    <row r="32" spans="1:256">
      <c r="D32" s="128"/>
      <c r="E32" s="128"/>
    </row>
    <row r="33" spans="4:4">
      <c r="D33" s="683"/>
    </row>
  </sheetData>
  <mergeCells count="70">
    <mergeCell ref="CI14:CN14"/>
    <mergeCell ref="CO14:CT14"/>
    <mergeCell ref="E25:G25"/>
    <mergeCell ref="F28:I28"/>
    <mergeCell ref="F29:I29"/>
    <mergeCell ref="F30:I30"/>
    <mergeCell ref="AY14:BD14"/>
    <mergeCell ref="BE14:BJ14"/>
    <mergeCell ref="BK14:BP14"/>
    <mergeCell ref="BQ14:BV14"/>
    <mergeCell ref="BW14:CB14"/>
    <mergeCell ref="CC14:CH14"/>
    <mergeCell ref="K14:K15"/>
    <mergeCell ref="L14:W14"/>
    <mergeCell ref="AA14:AF14"/>
    <mergeCell ref="AG14:AL14"/>
    <mergeCell ref="AM14:AR14"/>
    <mergeCell ref="AS14:AX14"/>
    <mergeCell ref="CI5:CN5"/>
    <mergeCell ref="CO5:CT5"/>
    <mergeCell ref="CU5:CZ5"/>
    <mergeCell ref="B13:Y13"/>
    <mergeCell ref="E14:E15"/>
    <mergeCell ref="F14:F15"/>
    <mergeCell ref="G14:G15"/>
    <mergeCell ref="H14:H15"/>
    <mergeCell ref="I14:I15"/>
    <mergeCell ref="J14:J15"/>
    <mergeCell ref="AY5:BD5"/>
    <mergeCell ref="BE5:BJ5"/>
    <mergeCell ref="BK5:BP5"/>
    <mergeCell ref="BQ5:BV5"/>
    <mergeCell ref="BW5:CB5"/>
    <mergeCell ref="CC5:CH5"/>
    <mergeCell ref="K5:K6"/>
    <mergeCell ref="L5:W5"/>
    <mergeCell ref="AA5:AF5"/>
    <mergeCell ref="AG5:AL5"/>
    <mergeCell ref="AM5:AR5"/>
    <mergeCell ref="AS5:AX5"/>
    <mergeCell ref="CU4:CZ4"/>
    <mergeCell ref="B5:B6"/>
    <mergeCell ref="C5:C6"/>
    <mergeCell ref="D5:D6"/>
    <mergeCell ref="E5:E6"/>
    <mergeCell ref="F5:F6"/>
    <mergeCell ref="G5:G6"/>
    <mergeCell ref="H5:H6"/>
    <mergeCell ref="I5:I6"/>
    <mergeCell ref="J5:J6"/>
    <mergeCell ref="BK4:BP4"/>
    <mergeCell ref="BQ4:BV4"/>
    <mergeCell ref="BW4:CB4"/>
    <mergeCell ref="CC4:CH4"/>
    <mergeCell ref="CI4:CN4"/>
    <mergeCell ref="CO4:CT4"/>
    <mergeCell ref="AA4:AF4"/>
    <mergeCell ref="AG4:AL4"/>
    <mergeCell ref="AM4:AR4"/>
    <mergeCell ref="AS4:AX4"/>
    <mergeCell ref="AY4:BD4"/>
    <mergeCell ref="BE4:BJ4"/>
    <mergeCell ref="E1:S1"/>
    <mergeCell ref="T1:W2"/>
    <mergeCell ref="A2:C2"/>
    <mergeCell ref="E2:O2"/>
    <mergeCell ref="P2:S2"/>
    <mergeCell ref="E4:I4"/>
    <mergeCell ref="L4:N4"/>
    <mergeCell ref="O4:W4"/>
  </mergeCells>
  <conditionalFormatting sqref="AK11:AK12 AE11 AW11:AW12 BC11:BC12 BI11:BI12 CM11:CM12 CS11:CS12 CY11:CY12 AQ11:AQ12 AE13 CY24 AE16">
    <cfRule type="colorScale" priority="117">
      <colorScale>
        <cfvo type="num" val="0.69"/>
        <cfvo type="num" val="0.8"/>
        <cfvo type="num" val="0.9"/>
        <color rgb="FFF8696B"/>
        <color rgb="FFFFEB84"/>
        <color rgb="FF63BE7B"/>
      </colorScale>
    </cfRule>
  </conditionalFormatting>
  <conditionalFormatting sqref="AW13 AW16">
    <cfRule type="colorScale" priority="116">
      <colorScale>
        <cfvo type="num" val="0.69"/>
        <cfvo type="num" val="0.8"/>
        <cfvo type="num" val="0.9"/>
        <color rgb="FFF8696B"/>
        <color rgb="FFFFEB84"/>
        <color rgb="FF63BE7B"/>
      </colorScale>
    </cfRule>
  </conditionalFormatting>
  <conditionalFormatting sqref="BI16 BI13">
    <cfRule type="colorScale" priority="115">
      <colorScale>
        <cfvo type="num" val="0.69"/>
        <cfvo type="num" val="0.8"/>
        <cfvo type="num" val="0.9"/>
        <color rgb="FFF8696B"/>
        <color rgb="FFFFEB84"/>
        <color rgb="FF63BE7B"/>
      </colorScale>
    </cfRule>
  </conditionalFormatting>
  <conditionalFormatting sqref="CM13 CM16">
    <cfRule type="colorScale" priority="114">
      <colorScale>
        <cfvo type="num" val="0.69"/>
        <cfvo type="num" val="0.8"/>
        <cfvo type="num" val="0.9"/>
        <color rgb="FFF8696B"/>
        <color rgb="FFFFEB84"/>
        <color rgb="FF63BE7B"/>
      </colorScale>
    </cfRule>
  </conditionalFormatting>
  <conditionalFormatting sqref="CS13 CS16">
    <cfRule type="colorScale" priority="113">
      <colorScale>
        <cfvo type="num" val="0.69"/>
        <cfvo type="num" val="0.8"/>
        <cfvo type="num" val="0.9"/>
        <color rgb="FFF8696B"/>
        <color rgb="FFFFEB84"/>
        <color rgb="FF63BE7B"/>
      </colorScale>
    </cfRule>
  </conditionalFormatting>
  <conditionalFormatting sqref="AL13 AL16">
    <cfRule type="colorScale" priority="112">
      <colorScale>
        <cfvo type="num" val="0.69"/>
        <cfvo type="num" val="0.8"/>
        <cfvo type="num" val="0.9"/>
        <color rgb="FFF8696B"/>
        <color rgb="FFFFEB84"/>
        <color rgb="FF63BE7B"/>
      </colorScale>
    </cfRule>
  </conditionalFormatting>
  <conditionalFormatting sqref="AR13 AR16">
    <cfRule type="colorScale" priority="111">
      <colorScale>
        <cfvo type="num" val="0.69"/>
        <cfvo type="num" val="0.8"/>
        <cfvo type="num" val="0.9"/>
        <color rgb="FFF8696B"/>
        <color rgb="FFFFEB84"/>
        <color rgb="FF63BE7B"/>
      </colorScale>
    </cfRule>
  </conditionalFormatting>
  <conditionalFormatting sqref="BD16 BD13">
    <cfRule type="colorScale" priority="110">
      <colorScale>
        <cfvo type="num" val="0.69"/>
        <cfvo type="num" val="0.8"/>
        <cfvo type="num" val="0.9"/>
        <color rgb="FFF8696B"/>
        <color rgb="FFFFEB84"/>
        <color rgb="FF63BE7B"/>
      </colorScale>
    </cfRule>
  </conditionalFormatting>
  <conditionalFormatting sqref="CZ13 CZ16">
    <cfRule type="colorScale" priority="109">
      <colorScale>
        <cfvo type="num" val="0.69"/>
        <cfvo type="num" val="0.8"/>
        <cfvo type="num" val="0.9"/>
        <color rgb="FFF8696B"/>
        <color rgb="FFFFEB84"/>
        <color rgb="FF63BE7B"/>
      </colorScale>
    </cfRule>
  </conditionalFormatting>
  <conditionalFormatting sqref="AK18 AK24 AK20:AK22">
    <cfRule type="colorScale" priority="108">
      <colorScale>
        <cfvo type="num" val="0.69"/>
        <cfvo type="num" val="0.8"/>
        <cfvo type="num" val="0.9"/>
        <color rgb="FFF8696B"/>
        <color rgb="FFFFEB84"/>
        <color rgb="FF63BE7B"/>
      </colorScale>
    </cfRule>
  </conditionalFormatting>
  <conditionalFormatting sqref="AQ17:AQ18 AQ20:AQ23">
    <cfRule type="colorScale" priority="107">
      <colorScale>
        <cfvo type="num" val="0.69"/>
        <cfvo type="num" val="0.8"/>
        <cfvo type="num" val="0.9"/>
        <color rgb="FFF8696B"/>
        <color rgb="FFFFEB84"/>
        <color rgb="FF63BE7B"/>
      </colorScale>
    </cfRule>
  </conditionalFormatting>
  <conditionalFormatting sqref="AW17:AW18 AW20:AW24">
    <cfRule type="colorScale" priority="106">
      <colorScale>
        <cfvo type="num" val="0.69"/>
        <cfvo type="num" val="0.8"/>
        <cfvo type="num" val="0.9"/>
        <color rgb="FFF8696B"/>
        <color rgb="FFFFEB84"/>
        <color rgb="FF63BE7B"/>
      </colorScale>
    </cfRule>
  </conditionalFormatting>
  <conditionalFormatting sqref="BC17:BC24">
    <cfRule type="colorScale" priority="105">
      <colorScale>
        <cfvo type="num" val="0.69"/>
        <cfvo type="num" val="0.8"/>
        <cfvo type="num" val="0.9"/>
        <color rgb="FFF8696B"/>
        <color rgb="FFFFEB84"/>
        <color rgb="FF63BE7B"/>
      </colorScale>
    </cfRule>
  </conditionalFormatting>
  <conditionalFormatting sqref="BI17:BI24">
    <cfRule type="colorScale" priority="104">
      <colorScale>
        <cfvo type="num" val="0.69"/>
        <cfvo type="num" val="0.8"/>
        <cfvo type="num" val="0.9"/>
        <color rgb="FFF8696B"/>
        <color rgb="FFFFEB84"/>
        <color rgb="FF63BE7B"/>
      </colorScale>
    </cfRule>
  </conditionalFormatting>
  <conditionalFormatting sqref="CS20:CS21">
    <cfRule type="colorScale" priority="103">
      <colorScale>
        <cfvo type="num" val="0.69"/>
        <cfvo type="num" val="0.8"/>
        <cfvo type="num" val="0.9"/>
        <color rgb="FFF8696B"/>
        <color rgb="FFFFEB84"/>
        <color rgb="FF63BE7B"/>
      </colorScale>
    </cfRule>
  </conditionalFormatting>
  <conditionalFormatting sqref="CY20:CY21">
    <cfRule type="colorScale" priority="102">
      <colorScale>
        <cfvo type="num" val="0.69"/>
        <cfvo type="num" val="0.8"/>
        <cfvo type="num" val="0.9"/>
        <color rgb="FFF8696B"/>
        <color rgb="FFFFEB84"/>
        <color rgb="FF63BE7B"/>
      </colorScale>
    </cfRule>
  </conditionalFormatting>
  <conditionalFormatting sqref="AE7">
    <cfRule type="colorScale" priority="101">
      <colorScale>
        <cfvo type="num" val="0.69"/>
        <cfvo type="num" val="0.8"/>
        <cfvo type="num" val="0.9"/>
        <color rgb="FFF8696B"/>
        <color rgb="FFFFEB84"/>
        <color rgb="FF63BE7B"/>
      </colorScale>
    </cfRule>
  </conditionalFormatting>
  <conditionalFormatting sqref="AK7">
    <cfRule type="colorScale" priority="100">
      <colorScale>
        <cfvo type="num" val="0.69"/>
        <cfvo type="num" val="0.8"/>
        <cfvo type="num" val="0.9"/>
        <color rgb="FFF8696B"/>
        <color rgb="FFFFEB84"/>
        <color rgb="FF63BE7B"/>
      </colorScale>
    </cfRule>
  </conditionalFormatting>
  <conditionalFormatting sqref="AQ7">
    <cfRule type="colorScale" priority="99">
      <colorScale>
        <cfvo type="num" val="0.69"/>
        <cfvo type="num" val="0.8"/>
        <cfvo type="num" val="0.9"/>
        <color rgb="FFF8696B"/>
        <color rgb="FFFFEB84"/>
        <color rgb="FF63BE7B"/>
      </colorScale>
    </cfRule>
  </conditionalFormatting>
  <conditionalFormatting sqref="AW7">
    <cfRule type="colorScale" priority="98">
      <colorScale>
        <cfvo type="num" val="0.69"/>
        <cfvo type="num" val="0.8"/>
        <cfvo type="num" val="0.9"/>
        <color rgb="FFF8696B"/>
        <color rgb="FFFFEB84"/>
        <color rgb="FF63BE7B"/>
      </colorScale>
    </cfRule>
  </conditionalFormatting>
  <conditionalFormatting sqref="BC7">
    <cfRule type="colorScale" priority="97">
      <colorScale>
        <cfvo type="num" val="0.69"/>
        <cfvo type="num" val="0.8"/>
        <cfvo type="num" val="0.9"/>
        <color rgb="FFF8696B"/>
        <color rgb="FFFFEB84"/>
        <color rgb="FF63BE7B"/>
      </colorScale>
    </cfRule>
  </conditionalFormatting>
  <conditionalFormatting sqref="BI7">
    <cfRule type="colorScale" priority="96">
      <colorScale>
        <cfvo type="num" val="0.69"/>
        <cfvo type="num" val="0.8"/>
        <cfvo type="num" val="0.9"/>
        <color rgb="FFF8696B"/>
        <color rgb="FFFFEB84"/>
        <color rgb="FF63BE7B"/>
      </colorScale>
    </cfRule>
  </conditionalFormatting>
  <conditionalFormatting sqref="CM7">
    <cfRule type="colorScale" priority="95">
      <colorScale>
        <cfvo type="num" val="0.69"/>
        <cfvo type="num" val="0.8"/>
        <cfvo type="num" val="0.9"/>
        <color rgb="FFF8696B"/>
        <color rgb="FFFFEB84"/>
        <color rgb="FF63BE7B"/>
      </colorScale>
    </cfRule>
  </conditionalFormatting>
  <conditionalFormatting sqref="CS7">
    <cfRule type="colorScale" priority="94">
      <colorScale>
        <cfvo type="num" val="0.69"/>
        <cfvo type="num" val="0.8"/>
        <cfvo type="num" val="0.9"/>
        <color rgb="FFF8696B"/>
        <color rgb="FFFFEB84"/>
        <color rgb="FF63BE7B"/>
      </colorScale>
    </cfRule>
  </conditionalFormatting>
  <conditionalFormatting sqref="CY7">
    <cfRule type="colorScale" priority="93">
      <colorScale>
        <cfvo type="num" val="0.69"/>
        <cfvo type="num" val="0.8"/>
        <cfvo type="num" val="0.9"/>
        <color rgb="FFF8696B"/>
        <color rgb="FFFFEB84"/>
        <color rgb="FF63BE7B"/>
      </colorScale>
    </cfRule>
  </conditionalFormatting>
  <conditionalFormatting sqref="AE8:AE9">
    <cfRule type="colorScale" priority="92">
      <colorScale>
        <cfvo type="num" val="0.69"/>
        <cfvo type="num" val="0.8"/>
        <cfvo type="num" val="0.9"/>
        <color rgb="FFF8696B"/>
        <color rgb="FFFFEB84"/>
        <color rgb="FF63BE7B"/>
      </colorScale>
    </cfRule>
  </conditionalFormatting>
  <conditionalFormatting sqref="AK8:AK9">
    <cfRule type="colorScale" priority="91">
      <colorScale>
        <cfvo type="num" val="0.69"/>
        <cfvo type="num" val="0.8"/>
        <cfvo type="num" val="0.9"/>
        <color rgb="FFF8696B"/>
        <color rgb="FFFFEB84"/>
        <color rgb="FF63BE7B"/>
      </colorScale>
    </cfRule>
  </conditionalFormatting>
  <conditionalFormatting sqref="AQ8:AQ9">
    <cfRule type="colorScale" priority="90">
      <colorScale>
        <cfvo type="num" val="0.69"/>
        <cfvo type="num" val="0.8"/>
        <cfvo type="num" val="0.9"/>
        <color rgb="FFF8696B"/>
        <color rgb="FFFFEB84"/>
        <color rgb="FF63BE7B"/>
      </colorScale>
    </cfRule>
  </conditionalFormatting>
  <conditionalFormatting sqref="AW8:AW9">
    <cfRule type="colorScale" priority="89">
      <colorScale>
        <cfvo type="num" val="0.69"/>
        <cfvo type="num" val="0.8"/>
        <cfvo type="num" val="0.9"/>
        <color rgb="FFF8696B"/>
        <color rgb="FFFFEB84"/>
        <color rgb="FF63BE7B"/>
      </colorScale>
    </cfRule>
  </conditionalFormatting>
  <conditionalFormatting sqref="BC8:BC9">
    <cfRule type="colorScale" priority="88">
      <colorScale>
        <cfvo type="num" val="0.69"/>
        <cfvo type="num" val="0.8"/>
        <cfvo type="num" val="0.9"/>
        <color rgb="FFF8696B"/>
        <color rgb="FFFFEB84"/>
        <color rgb="FF63BE7B"/>
      </colorScale>
    </cfRule>
  </conditionalFormatting>
  <conditionalFormatting sqref="BI8:BI9">
    <cfRule type="colorScale" priority="87">
      <colorScale>
        <cfvo type="num" val="0.69"/>
        <cfvo type="num" val="0.8"/>
        <cfvo type="num" val="0.9"/>
        <color rgb="FFF8696B"/>
        <color rgb="FFFFEB84"/>
        <color rgb="FF63BE7B"/>
      </colorScale>
    </cfRule>
  </conditionalFormatting>
  <conditionalFormatting sqref="CM9">
    <cfRule type="colorScale" priority="86">
      <colorScale>
        <cfvo type="num" val="0.69"/>
        <cfvo type="num" val="0.8"/>
        <cfvo type="num" val="0.9"/>
        <color rgb="FFF8696B"/>
        <color rgb="FFFFEB84"/>
        <color rgb="FF63BE7B"/>
      </colorScale>
    </cfRule>
  </conditionalFormatting>
  <conditionalFormatting sqref="CS8:CS9">
    <cfRule type="colorScale" priority="85">
      <colorScale>
        <cfvo type="num" val="0.69"/>
        <cfvo type="num" val="0.8"/>
        <cfvo type="num" val="0.9"/>
        <color rgb="FFF8696B"/>
        <color rgb="FFFFEB84"/>
        <color rgb="FF63BE7B"/>
      </colorScale>
    </cfRule>
  </conditionalFormatting>
  <conditionalFormatting sqref="CY9">
    <cfRule type="colorScale" priority="84">
      <colorScale>
        <cfvo type="num" val="0.69"/>
        <cfvo type="num" val="0.8"/>
        <cfvo type="num" val="0.9"/>
        <color rgb="FFF8696B"/>
        <color rgb="FFFFEB84"/>
        <color rgb="FF63BE7B"/>
      </colorScale>
    </cfRule>
  </conditionalFormatting>
  <conditionalFormatting sqref="AE10 AK10 AQ10 AW10 BC10 BI10 CY10">
    <cfRule type="colorScale" priority="83">
      <colorScale>
        <cfvo type="num" val="0.69"/>
        <cfvo type="num" val="0.8"/>
        <cfvo type="num" val="0.9"/>
        <color rgb="FFF8696B"/>
        <color rgb="FFFFEB84"/>
        <color rgb="FF63BE7B"/>
      </colorScale>
    </cfRule>
  </conditionalFormatting>
  <conditionalFormatting sqref="AQ17">
    <cfRule type="colorScale" priority="82">
      <colorScale>
        <cfvo type="num" val="0.69"/>
        <cfvo type="num" val="0.8"/>
        <cfvo type="num" val="0.9"/>
        <color rgb="FFF8696B"/>
        <color rgb="FFFFEB84"/>
        <color rgb="FF63BE7B"/>
      </colorScale>
    </cfRule>
  </conditionalFormatting>
  <conditionalFormatting sqref="AQ17">
    <cfRule type="colorScale" priority="81">
      <colorScale>
        <cfvo type="num" val="0.69"/>
        <cfvo type="num" val="0.8"/>
        <cfvo type="num" val="0.9"/>
        <color rgb="FFF8696B"/>
        <color rgb="FFFFEB84"/>
        <color rgb="FF63BE7B"/>
      </colorScale>
    </cfRule>
  </conditionalFormatting>
  <conditionalFormatting sqref="AW17">
    <cfRule type="colorScale" priority="80">
      <colorScale>
        <cfvo type="num" val="0.69"/>
        <cfvo type="num" val="0.8"/>
        <cfvo type="num" val="0.9"/>
        <color rgb="FFF8696B"/>
        <color rgb="FFFFEB84"/>
        <color rgb="FF63BE7B"/>
      </colorScale>
    </cfRule>
  </conditionalFormatting>
  <conditionalFormatting sqref="AW17">
    <cfRule type="colorScale" priority="79">
      <colorScale>
        <cfvo type="num" val="0.69"/>
        <cfvo type="num" val="0.8"/>
        <cfvo type="num" val="0.9"/>
        <color rgb="FFF8696B"/>
        <color rgb="FFFFEB84"/>
        <color rgb="FF63BE7B"/>
      </colorScale>
    </cfRule>
  </conditionalFormatting>
  <conditionalFormatting sqref="AK20">
    <cfRule type="colorScale" priority="78">
      <colorScale>
        <cfvo type="num" val="0.69"/>
        <cfvo type="num" val="0.8"/>
        <cfvo type="num" val="0.9"/>
        <color rgb="FFF8696B"/>
        <color rgb="FFFFEB84"/>
        <color rgb="FF63BE7B"/>
      </colorScale>
    </cfRule>
  </conditionalFormatting>
  <conditionalFormatting sqref="AQ20">
    <cfRule type="colorScale" priority="77">
      <colorScale>
        <cfvo type="num" val="0.69"/>
        <cfvo type="num" val="0.8"/>
        <cfvo type="num" val="0.9"/>
        <color rgb="FFF8696B"/>
        <color rgb="FFFFEB84"/>
        <color rgb="FF63BE7B"/>
      </colorScale>
    </cfRule>
  </conditionalFormatting>
  <conditionalFormatting sqref="AW20">
    <cfRule type="colorScale" priority="76">
      <colorScale>
        <cfvo type="num" val="0.69"/>
        <cfvo type="num" val="0.8"/>
        <cfvo type="num" val="0.9"/>
        <color rgb="FFF8696B"/>
        <color rgb="FFFFEB84"/>
        <color rgb="FF63BE7B"/>
      </colorScale>
    </cfRule>
  </conditionalFormatting>
  <conditionalFormatting sqref="AK21">
    <cfRule type="colorScale" priority="75">
      <colorScale>
        <cfvo type="num" val="0.69"/>
        <cfvo type="num" val="0.8"/>
        <cfvo type="num" val="0.9"/>
        <color rgb="FFF8696B"/>
        <color rgb="FFFFEB84"/>
        <color rgb="FF63BE7B"/>
      </colorScale>
    </cfRule>
  </conditionalFormatting>
  <conditionalFormatting sqref="AQ21">
    <cfRule type="colorScale" priority="74">
      <colorScale>
        <cfvo type="num" val="0.69"/>
        <cfvo type="num" val="0.8"/>
        <cfvo type="num" val="0.9"/>
        <color rgb="FFF8696B"/>
        <color rgb="FFFFEB84"/>
        <color rgb="FF63BE7B"/>
      </colorScale>
    </cfRule>
  </conditionalFormatting>
  <conditionalFormatting sqref="AW21">
    <cfRule type="colorScale" priority="73">
      <colorScale>
        <cfvo type="num" val="0.69"/>
        <cfvo type="num" val="0.8"/>
        <cfvo type="num" val="0.9"/>
        <color rgb="FFF8696B"/>
        <color rgb="FFFFEB84"/>
        <color rgb="FF63BE7B"/>
      </colorScale>
    </cfRule>
  </conditionalFormatting>
  <conditionalFormatting sqref="AW21">
    <cfRule type="colorScale" priority="72">
      <colorScale>
        <cfvo type="num" val="0.69"/>
        <cfvo type="num" val="0.8"/>
        <cfvo type="num" val="0.9"/>
        <color rgb="FFF8696B"/>
        <color rgb="FFFFEB84"/>
        <color rgb="FF63BE7B"/>
      </colorScale>
    </cfRule>
  </conditionalFormatting>
  <conditionalFormatting sqref="AW21">
    <cfRule type="colorScale" priority="71">
      <colorScale>
        <cfvo type="num" val="0.69"/>
        <cfvo type="num" val="0.8"/>
        <cfvo type="num" val="0.9"/>
        <color rgb="FFF8696B"/>
        <color rgb="FFFFEB84"/>
        <color rgb="FF63BE7B"/>
      </colorScale>
    </cfRule>
  </conditionalFormatting>
  <conditionalFormatting sqref="AK23">
    <cfRule type="colorScale" priority="70">
      <colorScale>
        <cfvo type="num" val="0.69"/>
        <cfvo type="num" val="0.8"/>
        <cfvo type="num" val="0.9"/>
        <color rgb="FFF8696B"/>
        <color rgb="FFFFEB84"/>
        <color rgb="FF63BE7B"/>
      </colorScale>
    </cfRule>
  </conditionalFormatting>
  <conditionalFormatting sqref="AQ19">
    <cfRule type="colorScale" priority="69">
      <colorScale>
        <cfvo type="num" val="0.69"/>
        <cfvo type="num" val="0.8"/>
        <cfvo type="num" val="0.9"/>
        <color rgb="FFF8696B"/>
        <color rgb="FFFFEB84"/>
        <color rgb="FF63BE7B"/>
      </colorScale>
    </cfRule>
  </conditionalFormatting>
  <conditionalFormatting sqref="AW19">
    <cfRule type="colorScale" priority="68">
      <colorScale>
        <cfvo type="num" val="0.69"/>
        <cfvo type="num" val="0.8"/>
        <cfvo type="num" val="0.9"/>
        <color rgb="FFF8696B"/>
        <color rgb="FFFFEB84"/>
        <color rgb="FF63BE7B"/>
      </colorScale>
    </cfRule>
  </conditionalFormatting>
  <conditionalFormatting sqref="AQ19">
    <cfRule type="colorScale" priority="67">
      <colorScale>
        <cfvo type="num" val="0.69"/>
        <cfvo type="num" val="0.8"/>
        <cfvo type="num" val="0.9"/>
        <color rgb="FFF8696B"/>
        <color rgb="FFFFEB84"/>
        <color rgb="FF63BE7B"/>
      </colorScale>
    </cfRule>
  </conditionalFormatting>
  <conditionalFormatting sqref="AW19">
    <cfRule type="colorScale" priority="66">
      <colorScale>
        <cfvo type="num" val="0.69"/>
        <cfvo type="num" val="0.8"/>
        <cfvo type="num" val="0.9"/>
        <color rgb="FFF8696B"/>
        <color rgb="FFFFEB84"/>
        <color rgb="FF63BE7B"/>
      </colorScale>
    </cfRule>
  </conditionalFormatting>
  <conditionalFormatting sqref="AK19">
    <cfRule type="colorScale" priority="65">
      <colorScale>
        <cfvo type="num" val="0.69"/>
        <cfvo type="num" val="0.8"/>
        <cfvo type="num" val="0.9"/>
        <color rgb="FFF8696B"/>
        <color rgb="FFFFEB84"/>
        <color rgb="FF63BE7B"/>
      </colorScale>
    </cfRule>
  </conditionalFormatting>
  <conditionalFormatting sqref="AK19">
    <cfRule type="colorScale" priority="64">
      <colorScale>
        <cfvo type="num" val="0.69"/>
        <cfvo type="num" val="0.8"/>
        <cfvo type="num" val="0.9"/>
        <color rgb="FFF8696B"/>
        <color rgb="FFFFEB84"/>
        <color rgb="FF63BE7B"/>
      </colorScale>
    </cfRule>
  </conditionalFormatting>
  <conditionalFormatting sqref="AK19">
    <cfRule type="colorScale" priority="63">
      <colorScale>
        <cfvo type="num" val="0.69"/>
        <cfvo type="num" val="0.8"/>
        <cfvo type="num" val="0.9"/>
        <color rgb="FFF8696B"/>
        <color rgb="FFFFEB84"/>
        <color rgb="FF63BE7B"/>
      </colorScale>
    </cfRule>
  </conditionalFormatting>
  <conditionalFormatting sqref="AK19">
    <cfRule type="colorScale" priority="62">
      <colorScale>
        <cfvo type="num" val="0.69"/>
        <cfvo type="num" val="0.8"/>
        <cfvo type="num" val="0.9"/>
        <color rgb="FFF8696B"/>
        <color rgb="FFFFEB84"/>
        <color rgb="FF63BE7B"/>
      </colorScale>
    </cfRule>
  </conditionalFormatting>
  <conditionalFormatting sqref="AK19">
    <cfRule type="colorScale" priority="61">
      <colorScale>
        <cfvo type="num" val="0.69"/>
        <cfvo type="num" val="0.8"/>
        <cfvo type="num" val="0.9"/>
        <color rgb="FFF8696B"/>
        <color rgb="FFFFEB84"/>
        <color rgb="FF63BE7B"/>
      </colorScale>
    </cfRule>
  </conditionalFormatting>
  <conditionalFormatting sqref="AE12">
    <cfRule type="colorScale" priority="60">
      <colorScale>
        <cfvo type="num" val="0.69"/>
        <cfvo type="num" val="0.8"/>
        <cfvo type="num" val="0.9"/>
        <color rgb="FFF8696B"/>
        <color rgb="FFFFEB84"/>
        <color rgb="FF63BE7B"/>
      </colorScale>
    </cfRule>
  </conditionalFormatting>
  <conditionalFormatting sqref="AE17:AE24">
    <cfRule type="colorScale" priority="59">
      <colorScale>
        <cfvo type="num" val="0.69"/>
        <cfvo type="num" val="0.8"/>
        <cfvo type="num" val="0.9"/>
        <color rgb="FFF8696B"/>
        <color rgb="FFFFEB84"/>
        <color rgb="FF63BE7B"/>
      </colorScale>
    </cfRule>
  </conditionalFormatting>
  <conditionalFormatting sqref="AK17">
    <cfRule type="colorScale" priority="58">
      <colorScale>
        <cfvo type="num" val="0.69"/>
        <cfvo type="num" val="0.8"/>
        <cfvo type="num" val="0.9"/>
        <color rgb="FFF8696B"/>
        <color rgb="FFFFEB84"/>
        <color rgb="FF63BE7B"/>
      </colorScale>
    </cfRule>
  </conditionalFormatting>
  <conditionalFormatting sqref="BO11:BO12">
    <cfRule type="colorScale" priority="57">
      <colorScale>
        <cfvo type="num" val="0.69"/>
        <cfvo type="num" val="0.8"/>
        <cfvo type="num" val="0.9"/>
        <color rgb="FFF8696B"/>
        <color rgb="FFFFEB84"/>
        <color rgb="FF63BE7B"/>
      </colorScale>
    </cfRule>
  </conditionalFormatting>
  <conditionalFormatting sqref="BP13 BP16">
    <cfRule type="colorScale" priority="56">
      <colorScale>
        <cfvo type="num" val="0.69"/>
        <cfvo type="num" val="0.8"/>
        <cfvo type="num" val="0.9"/>
        <color rgb="FFF8696B"/>
        <color rgb="FFFFEB84"/>
        <color rgb="FF63BE7B"/>
      </colorScale>
    </cfRule>
  </conditionalFormatting>
  <conditionalFormatting sqref="BO17:BO19 BO22:BO24">
    <cfRule type="colorScale" priority="55">
      <colorScale>
        <cfvo type="num" val="0.69"/>
        <cfvo type="num" val="0.8"/>
        <cfvo type="num" val="0.9"/>
        <color rgb="FFF8696B"/>
        <color rgb="FFFFEB84"/>
        <color rgb="FF63BE7B"/>
      </colorScale>
    </cfRule>
  </conditionalFormatting>
  <conditionalFormatting sqref="BO7">
    <cfRule type="colorScale" priority="54">
      <colorScale>
        <cfvo type="num" val="0.69"/>
        <cfvo type="num" val="0.8"/>
        <cfvo type="num" val="0.9"/>
        <color rgb="FFF8696B"/>
        <color rgb="FFFFEB84"/>
        <color rgb="FF63BE7B"/>
      </colorScale>
    </cfRule>
  </conditionalFormatting>
  <conditionalFormatting sqref="BO9">
    <cfRule type="colorScale" priority="53">
      <colorScale>
        <cfvo type="num" val="0.69"/>
        <cfvo type="num" val="0.8"/>
        <cfvo type="num" val="0.9"/>
        <color rgb="FFF8696B"/>
        <color rgb="FFFFEB84"/>
        <color rgb="FF63BE7B"/>
      </colorScale>
    </cfRule>
  </conditionalFormatting>
  <conditionalFormatting sqref="BO8">
    <cfRule type="colorScale" priority="52">
      <colorScale>
        <cfvo type="num" val="0.69"/>
        <cfvo type="num" val="0.8"/>
        <cfvo type="num" val="0.9"/>
        <color rgb="FFF8696B"/>
        <color rgb="FFFFEB84"/>
        <color rgb="FF63BE7B"/>
      </colorScale>
    </cfRule>
  </conditionalFormatting>
  <conditionalFormatting sqref="BO10">
    <cfRule type="colorScale" priority="51">
      <colorScale>
        <cfvo type="num" val="0.69"/>
        <cfvo type="num" val="0.8"/>
        <cfvo type="num" val="0.9"/>
        <color rgb="FFF8696B"/>
        <color rgb="FFFFEB84"/>
        <color rgb="FF63BE7B"/>
      </colorScale>
    </cfRule>
  </conditionalFormatting>
  <conditionalFormatting sqref="BO20">
    <cfRule type="colorScale" priority="50">
      <colorScale>
        <cfvo type="num" val="0.69"/>
        <cfvo type="num" val="0.8"/>
        <cfvo type="num" val="0.9"/>
        <color rgb="FFF8696B"/>
        <color rgb="FFFFEB84"/>
        <color rgb="FF63BE7B"/>
      </colorScale>
    </cfRule>
  </conditionalFormatting>
  <conditionalFormatting sqref="BO21">
    <cfRule type="colorScale" priority="49">
      <colorScale>
        <cfvo type="num" val="0.69"/>
        <cfvo type="num" val="0.8"/>
        <cfvo type="num" val="0.9"/>
        <color rgb="FFF8696B"/>
        <color rgb="FFFFEB84"/>
        <color rgb="FF63BE7B"/>
      </colorScale>
    </cfRule>
  </conditionalFormatting>
  <conditionalFormatting sqref="BU11:BU12">
    <cfRule type="colorScale" priority="48">
      <colorScale>
        <cfvo type="num" val="0.69"/>
        <cfvo type="num" val="0.8"/>
        <cfvo type="num" val="0.9"/>
        <color rgb="FFF8696B"/>
        <color rgb="FFFFEB84"/>
        <color rgb="FF63BE7B"/>
      </colorScale>
    </cfRule>
  </conditionalFormatting>
  <conditionalFormatting sqref="BU13 BU16">
    <cfRule type="colorScale" priority="47">
      <colorScale>
        <cfvo type="num" val="0.69"/>
        <cfvo type="num" val="0.8"/>
        <cfvo type="num" val="0.9"/>
        <color rgb="FFF8696B"/>
        <color rgb="FFFFEB84"/>
        <color rgb="FF63BE7B"/>
      </colorScale>
    </cfRule>
  </conditionalFormatting>
  <conditionalFormatting sqref="BU17:BU24">
    <cfRule type="colorScale" priority="46">
      <colorScale>
        <cfvo type="num" val="0.69"/>
        <cfvo type="num" val="0.8"/>
        <cfvo type="num" val="0.9"/>
        <color rgb="FFF8696B"/>
        <color rgb="FFFFEB84"/>
        <color rgb="FF63BE7B"/>
      </colorScale>
    </cfRule>
  </conditionalFormatting>
  <conditionalFormatting sqref="BU7">
    <cfRule type="colorScale" priority="45">
      <colorScale>
        <cfvo type="num" val="0.69"/>
        <cfvo type="num" val="0.8"/>
        <cfvo type="num" val="0.9"/>
        <color rgb="FFF8696B"/>
        <color rgb="FFFFEB84"/>
        <color rgb="FF63BE7B"/>
      </colorScale>
    </cfRule>
  </conditionalFormatting>
  <conditionalFormatting sqref="BU8:BU9">
    <cfRule type="colorScale" priority="44">
      <colorScale>
        <cfvo type="num" val="0.69"/>
        <cfvo type="num" val="0.8"/>
        <cfvo type="num" val="0.9"/>
        <color rgb="FFF8696B"/>
        <color rgb="FFFFEB84"/>
        <color rgb="FF63BE7B"/>
      </colorScale>
    </cfRule>
  </conditionalFormatting>
  <conditionalFormatting sqref="BU10">
    <cfRule type="colorScale" priority="43">
      <colorScale>
        <cfvo type="num" val="0.69"/>
        <cfvo type="num" val="0.8"/>
        <cfvo type="num" val="0.9"/>
        <color rgb="FFF8696B"/>
        <color rgb="FFFFEB84"/>
        <color rgb="FF63BE7B"/>
      </colorScale>
    </cfRule>
  </conditionalFormatting>
  <conditionalFormatting sqref="CA10">
    <cfRule type="colorScale" priority="37">
      <colorScale>
        <cfvo type="num" val="0.69"/>
        <cfvo type="num" val="0.8"/>
        <cfvo type="num" val="0.9"/>
        <color rgb="FFF8696B"/>
        <color rgb="FFFFEB84"/>
        <color rgb="FF63BE7B"/>
      </colorScale>
    </cfRule>
  </conditionalFormatting>
  <conditionalFormatting sqref="CA11:CA12">
    <cfRule type="colorScale" priority="42">
      <colorScale>
        <cfvo type="num" val="0.69"/>
        <cfvo type="num" val="0.8"/>
        <cfvo type="num" val="0.9"/>
        <color rgb="FFF8696B"/>
        <color rgb="FFFFEB84"/>
        <color rgb="FF63BE7B"/>
      </colorScale>
    </cfRule>
  </conditionalFormatting>
  <conditionalFormatting sqref="CA16 CA13">
    <cfRule type="colorScale" priority="41">
      <colorScale>
        <cfvo type="num" val="0.69"/>
        <cfvo type="num" val="0.8"/>
        <cfvo type="num" val="0.9"/>
        <color rgb="FFF8696B"/>
        <color rgb="FFFFEB84"/>
        <color rgb="FF63BE7B"/>
      </colorScale>
    </cfRule>
  </conditionalFormatting>
  <conditionalFormatting sqref="CA23:CA24 CA20">
    <cfRule type="colorScale" priority="40">
      <colorScale>
        <cfvo type="num" val="0.69"/>
        <cfvo type="num" val="0.8"/>
        <cfvo type="num" val="0.9"/>
        <color rgb="FFF8696B"/>
        <color rgb="FFFFEB84"/>
        <color rgb="FF63BE7B"/>
      </colorScale>
    </cfRule>
  </conditionalFormatting>
  <conditionalFormatting sqref="CA7">
    <cfRule type="colorScale" priority="39">
      <colorScale>
        <cfvo type="num" val="0.69"/>
        <cfvo type="num" val="0.8"/>
        <cfvo type="num" val="0.9"/>
        <color rgb="FFF8696B"/>
        <color rgb="FFFFEB84"/>
        <color rgb="FF63BE7B"/>
      </colorScale>
    </cfRule>
  </conditionalFormatting>
  <conditionalFormatting sqref="CA8:CA9">
    <cfRule type="colorScale" priority="38">
      <colorScale>
        <cfvo type="num" val="0.69"/>
        <cfvo type="num" val="0.8"/>
        <cfvo type="num" val="0.9"/>
        <color rgb="FFF8696B"/>
        <color rgb="FFFFEB84"/>
        <color rgb="FF63BE7B"/>
      </colorScale>
    </cfRule>
  </conditionalFormatting>
  <conditionalFormatting sqref="CY8">
    <cfRule type="colorScale" priority="36">
      <colorScale>
        <cfvo type="num" val="0.69"/>
        <cfvo type="num" val="0.8"/>
        <cfvo type="num" val="0.9"/>
        <color rgb="FFF8696B"/>
        <color rgb="FFFFEB84"/>
        <color rgb="FF63BE7B"/>
      </colorScale>
    </cfRule>
  </conditionalFormatting>
  <conditionalFormatting sqref="CA17">
    <cfRule type="colorScale" priority="35">
      <colorScale>
        <cfvo type="num" val="0.69"/>
        <cfvo type="num" val="0.8"/>
        <cfvo type="num" val="0.9"/>
        <color rgb="FFF8696B"/>
        <color rgb="FFFFEB84"/>
        <color rgb="FF63BE7B"/>
      </colorScale>
    </cfRule>
  </conditionalFormatting>
  <conditionalFormatting sqref="CY17">
    <cfRule type="colorScale" priority="34">
      <colorScale>
        <cfvo type="num" val="0.69"/>
        <cfvo type="num" val="0.8"/>
        <cfvo type="num" val="0.9"/>
        <color rgb="FFF8696B"/>
        <color rgb="FFFFEB84"/>
        <color rgb="FF63BE7B"/>
      </colorScale>
    </cfRule>
  </conditionalFormatting>
  <conditionalFormatting sqref="CA18">
    <cfRule type="colorScale" priority="33">
      <colorScale>
        <cfvo type="num" val="0.69"/>
        <cfvo type="num" val="0.8"/>
        <cfvo type="num" val="0.9"/>
        <color rgb="FFF8696B"/>
        <color rgb="FFFFEB84"/>
        <color rgb="FF63BE7B"/>
      </colorScale>
    </cfRule>
  </conditionalFormatting>
  <conditionalFormatting sqref="CA19">
    <cfRule type="colorScale" priority="32">
      <colorScale>
        <cfvo type="num" val="0.69"/>
        <cfvo type="num" val="0.8"/>
        <cfvo type="num" val="0.9"/>
        <color rgb="FFF8696B"/>
        <color rgb="FFFFEB84"/>
        <color rgb="FF63BE7B"/>
      </colorScale>
    </cfRule>
  </conditionalFormatting>
  <conditionalFormatting sqref="CA21">
    <cfRule type="colorScale" priority="31">
      <colorScale>
        <cfvo type="num" val="0.69"/>
        <cfvo type="num" val="0.8"/>
        <cfvo type="num" val="0.9"/>
        <color rgb="FFF8696B"/>
        <color rgb="FFFFEB84"/>
        <color rgb="FF63BE7B"/>
      </colorScale>
    </cfRule>
  </conditionalFormatting>
  <conditionalFormatting sqref="CA22">
    <cfRule type="colorScale" priority="30">
      <colorScale>
        <cfvo type="num" val="0.69"/>
        <cfvo type="num" val="0.8"/>
        <cfvo type="num" val="0.9"/>
        <color rgb="FFF8696B"/>
        <color rgb="FFFFEB84"/>
        <color rgb="FF63BE7B"/>
      </colorScale>
    </cfRule>
  </conditionalFormatting>
  <conditionalFormatting sqref="CY22">
    <cfRule type="colorScale" priority="27">
      <colorScale>
        <cfvo type="num" val="0.69"/>
        <cfvo type="num" val="0.8"/>
        <cfvo type="num" val="0.9"/>
        <color rgb="FFF8696B"/>
        <color rgb="FFFFEB84"/>
        <color rgb="FF63BE7B"/>
      </colorScale>
    </cfRule>
  </conditionalFormatting>
  <conditionalFormatting sqref="CY19">
    <cfRule type="colorScale" priority="29">
      <colorScale>
        <cfvo type="num" val="0.69"/>
        <cfvo type="num" val="0.8"/>
        <cfvo type="num" val="0.9"/>
        <color rgb="FFF8696B"/>
        <color rgb="FFFFEB84"/>
        <color rgb="FF63BE7B"/>
      </colorScale>
    </cfRule>
  </conditionalFormatting>
  <conditionalFormatting sqref="CY23">
    <cfRule type="colorScale" priority="28">
      <colorScale>
        <cfvo type="num" val="0.69"/>
        <cfvo type="num" val="0.8"/>
        <cfvo type="num" val="0.9"/>
        <color rgb="FFF8696B"/>
        <color rgb="FFFFEB84"/>
        <color rgb="FF63BE7B"/>
      </colorScale>
    </cfRule>
  </conditionalFormatting>
  <conditionalFormatting sqref="CM10">
    <cfRule type="colorScale" priority="26">
      <colorScale>
        <cfvo type="num" val="0.69"/>
        <cfvo type="num" val="0.8"/>
        <cfvo type="num" val="0.9"/>
        <color rgb="FFF8696B"/>
        <color rgb="FFFFEB84"/>
        <color rgb="FF63BE7B"/>
      </colorScale>
    </cfRule>
  </conditionalFormatting>
  <conditionalFormatting sqref="CM21:CM24">
    <cfRule type="colorScale" priority="22">
      <colorScale>
        <cfvo type="num" val="0.69"/>
        <cfvo type="num" val="0.8"/>
        <cfvo type="num" val="0.9"/>
        <color rgb="FFF8696B"/>
        <color rgb="FFFFEB84"/>
        <color rgb="FF63BE7B"/>
      </colorScale>
    </cfRule>
  </conditionalFormatting>
  <conditionalFormatting sqref="CM17">
    <cfRule type="colorScale" priority="25">
      <colorScale>
        <cfvo type="num" val="0.69"/>
        <cfvo type="num" val="0.8"/>
        <cfvo type="num" val="0.9"/>
        <color rgb="FFF8696B"/>
        <color rgb="FFFFEB84"/>
        <color rgb="FF63BE7B"/>
      </colorScale>
    </cfRule>
  </conditionalFormatting>
  <conditionalFormatting sqref="CM18:CM19">
    <cfRule type="colorScale" priority="24">
      <colorScale>
        <cfvo type="num" val="0.69"/>
        <cfvo type="num" val="0.8"/>
        <cfvo type="num" val="0.9"/>
        <color rgb="FFF8696B"/>
        <color rgb="FFFFEB84"/>
        <color rgb="FF63BE7B"/>
      </colorScale>
    </cfRule>
  </conditionalFormatting>
  <conditionalFormatting sqref="CM20">
    <cfRule type="colorScale" priority="23">
      <colorScale>
        <cfvo type="num" val="0.69"/>
        <cfvo type="num" val="0.8"/>
        <cfvo type="num" val="0.9"/>
        <color rgb="FFF8696B"/>
        <color rgb="FFFFEB84"/>
        <color rgb="FF63BE7B"/>
      </colorScale>
    </cfRule>
  </conditionalFormatting>
  <conditionalFormatting sqref="CG11:CG12">
    <cfRule type="colorScale" priority="21">
      <colorScale>
        <cfvo type="num" val="0.69"/>
        <cfvo type="num" val="0.8"/>
        <cfvo type="num" val="0.9"/>
        <color rgb="FFF8696B"/>
        <color rgb="FFFFEB84"/>
        <color rgb="FF63BE7B"/>
      </colorScale>
    </cfRule>
  </conditionalFormatting>
  <conditionalFormatting sqref="CG13 CG16">
    <cfRule type="colorScale" priority="20">
      <colorScale>
        <cfvo type="num" val="0.69"/>
        <cfvo type="num" val="0.8"/>
        <cfvo type="num" val="0.9"/>
        <color rgb="FFF8696B"/>
        <color rgb="FFFFEB84"/>
        <color rgb="FF63BE7B"/>
      </colorScale>
    </cfRule>
  </conditionalFormatting>
  <conditionalFormatting sqref="CG7">
    <cfRule type="colorScale" priority="19">
      <colorScale>
        <cfvo type="num" val="0.69"/>
        <cfvo type="num" val="0.8"/>
        <cfvo type="num" val="0.9"/>
        <color rgb="FFF8696B"/>
        <color rgb="FFFFEB84"/>
        <color rgb="FF63BE7B"/>
      </colorScale>
    </cfRule>
  </conditionalFormatting>
  <conditionalFormatting sqref="CG8:CG9">
    <cfRule type="colorScale" priority="18">
      <colorScale>
        <cfvo type="num" val="0.69"/>
        <cfvo type="num" val="0.8"/>
        <cfvo type="num" val="0.9"/>
        <color rgb="FFF8696B"/>
        <color rgb="FFFFEB84"/>
        <color rgb="FF63BE7B"/>
      </colorScale>
    </cfRule>
  </conditionalFormatting>
  <conditionalFormatting sqref="CG10">
    <cfRule type="colorScale" priority="17">
      <colorScale>
        <cfvo type="num" val="0.69"/>
        <cfvo type="num" val="0.8"/>
        <cfvo type="num" val="0.9"/>
        <color rgb="FFF8696B"/>
        <color rgb="FFFFEB84"/>
        <color rgb="FF63BE7B"/>
      </colorScale>
    </cfRule>
  </conditionalFormatting>
  <conditionalFormatting sqref="CG21:CG24">
    <cfRule type="colorScale" priority="13">
      <colorScale>
        <cfvo type="num" val="0.69"/>
        <cfvo type="num" val="0.8"/>
        <cfvo type="num" val="0.9"/>
        <color rgb="FFF8696B"/>
        <color rgb="FFFFEB84"/>
        <color rgb="FF63BE7B"/>
      </colorScale>
    </cfRule>
  </conditionalFormatting>
  <conditionalFormatting sqref="CG17">
    <cfRule type="colorScale" priority="16">
      <colorScale>
        <cfvo type="num" val="0.69"/>
        <cfvo type="num" val="0.8"/>
        <cfvo type="num" val="0.9"/>
        <color rgb="FFF8696B"/>
        <color rgb="FFFFEB84"/>
        <color rgb="FF63BE7B"/>
      </colorScale>
    </cfRule>
  </conditionalFormatting>
  <conditionalFormatting sqref="CG18:CG19">
    <cfRule type="colorScale" priority="15">
      <colorScale>
        <cfvo type="num" val="0.69"/>
        <cfvo type="num" val="0.8"/>
        <cfvo type="num" val="0.9"/>
        <color rgb="FFF8696B"/>
        <color rgb="FFFFEB84"/>
        <color rgb="FF63BE7B"/>
      </colorScale>
    </cfRule>
  </conditionalFormatting>
  <conditionalFormatting sqref="CG20">
    <cfRule type="colorScale" priority="14">
      <colorScale>
        <cfvo type="num" val="0.69"/>
        <cfvo type="num" val="0.8"/>
        <cfvo type="num" val="0.9"/>
        <color rgb="FFF8696B"/>
        <color rgb="FFFFEB84"/>
        <color rgb="FF63BE7B"/>
      </colorScale>
    </cfRule>
  </conditionalFormatting>
  <conditionalFormatting sqref="CM8">
    <cfRule type="colorScale" priority="12">
      <colorScale>
        <cfvo type="num" val="0.69"/>
        <cfvo type="num" val="0.8"/>
        <cfvo type="num" val="0.9"/>
        <color rgb="FFF8696B"/>
        <color rgb="FFFFEB84"/>
        <color rgb="FF63BE7B"/>
      </colorScale>
    </cfRule>
  </conditionalFormatting>
  <conditionalFormatting sqref="CS10">
    <cfRule type="colorScale" priority="11">
      <colorScale>
        <cfvo type="num" val="0.69"/>
        <cfvo type="num" val="0.8"/>
        <cfvo type="num" val="0.9"/>
        <color rgb="FFF8696B"/>
        <color rgb="FFFFEB84"/>
        <color rgb="FF63BE7B"/>
      </colorScale>
    </cfRule>
  </conditionalFormatting>
  <conditionalFormatting sqref="CS17">
    <cfRule type="colorScale" priority="10">
      <colorScale>
        <cfvo type="num" val="0.69"/>
        <cfvo type="num" val="0.8"/>
        <cfvo type="num" val="0.9"/>
        <color rgb="FFF8696B"/>
        <color rgb="FFFFEB84"/>
        <color rgb="FF63BE7B"/>
      </colorScale>
    </cfRule>
  </conditionalFormatting>
  <conditionalFormatting sqref="CS23">
    <cfRule type="colorScale" priority="9">
      <colorScale>
        <cfvo type="num" val="0.69"/>
        <cfvo type="num" val="0.8"/>
        <cfvo type="num" val="0.9"/>
        <color rgb="FFF8696B"/>
        <color rgb="FFFFEB84"/>
        <color rgb="FF63BE7B"/>
      </colorScale>
    </cfRule>
  </conditionalFormatting>
  <conditionalFormatting sqref="CS22">
    <cfRule type="colorScale" priority="8">
      <colorScale>
        <cfvo type="num" val="0.69"/>
        <cfvo type="num" val="0.8"/>
        <cfvo type="num" val="0.9"/>
        <color rgb="FFF8696B"/>
        <color rgb="FFFFEB84"/>
        <color rgb="FF63BE7B"/>
      </colorScale>
    </cfRule>
  </conditionalFormatting>
  <conditionalFormatting sqref="CS24">
    <cfRule type="colorScale" priority="7">
      <colorScale>
        <cfvo type="num" val="0.69"/>
        <cfvo type="num" val="0.8"/>
        <cfvo type="num" val="0.9"/>
        <color rgb="FFF8696B"/>
        <color rgb="FFFFEB84"/>
        <color rgb="FF63BE7B"/>
      </colorScale>
    </cfRule>
  </conditionalFormatting>
  <conditionalFormatting sqref="CS18">
    <cfRule type="colorScale" priority="6">
      <colorScale>
        <cfvo type="num" val="0.69"/>
        <cfvo type="num" val="0.8"/>
        <cfvo type="num" val="0.9"/>
        <color rgb="FFF8696B"/>
        <color rgb="FFFFEB84"/>
        <color rgb="FF63BE7B"/>
      </colorScale>
    </cfRule>
  </conditionalFormatting>
  <conditionalFormatting sqref="CS18">
    <cfRule type="colorScale" priority="5">
      <colorScale>
        <cfvo type="num" val="0.69"/>
        <cfvo type="num" val="0.8"/>
        <cfvo type="num" val="0.9"/>
        <color rgb="FFF8696B"/>
        <color rgb="FFFFEB84"/>
        <color rgb="FF63BE7B"/>
      </colorScale>
    </cfRule>
  </conditionalFormatting>
  <conditionalFormatting sqref="CY18">
    <cfRule type="colorScale" priority="4">
      <colorScale>
        <cfvo type="num" val="0.69"/>
        <cfvo type="num" val="0.8"/>
        <cfvo type="num" val="0.9"/>
        <color rgb="FFF8696B"/>
        <color rgb="FFFFEB84"/>
        <color rgb="FF63BE7B"/>
      </colorScale>
    </cfRule>
  </conditionalFormatting>
  <conditionalFormatting sqref="CS19">
    <cfRule type="colorScale" priority="3">
      <colorScale>
        <cfvo type="num" val="0.69"/>
        <cfvo type="num" val="0.8"/>
        <cfvo type="num" val="0.9"/>
        <color rgb="FFF8696B"/>
        <color rgb="FFFFEB84"/>
        <color rgb="FF63BE7B"/>
      </colorScale>
    </cfRule>
  </conditionalFormatting>
  <conditionalFormatting sqref="CS19">
    <cfRule type="colorScale" priority="2">
      <colorScale>
        <cfvo type="num" val="0.69"/>
        <cfvo type="num" val="0.8"/>
        <cfvo type="num" val="0.9"/>
        <color rgb="FFF8696B"/>
        <color rgb="FFFFEB84"/>
        <color rgb="FF63BE7B"/>
      </colorScale>
    </cfRule>
  </conditionalFormatting>
  <conditionalFormatting sqref="CS19">
    <cfRule type="colorScale" priority="1">
      <colorScale>
        <cfvo type="num" val="0.69"/>
        <cfvo type="num" val="0.8"/>
        <cfvo type="num" val="0.9"/>
        <color rgb="FFF8696B"/>
        <color rgb="FFFFEB84"/>
        <color rgb="FF63BE7B"/>
      </colorScale>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W28"/>
  <sheetViews>
    <sheetView showGridLines="0" view="pageBreakPreview" zoomScale="70" zoomScaleNormal="100" zoomScaleSheetLayoutView="70" workbookViewId="0">
      <selection activeCell="F8" sqref="F8"/>
    </sheetView>
  </sheetViews>
  <sheetFormatPr baseColWidth="10" defaultRowHeight="11.25"/>
  <cols>
    <col min="1" max="1" width="1.140625" style="2" customWidth="1"/>
    <col min="2" max="2" width="14.140625" style="2" customWidth="1"/>
    <col min="3" max="3" width="11.28515625" style="2" hidden="1" customWidth="1"/>
    <col min="4" max="4" width="16.140625" style="2" customWidth="1"/>
    <col min="5" max="5" width="14.7109375" style="2" customWidth="1"/>
    <col min="6" max="6" width="15" style="2" customWidth="1"/>
    <col min="7" max="7" width="9.28515625" style="2" hidden="1" customWidth="1"/>
    <col min="8" max="8" width="17.140625" style="2" customWidth="1"/>
    <col min="9" max="9" width="11.42578125" style="2" customWidth="1"/>
    <col min="10" max="10" width="10" style="2" hidden="1" customWidth="1"/>
    <col min="11" max="11" width="4.7109375" style="2" customWidth="1"/>
    <col min="12" max="12" width="5.7109375" style="2" bestFit="1" customWidth="1"/>
    <col min="13" max="13" width="4.7109375" style="2" customWidth="1"/>
    <col min="14" max="14" width="5.7109375" style="2" bestFit="1" customWidth="1"/>
    <col min="15" max="15" width="4.7109375" style="2" customWidth="1"/>
    <col min="16" max="18" width="5.7109375" style="2" bestFit="1" customWidth="1"/>
    <col min="19" max="19" width="4.7109375" style="2" customWidth="1"/>
    <col min="20" max="21" width="5.7109375" style="2" bestFit="1" customWidth="1"/>
    <col min="22" max="22" width="6.28515625" style="2" customWidth="1"/>
    <col min="23" max="23" width="9.5703125" style="2" customWidth="1"/>
    <col min="24" max="24" width="11" style="2" hidden="1" customWidth="1"/>
    <col min="25" max="25" width="12.140625" style="2" hidden="1" customWidth="1"/>
    <col min="26" max="27" width="8.140625" style="2" hidden="1" customWidth="1"/>
    <col min="28" max="28" width="11.5703125" style="2" hidden="1" customWidth="1"/>
    <col min="29" max="29" width="55.42578125" style="2" hidden="1" customWidth="1"/>
    <col min="30" max="30" width="11.7109375" style="2" hidden="1" customWidth="1"/>
    <col min="31" max="31" width="14.7109375" style="2" hidden="1" customWidth="1"/>
    <col min="32" max="33" width="8.140625" style="2" hidden="1" customWidth="1"/>
    <col min="34" max="34" width="11.5703125" style="2" hidden="1" customWidth="1"/>
    <col min="35" max="35" width="55.42578125" style="2" hidden="1" customWidth="1"/>
    <col min="36" max="36" width="11.7109375" style="2" hidden="1" customWidth="1"/>
    <col min="37" max="37" width="12.5703125" style="2" hidden="1" customWidth="1"/>
    <col min="38" max="39" width="8.140625" style="2" hidden="1" customWidth="1"/>
    <col min="40" max="40" width="11.5703125" style="2" hidden="1" customWidth="1"/>
    <col min="41" max="41" width="55.42578125" style="2" hidden="1" customWidth="1"/>
    <col min="42" max="43" width="14.7109375" style="2" hidden="1" customWidth="1"/>
    <col min="44" max="45" width="8.140625" style="2" hidden="1" customWidth="1"/>
    <col min="46" max="46" width="11.5703125" style="2" hidden="1" customWidth="1"/>
    <col min="47" max="47" width="55.42578125" style="2" hidden="1" customWidth="1"/>
    <col min="48" max="48" width="14.28515625" style="2" hidden="1" customWidth="1"/>
    <col min="49" max="49" width="13.28515625" style="2" hidden="1" customWidth="1"/>
    <col min="50" max="51" width="8.140625" style="2" hidden="1" customWidth="1"/>
    <col min="52" max="52" width="11.5703125" style="2" hidden="1" customWidth="1"/>
    <col min="53" max="53" width="55.42578125" style="2" hidden="1" customWidth="1"/>
    <col min="54" max="54" width="16.5703125" style="2" hidden="1" customWidth="1"/>
    <col min="55" max="55" width="14.42578125" style="2" hidden="1" customWidth="1"/>
    <col min="56" max="57" width="8.140625" style="2" hidden="1" customWidth="1"/>
    <col min="58" max="58" width="11.5703125" style="2" hidden="1" customWidth="1"/>
    <col min="59" max="59" width="55.42578125" style="2" hidden="1" customWidth="1"/>
    <col min="60" max="60" width="7" style="2" hidden="1" customWidth="1"/>
    <col min="61" max="61" width="9" style="2" hidden="1" customWidth="1"/>
    <col min="62" max="63" width="8.140625" style="2" hidden="1" customWidth="1"/>
    <col min="64" max="64" width="11.5703125" style="2" hidden="1" customWidth="1"/>
    <col min="65" max="65" width="37.42578125" style="2" hidden="1" customWidth="1"/>
    <col min="66" max="66" width="9.28515625" style="2" hidden="1" customWidth="1"/>
    <col min="67" max="67" width="11" style="2" hidden="1" customWidth="1"/>
    <col min="68" max="69" width="8.140625" style="2" hidden="1" customWidth="1"/>
    <col min="70" max="70" width="11.5703125" style="2" hidden="1" customWidth="1"/>
    <col min="71" max="71" width="55.42578125" style="2" hidden="1" customWidth="1"/>
    <col min="72" max="75" width="8" style="2" hidden="1" customWidth="1"/>
    <col min="76" max="76" width="8.85546875" style="2" hidden="1" customWidth="1"/>
    <col min="77" max="77" width="38.28515625" style="2" hidden="1" customWidth="1"/>
    <col min="78" max="78" width="9.28515625" style="2" hidden="1" customWidth="1"/>
    <col min="79" max="79" width="11" style="2" hidden="1" customWidth="1"/>
    <col min="80" max="81" width="8.140625" style="2" hidden="1" customWidth="1"/>
    <col min="82" max="82" width="11.5703125" style="2" hidden="1" customWidth="1"/>
    <col min="83" max="83" width="55.42578125" style="2" hidden="1" customWidth="1"/>
    <col min="84" max="84" width="9.28515625" style="2" hidden="1" customWidth="1"/>
    <col min="85" max="85" width="11" style="2" hidden="1" customWidth="1"/>
    <col min="86" max="87" width="8.140625" style="2" hidden="1" customWidth="1"/>
    <col min="88" max="88" width="11.5703125" style="2" hidden="1" customWidth="1"/>
    <col min="89" max="89" width="55.42578125" style="2" hidden="1" customWidth="1"/>
    <col min="90" max="90" width="9.28515625" style="2" hidden="1" customWidth="1"/>
    <col min="91" max="91" width="11" style="2" hidden="1" customWidth="1"/>
    <col min="92" max="93" width="8.140625" style="2" hidden="1" customWidth="1"/>
    <col min="94" max="94" width="11.5703125" style="2" hidden="1" customWidth="1"/>
    <col min="95" max="95" width="55.42578125" style="2" hidden="1" customWidth="1"/>
    <col min="96" max="96" width="16.5703125" style="2" bestFit="1" customWidth="1"/>
    <col min="97" max="97" width="14" style="2" customWidth="1"/>
    <col min="98" max="98" width="8.140625" style="2" customWidth="1"/>
    <col min="99" max="99" width="9.140625" style="2" customWidth="1"/>
    <col min="100" max="100" width="12.85546875" style="2" customWidth="1"/>
    <col min="101" max="101" width="55.42578125" style="2" customWidth="1"/>
    <col min="102" max="16384" width="11.42578125" style="2"/>
  </cols>
  <sheetData>
    <row r="1" spans="1:101" s="574" customFormat="1" ht="24.75" customHeight="1">
      <c r="A1" s="684"/>
      <c r="B1" s="2293" t="s">
        <v>1331</v>
      </c>
      <c r="C1" s="2293"/>
      <c r="D1" s="2293"/>
      <c r="E1" s="2293"/>
      <c r="F1" s="2293"/>
      <c r="G1" s="2293"/>
      <c r="H1" s="2293"/>
      <c r="I1" s="2293"/>
      <c r="J1" s="2293"/>
      <c r="K1" s="2293"/>
      <c r="L1" s="2293"/>
      <c r="M1" s="2293"/>
      <c r="N1" s="2293"/>
      <c r="O1" s="2294"/>
      <c r="P1" s="2295"/>
      <c r="Q1" s="2295"/>
      <c r="R1" s="2295"/>
      <c r="S1" s="2296"/>
      <c r="T1" s="2296"/>
      <c r="U1" s="2296"/>
      <c r="V1" s="2296"/>
    </row>
    <row r="2" spans="1:101" ht="22.5" customHeight="1">
      <c r="A2" s="2297" t="s">
        <v>1332</v>
      </c>
      <c r="B2" s="2298"/>
      <c r="C2" s="583"/>
      <c r="D2" s="2299" t="s">
        <v>1333</v>
      </c>
      <c r="E2" s="2299"/>
      <c r="F2" s="2299"/>
      <c r="G2" s="2299"/>
      <c r="H2" s="2299"/>
      <c r="I2" s="2299"/>
      <c r="J2" s="2299"/>
      <c r="K2" s="2299"/>
      <c r="L2" s="2299"/>
      <c r="M2" s="2299"/>
      <c r="N2" s="2298"/>
      <c r="O2" s="1979" t="s">
        <v>1334</v>
      </c>
      <c r="P2" s="1979"/>
      <c r="Q2" s="1979"/>
      <c r="R2" s="1979"/>
      <c r="S2" s="2296"/>
      <c r="T2" s="2296"/>
      <c r="U2" s="2296"/>
      <c r="V2" s="2296"/>
    </row>
    <row r="3" spans="1:101" ht="5.25" customHeight="1"/>
    <row r="4" spans="1:101" ht="19.5" customHeight="1">
      <c r="B4" s="686" t="s">
        <v>18</v>
      </c>
      <c r="C4" s="2300" t="s">
        <v>1335</v>
      </c>
      <c r="D4" s="2300"/>
      <c r="E4" s="2300"/>
      <c r="F4" s="2300"/>
      <c r="G4" s="2300"/>
      <c r="H4" s="2300"/>
      <c r="I4" s="2300"/>
      <c r="J4" s="2300"/>
      <c r="K4" s="2300" t="s">
        <v>21</v>
      </c>
      <c r="L4" s="2300"/>
      <c r="M4" s="2300"/>
      <c r="N4" s="2300">
        <v>2014</v>
      </c>
      <c r="O4" s="2300"/>
      <c r="P4" s="2300"/>
      <c r="Q4" s="2300"/>
      <c r="R4" s="2300"/>
      <c r="S4" s="2300"/>
      <c r="T4" s="2300"/>
      <c r="U4" s="2300"/>
      <c r="V4" s="2300"/>
      <c r="W4" s="687"/>
      <c r="X4" s="2301" t="s">
        <v>29</v>
      </c>
      <c r="Y4" s="2301"/>
      <c r="Z4" s="2301"/>
      <c r="AA4" s="2301"/>
      <c r="AB4" s="2301"/>
      <c r="AC4" s="2301"/>
      <c r="AD4" s="2301" t="s">
        <v>29</v>
      </c>
      <c r="AE4" s="2301"/>
      <c r="AF4" s="2301"/>
      <c r="AG4" s="2301"/>
      <c r="AH4" s="2301"/>
      <c r="AI4" s="2301"/>
      <c r="AJ4" s="2301" t="s">
        <v>29</v>
      </c>
      <c r="AK4" s="2301"/>
      <c r="AL4" s="2301"/>
      <c r="AM4" s="2301"/>
      <c r="AN4" s="2301"/>
      <c r="AO4" s="2301"/>
      <c r="AP4" s="2301" t="s">
        <v>29</v>
      </c>
      <c r="AQ4" s="2301"/>
      <c r="AR4" s="2301"/>
      <c r="AS4" s="2301"/>
      <c r="AT4" s="2301"/>
      <c r="AU4" s="2301"/>
      <c r="AV4" s="2301" t="s">
        <v>29</v>
      </c>
      <c r="AW4" s="2301"/>
      <c r="AX4" s="2301"/>
      <c r="AY4" s="2301"/>
      <c r="AZ4" s="2301"/>
      <c r="BA4" s="2301"/>
      <c r="BB4" s="2301" t="s">
        <v>29</v>
      </c>
      <c r="BC4" s="2301"/>
      <c r="BD4" s="2301"/>
      <c r="BE4" s="2301"/>
      <c r="BF4" s="2301"/>
      <c r="BG4" s="2301"/>
      <c r="BH4" s="2301" t="s">
        <v>29</v>
      </c>
      <c r="BI4" s="2301"/>
      <c r="BJ4" s="2301"/>
      <c r="BK4" s="2301"/>
      <c r="BL4" s="2301"/>
      <c r="BM4" s="2301"/>
      <c r="BN4" s="2301" t="s">
        <v>29</v>
      </c>
      <c r="BO4" s="2301"/>
      <c r="BP4" s="2301"/>
      <c r="BQ4" s="2301"/>
      <c r="BR4" s="2301"/>
      <c r="BS4" s="2301"/>
      <c r="BT4" s="2301" t="s">
        <v>29</v>
      </c>
      <c r="BU4" s="2301"/>
      <c r="BV4" s="2301"/>
      <c r="BW4" s="2301"/>
      <c r="BX4" s="2301"/>
      <c r="BY4" s="2301"/>
      <c r="BZ4" s="2301" t="s">
        <v>29</v>
      </c>
      <c r="CA4" s="2301"/>
      <c r="CB4" s="2301"/>
      <c r="CC4" s="2301"/>
      <c r="CD4" s="2301"/>
      <c r="CE4" s="2301"/>
      <c r="CF4" s="2302" t="s">
        <v>29</v>
      </c>
      <c r="CG4" s="2302"/>
      <c r="CH4" s="2302"/>
      <c r="CI4" s="2302"/>
      <c r="CJ4" s="2302"/>
      <c r="CK4" s="2303"/>
      <c r="CL4" s="2304" t="s">
        <v>29</v>
      </c>
      <c r="CM4" s="2302"/>
      <c r="CN4" s="2302"/>
      <c r="CO4" s="2302"/>
      <c r="CP4" s="2302"/>
      <c r="CQ4" s="2303"/>
      <c r="CR4" s="2304" t="s">
        <v>30</v>
      </c>
      <c r="CS4" s="2302"/>
      <c r="CT4" s="2302"/>
      <c r="CU4" s="2302"/>
      <c r="CV4" s="2302"/>
      <c r="CW4" s="2302"/>
    </row>
    <row r="5" spans="1:101" ht="9" customHeight="1">
      <c r="A5" s="679"/>
      <c r="B5" s="687"/>
      <c r="C5" s="688"/>
      <c r="D5" s="687"/>
      <c r="E5" s="687"/>
      <c r="F5" s="687"/>
      <c r="G5" s="687"/>
      <c r="H5" s="687"/>
      <c r="I5" s="687"/>
      <c r="J5" s="687"/>
      <c r="K5" s="687"/>
      <c r="L5" s="687"/>
      <c r="M5" s="687"/>
      <c r="N5" s="687"/>
      <c r="O5" s="687"/>
      <c r="P5" s="687"/>
      <c r="Q5" s="687"/>
      <c r="R5" s="687"/>
      <c r="S5" s="687"/>
      <c r="T5" s="687"/>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c r="AT5" s="687"/>
      <c r="AU5" s="687"/>
      <c r="AV5" s="687"/>
      <c r="AW5" s="687"/>
      <c r="AX5" s="687"/>
      <c r="AY5" s="687"/>
      <c r="AZ5" s="687"/>
      <c r="BA5" s="687"/>
      <c r="BB5" s="687"/>
      <c r="BC5" s="687"/>
      <c r="BD5" s="687"/>
      <c r="BE5" s="687"/>
      <c r="BF5" s="687"/>
      <c r="BG5" s="687"/>
      <c r="BH5" s="687"/>
      <c r="BI5" s="687"/>
      <c r="BJ5" s="687"/>
      <c r="BK5" s="687"/>
      <c r="BL5" s="687"/>
      <c r="BM5" s="687"/>
      <c r="BN5" s="687"/>
      <c r="BO5" s="687"/>
      <c r="BP5" s="687"/>
      <c r="BQ5" s="687"/>
      <c r="BR5" s="687"/>
      <c r="BS5" s="687"/>
      <c r="BT5" s="687"/>
      <c r="BU5" s="687"/>
      <c r="BV5" s="687"/>
      <c r="BW5" s="687"/>
      <c r="BX5" s="687"/>
      <c r="BY5" s="687"/>
      <c r="BZ5" s="687"/>
      <c r="CA5" s="687"/>
      <c r="CB5" s="687"/>
      <c r="CC5" s="687"/>
      <c r="CD5" s="687"/>
      <c r="CE5" s="687"/>
    </row>
    <row r="6" spans="1:10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687"/>
      <c r="X6" s="1986"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2315" t="s">
        <v>47</v>
      </c>
      <c r="CG6" s="1963"/>
      <c r="CH6" s="1963"/>
      <c r="CI6" s="1963"/>
      <c r="CJ6" s="1963"/>
      <c r="CK6" s="1963"/>
      <c r="CL6" s="1986" t="s">
        <v>87</v>
      </c>
      <c r="CM6" s="1987"/>
      <c r="CN6" s="1987"/>
      <c r="CO6" s="1987"/>
      <c r="CP6" s="1987"/>
      <c r="CQ6" s="1987"/>
      <c r="CR6" s="1988" t="s">
        <v>51</v>
      </c>
      <c r="CS6" s="1989"/>
      <c r="CT6" s="1989"/>
      <c r="CU6" s="1989"/>
      <c r="CV6" s="1989"/>
      <c r="CW6" s="1989"/>
    </row>
    <row r="7" spans="1:101" ht="45" customHeight="1">
      <c r="B7" s="1968"/>
      <c r="C7" s="1968"/>
      <c r="D7" s="1968"/>
      <c r="E7" s="1968"/>
      <c r="F7" s="1968"/>
      <c r="G7" s="1968"/>
      <c r="H7" s="2305"/>
      <c r="I7" s="1968"/>
      <c r="J7" s="1968"/>
      <c r="K7" s="689" t="s">
        <v>13</v>
      </c>
      <c r="L7" s="689" t="s">
        <v>0</v>
      </c>
      <c r="M7" s="689" t="s">
        <v>1</v>
      </c>
      <c r="N7" s="689" t="s">
        <v>14</v>
      </c>
      <c r="O7" s="689" t="s">
        <v>2</v>
      </c>
      <c r="P7" s="689" t="s">
        <v>3</v>
      </c>
      <c r="Q7" s="689" t="s">
        <v>4</v>
      </c>
      <c r="R7" s="689" t="s">
        <v>5</v>
      </c>
      <c r="S7" s="689" t="s">
        <v>6</v>
      </c>
      <c r="T7" s="689" t="s">
        <v>7</v>
      </c>
      <c r="U7" s="689" t="s">
        <v>8</v>
      </c>
      <c r="V7" s="689" t="s">
        <v>9</v>
      </c>
      <c r="W7" s="124" t="s">
        <v>65</v>
      </c>
      <c r="X7" s="57" t="s">
        <v>31</v>
      </c>
      <c r="Y7" s="57" t="s">
        <v>32</v>
      </c>
      <c r="Z7" s="57" t="s">
        <v>33</v>
      </c>
      <c r="AA7" s="57" t="s">
        <v>34</v>
      </c>
      <c r="AB7" s="57" t="s">
        <v>35</v>
      </c>
      <c r="AC7" s="57" t="s">
        <v>36</v>
      </c>
      <c r="AD7" s="57" t="s">
        <v>31</v>
      </c>
      <c r="AE7" s="57" t="s">
        <v>32</v>
      </c>
      <c r="AF7" s="57" t="s">
        <v>33</v>
      </c>
      <c r="AG7" s="57" t="s">
        <v>34</v>
      </c>
      <c r="AH7" s="57" t="s">
        <v>35</v>
      </c>
      <c r="AI7" s="57" t="s">
        <v>36</v>
      </c>
      <c r="AJ7" s="57" t="s">
        <v>31</v>
      </c>
      <c r="AK7" s="57" t="s">
        <v>32</v>
      </c>
      <c r="AL7" s="57" t="s">
        <v>33</v>
      </c>
      <c r="AM7" s="57" t="s">
        <v>34</v>
      </c>
      <c r="AN7" s="57" t="s">
        <v>35</v>
      </c>
      <c r="AO7" s="57" t="s">
        <v>36</v>
      </c>
      <c r="AP7" s="57" t="s">
        <v>31</v>
      </c>
      <c r="AQ7" s="57" t="s">
        <v>32</v>
      </c>
      <c r="AR7" s="57" t="s">
        <v>33</v>
      </c>
      <c r="AS7" s="57" t="s">
        <v>34</v>
      </c>
      <c r="AT7" s="57" t="s">
        <v>35</v>
      </c>
      <c r="AU7" s="57" t="s">
        <v>36</v>
      </c>
      <c r="AV7" s="57" t="s">
        <v>31</v>
      </c>
      <c r="AW7" s="57" t="s">
        <v>32</v>
      </c>
      <c r="AX7" s="57" t="s">
        <v>33</v>
      </c>
      <c r="AY7" s="57" t="s">
        <v>34</v>
      </c>
      <c r="AZ7" s="57" t="s">
        <v>35</v>
      </c>
      <c r="BA7" s="57" t="s">
        <v>36</v>
      </c>
      <c r="BB7" s="57" t="s">
        <v>31</v>
      </c>
      <c r="BC7" s="57" t="s">
        <v>32</v>
      </c>
      <c r="BD7" s="57" t="s">
        <v>33</v>
      </c>
      <c r="BE7" s="57" t="s">
        <v>34</v>
      </c>
      <c r="BF7" s="57" t="s">
        <v>35</v>
      </c>
      <c r="BG7" s="57" t="s">
        <v>36</v>
      </c>
      <c r="BH7" s="57" t="s">
        <v>31</v>
      </c>
      <c r="BI7" s="57" t="s">
        <v>32</v>
      </c>
      <c r="BJ7" s="57" t="s">
        <v>33</v>
      </c>
      <c r="BK7" s="57" t="s">
        <v>34</v>
      </c>
      <c r="BL7" s="57" t="s">
        <v>35</v>
      </c>
      <c r="BM7" s="57" t="s">
        <v>36</v>
      </c>
      <c r="BN7" s="57" t="s">
        <v>31</v>
      </c>
      <c r="BO7" s="57" t="s">
        <v>32</v>
      </c>
      <c r="BP7" s="57" t="s">
        <v>33</v>
      </c>
      <c r="BQ7" s="57" t="s">
        <v>34</v>
      </c>
      <c r="BR7" s="57" t="s">
        <v>35</v>
      </c>
      <c r="BS7" s="57" t="s">
        <v>36</v>
      </c>
      <c r="BT7" s="57" t="s">
        <v>31</v>
      </c>
      <c r="BU7" s="57" t="s">
        <v>32</v>
      </c>
      <c r="BV7" s="57" t="s">
        <v>33</v>
      </c>
      <c r="BW7" s="57" t="s">
        <v>34</v>
      </c>
      <c r="BX7" s="57" t="s">
        <v>35</v>
      </c>
      <c r="BY7" s="57" t="s">
        <v>36</v>
      </c>
      <c r="BZ7" s="57" t="s">
        <v>31</v>
      </c>
      <c r="CA7" s="57" t="s">
        <v>32</v>
      </c>
      <c r="CB7" s="57" t="s">
        <v>33</v>
      </c>
      <c r="CC7" s="57" t="s">
        <v>34</v>
      </c>
      <c r="CD7" s="57" t="s">
        <v>35</v>
      </c>
      <c r="CE7" s="57" t="s">
        <v>36</v>
      </c>
      <c r="CF7" s="690" t="s">
        <v>31</v>
      </c>
      <c r="CG7" s="57" t="s">
        <v>32</v>
      </c>
      <c r="CH7" s="57" t="s">
        <v>33</v>
      </c>
      <c r="CI7" s="57" t="s">
        <v>34</v>
      </c>
      <c r="CJ7" s="57" t="s">
        <v>35</v>
      </c>
      <c r="CK7" s="57" t="s">
        <v>36</v>
      </c>
      <c r="CL7" s="57" t="s">
        <v>31</v>
      </c>
      <c r="CM7" s="57" t="s">
        <v>32</v>
      </c>
      <c r="CN7" s="57" t="s">
        <v>33</v>
      </c>
      <c r="CO7" s="57" t="s">
        <v>34</v>
      </c>
      <c r="CP7" s="57" t="s">
        <v>35</v>
      </c>
      <c r="CQ7" s="57" t="s">
        <v>36</v>
      </c>
      <c r="CR7" s="57" t="s">
        <v>31</v>
      </c>
      <c r="CS7" s="57" t="s">
        <v>32</v>
      </c>
      <c r="CT7" s="57" t="s">
        <v>33</v>
      </c>
      <c r="CU7" s="57" t="s">
        <v>34</v>
      </c>
      <c r="CV7" s="57" t="s">
        <v>35</v>
      </c>
      <c r="CW7" s="57" t="s">
        <v>36</v>
      </c>
    </row>
    <row r="8" spans="1:101" ht="140.25" customHeight="1">
      <c r="B8" s="691" t="s">
        <v>1336</v>
      </c>
      <c r="C8" s="691" t="s">
        <v>1337</v>
      </c>
      <c r="D8" s="692" t="s">
        <v>1338</v>
      </c>
      <c r="E8" s="692" t="s">
        <v>1339</v>
      </c>
      <c r="F8" s="691" t="s">
        <v>1340</v>
      </c>
      <c r="G8" s="691" t="s">
        <v>53</v>
      </c>
      <c r="H8" s="692" t="s">
        <v>1341</v>
      </c>
      <c r="I8" s="691" t="s">
        <v>1342</v>
      </c>
      <c r="J8" s="691" t="s">
        <v>345</v>
      </c>
      <c r="K8" s="118">
        <v>1</v>
      </c>
      <c r="L8" s="118">
        <v>1</v>
      </c>
      <c r="M8" s="118">
        <v>1</v>
      </c>
      <c r="N8" s="118">
        <v>1</v>
      </c>
      <c r="O8" s="118">
        <v>1</v>
      </c>
      <c r="P8" s="693">
        <v>1</v>
      </c>
      <c r="Q8" s="693">
        <v>1</v>
      </c>
      <c r="R8" s="693">
        <v>1</v>
      </c>
      <c r="S8" s="693">
        <v>1</v>
      </c>
      <c r="T8" s="693">
        <v>1</v>
      </c>
      <c r="U8" s="693">
        <v>1</v>
      </c>
      <c r="V8" s="693">
        <v>1</v>
      </c>
      <c r="W8" s="9" t="s">
        <v>1343</v>
      </c>
      <c r="X8" s="21">
        <v>536</v>
      </c>
      <c r="Y8" s="21">
        <v>549</v>
      </c>
      <c r="Z8" s="694">
        <f>IF(Y8=0," ",X8/Y8)</f>
        <v>0.97632058287795997</v>
      </c>
      <c r="AA8" s="58">
        <v>1</v>
      </c>
      <c r="AB8" s="24">
        <f>IF(Y8=0," ",Z8/AA8)</f>
        <v>0.97632058287795997</v>
      </c>
      <c r="AC8" s="695" t="s">
        <v>1344</v>
      </c>
      <c r="AD8" s="21">
        <v>94</v>
      </c>
      <c r="AE8" s="21">
        <v>96</v>
      </c>
      <c r="AF8" s="694">
        <f>IF(AE8=0," ",AD8/AE8)</f>
        <v>0.97916666666666663</v>
      </c>
      <c r="AG8" s="58">
        <v>1</v>
      </c>
      <c r="AH8" s="24">
        <f>IF(AE8=0," ",AF8/AG8)</f>
        <v>0.97916666666666663</v>
      </c>
      <c r="AI8" s="695" t="s">
        <v>1344</v>
      </c>
      <c r="AJ8" s="21">
        <v>76</v>
      </c>
      <c r="AK8" s="21">
        <v>76</v>
      </c>
      <c r="AL8" s="694">
        <f>IF(AK8=0," ",AJ8/AK8)</f>
        <v>1</v>
      </c>
      <c r="AM8" s="58">
        <v>1</v>
      </c>
      <c r="AN8" s="24">
        <f>IF(AK8=0," ",AL8/AM8)</f>
        <v>1</v>
      </c>
      <c r="AO8" s="695" t="s">
        <v>1344</v>
      </c>
      <c r="AP8" s="21">
        <v>731</v>
      </c>
      <c r="AQ8" s="21">
        <v>1008</v>
      </c>
      <c r="AR8" s="694">
        <f>IF(AQ8=0," ",AP8/AQ8)</f>
        <v>0.72519841269841268</v>
      </c>
      <c r="AS8" s="58">
        <v>1</v>
      </c>
      <c r="AT8" s="24">
        <f>IF(AQ8=0," ",AR8/AS8)</f>
        <v>0.72519841269841268</v>
      </c>
      <c r="AU8" s="695" t="s">
        <v>1345</v>
      </c>
      <c r="AV8" s="21">
        <v>113</v>
      </c>
      <c r="AW8" s="21">
        <v>113</v>
      </c>
      <c r="AX8" s="694">
        <f>IF(AW8=0," ",AV8/AW8)</f>
        <v>1</v>
      </c>
      <c r="AY8" s="58">
        <v>1</v>
      </c>
      <c r="AZ8" s="24">
        <f>IF(AW8=0," ",AX8/AY8)</f>
        <v>1</v>
      </c>
      <c r="BA8" s="25" t="s">
        <v>1346</v>
      </c>
      <c r="BB8" s="21">
        <v>92</v>
      </c>
      <c r="BC8" s="21">
        <v>94</v>
      </c>
      <c r="BD8" s="694">
        <f>IF(BC8=0," ",BB8/BC8)</f>
        <v>0.97872340425531912</v>
      </c>
      <c r="BE8" s="58">
        <v>1</v>
      </c>
      <c r="BF8" s="24">
        <f>IF(BC8=0," ",BD8/BE8)</f>
        <v>0.97872340425531912</v>
      </c>
      <c r="BG8" s="25" t="s">
        <v>1347</v>
      </c>
      <c r="BH8" s="21">
        <v>356</v>
      </c>
      <c r="BI8" s="21">
        <v>356</v>
      </c>
      <c r="BJ8" s="694">
        <f>IF(BI8=0," ",BH8/BI8)</f>
        <v>1</v>
      </c>
      <c r="BK8" s="58">
        <v>1</v>
      </c>
      <c r="BL8" s="24">
        <f>IF(BI8=0," ",BJ8/BK8)</f>
        <v>1</v>
      </c>
      <c r="BM8" s="25" t="s">
        <v>1348</v>
      </c>
      <c r="BN8" s="21">
        <v>468</v>
      </c>
      <c r="BO8" s="21">
        <v>476</v>
      </c>
      <c r="BP8" s="694">
        <f>IF(BO8=0," ",BN8/BO8)</f>
        <v>0.98319327731092432</v>
      </c>
      <c r="BQ8" s="58">
        <v>1</v>
      </c>
      <c r="BR8" s="24">
        <f>IF(BO8=0," ",BP8/BQ8)</f>
        <v>0.98319327731092432</v>
      </c>
      <c r="BS8" s="695" t="s">
        <v>1349</v>
      </c>
      <c r="BT8" s="21">
        <v>454</v>
      </c>
      <c r="BU8" s="21">
        <v>471</v>
      </c>
      <c r="BV8" s="694">
        <f>IF(BU8=0," ",BT8/BU8)</f>
        <v>0.96390658174097665</v>
      </c>
      <c r="BW8" s="58">
        <v>1</v>
      </c>
      <c r="BX8" s="24">
        <f>IF(BU8=0," ",BV8/BW8)</f>
        <v>0.96390658174097665</v>
      </c>
      <c r="BY8" s="695" t="s">
        <v>1350</v>
      </c>
      <c r="BZ8" s="21">
        <v>409</v>
      </c>
      <c r="CA8" s="21">
        <v>413</v>
      </c>
      <c r="CB8" s="694">
        <f>IF(CA8=0," ",BZ8/CA8)</f>
        <v>0.99031476997578693</v>
      </c>
      <c r="CC8" s="58">
        <v>1</v>
      </c>
      <c r="CD8" s="24">
        <f>IF(CA8=0," ",CB8/CC8)</f>
        <v>0.99031476997578693</v>
      </c>
      <c r="CE8" s="695" t="s">
        <v>1351</v>
      </c>
      <c r="CF8" s="26">
        <v>777</v>
      </c>
      <c r="CG8" s="21">
        <v>778</v>
      </c>
      <c r="CH8" s="694">
        <f>IF(CG8=0," ",CF8/CG8)</f>
        <v>0.99871465295629824</v>
      </c>
      <c r="CI8" s="58">
        <v>1</v>
      </c>
      <c r="CJ8" s="694">
        <f>IF(CG8=0," ",CH8/CI8)</f>
        <v>0.99871465295629824</v>
      </c>
      <c r="CK8" s="695" t="s">
        <v>1352</v>
      </c>
      <c r="CL8" s="21">
        <v>182</v>
      </c>
      <c r="CM8" s="21">
        <v>182</v>
      </c>
      <c r="CN8" s="694">
        <f>IF(CM8=0," ",CL8/CM8)</f>
        <v>1</v>
      </c>
      <c r="CO8" s="58">
        <v>1</v>
      </c>
      <c r="CP8" s="24">
        <f>IF(CM8=0," ",CN8/CO8)</f>
        <v>1</v>
      </c>
      <c r="CQ8" s="695" t="s">
        <v>1353</v>
      </c>
      <c r="CR8" s="696">
        <f>CL8+CF8+BZ8+BT8+BN8+BH8+BB8+AV8+AP8+AJ8+AD8+X8</f>
        <v>4288</v>
      </c>
      <c r="CS8" s="696">
        <f>CM8+CG8+CA8+BU8+BO8+BI8+BC8+AW8+AQ8+AK8+AE8+Y8</f>
        <v>4612</v>
      </c>
      <c r="CT8" s="694">
        <f>IF(CS8=0," ",CR8/CS8)</f>
        <v>0.92974848222029494</v>
      </c>
      <c r="CU8" s="58">
        <v>1</v>
      </c>
      <c r="CV8" s="24">
        <f>IF(CS8=0," ",CT8/CU8)</f>
        <v>0.92974848222029494</v>
      </c>
      <c r="CW8" s="25" t="s">
        <v>1354</v>
      </c>
    </row>
    <row r="9" spans="1:101" ht="287.25" customHeight="1">
      <c r="B9" s="691" t="s">
        <v>1355</v>
      </c>
      <c r="C9" s="691" t="s">
        <v>1337</v>
      </c>
      <c r="D9" s="692" t="s">
        <v>1356</v>
      </c>
      <c r="E9" s="692" t="s">
        <v>1357</v>
      </c>
      <c r="F9" s="691" t="s">
        <v>1358</v>
      </c>
      <c r="G9" s="691" t="s">
        <v>98</v>
      </c>
      <c r="H9" s="692" t="s">
        <v>1359</v>
      </c>
      <c r="I9" s="691" t="s">
        <v>1360</v>
      </c>
      <c r="J9" s="691" t="s">
        <v>345</v>
      </c>
      <c r="K9" s="118">
        <v>0.9</v>
      </c>
      <c r="L9" s="118">
        <v>0.9</v>
      </c>
      <c r="M9" s="118">
        <v>0.9</v>
      </c>
      <c r="N9" s="118">
        <v>0.9</v>
      </c>
      <c r="O9" s="118">
        <v>0.9</v>
      </c>
      <c r="P9" s="693">
        <v>0.9</v>
      </c>
      <c r="Q9" s="693">
        <v>0.9</v>
      </c>
      <c r="R9" s="693">
        <v>0.9</v>
      </c>
      <c r="S9" s="693">
        <v>0.9</v>
      </c>
      <c r="T9" s="693">
        <v>0.9</v>
      </c>
      <c r="U9" s="693">
        <v>0.9</v>
      </c>
      <c r="V9" s="693">
        <v>0.9</v>
      </c>
      <c r="W9" s="9" t="s">
        <v>1361</v>
      </c>
      <c r="X9" s="21">
        <v>307</v>
      </c>
      <c r="Y9" s="21">
        <v>309</v>
      </c>
      <c r="Z9" s="694">
        <f>IF(Y9=0," ",X9/Y9)</f>
        <v>0.99352750809061485</v>
      </c>
      <c r="AA9" s="58">
        <v>0.9</v>
      </c>
      <c r="AB9" s="24">
        <f>IF(Y9=0," ",Z9/AA9)</f>
        <v>1.1039194534340164</v>
      </c>
      <c r="AC9" s="695" t="s">
        <v>1362</v>
      </c>
      <c r="AD9" s="21">
        <v>17</v>
      </c>
      <c r="AE9" s="21">
        <v>20</v>
      </c>
      <c r="AF9" s="694">
        <f>IF(AE9=0," ",AD9/AE9)</f>
        <v>0.85</v>
      </c>
      <c r="AG9" s="58">
        <v>0.9</v>
      </c>
      <c r="AH9" s="24">
        <f>IF(AE9=0," ",AF9/AG9)</f>
        <v>0.94444444444444442</v>
      </c>
      <c r="AI9" s="695" t="s">
        <v>1363</v>
      </c>
      <c r="AJ9" s="21">
        <v>31</v>
      </c>
      <c r="AK9" s="21">
        <v>41</v>
      </c>
      <c r="AL9" s="694">
        <f>IF(AK9=0," ",AJ9/AK9)</f>
        <v>0.75609756097560976</v>
      </c>
      <c r="AM9" s="58">
        <v>0.9</v>
      </c>
      <c r="AN9" s="24">
        <f>IF(AK9=0," ",AL9/AM9)</f>
        <v>0.84010840108401086</v>
      </c>
      <c r="AO9" s="695" t="s">
        <v>1364</v>
      </c>
      <c r="AP9" s="21">
        <v>970</v>
      </c>
      <c r="AQ9" s="21">
        <v>981</v>
      </c>
      <c r="AR9" s="694">
        <f>IF(AQ9=0," ",AP9/AQ9)</f>
        <v>0.98878695208970435</v>
      </c>
      <c r="AS9" s="58">
        <v>0.9</v>
      </c>
      <c r="AT9" s="24">
        <f>IF(AQ9=0," ",AR9/AS9)</f>
        <v>1.0986521689885604</v>
      </c>
      <c r="AU9" s="697" t="s">
        <v>1365</v>
      </c>
      <c r="AV9" s="21">
        <v>30</v>
      </c>
      <c r="AW9" s="21">
        <v>33</v>
      </c>
      <c r="AX9" s="694">
        <f>IF(AW9=0," ",AV9/AW9)</f>
        <v>0.90909090909090906</v>
      </c>
      <c r="AY9" s="58">
        <v>0.9</v>
      </c>
      <c r="AZ9" s="24">
        <f>IF(AW9=0," ",AX9/AY9)</f>
        <v>1.0101010101010099</v>
      </c>
      <c r="BA9" s="698" t="s">
        <v>1366</v>
      </c>
      <c r="BB9" s="21">
        <v>29</v>
      </c>
      <c r="BC9" s="21">
        <v>30</v>
      </c>
      <c r="BD9" s="694">
        <f>IF(BC9=0," ",BB9/BC9)</f>
        <v>0.96666666666666667</v>
      </c>
      <c r="BE9" s="58">
        <v>0.9</v>
      </c>
      <c r="BF9" s="24">
        <f>IF(BC9=0," ",BD9/BE9)</f>
        <v>1.074074074074074</v>
      </c>
      <c r="BG9" s="698" t="s">
        <v>1367</v>
      </c>
      <c r="BH9" s="21">
        <v>299</v>
      </c>
      <c r="BI9" s="21">
        <v>307</v>
      </c>
      <c r="BJ9" s="694">
        <f>IF(BI9=0," ",BH9/BI9)</f>
        <v>0.97394136807817588</v>
      </c>
      <c r="BK9" s="58">
        <v>0.9</v>
      </c>
      <c r="BL9" s="24">
        <f>IF(BI9=0," ",BJ9/BK9)</f>
        <v>1.0821570756424177</v>
      </c>
      <c r="BM9" s="101" t="s">
        <v>1368</v>
      </c>
      <c r="BN9" s="21">
        <v>459</v>
      </c>
      <c r="BO9" s="21">
        <v>468</v>
      </c>
      <c r="BP9" s="694">
        <f>IF(BO9=0," ",BN9/BO9)</f>
        <v>0.98076923076923073</v>
      </c>
      <c r="BQ9" s="58">
        <v>0.9</v>
      </c>
      <c r="BR9" s="24">
        <f>IF(BO9=0," ",BP9/BQ9)</f>
        <v>1.0897435897435896</v>
      </c>
      <c r="BS9" s="25" t="s">
        <v>1369</v>
      </c>
      <c r="BT9" s="21">
        <v>478</v>
      </c>
      <c r="BU9" s="21">
        <f>97+438</f>
        <v>535</v>
      </c>
      <c r="BV9" s="694">
        <f>IF(BU9=0," ",BT9/BU9)</f>
        <v>0.8934579439252337</v>
      </c>
      <c r="BW9" s="58">
        <v>0.9</v>
      </c>
      <c r="BX9" s="24">
        <f>IF(BU9=0," ",BV9/BW9)</f>
        <v>0.9927310488058152</v>
      </c>
      <c r="BY9" s="25" t="s">
        <v>1370</v>
      </c>
      <c r="BZ9" s="68">
        <f>249+56</f>
        <v>305</v>
      </c>
      <c r="CA9" s="21">
        <f>250+83</f>
        <v>333</v>
      </c>
      <c r="CB9" s="694">
        <f>IF(CA9=0," ",BZ9/CA9)</f>
        <v>0.91591591591591592</v>
      </c>
      <c r="CC9" s="58">
        <v>0.9</v>
      </c>
      <c r="CD9" s="24">
        <f>IF(CA9=0," ",CB9/CC9)</f>
        <v>1.0176843510176843</v>
      </c>
      <c r="CE9" s="25" t="s">
        <v>1371</v>
      </c>
      <c r="CF9" s="26">
        <v>48</v>
      </c>
      <c r="CG9" s="21">
        <v>57</v>
      </c>
      <c r="CH9" s="694">
        <f>IF(CG9=0," ",CF9/CG9)</f>
        <v>0.84210526315789469</v>
      </c>
      <c r="CI9" s="58">
        <v>0.9</v>
      </c>
      <c r="CJ9" s="694">
        <f>IF(CG9=0," ",CH9/CI9)</f>
        <v>0.93567251461988299</v>
      </c>
      <c r="CK9" s="25" t="s">
        <v>1372</v>
      </c>
      <c r="CL9" s="21">
        <v>383</v>
      </c>
      <c r="CM9" s="21">
        <v>417</v>
      </c>
      <c r="CN9" s="694">
        <f>IF(CM9=0," ",CL9/CM9)</f>
        <v>0.91846522781774576</v>
      </c>
      <c r="CO9" s="58">
        <v>0.9</v>
      </c>
      <c r="CP9" s="24">
        <f>IF(CM9=0," ",CN9/CO9)</f>
        <v>1.0205169197974953</v>
      </c>
      <c r="CQ9" s="25" t="s">
        <v>1373</v>
      </c>
      <c r="CR9" s="696">
        <f t="shared" ref="CR9:CS18" si="0">CL9+CF9+BZ9+BT9+BN9+BH9+BB9+AV9+AP9+AJ9+AD9+X9</f>
        <v>3356</v>
      </c>
      <c r="CS9" s="696">
        <f t="shared" si="0"/>
        <v>3531</v>
      </c>
      <c r="CT9" s="694">
        <f>IF(CS9=0," ",CR9/CS9)</f>
        <v>0.95043896913055792</v>
      </c>
      <c r="CU9" s="58">
        <v>0.9</v>
      </c>
      <c r="CV9" s="24">
        <f>IF(CS9=0," ",CT9/CU9)</f>
        <v>1.0560432990339532</v>
      </c>
      <c r="CW9" s="25" t="s">
        <v>1374</v>
      </c>
    </row>
    <row r="10" spans="1:101" ht="151.5" customHeight="1">
      <c r="B10" s="691" t="s">
        <v>1355</v>
      </c>
      <c r="C10" s="691" t="s">
        <v>1337</v>
      </c>
      <c r="D10" s="692" t="s">
        <v>1375</v>
      </c>
      <c r="E10" s="692" t="s">
        <v>1376</v>
      </c>
      <c r="F10" s="691" t="s">
        <v>1377</v>
      </c>
      <c r="G10" s="691" t="s">
        <v>98</v>
      </c>
      <c r="H10" s="692" t="s">
        <v>1378</v>
      </c>
      <c r="I10" s="691" t="s">
        <v>1379</v>
      </c>
      <c r="J10" s="691" t="s">
        <v>345</v>
      </c>
      <c r="K10" s="118">
        <v>1</v>
      </c>
      <c r="L10" s="118">
        <v>1</v>
      </c>
      <c r="M10" s="118">
        <v>1</v>
      </c>
      <c r="N10" s="118">
        <v>1</v>
      </c>
      <c r="O10" s="118">
        <v>1</v>
      </c>
      <c r="P10" s="693">
        <v>1</v>
      </c>
      <c r="Q10" s="693">
        <v>1</v>
      </c>
      <c r="R10" s="693">
        <v>1</v>
      </c>
      <c r="S10" s="693">
        <v>1</v>
      </c>
      <c r="T10" s="693">
        <v>1</v>
      </c>
      <c r="U10" s="693">
        <v>1</v>
      </c>
      <c r="V10" s="693">
        <v>1</v>
      </c>
      <c r="W10" s="9" t="s">
        <v>1380</v>
      </c>
      <c r="X10" s="68">
        <v>0</v>
      </c>
      <c r="Y10" s="68">
        <v>0</v>
      </c>
      <c r="Z10" s="99" t="str">
        <f>IF(Y10=0," ",X10/Y10)</f>
        <v xml:space="preserve"> </v>
      </c>
      <c r="AA10" s="58">
        <v>1</v>
      </c>
      <c r="AB10" s="58" t="str">
        <f>IF(Y10=0," ",Z10/AA10)</f>
        <v xml:space="preserve"> </v>
      </c>
      <c r="AC10" s="695" t="s">
        <v>1381</v>
      </c>
      <c r="AD10" s="68">
        <v>5</v>
      </c>
      <c r="AE10" s="68">
        <v>5</v>
      </c>
      <c r="AF10" s="99">
        <f>IF(AE10=0," ",AD10/AE10)</f>
        <v>1</v>
      </c>
      <c r="AG10" s="58">
        <v>1</v>
      </c>
      <c r="AH10" s="58">
        <f>IF(AE10=0," ",AF10/AG10)</f>
        <v>1</v>
      </c>
      <c r="AI10" s="695" t="s">
        <v>1382</v>
      </c>
      <c r="AJ10" s="68">
        <v>1</v>
      </c>
      <c r="AK10" s="68">
        <v>1</v>
      </c>
      <c r="AL10" s="99">
        <f>IF(AK10=0," ",AJ10/AK10)</f>
        <v>1</v>
      </c>
      <c r="AM10" s="58">
        <v>1</v>
      </c>
      <c r="AN10" s="58">
        <f>IF(AK10=0," ",AL10/AM10)</f>
        <v>1</v>
      </c>
      <c r="AO10" s="695" t="s">
        <v>1383</v>
      </c>
      <c r="AP10" s="68">
        <v>3</v>
      </c>
      <c r="AQ10" s="68">
        <v>3</v>
      </c>
      <c r="AR10" s="99">
        <f>IF(AQ10=0," ",AP10/AQ10)</f>
        <v>1</v>
      </c>
      <c r="AS10" s="58">
        <v>1</v>
      </c>
      <c r="AT10" s="58">
        <f>IF(AQ10=0," ",AR10/AS10)</f>
        <v>1</v>
      </c>
      <c r="AU10" s="695" t="s">
        <v>1384</v>
      </c>
      <c r="AV10" s="21">
        <v>6</v>
      </c>
      <c r="AW10" s="21">
        <v>6</v>
      </c>
      <c r="AX10" s="694">
        <f>IF(AW10=0," ",AV10/AW10)</f>
        <v>1</v>
      </c>
      <c r="AY10" s="58">
        <v>1</v>
      </c>
      <c r="AZ10" s="24">
        <f>IF(AW10=0," ",AX10/AY10)</f>
        <v>1</v>
      </c>
      <c r="BA10" s="695" t="s">
        <v>1385</v>
      </c>
      <c r="BB10" s="21">
        <v>7</v>
      </c>
      <c r="BC10" s="21">
        <v>7</v>
      </c>
      <c r="BD10" s="694">
        <f>IF(BC10=0," ",BB10/BC10)</f>
        <v>1</v>
      </c>
      <c r="BE10" s="58">
        <v>1</v>
      </c>
      <c r="BF10" s="24">
        <f>IF(BC10=0," ",BD10/BE10)</f>
        <v>1</v>
      </c>
      <c r="BG10" s="695" t="s">
        <v>1386</v>
      </c>
      <c r="BH10" s="21">
        <v>1</v>
      </c>
      <c r="BI10" s="21">
        <v>1</v>
      </c>
      <c r="BJ10" s="694">
        <f>IF(BI10=0," ",BH10/BI10)</f>
        <v>1</v>
      </c>
      <c r="BK10" s="58">
        <v>1</v>
      </c>
      <c r="BL10" s="24">
        <f>IF(BI10=0," ",BJ10/BK10)</f>
        <v>1</v>
      </c>
      <c r="BM10" s="25" t="s">
        <v>1387</v>
      </c>
      <c r="BN10" s="21">
        <v>1</v>
      </c>
      <c r="BO10" s="21">
        <v>1</v>
      </c>
      <c r="BP10" s="694">
        <f>IF(BO10=0," ",BN10/BO10)</f>
        <v>1</v>
      </c>
      <c r="BQ10" s="58">
        <v>1</v>
      </c>
      <c r="BR10" s="24">
        <f>IF(BO10=0," ",BP10/BQ10)</f>
        <v>1</v>
      </c>
      <c r="BS10" s="25" t="s">
        <v>1388</v>
      </c>
      <c r="BT10" s="21">
        <v>6</v>
      </c>
      <c r="BU10" s="21">
        <v>7</v>
      </c>
      <c r="BV10" s="694">
        <f>IF(BU10=0," ",BT10/BU10)</f>
        <v>0.8571428571428571</v>
      </c>
      <c r="BW10" s="58">
        <v>1</v>
      </c>
      <c r="BX10" s="24">
        <f>IF(BU10=0," ",BV10/BW10)</f>
        <v>0.8571428571428571</v>
      </c>
      <c r="BY10" s="25" t="s">
        <v>1389</v>
      </c>
      <c r="BZ10" s="21">
        <v>2</v>
      </c>
      <c r="CA10" s="21">
        <v>2</v>
      </c>
      <c r="CB10" s="694">
        <f>IF(CA10=0," ",BZ10/CA10)</f>
        <v>1</v>
      </c>
      <c r="CC10" s="58">
        <v>1</v>
      </c>
      <c r="CD10" s="24">
        <f>IF(CA10=0," ",CB10/CC10)</f>
        <v>1</v>
      </c>
      <c r="CE10" s="695" t="s">
        <v>1390</v>
      </c>
      <c r="CF10" s="26">
        <v>4</v>
      </c>
      <c r="CG10" s="21">
        <v>4</v>
      </c>
      <c r="CH10" s="694">
        <f>IF(CG10=0," ",CF10/CG10)</f>
        <v>1</v>
      </c>
      <c r="CI10" s="58">
        <v>1</v>
      </c>
      <c r="CJ10" s="694">
        <f>IF(CG10=0," ",CH10/CI10)</f>
        <v>1</v>
      </c>
      <c r="CK10" s="695" t="s">
        <v>1391</v>
      </c>
      <c r="CL10" s="21">
        <v>0</v>
      </c>
      <c r="CM10" s="21">
        <v>0</v>
      </c>
      <c r="CN10" s="694"/>
      <c r="CO10" s="58"/>
      <c r="CP10" s="24"/>
      <c r="CQ10" s="25" t="s">
        <v>1392</v>
      </c>
      <c r="CR10" s="696">
        <f t="shared" si="0"/>
        <v>36</v>
      </c>
      <c r="CS10" s="696">
        <f t="shared" si="0"/>
        <v>37</v>
      </c>
      <c r="CT10" s="694">
        <f>IF(CS10=0," ",CR10/CS10)</f>
        <v>0.97297297297297303</v>
      </c>
      <c r="CU10" s="58">
        <v>1</v>
      </c>
      <c r="CV10" s="24">
        <f>IF(CS10=0," ",CT10/CU10)</f>
        <v>0.97297297297297303</v>
      </c>
      <c r="CW10" s="25" t="s">
        <v>1393</v>
      </c>
    </row>
    <row r="11" spans="1:101" ht="315" customHeight="1">
      <c r="B11" s="691" t="s">
        <v>1355</v>
      </c>
      <c r="C11" s="691" t="s">
        <v>1337</v>
      </c>
      <c r="D11" s="692" t="s">
        <v>1394</v>
      </c>
      <c r="E11" s="692" t="s">
        <v>1395</v>
      </c>
      <c r="F11" s="691" t="s">
        <v>1396</v>
      </c>
      <c r="G11" s="691" t="s">
        <v>98</v>
      </c>
      <c r="H11" s="692" t="s">
        <v>1397</v>
      </c>
      <c r="I11" s="691" t="s">
        <v>1398</v>
      </c>
      <c r="J11" s="691" t="s">
        <v>1399</v>
      </c>
      <c r="K11" s="118">
        <v>0.03</v>
      </c>
      <c r="L11" s="118">
        <v>0.06</v>
      </c>
      <c r="M11" s="118">
        <v>0.11</v>
      </c>
      <c r="N11" s="118">
        <v>0.13</v>
      </c>
      <c r="O11" s="118">
        <v>0.08</v>
      </c>
      <c r="P11" s="693">
        <v>0.13</v>
      </c>
      <c r="Q11" s="693">
        <v>0.09</v>
      </c>
      <c r="R11" s="693">
        <v>7.0000000000000007E-2</v>
      </c>
      <c r="S11" s="693">
        <v>0.17</v>
      </c>
      <c r="T11" s="693">
        <v>0.13</v>
      </c>
      <c r="U11" s="693">
        <v>0</v>
      </c>
      <c r="V11" s="693">
        <v>0</v>
      </c>
      <c r="W11" s="9" t="s">
        <v>1400</v>
      </c>
      <c r="X11" s="68">
        <v>4</v>
      </c>
      <c r="Y11" s="68">
        <v>123</v>
      </c>
      <c r="Z11" s="699">
        <f>X11/Y11</f>
        <v>3.2520325203252036E-2</v>
      </c>
      <c r="AA11" s="700">
        <v>0.03</v>
      </c>
      <c r="AB11" s="58">
        <f>Z11/AA11</f>
        <v>1.0840108401084012</v>
      </c>
      <c r="AC11" s="101" t="s">
        <v>1401</v>
      </c>
      <c r="AD11" s="68">
        <v>7</v>
      </c>
      <c r="AE11" s="68">
        <v>123</v>
      </c>
      <c r="AF11" s="99">
        <f>AD11/AE11</f>
        <v>5.6910569105691054E-2</v>
      </c>
      <c r="AG11" s="58">
        <v>0.06</v>
      </c>
      <c r="AH11" s="58">
        <f>AF11/AG11</f>
        <v>0.94850948509485089</v>
      </c>
      <c r="AI11" s="101" t="s">
        <v>1402</v>
      </c>
      <c r="AJ11" s="68">
        <v>13</v>
      </c>
      <c r="AK11" s="68">
        <v>123</v>
      </c>
      <c r="AL11" s="99">
        <f>AJ11/AK11</f>
        <v>0.10569105691056911</v>
      </c>
      <c r="AM11" s="58">
        <v>0.11</v>
      </c>
      <c r="AN11" s="58">
        <f>AL11/AM11</f>
        <v>0.96082779009608288</v>
      </c>
      <c r="AO11" s="101" t="s">
        <v>1403</v>
      </c>
      <c r="AP11" s="68">
        <v>15</v>
      </c>
      <c r="AQ11" s="68">
        <v>123</v>
      </c>
      <c r="AR11" s="99">
        <f>AP11/AQ11</f>
        <v>0.12195121951219512</v>
      </c>
      <c r="AS11" s="58">
        <v>0.13</v>
      </c>
      <c r="AT11" s="58">
        <f>IF(AQ11=0," ",AR11/AS11)</f>
        <v>0.9380863039399624</v>
      </c>
      <c r="AU11" s="65" t="s">
        <v>1404</v>
      </c>
      <c r="AV11" s="21">
        <v>11</v>
      </c>
      <c r="AW11" s="701">
        <v>123</v>
      </c>
      <c r="AX11" s="694">
        <f>IF(AW11=0," ",AV11/AW11)</f>
        <v>8.943089430894309E-2</v>
      </c>
      <c r="AY11" s="58">
        <v>0.08</v>
      </c>
      <c r="AZ11" s="24">
        <f>IF(AW11=0," ",AX11/AY11)</f>
        <v>1.1178861788617886</v>
      </c>
      <c r="BA11" s="25" t="s">
        <v>1405</v>
      </c>
      <c r="BB11" s="21">
        <v>16</v>
      </c>
      <c r="BC11" s="21">
        <v>123</v>
      </c>
      <c r="BD11" s="694">
        <f>IF(BC11=0," ",BB11/BC11)</f>
        <v>0.13008130081300814</v>
      </c>
      <c r="BE11" s="58">
        <v>0.13</v>
      </c>
      <c r="BF11" s="24">
        <f>IF(BC11=0," ",BD11/BE11)</f>
        <v>1.0006253908692935</v>
      </c>
      <c r="BG11" s="695" t="s">
        <v>1406</v>
      </c>
      <c r="BH11" s="21">
        <v>11</v>
      </c>
      <c r="BI11" s="21">
        <v>123</v>
      </c>
      <c r="BJ11" s="694">
        <v>0.09</v>
      </c>
      <c r="BK11" s="58">
        <v>0.09</v>
      </c>
      <c r="BL11" s="702">
        <f>IF(BI11=0," ",BJ11/BK11)</f>
        <v>1</v>
      </c>
      <c r="BM11" s="25" t="s">
        <v>1407</v>
      </c>
      <c r="BN11" s="21">
        <v>8</v>
      </c>
      <c r="BO11" s="21">
        <v>123</v>
      </c>
      <c r="BP11" s="694">
        <f>BN11/BO11</f>
        <v>6.5040650406504072E-2</v>
      </c>
      <c r="BQ11" s="58">
        <v>7.0000000000000007E-2</v>
      </c>
      <c r="BR11" s="24">
        <v>1</v>
      </c>
      <c r="BS11" s="25" t="s">
        <v>1408</v>
      </c>
      <c r="BT11" s="21">
        <v>18</v>
      </c>
      <c r="BU11" s="21">
        <v>123</v>
      </c>
      <c r="BV11" s="694">
        <f>IF(BU11=0," ",BT11/BU11)</f>
        <v>0.14634146341463414</v>
      </c>
      <c r="BW11" s="58">
        <v>0.15</v>
      </c>
      <c r="BX11" s="24">
        <v>1</v>
      </c>
      <c r="BY11" s="25" t="s">
        <v>1409</v>
      </c>
      <c r="BZ11" s="21">
        <v>16</v>
      </c>
      <c r="CA11" s="21">
        <v>123</v>
      </c>
      <c r="CB11" s="694">
        <f>IF(CA11=0," ",BZ11/CA11)</f>
        <v>0.13008130081300814</v>
      </c>
      <c r="CC11" s="58">
        <v>0.13</v>
      </c>
      <c r="CD11" s="24">
        <f>IF(CA11=0," ",CB11/CC11)</f>
        <v>1.0006253908692935</v>
      </c>
      <c r="CE11" s="25" t="s">
        <v>1410</v>
      </c>
      <c r="CF11" s="703">
        <v>4</v>
      </c>
      <c r="CG11" s="696">
        <v>123</v>
      </c>
      <c r="CH11" s="694">
        <f>IF(CG11=0," ",CF11/CG11)</f>
        <v>3.2520325203252036E-2</v>
      </c>
      <c r="CI11" s="58">
        <v>0.03</v>
      </c>
      <c r="CJ11" s="694">
        <f>IF(CG11=0," ",CH11/CI11)</f>
        <v>1.0840108401084012</v>
      </c>
      <c r="CK11" s="695" t="s">
        <v>1411</v>
      </c>
      <c r="CL11" s="21">
        <v>0</v>
      </c>
      <c r="CM11" s="21">
        <v>0</v>
      </c>
      <c r="CN11" s="694" t="str">
        <f>IF(CM11=0," ",CL11/CM11)</f>
        <v xml:space="preserve"> </v>
      </c>
      <c r="CO11" s="58"/>
      <c r="CP11" s="24" t="str">
        <f>IF(CM11=0," ",CN11/CO11)</f>
        <v xml:space="preserve"> </v>
      </c>
      <c r="CQ11" s="25" t="s">
        <v>1412</v>
      </c>
      <c r="CR11" s="696">
        <f t="shared" si="0"/>
        <v>123</v>
      </c>
      <c r="CS11" s="696">
        <v>123</v>
      </c>
      <c r="CT11" s="694">
        <f>IF(CS11=0," ",CR11/CS11)</f>
        <v>1</v>
      </c>
      <c r="CU11" s="58">
        <v>1</v>
      </c>
      <c r="CV11" s="24">
        <f>IF(CS11=0," ",CT11/CU11)</f>
        <v>1</v>
      </c>
      <c r="CW11" s="25" t="s">
        <v>1413</v>
      </c>
    </row>
    <row r="12" spans="1:101" ht="14.25" customHeight="1">
      <c r="B12" s="704"/>
      <c r="C12" s="704"/>
      <c r="D12" s="705"/>
      <c r="E12" s="705"/>
      <c r="F12" s="704"/>
      <c r="G12" s="704"/>
      <c r="H12" s="705" t="s">
        <v>49</v>
      </c>
      <c r="I12" s="704"/>
      <c r="J12" s="704"/>
      <c r="K12" s="706"/>
      <c r="L12" s="706"/>
      <c r="M12" s="707"/>
      <c r="N12" s="706"/>
      <c r="O12" s="706"/>
      <c r="P12" s="708"/>
      <c r="Q12" s="708"/>
      <c r="R12" s="708"/>
      <c r="S12" s="708"/>
      <c r="T12" s="708"/>
      <c r="U12" s="708"/>
      <c r="V12" s="708"/>
      <c r="W12" s="704"/>
      <c r="X12" s="709"/>
      <c r="Y12" s="709"/>
      <c r="Z12" s="694"/>
      <c r="AA12" s="24"/>
      <c r="AB12" s="24"/>
      <c r="AC12" s="704"/>
      <c r="AD12" s="704"/>
      <c r="AE12" s="709"/>
      <c r="AF12" s="709"/>
      <c r="AG12" s="694"/>
      <c r="AH12" s="24"/>
      <c r="AI12" s="24"/>
      <c r="AJ12" s="704"/>
      <c r="AK12" s="709"/>
      <c r="AL12" s="709"/>
      <c r="AM12" s="694"/>
      <c r="AN12" s="24"/>
      <c r="AO12" s="24"/>
      <c r="AP12" s="709"/>
      <c r="AQ12" s="709"/>
      <c r="AR12" s="694"/>
      <c r="AS12" s="24"/>
      <c r="AT12" s="24"/>
      <c r="AU12" s="710"/>
      <c r="AV12" s="704"/>
      <c r="AW12" s="709"/>
      <c r="AX12" s="709"/>
      <c r="AY12" s="694"/>
      <c r="AZ12" s="24"/>
      <c r="BA12" s="24"/>
      <c r="BB12" s="709"/>
      <c r="BC12" s="709"/>
      <c r="BD12" s="694"/>
      <c r="BE12" s="24"/>
      <c r="BF12" s="24"/>
      <c r="BG12" s="710"/>
      <c r="BH12" s="704"/>
      <c r="BI12" s="709"/>
      <c r="BJ12" s="709"/>
      <c r="BK12" s="694"/>
      <c r="BL12" s="24"/>
      <c r="BM12" s="24"/>
      <c r="BN12" s="709"/>
      <c r="BO12" s="709"/>
      <c r="BP12" s="694"/>
      <c r="BQ12" s="24"/>
      <c r="BR12" s="24"/>
      <c r="BS12" s="710"/>
      <c r="BT12" s="704"/>
      <c r="BU12" s="709"/>
      <c r="BV12" s="709"/>
      <c r="BW12" s="694"/>
      <c r="BX12" s="24"/>
      <c r="BY12" s="24"/>
      <c r="BZ12" s="709"/>
      <c r="CA12" s="709"/>
      <c r="CB12" s="694"/>
      <c r="CC12" s="24"/>
      <c r="CD12" s="24"/>
      <c r="CE12" s="710"/>
      <c r="CF12" s="711"/>
      <c r="CG12" s="709"/>
      <c r="CH12" s="709"/>
      <c r="CI12" s="694"/>
      <c r="CJ12" s="24"/>
      <c r="CK12" s="24"/>
      <c r="CL12" s="709"/>
      <c r="CM12" s="709"/>
      <c r="CN12" s="694"/>
      <c r="CO12" s="24"/>
      <c r="CP12" s="24"/>
      <c r="CQ12" s="710"/>
      <c r="CR12" s="709"/>
      <c r="CS12" s="709"/>
      <c r="CT12" s="709"/>
      <c r="CU12" s="694"/>
      <c r="CV12" s="24"/>
      <c r="CW12" s="24"/>
    </row>
    <row r="13" spans="1:101" ht="108" customHeight="1">
      <c r="A13" s="97"/>
      <c r="B13" s="687" t="s">
        <v>1269</v>
      </c>
      <c r="C13" s="9" t="s">
        <v>156</v>
      </c>
      <c r="D13" s="96" t="s">
        <v>157</v>
      </c>
      <c r="E13" s="96" t="s">
        <v>158</v>
      </c>
      <c r="F13" s="9" t="s">
        <v>159</v>
      </c>
      <c r="G13" s="9" t="s">
        <v>53</v>
      </c>
      <c r="H13" s="96" t="s">
        <v>160</v>
      </c>
      <c r="I13" s="9" t="s">
        <v>161</v>
      </c>
      <c r="J13" s="9" t="s">
        <v>54</v>
      </c>
      <c r="K13" s="85"/>
      <c r="L13" s="85"/>
      <c r="M13" s="60"/>
      <c r="N13" s="85">
        <v>100</v>
      </c>
      <c r="O13" s="85"/>
      <c r="P13" s="85">
        <v>100</v>
      </c>
      <c r="Q13" s="118"/>
      <c r="R13" s="118"/>
      <c r="S13" s="85">
        <v>100</v>
      </c>
      <c r="T13" s="118"/>
      <c r="U13" s="118"/>
      <c r="V13" s="85">
        <v>100</v>
      </c>
      <c r="W13" s="9" t="s">
        <v>79</v>
      </c>
      <c r="X13" s="21"/>
      <c r="Y13" s="21"/>
      <c r="Z13" s="694" t="str">
        <f>IF(Y13=0," ",X13/Y13)</f>
        <v xml:space="preserve"> </v>
      </c>
      <c r="AA13" s="58"/>
      <c r="AB13" s="24" t="str">
        <f>IF(Y13=0," ",Z13/AA13)</f>
        <v xml:space="preserve"> </v>
      </c>
      <c r="AC13" s="25" t="s">
        <v>1414</v>
      </c>
      <c r="AD13" s="21"/>
      <c r="AE13" s="21"/>
      <c r="AF13" s="694" t="str">
        <f>IF(AE13=0," ",AD13/AE13)</f>
        <v xml:space="preserve"> </v>
      </c>
      <c r="AG13" s="58"/>
      <c r="AH13" s="24" t="str">
        <f>IF(AE13=0," ",AF13/AG13)</f>
        <v xml:space="preserve"> </v>
      </c>
      <c r="AI13" s="25" t="s">
        <v>1414</v>
      </c>
      <c r="AJ13" s="21"/>
      <c r="AK13" s="21"/>
      <c r="AL13" s="694" t="str">
        <f t="shared" ref="AL13:AL19" si="1">IF(AK13=0," ",AJ13/AK13)</f>
        <v xml:space="preserve"> </v>
      </c>
      <c r="AM13" s="58"/>
      <c r="AN13" s="24" t="str">
        <f t="shared" ref="AN13:AN19" si="2">IF(AK13=0," ",AL13/AM13)</f>
        <v xml:space="preserve"> </v>
      </c>
      <c r="AO13" s="25" t="s">
        <v>1414</v>
      </c>
      <c r="AP13" s="21">
        <v>0</v>
      </c>
      <c r="AQ13" s="21">
        <v>7</v>
      </c>
      <c r="AR13" s="694">
        <f t="shared" ref="AR13:AR19" si="3">IF(AQ13=0," ",AP13/AQ13)</f>
        <v>0</v>
      </c>
      <c r="AS13" s="58">
        <v>1</v>
      </c>
      <c r="AT13" s="24">
        <f t="shared" ref="AT13:AT19" si="4">IF(AQ13=0," ",AR13/AS13)</f>
        <v>0</v>
      </c>
      <c r="AU13" s="695" t="s">
        <v>1415</v>
      </c>
      <c r="AV13" s="21"/>
      <c r="AW13" s="21"/>
      <c r="AX13" s="694" t="str">
        <f t="shared" ref="AX13:AX19" si="5">IF(AW13=0," ",AV13/AW13)</f>
        <v xml:space="preserve"> </v>
      </c>
      <c r="AY13" s="58"/>
      <c r="AZ13" s="24" t="str">
        <f t="shared" ref="AZ13:AZ19" si="6">IF(AW13=0," ",AX13/AY13)</f>
        <v xml:space="preserve"> </v>
      </c>
      <c r="BA13" s="25" t="s">
        <v>1416</v>
      </c>
      <c r="BB13" s="21">
        <v>5</v>
      </c>
      <c r="BC13" s="21">
        <v>22</v>
      </c>
      <c r="BD13" s="694">
        <f t="shared" ref="BD13:BD19" si="7">IF(BC13=0," ",BB13/BC13)</f>
        <v>0.22727272727272727</v>
      </c>
      <c r="BE13" s="58">
        <v>1</v>
      </c>
      <c r="BF13" s="24">
        <f t="shared" ref="BF13:BF19" si="8">IF(BC13=0," ",BD13/BE13)</f>
        <v>0.22727272727272727</v>
      </c>
      <c r="BG13" s="25" t="s">
        <v>1417</v>
      </c>
      <c r="BH13" s="21"/>
      <c r="BI13" s="21"/>
      <c r="BJ13" s="694" t="str">
        <f t="shared" ref="BJ13:BJ19" si="9">IF(BI13=0," ",BH13/BI13)</f>
        <v xml:space="preserve"> </v>
      </c>
      <c r="BK13" s="58"/>
      <c r="BL13" s="24" t="str">
        <f t="shared" ref="BL13:BL19" si="10">IF(BI13=0," ",BJ13/BK13)</f>
        <v xml:space="preserve"> </v>
      </c>
      <c r="BM13" s="25" t="s">
        <v>1418</v>
      </c>
      <c r="BN13" s="21"/>
      <c r="BO13" s="21"/>
      <c r="BP13" s="694" t="str">
        <f t="shared" ref="BP13:BP19" si="11">IF(BO13=0," ",BN13/BO13)</f>
        <v xml:space="preserve"> </v>
      </c>
      <c r="BQ13" s="58"/>
      <c r="BR13" s="24" t="str">
        <f t="shared" ref="BR13:BR19" si="12">IF(BO13=0," ",BP13/BQ13)</f>
        <v xml:space="preserve"> </v>
      </c>
      <c r="BS13" s="25" t="s">
        <v>1418</v>
      </c>
      <c r="BT13" s="21">
        <v>9</v>
      </c>
      <c r="BU13" s="21">
        <v>21</v>
      </c>
      <c r="BV13" s="694">
        <f t="shared" ref="BV13:BV19" si="13">IF(BU13=0," ",BT13/BU13)</f>
        <v>0.42857142857142855</v>
      </c>
      <c r="BW13" s="58">
        <v>1</v>
      </c>
      <c r="BX13" s="24">
        <f t="shared" ref="BX13:BX19" si="14">IF(BU13=0," ",BV13/BW13)</f>
        <v>0.42857142857142855</v>
      </c>
      <c r="BY13" s="25" t="s">
        <v>1419</v>
      </c>
      <c r="BZ13" s="21"/>
      <c r="CA13" s="21"/>
      <c r="CB13" s="694" t="str">
        <f t="shared" ref="CB13:CB19" si="15">IF(CA13=0," ",BZ13/CA13)</f>
        <v xml:space="preserve"> </v>
      </c>
      <c r="CC13" s="58"/>
      <c r="CD13" s="24" t="str">
        <f t="shared" ref="CD13:CD19" si="16">IF(CA13=0," ",CB13/CC13)</f>
        <v xml:space="preserve"> </v>
      </c>
      <c r="CE13" s="695" t="s">
        <v>1420</v>
      </c>
      <c r="CF13" s="26"/>
      <c r="CG13" s="21"/>
      <c r="CH13" s="694" t="str">
        <f t="shared" ref="CH13:CH19" si="17">IF(CG13=0," ",CF13/CG13)</f>
        <v xml:space="preserve"> </v>
      </c>
      <c r="CI13" s="58"/>
      <c r="CJ13" s="24" t="str">
        <f t="shared" ref="CJ13:CJ19" si="18">IF(CG13=0," ",CH13/CI13)</f>
        <v xml:space="preserve"> </v>
      </c>
      <c r="CK13" s="695" t="s">
        <v>1420</v>
      </c>
      <c r="CL13" s="117">
        <v>20</v>
      </c>
      <c r="CM13" s="712">
        <v>20</v>
      </c>
      <c r="CN13" s="694">
        <f t="shared" ref="CN13:CN18" si="19">IF(CM13=0," ",CL13/CM13)</f>
        <v>1</v>
      </c>
      <c r="CO13" s="58">
        <v>1</v>
      </c>
      <c r="CP13" s="24">
        <f>IF(CM13=0," ",CN13/CO13)</f>
        <v>1</v>
      </c>
      <c r="CQ13" s="116" t="s">
        <v>1421</v>
      </c>
      <c r="CR13" s="696">
        <v>20</v>
      </c>
      <c r="CS13" s="696">
        <v>20</v>
      </c>
      <c r="CT13" s="694">
        <f t="shared" ref="CT13:CT18" si="20">IF(CS13=0," ",CR13/CS13)</f>
        <v>1</v>
      </c>
      <c r="CU13" s="58">
        <v>1</v>
      </c>
      <c r="CV13" s="24">
        <f>IF(CS13=0," ",CT13/CU13)</f>
        <v>1</v>
      </c>
      <c r="CW13" s="116" t="s">
        <v>1421</v>
      </c>
    </row>
    <row r="14" spans="1:101" ht="166.5" customHeight="1">
      <c r="B14" s="9" t="s">
        <v>55</v>
      </c>
      <c r="C14" s="9" t="s">
        <v>89</v>
      </c>
      <c r="D14" s="9" t="s">
        <v>56</v>
      </c>
      <c r="E14" s="9" t="s">
        <v>57</v>
      </c>
      <c r="F14" s="9" t="s">
        <v>58</v>
      </c>
      <c r="G14" s="9" t="s">
        <v>53</v>
      </c>
      <c r="H14" s="9" t="s">
        <v>59</v>
      </c>
      <c r="I14" s="9" t="s">
        <v>60</v>
      </c>
      <c r="J14" s="9" t="s">
        <v>54</v>
      </c>
      <c r="K14" s="85"/>
      <c r="L14" s="85"/>
      <c r="M14" s="60">
        <v>1</v>
      </c>
      <c r="N14" s="85"/>
      <c r="O14" s="85"/>
      <c r="P14" s="60">
        <v>1</v>
      </c>
      <c r="Q14" s="60"/>
      <c r="R14" s="85"/>
      <c r="S14" s="60">
        <v>1</v>
      </c>
      <c r="T14" s="60"/>
      <c r="U14" s="85"/>
      <c r="V14" s="60">
        <v>1</v>
      </c>
      <c r="W14" s="9" t="s">
        <v>79</v>
      </c>
      <c r="X14" s="21"/>
      <c r="Y14" s="21"/>
      <c r="Z14" s="694" t="str">
        <f>IF(Y14=0," ",X14/Y14)</f>
        <v xml:space="preserve"> </v>
      </c>
      <c r="AA14" s="58"/>
      <c r="AB14" s="24" t="str">
        <f>IF(Y14=0," ",Z14/AA14)</f>
        <v xml:space="preserve"> </v>
      </c>
      <c r="AC14" s="25" t="s">
        <v>1416</v>
      </c>
      <c r="AD14" s="21"/>
      <c r="AE14" s="21"/>
      <c r="AF14" s="694" t="str">
        <f>IF(AE14=0," ",AD14/AE14)</f>
        <v xml:space="preserve"> </v>
      </c>
      <c r="AG14" s="58"/>
      <c r="AH14" s="24" t="str">
        <f>IF(AE14=0," ",AF14/AG14)</f>
        <v xml:space="preserve"> </v>
      </c>
      <c r="AI14" s="25" t="s">
        <v>1416</v>
      </c>
      <c r="AJ14" s="21">
        <v>0</v>
      </c>
      <c r="AK14" s="21">
        <v>1</v>
      </c>
      <c r="AL14" s="694">
        <f t="shared" si="1"/>
        <v>0</v>
      </c>
      <c r="AM14" s="58">
        <v>1</v>
      </c>
      <c r="AN14" s="24">
        <f t="shared" si="2"/>
        <v>0</v>
      </c>
      <c r="AO14" s="695" t="s">
        <v>1422</v>
      </c>
      <c r="AP14" s="21"/>
      <c r="AQ14" s="21"/>
      <c r="AR14" s="694" t="str">
        <f t="shared" si="3"/>
        <v xml:space="preserve"> </v>
      </c>
      <c r="AS14" s="58"/>
      <c r="AT14" s="24" t="str">
        <f t="shared" si="4"/>
        <v xml:space="preserve"> </v>
      </c>
      <c r="AU14" s="25" t="s">
        <v>1416</v>
      </c>
      <c r="AV14" s="21"/>
      <c r="AW14" s="21"/>
      <c r="AX14" s="694" t="str">
        <f t="shared" si="5"/>
        <v xml:space="preserve"> </v>
      </c>
      <c r="AY14" s="58"/>
      <c r="AZ14" s="24" t="str">
        <f t="shared" si="6"/>
        <v xml:space="preserve"> </v>
      </c>
      <c r="BA14" s="25" t="s">
        <v>1416</v>
      </c>
      <c r="BB14" s="21">
        <v>1</v>
      </c>
      <c r="BC14" s="21">
        <v>1</v>
      </c>
      <c r="BD14" s="694">
        <f t="shared" si="7"/>
        <v>1</v>
      </c>
      <c r="BE14" s="58">
        <v>1</v>
      </c>
      <c r="BF14" s="24">
        <f t="shared" si="8"/>
        <v>1</v>
      </c>
      <c r="BG14" s="25" t="s">
        <v>1423</v>
      </c>
      <c r="BH14" s="21"/>
      <c r="BI14" s="21"/>
      <c r="BJ14" s="694" t="str">
        <f t="shared" si="9"/>
        <v xml:space="preserve"> </v>
      </c>
      <c r="BK14" s="58"/>
      <c r="BL14" s="24" t="str">
        <f t="shared" si="10"/>
        <v xml:space="preserve"> </v>
      </c>
      <c r="BM14" s="25" t="s">
        <v>1424</v>
      </c>
      <c r="BN14" s="21"/>
      <c r="BO14" s="21"/>
      <c r="BP14" s="694" t="str">
        <f t="shared" si="11"/>
        <v xml:space="preserve"> </v>
      </c>
      <c r="BQ14" s="58"/>
      <c r="BR14" s="24" t="str">
        <f t="shared" si="12"/>
        <v xml:space="preserve"> </v>
      </c>
      <c r="BS14" s="25" t="s">
        <v>1424</v>
      </c>
      <c r="BT14" s="568">
        <v>0</v>
      </c>
      <c r="BU14" s="568">
        <v>1</v>
      </c>
      <c r="BV14" s="694">
        <f t="shared" si="13"/>
        <v>0</v>
      </c>
      <c r="BW14" s="58">
        <v>1</v>
      </c>
      <c r="BX14" s="24">
        <f t="shared" si="14"/>
        <v>0</v>
      </c>
      <c r="BY14" s="25" t="s">
        <v>1425</v>
      </c>
      <c r="BZ14" s="21"/>
      <c r="CA14" s="21"/>
      <c r="CB14" s="694" t="str">
        <f t="shared" si="15"/>
        <v xml:space="preserve"> </v>
      </c>
      <c r="CC14" s="58"/>
      <c r="CD14" s="24" t="str">
        <f t="shared" si="16"/>
        <v xml:space="preserve"> </v>
      </c>
      <c r="CE14" s="695" t="s">
        <v>148</v>
      </c>
      <c r="CF14" s="26"/>
      <c r="CG14" s="21"/>
      <c r="CH14" s="694" t="str">
        <f t="shared" si="17"/>
        <v xml:space="preserve"> </v>
      </c>
      <c r="CI14" s="58"/>
      <c r="CJ14" s="24" t="str">
        <f t="shared" si="18"/>
        <v xml:space="preserve"> </v>
      </c>
      <c r="CK14" s="695" t="s">
        <v>148</v>
      </c>
      <c r="CL14" s="21"/>
      <c r="CM14" s="21"/>
      <c r="CN14" s="694" t="str">
        <f t="shared" si="19"/>
        <v xml:space="preserve"> </v>
      </c>
      <c r="CO14" s="58"/>
      <c r="CP14" s="24" t="str">
        <f t="shared" ref="CP14:CP19" si="21">IF(CM14=0," ",CN14/CO14)</f>
        <v xml:space="preserve"> </v>
      </c>
      <c r="CQ14" s="25"/>
      <c r="CR14" s="568">
        <v>0.5</v>
      </c>
      <c r="CS14" s="568">
        <v>1</v>
      </c>
      <c r="CT14" s="694">
        <f t="shared" si="20"/>
        <v>0.5</v>
      </c>
      <c r="CU14" s="58">
        <v>1</v>
      </c>
      <c r="CV14" s="24">
        <f>IF(CS14=0," ",CT14/CU14)</f>
        <v>0.5</v>
      </c>
      <c r="CW14" s="25" t="s">
        <v>327</v>
      </c>
    </row>
    <row r="15" spans="1:101" ht="135" customHeight="1">
      <c r="B15" s="9" t="s">
        <v>55</v>
      </c>
      <c r="C15" s="9" t="s">
        <v>88</v>
      </c>
      <c r="D15" s="9" t="s">
        <v>61</v>
      </c>
      <c r="E15" s="9" t="s">
        <v>57</v>
      </c>
      <c r="F15" s="9" t="s">
        <v>62</v>
      </c>
      <c r="G15" s="9" t="s">
        <v>53</v>
      </c>
      <c r="H15" s="9" t="s">
        <v>63</v>
      </c>
      <c r="I15" s="9" t="s">
        <v>64</v>
      </c>
      <c r="J15" s="9" t="s">
        <v>54</v>
      </c>
      <c r="K15" s="713"/>
      <c r="L15" s="714">
        <v>1</v>
      </c>
      <c r="M15" s="714"/>
      <c r="N15" s="714">
        <v>1</v>
      </c>
      <c r="O15" s="713"/>
      <c r="P15" s="60">
        <v>1</v>
      </c>
      <c r="Q15" s="715"/>
      <c r="R15" s="60">
        <v>1</v>
      </c>
      <c r="S15" s="715"/>
      <c r="T15" s="60">
        <v>1</v>
      </c>
      <c r="U15" s="716"/>
      <c r="V15" s="60">
        <v>1</v>
      </c>
      <c r="W15" s="9" t="s">
        <v>79</v>
      </c>
      <c r="X15" s="21"/>
      <c r="Y15" s="21"/>
      <c r="Z15" s="694" t="str">
        <f>IF(Y15=0," ",X15/Y15)</f>
        <v xml:space="preserve"> </v>
      </c>
      <c r="AA15" s="58"/>
      <c r="AB15" s="24" t="str">
        <f>IF(Y15=0," ",Z15/AA15)</f>
        <v xml:space="preserve"> </v>
      </c>
      <c r="AC15" s="25" t="s">
        <v>1426</v>
      </c>
      <c r="AD15" s="21">
        <v>1</v>
      </c>
      <c r="AE15" s="21">
        <v>1</v>
      </c>
      <c r="AF15" s="694">
        <f>IF(AE15=0," ",AD15/AE15)</f>
        <v>1</v>
      </c>
      <c r="AG15" s="58">
        <v>1</v>
      </c>
      <c r="AH15" s="24">
        <f>IF(AE15=0," ",AF15/AG15)</f>
        <v>1</v>
      </c>
      <c r="AI15" s="695" t="s">
        <v>1427</v>
      </c>
      <c r="AJ15" s="695"/>
      <c r="AK15" s="21"/>
      <c r="AL15" s="694" t="str">
        <f t="shared" si="1"/>
        <v xml:space="preserve"> </v>
      </c>
      <c r="AM15" s="58"/>
      <c r="AN15" s="24" t="str">
        <f t="shared" si="2"/>
        <v xml:space="preserve"> </v>
      </c>
      <c r="AO15" s="25" t="s">
        <v>1426</v>
      </c>
      <c r="AP15" s="21">
        <v>1</v>
      </c>
      <c r="AQ15" s="21">
        <v>1</v>
      </c>
      <c r="AR15" s="694">
        <f t="shared" si="3"/>
        <v>1</v>
      </c>
      <c r="AS15" s="58">
        <v>1</v>
      </c>
      <c r="AT15" s="24">
        <f t="shared" si="4"/>
        <v>1</v>
      </c>
      <c r="AU15" s="695" t="s">
        <v>1428</v>
      </c>
      <c r="AV15" s="21"/>
      <c r="AW15" s="21"/>
      <c r="AX15" s="694" t="str">
        <f t="shared" si="5"/>
        <v xml:space="preserve"> </v>
      </c>
      <c r="AY15" s="58"/>
      <c r="AZ15" s="24" t="str">
        <f t="shared" si="6"/>
        <v xml:space="preserve"> </v>
      </c>
      <c r="BA15" s="25" t="s">
        <v>1416</v>
      </c>
      <c r="BB15" s="21">
        <v>1</v>
      </c>
      <c r="BC15" s="21">
        <v>1</v>
      </c>
      <c r="BD15" s="694">
        <f t="shared" si="7"/>
        <v>1</v>
      </c>
      <c r="BE15" s="58">
        <v>1</v>
      </c>
      <c r="BF15" s="24">
        <f t="shared" si="8"/>
        <v>1</v>
      </c>
      <c r="BG15" s="25" t="s">
        <v>1429</v>
      </c>
      <c r="BH15" s="21"/>
      <c r="BI15" s="21"/>
      <c r="BJ15" s="694" t="str">
        <f t="shared" si="9"/>
        <v xml:space="preserve"> </v>
      </c>
      <c r="BK15" s="58"/>
      <c r="BL15" s="24" t="str">
        <f t="shared" si="10"/>
        <v xml:space="preserve"> </v>
      </c>
      <c r="BM15" s="25" t="s">
        <v>1424</v>
      </c>
      <c r="BN15" s="21"/>
      <c r="BO15" s="21"/>
      <c r="BP15" s="694"/>
      <c r="BQ15" s="717" t="s">
        <v>325</v>
      </c>
      <c r="BR15" s="694" t="str">
        <f t="shared" si="12"/>
        <v xml:space="preserve"> </v>
      </c>
      <c r="BS15" s="695" t="s">
        <v>148</v>
      </c>
      <c r="BT15" s="21"/>
      <c r="BU15" s="21"/>
      <c r="BV15" s="694" t="str">
        <f t="shared" si="13"/>
        <v xml:space="preserve"> </v>
      </c>
      <c r="BW15" s="58"/>
      <c r="BX15" s="24" t="str">
        <f t="shared" si="14"/>
        <v xml:space="preserve"> </v>
      </c>
      <c r="BY15" s="695" t="s">
        <v>148</v>
      </c>
      <c r="BZ15" s="718">
        <v>100</v>
      </c>
      <c r="CA15" s="21">
        <v>100</v>
      </c>
      <c r="CB15" s="694">
        <f t="shared" si="15"/>
        <v>1</v>
      </c>
      <c r="CC15" s="719">
        <v>1</v>
      </c>
      <c r="CD15" s="694">
        <f t="shared" si="16"/>
        <v>1</v>
      </c>
      <c r="CE15" s="695" t="s">
        <v>1430</v>
      </c>
      <c r="CF15" s="26"/>
      <c r="CG15" s="21"/>
      <c r="CH15" s="694" t="str">
        <f t="shared" si="17"/>
        <v xml:space="preserve"> </v>
      </c>
      <c r="CI15" s="58"/>
      <c r="CJ15" s="24" t="str">
        <f t="shared" si="18"/>
        <v xml:space="preserve"> </v>
      </c>
      <c r="CK15" s="695" t="s">
        <v>148</v>
      </c>
      <c r="CL15" s="21"/>
      <c r="CM15" s="21"/>
      <c r="CN15" s="694" t="str">
        <f t="shared" si="19"/>
        <v xml:space="preserve"> </v>
      </c>
      <c r="CO15" s="58"/>
      <c r="CP15" s="24" t="str">
        <f t="shared" si="21"/>
        <v xml:space="preserve"> </v>
      </c>
      <c r="CQ15" s="25"/>
      <c r="CR15" s="696">
        <v>100</v>
      </c>
      <c r="CS15" s="696">
        <v>100</v>
      </c>
      <c r="CT15" s="694">
        <f t="shared" si="20"/>
        <v>1</v>
      </c>
      <c r="CU15" s="58">
        <v>1</v>
      </c>
      <c r="CV15" s="24">
        <f>IF(CS15=0," ",CT15/CU15)</f>
        <v>1</v>
      </c>
      <c r="CW15" s="220" t="s">
        <v>1431</v>
      </c>
    </row>
    <row r="16" spans="1:101" ht="105.75" customHeight="1">
      <c r="B16" s="59" t="s">
        <v>260</v>
      </c>
      <c r="C16" s="9" t="s">
        <v>261</v>
      </c>
      <c r="D16" s="59" t="s">
        <v>262</v>
      </c>
      <c r="E16" s="9" t="s">
        <v>263</v>
      </c>
      <c r="F16" s="59" t="s">
        <v>264</v>
      </c>
      <c r="G16" s="9" t="s">
        <v>66</v>
      </c>
      <c r="H16" s="59" t="s">
        <v>390</v>
      </c>
      <c r="I16" s="9" t="s">
        <v>267</v>
      </c>
      <c r="J16" s="9" t="s">
        <v>391</v>
      </c>
      <c r="K16" s="118"/>
      <c r="L16" s="118"/>
      <c r="M16" s="118"/>
      <c r="N16" s="118">
        <v>0.01</v>
      </c>
      <c r="O16" s="118">
        <v>0.03</v>
      </c>
      <c r="P16" s="118"/>
      <c r="Q16" s="118">
        <v>0.48</v>
      </c>
      <c r="R16" s="118">
        <v>0.33</v>
      </c>
      <c r="S16" s="118"/>
      <c r="T16" s="118"/>
      <c r="U16" s="118"/>
      <c r="V16" s="118"/>
      <c r="W16" s="59" t="s">
        <v>1290</v>
      </c>
      <c r="X16" s="21">
        <v>0</v>
      </c>
      <c r="Y16" s="21">
        <v>0</v>
      </c>
      <c r="Z16" s="694" t="s">
        <v>332</v>
      </c>
      <c r="AA16" s="58">
        <v>0</v>
      </c>
      <c r="AB16" s="24" t="s">
        <v>332</v>
      </c>
      <c r="AC16" s="25" t="s">
        <v>1432</v>
      </c>
      <c r="AD16" s="564">
        <v>6634000</v>
      </c>
      <c r="AE16" s="564">
        <v>0</v>
      </c>
      <c r="AF16" s="694" t="s">
        <v>332</v>
      </c>
      <c r="AG16" s="58">
        <v>0</v>
      </c>
      <c r="AH16" s="24">
        <v>1</v>
      </c>
      <c r="AI16" s="695" t="s">
        <v>1433</v>
      </c>
      <c r="AJ16" s="21">
        <v>0</v>
      </c>
      <c r="AK16" s="21">
        <v>0</v>
      </c>
      <c r="AL16" s="694" t="s">
        <v>332</v>
      </c>
      <c r="AM16" s="58">
        <v>0</v>
      </c>
      <c r="AN16" s="24" t="s">
        <v>332</v>
      </c>
      <c r="AO16" s="25" t="s">
        <v>1432</v>
      </c>
      <c r="AP16" s="564">
        <v>37890067</v>
      </c>
      <c r="AQ16" s="564">
        <v>168584099</v>
      </c>
      <c r="AR16" s="694">
        <v>0.22475469053579009</v>
      </c>
      <c r="AS16" s="58">
        <v>0.01</v>
      </c>
      <c r="AT16" s="24">
        <v>22.475469053579008</v>
      </c>
      <c r="AU16" s="695" t="s">
        <v>1434</v>
      </c>
      <c r="AV16" s="564">
        <v>3374000</v>
      </c>
      <c r="AW16" s="564">
        <v>168584099</v>
      </c>
      <c r="AX16" s="694">
        <v>2.0013749932607818E-2</v>
      </c>
      <c r="AY16" s="58">
        <v>0.03</v>
      </c>
      <c r="AZ16" s="24">
        <v>0.66712499775359402</v>
      </c>
      <c r="BA16" s="25" t="s">
        <v>1435</v>
      </c>
      <c r="BB16" s="21">
        <v>2689466</v>
      </c>
      <c r="BC16" s="21">
        <v>0</v>
      </c>
      <c r="BD16" s="694">
        <v>0.02</v>
      </c>
      <c r="BE16" s="58">
        <v>0</v>
      </c>
      <c r="BF16" s="24">
        <v>1</v>
      </c>
      <c r="BG16" s="25" t="s">
        <v>1436</v>
      </c>
      <c r="BH16" s="564"/>
      <c r="BI16" s="21"/>
      <c r="BJ16" s="694" t="str">
        <f t="shared" si="9"/>
        <v xml:space="preserve"> </v>
      </c>
      <c r="BK16" s="58"/>
      <c r="BL16" s="24" t="str">
        <f t="shared" si="10"/>
        <v xml:space="preserve"> </v>
      </c>
      <c r="BM16" s="25" t="s">
        <v>1437</v>
      </c>
      <c r="BN16" s="21"/>
      <c r="BO16" s="21"/>
      <c r="BP16" s="694" t="str">
        <f t="shared" si="11"/>
        <v xml:space="preserve"> </v>
      </c>
      <c r="BQ16" s="58"/>
      <c r="BR16" s="24" t="str">
        <f t="shared" si="12"/>
        <v xml:space="preserve"> </v>
      </c>
      <c r="BS16" s="25" t="s">
        <v>1437</v>
      </c>
      <c r="BT16" s="21"/>
      <c r="BU16" s="21"/>
      <c r="BV16" s="694" t="str">
        <f t="shared" si="13"/>
        <v xml:space="preserve"> </v>
      </c>
      <c r="BW16" s="58"/>
      <c r="BX16" s="24" t="str">
        <f t="shared" si="14"/>
        <v xml:space="preserve"> </v>
      </c>
      <c r="BY16" s="25" t="s">
        <v>1437</v>
      </c>
      <c r="BZ16" s="21"/>
      <c r="CA16" s="21"/>
      <c r="CB16" s="694" t="str">
        <f t="shared" si="15"/>
        <v xml:space="preserve"> </v>
      </c>
      <c r="CC16" s="58"/>
      <c r="CD16" s="24" t="str">
        <f t="shared" si="16"/>
        <v xml:space="preserve"> </v>
      </c>
      <c r="CE16" s="695" t="s">
        <v>1438</v>
      </c>
      <c r="CF16" s="26"/>
      <c r="CG16" s="21"/>
      <c r="CH16" s="694" t="str">
        <f t="shared" si="17"/>
        <v xml:space="preserve"> </v>
      </c>
      <c r="CI16" s="58"/>
      <c r="CJ16" s="24" t="str">
        <f t="shared" si="18"/>
        <v xml:space="preserve"> </v>
      </c>
      <c r="CK16" s="695" t="s">
        <v>1438</v>
      </c>
      <c r="CL16" s="21"/>
      <c r="CM16" s="21"/>
      <c r="CN16" s="694" t="str">
        <f t="shared" si="19"/>
        <v xml:space="preserve"> </v>
      </c>
      <c r="CO16" s="58"/>
      <c r="CP16" s="24" t="str">
        <f t="shared" si="21"/>
        <v xml:space="preserve"> </v>
      </c>
      <c r="CQ16" s="695" t="s">
        <v>1438</v>
      </c>
      <c r="CR16" s="720">
        <f t="shared" si="0"/>
        <v>50587533</v>
      </c>
      <c r="CS16" s="720">
        <f t="shared" si="0"/>
        <v>337168198</v>
      </c>
      <c r="CT16" s="694">
        <f t="shared" si="20"/>
        <v>0.15003649009625752</v>
      </c>
      <c r="CU16" s="58"/>
      <c r="CV16" s="24" t="s">
        <v>325</v>
      </c>
      <c r="CW16" s="25" t="s">
        <v>1439</v>
      </c>
    </row>
    <row r="17" spans="2:101" ht="162" customHeight="1">
      <c r="B17" s="59" t="s">
        <v>260</v>
      </c>
      <c r="C17" s="9" t="s">
        <v>273</v>
      </c>
      <c r="D17" s="721" t="s">
        <v>274</v>
      </c>
      <c r="E17" s="9" t="s">
        <v>275</v>
      </c>
      <c r="F17" s="59" t="s">
        <v>276</v>
      </c>
      <c r="G17" s="9" t="s">
        <v>66</v>
      </c>
      <c r="H17" s="59" t="s">
        <v>394</v>
      </c>
      <c r="I17" s="9" t="s">
        <v>267</v>
      </c>
      <c r="J17" s="9" t="s">
        <v>391</v>
      </c>
      <c r="K17" s="118">
        <v>0.12</v>
      </c>
      <c r="L17" s="118">
        <v>0.16</v>
      </c>
      <c r="M17" s="118">
        <v>0.15</v>
      </c>
      <c r="N17" s="118">
        <v>0.15</v>
      </c>
      <c r="O17" s="118">
        <v>0.15</v>
      </c>
      <c r="P17" s="118">
        <v>0.11</v>
      </c>
      <c r="Q17" s="118">
        <v>0.04</v>
      </c>
      <c r="R17" s="118">
        <v>1.4999999999999999E-2</v>
      </c>
      <c r="S17" s="118">
        <v>1.4999999999999999E-2</v>
      </c>
      <c r="T17" s="118">
        <v>1.4999999999999999E-2</v>
      </c>
      <c r="U17" s="118">
        <v>1.4999999999999999E-2</v>
      </c>
      <c r="V17" s="118">
        <v>0.01</v>
      </c>
      <c r="W17" s="59" t="s">
        <v>1440</v>
      </c>
      <c r="X17" s="564">
        <v>3343154356</v>
      </c>
      <c r="Y17" s="564">
        <v>26348126461</v>
      </c>
      <c r="Z17" s="694">
        <v>0.12688394983030288</v>
      </c>
      <c r="AA17" s="58">
        <v>0.12</v>
      </c>
      <c r="AB17" s="24">
        <v>1.0573662485858573</v>
      </c>
      <c r="AC17" s="25" t="s">
        <v>1441</v>
      </c>
      <c r="AD17" s="564">
        <v>4360852077</v>
      </c>
      <c r="AE17" s="564">
        <v>26348126461</v>
      </c>
      <c r="AF17" s="694">
        <v>0.16550900055284201</v>
      </c>
      <c r="AG17" s="58">
        <v>0.16</v>
      </c>
      <c r="AH17" s="24">
        <v>1.0344312534552627</v>
      </c>
      <c r="AI17" s="25" t="s">
        <v>1442</v>
      </c>
      <c r="AJ17" s="564">
        <v>4461466265</v>
      </c>
      <c r="AK17" s="564">
        <v>26348126461</v>
      </c>
      <c r="AL17" s="694">
        <v>0.16932764732262001</v>
      </c>
      <c r="AM17" s="58">
        <v>0.15</v>
      </c>
      <c r="AN17" s="24">
        <v>1.1288509821508002</v>
      </c>
      <c r="AO17" s="25" t="s">
        <v>1443</v>
      </c>
      <c r="AP17" s="564">
        <v>4468409400</v>
      </c>
      <c r="AQ17" s="564">
        <v>26348126461</v>
      </c>
      <c r="AR17" s="694">
        <v>0.16959116264353957</v>
      </c>
      <c r="AS17" s="58">
        <v>0.15</v>
      </c>
      <c r="AT17" s="24">
        <v>1.1306077509569306</v>
      </c>
      <c r="AU17" s="25" t="s">
        <v>1444</v>
      </c>
      <c r="AV17" s="553">
        <v>4630059286</v>
      </c>
      <c r="AW17" s="21">
        <v>26348126461</v>
      </c>
      <c r="AX17" s="694">
        <v>0.17572631939706707</v>
      </c>
      <c r="AY17" s="58">
        <v>0.15</v>
      </c>
      <c r="AZ17" s="24">
        <v>1.1715087959804471</v>
      </c>
      <c r="BA17" s="25" t="s">
        <v>1445</v>
      </c>
      <c r="BB17" s="553">
        <v>3237441260</v>
      </c>
      <c r="BC17" s="21">
        <v>26348126461</v>
      </c>
      <c r="BD17" s="694">
        <v>0.12287178235583465</v>
      </c>
      <c r="BE17" s="58">
        <v>0.11</v>
      </c>
      <c r="BF17" s="24">
        <v>1.1170162032348605</v>
      </c>
      <c r="BG17" s="25" t="s">
        <v>1446</v>
      </c>
      <c r="BH17" s="564"/>
      <c r="BI17" s="21"/>
      <c r="BJ17" s="694" t="str">
        <f t="shared" si="9"/>
        <v xml:space="preserve"> </v>
      </c>
      <c r="BK17" s="58"/>
      <c r="BL17" s="24" t="str">
        <f t="shared" si="10"/>
        <v xml:space="preserve"> </v>
      </c>
      <c r="BM17" s="25" t="s">
        <v>1437</v>
      </c>
      <c r="BN17" s="21"/>
      <c r="BO17" s="21"/>
      <c r="BP17" s="694" t="str">
        <f t="shared" si="11"/>
        <v xml:space="preserve"> </v>
      </c>
      <c r="BQ17" s="58"/>
      <c r="BR17" s="24" t="str">
        <f t="shared" si="12"/>
        <v xml:space="preserve"> </v>
      </c>
      <c r="BS17" s="25" t="s">
        <v>1437</v>
      </c>
      <c r="BT17" s="21"/>
      <c r="BU17" s="21"/>
      <c r="BV17" s="694" t="str">
        <f t="shared" si="13"/>
        <v xml:space="preserve"> </v>
      </c>
      <c r="BW17" s="58"/>
      <c r="BX17" s="24" t="str">
        <f t="shared" si="14"/>
        <v xml:space="preserve"> </v>
      </c>
      <c r="BY17" s="25" t="s">
        <v>1437</v>
      </c>
      <c r="BZ17" s="21"/>
      <c r="CA17" s="21"/>
      <c r="CB17" s="694" t="str">
        <f t="shared" si="15"/>
        <v xml:space="preserve"> </v>
      </c>
      <c r="CC17" s="58"/>
      <c r="CD17" s="24" t="str">
        <f t="shared" si="16"/>
        <v xml:space="preserve"> </v>
      </c>
      <c r="CE17" s="695" t="s">
        <v>1438</v>
      </c>
      <c r="CF17" s="26"/>
      <c r="CG17" s="21"/>
      <c r="CH17" s="694" t="str">
        <f t="shared" si="17"/>
        <v xml:space="preserve"> </v>
      </c>
      <c r="CI17" s="58"/>
      <c r="CJ17" s="24" t="str">
        <f t="shared" si="18"/>
        <v xml:space="preserve"> </v>
      </c>
      <c r="CK17" s="695" t="s">
        <v>1438</v>
      </c>
      <c r="CL17" s="21"/>
      <c r="CM17" s="21"/>
      <c r="CN17" s="694" t="str">
        <f t="shared" si="19"/>
        <v xml:space="preserve"> </v>
      </c>
      <c r="CO17" s="58"/>
      <c r="CP17" s="24" t="str">
        <f t="shared" si="21"/>
        <v xml:space="preserve"> </v>
      </c>
      <c r="CQ17" s="695" t="s">
        <v>1438</v>
      </c>
      <c r="CR17" s="720">
        <f t="shared" si="0"/>
        <v>24501382644</v>
      </c>
      <c r="CS17" s="720">
        <f t="shared" si="0"/>
        <v>158088758766</v>
      </c>
      <c r="CT17" s="694">
        <f t="shared" si="20"/>
        <v>0.15498497701703437</v>
      </c>
      <c r="CU17" s="58"/>
      <c r="CV17" s="24" t="s">
        <v>325</v>
      </c>
      <c r="CW17" s="25" t="s">
        <v>1439</v>
      </c>
    </row>
    <row r="18" spans="2:101" ht="101.25" customHeight="1">
      <c r="B18" s="59" t="s">
        <v>67</v>
      </c>
      <c r="C18" s="722" t="s">
        <v>90</v>
      </c>
      <c r="D18" s="722" t="s">
        <v>93</v>
      </c>
      <c r="E18" s="722" t="s">
        <v>68</v>
      </c>
      <c r="F18" s="722" t="s">
        <v>69</v>
      </c>
      <c r="G18" s="722" t="s">
        <v>53</v>
      </c>
      <c r="H18" s="722" t="s">
        <v>70</v>
      </c>
      <c r="I18" s="722" t="s">
        <v>71</v>
      </c>
      <c r="J18" s="722" t="s">
        <v>54</v>
      </c>
      <c r="K18" s="118">
        <v>0</v>
      </c>
      <c r="L18" s="118">
        <v>0</v>
      </c>
      <c r="M18" s="118">
        <v>0</v>
      </c>
      <c r="N18" s="118">
        <v>0</v>
      </c>
      <c r="O18" s="118">
        <v>0</v>
      </c>
      <c r="P18" s="118">
        <v>0</v>
      </c>
      <c r="Q18" s="118">
        <v>0</v>
      </c>
      <c r="R18" s="118">
        <v>0</v>
      </c>
      <c r="S18" s="118">
        <v>0</v>
      </c>
      <c r="T18" s="118">
        <v>0</v>
      </c>
      <c r="U18" s="118">
        <v>0</v>
      </c>
      <c r="V18" s="118">
        <v>1</v>
      </c>
      <c r="W18" s="723" t="s">
        <v>72</v>
      </c>
      <c r="X18" s="564">
        <v>12125611103</v>
      </c>
      <c r="Y18" s="564">
        <v>60896399000</v>
      </c>
      <c r="Z18" s="694">
        <f>IF(Y18=0," ",X18/Y18)</f>
        <v>0.19911868849585013</v>
      </c>
      <c r="AA18" s="58">
        <v>0</v>
      </c>
      <c r="AB18" s="24">
        <v>1</v>
      </c>
      <c r="AC18" s="695" t="s">
        <v>1447</v>
      </c>
      <c r="AD18" s="21"/>
      <c r="AE18" s="564"/>
      <c r="AF18" s="694"/>
      <c r="AG18" s="58"/>
      <c r="AH18" s="24" t="str">
        <f>IF(AE18=0," ",AF18/AG18)</f>
        <v xml:space="preserve"> </v>
      </c>
      <c r="AI18" s="25" t="s">
        <v>1432</v>
      </c>
      <c r="AJ18" s="21"/>
      <c r="AK18" s="564"/>
      <c r="AL18" s="694"/>
      <c r="AM18" s="58"/>
      <c r="AN18" s="24" t="str">
        <f>IF(AK18=0," ",AL18/AM18)</f>
        <v xml:space="preserve"> </v>
      </c>
      <c r="AO18" s="25" t="s">
        <v>1432</v>
      </c>
      <c r="AP18" s="564">
        <v>10601910033</v>
      </c>
      <c r="AQ18" s="564">
        <v>57931546899</v>
      </c>
      <c r="AR18" s="694">
        <f t="shared" si="3"/>
        <v>0.18300754253090742</v>
      </c>
      <c r="AS18" s="58">
        <v>0</v>
      </c>
      <c r="AT18" s="24">
        <v>1</v>
      </c>
      <c r="AU18" s="695" t="s">
        <v>1448</v>
      </c>
      <c r="AV18" s="564">
        <v>86488400</v>
      </c>
      <c r="AW18" s="564">
        <v>57931546899</v>
      </c>
      <c r="AX18" s="724">
        <f t="shared" si="5"/>
        <v>1.4929413183250066E-3</v>
      </c>
      <c r="AY18" s="58">
        <v>0</v>
      </c>
      <c r="AZ18" s="24">
        <v>1</v>
      </c>
      <c r="BA18" s="25" t="s">
        <v>1449</v>
      </c>
      <c r="BB18" s="21">
        <v>22814009536</v>
      </c>
      <c r="BC18" s="21">
        <v>23409209536</v>
      </c>
      <c r="BD18" s="694">
        <f t="shared" si="7"/>
        <v>0.97457410942968115</v>
      </c>
      <c r="BE18" s="58">
        <v>0</v>
      </c>
      <c r="BF18" s="24">
        <v>1</v>
      </c>
      <c r="BG18" s="25" t="s">
        <v>1450</v>
      </c>
      <c r="BH18" s="21"/>
      <c r="BI18" s="21"/>
      <c r="BJ18" s="694" t="str">
        <f t="shared" si="9"/>
        <v xml:space="preserve"> </v>
      </c>
      <c r="BK18" s="58"/>
      <c r="BL18" s="24" t="str">
        <f t="shared" si="10"/>
        <v xml:space="preserve"> </v>
      </c>
      <c r="BM18" s="25" t="s">
        <v>1451</v>
      </c>
      <c r="BN18" s="21"/>
      <c r="BO18" s="21"/>
      <c r="BP18" s="694" t="str">
        <f t="shared" si="11"/>
        <v xml:space="preserve"> </v>
      </c>
      <c r="BQ18" s="58"/>
      <c r="BR18" s="24" t="str">
        <f t="shared" si="12"/>
        <v xml:space="preserve"> </v>
      </c>
      <c r="BS18" s="25" t="s">
        <v>1437</v>
      </c>
      <c r="BT18" s="21"/>
      <c r="BU18" s="21"/>
      <c r="BV18" s="694" t="str">
        <f t="shared" si="13"/>
        <v xml:space="preserve"> </v>
      </c>
      <c r="BW18" s="58"/>
      <c r="BX18" s="24" t="str">
        <f t="shared" si="14"/>
        <v xml:space="preserve"> </v>
      </c>
      <c r="BY18" s="25" t="s">
        <v>1437</v>
      </c>
      <c r="BZ18" s="21"/>
      <c r="CA18" s="21"/>
      <c r="CB18" s="694" t="str">
        <f t="shared" si="15"/>
        <v xml:space="preserve"> </v>
      </c>
      <c r="CC18" s="58"/>
      <c r="CD18" s="24" t="str">
        <f t="shared" si="16"/>
        <v xml:space="preserve"> </v>
      </c>
      <c r="CE18" s="695" t="s">
        <v>1438</v>
      </c>
      <c r="CF18" s="26"/>
      <c r="CG18" s="21"/>
      <c r="CH18" s="694" t="str">
        <f t="shared" si="17"/>
        <v xml:space="preserve"> </v>
      </c>
      <c r="CI18" s="58"/>
      <c r="CJ18" s="24" t="str">
        <f t="shared" si="18"/>
        <v xml:space="preserve"> </v>
      </c>
      <c r="CK18" s="695" t="s">
        <v>1438</v>
      </c>
      <c r="CL18" s="21"/>
      <c r="CM18" s="21"/>
      <c r="CN18" s="694" t="str">
        <f t="shared" si="19"/>
        <v xml:space="preserve"> </v>
      </c>
      <c r="CO18" s="58"/>
      <c r="CP18" s="24" t="str">
        <f t="shared" si="21"/>
        <v xml:space="preserve"> </v>
      </c>
      <c r="CQ18" s="695" t="s">
        <v>1438</v>
      </c>
      <c r="CR18" s="720">
        <f t="shared" si="0"/>
        <v>45628019072</v>
      </c>
      <c r="CS18" s="720">
        <f t="shared" si="0"/>
        <v>200168702334</v>
      </c>
      <c r="CT18" s="694">
        <f t="shared" si="20"/>
        <v>0.22794781871476305</v>
      </c>
      <c r="CU18" s="58"/>
      <c r="CV18" s="24" t="s">
        <v>325</v>
      </c>
      <c r="CW18" s="25" t="s">
        <v>1439</v>
      </c>
    </row>
    <row r="19" spans="2:101" ht="121.5" customHeight="1">
      <c r="B19" s="59" t="s">
        <v>81</v>
      </c>
      <c r="C19" s="9" t="s">
        <v>92</v>
      </c>
      <c r="D19" s="50" t="s">
        <v>83</v>
      </c>
      <c r="E19" s="9" t="s">
        <v>84</v>
      </c>
      <c r="F19" s="9" t="s">
        <v>82</v>
      </c>
      <c r="G19" s="9" t="s">
        <v>66</v>
      </c>
      <c r="H19" s="9" t="s">
        <v>86</v>
      </c>
      <c r="I19" s="9" t="s">
        <v>85</v>
      </c>
      <c r="J19" s="9" t="s">
        <v>54</v>
      </c>
      <c r="K19" s="60"/>
      <c r="L19" s="60"/>
      <c r="M19" s="60">
        <v>1</v>
      </c>
      <c r="N19" s="60"/>
      <c r="O19" s="60"/>
      <c r="P19" s="60">
        <v>1</v>
      </c>
      <c r="Q19" s="60"/>
      <c r="R19" s="60"/>
      <c r="S19" s="60">
        <v>1</v>
      </c>
      <c r="T19" s="60"/>
      <c r="U19" s="60"/>
      <c r="V19" s="60">
        <v>1</v>
      </c>
      <c r="W19" s="722" t="s">
        <v>79</v>
      </c>
      <c r="X19" s="564"/>
      <c r="Y19" s="564"/>
      <c r="Z19" s="694"/>
      <c r="AA19" s="58"/>
      <c r="AB19" s="24"/>
      <c r="AC19" s="25" t="s">
        <v>1416</v>
      </c>
      <c r="AD19" s="21"/>
      <c r="AE19" s="564"/>
      <c r="AF19" s="694"/>
      <c r="AG19" s="58"/>
      <c r="AH19" s="24"/>
      <c r="AI19" s="25" t="s">
        <v>1416</v>
      </c>
      <c r="AJ19" s="21">
        <v>56</v>
      </c>
      <c r="AK19" s="21">
        <v>56</v>
      </c>
      <c r="AL19" s="694">
        <f t="shared" si="1"/>
        <v>1</v>
      </c>
      <c r="AM19" s="58">
        <v>1</v>
      </c>
      <c r="AN19" s="24">
        <f t="shared" si="2"/>
        <v>1</v>
      </c>
      <c r="AO19" s="25"/>
      <c r="AP19" s="21"/>
      <c r="AQ19" s="21"/>
      <c r="AR19" s="694" t="str">
        <f t="shared" si="3"/>
        <v xml:space="preserve"> </v>
      </c>
      <c r="AS19" s="58"/>
      <c r="AT19" s="24" t="str">
        <f t="shared" si="4"/>
        <v xml:space="preserve"> </v>
      </c>
      <c r="AU19" s="25" t="s">
        <v>1416</v>
      </c>
      <c r="AV19" s="21"/>
      <c r="AW19" s="21"/>
      <c r="AX19" s="694" t="str">
        <f t="shared" si="5"/>
        <v xml:space="preserve"> </v>
      </c>
      <c r="AY19" s="58"/>
      <c r="AZ19" s="24" t="str">
        <f t="shared" si="6"/>
        <v xml:space="preserve"> </v>
      </c>
      <c r="BA19" s="25" t="s">
        <v>1416</v>
      </c>
      <c r="BB19" s="21">
        <v>56</v>
      </c>
      <c r="BC19" s="21">
        <v>56</v>
      </c>
      <c r="BD19" s="694">
        <f t="shared" si="7"/>
        <v>1</v>
      </c>
      <c r="BE19" s="58">
        <v>1</v>
      </c>
      <c r="BF19" s="24">
        <f t="shared" si="8"/>
        <v>1</v>
      </c>
      <c r="BG19" s="695" t="s">
        <v>1452</v>
      </c>
      <c r="BH19" s="21"/>
      <c r="BI19" s="21"/>
      <c r="BJ19" s="694" t="str">
        <f t="shared" si="9"/>
        <v xml:space="preserve"> </v>
      </c>
      <c r="BK19" s="58"/>
      <c r="BL19" s="24" t="str">
        <f t="shared" si="10"/>
        <v xml:space="preserve"> </v>
      </c>
      <c r="BM19" s="25" t="s">
        <v>1453</v>
      </c>
      <c r="BN19" s="21"/>
      <c r="BO19" s="21"/>
      <c r="BP19" s="694" t="str">
        <f t="shared" si="11"/>
        <v xml:space="preserve"> </v>
      </c>
      <c r="BQ19" s="58"/>
      <c r="BR19" s="24" t="str">
        <f t="shared" si="12"/>
        <v xml:space="preserve"> </v>
      </c>
      <c r="BS19" s="25" t="s">
        <v>1454</v>
      </c>
      <c r="BT19" s="21">
        <v>71</v>
      </c>
      <c r="BU19" s="21">
        <v>71</v>
      </c>
      <c r="BV19" s="694">
        <f t="shared" si="13"/>
        <v>1</v>
      </c>
      <c r="BW19" s="58">
        <v>1</v>
      </c>
      <c r="BX19" s="24">
        <f t="shared" si="14"/>
        <v>1</v>
      </c>
      <c r="BY19" s="220" t="s">
        <v>1455</v>
      </c>
      <c r="BZ19" s="21"/>
      <c r="CA19" s="21"/>
      <c r="CB19" s="694" t="str">
        <f t="shared" si="15"/>
        <v xml:space="preserve"> </v>
      </c>
      <c r="CC19" s="58"/>
      <c r="CD19" s="24" t="str">
        <f t="shared" si="16"/>
        <v xml:space="preserve"> </v>
      </c>
      <c r="CE19" s="695" t="s">
        <v>1420</v>
      </c>
      <c r="CF19" s="26"/>
      <c r="CG19" s="21"/>
      <c r="CH19" s="694" t="str">
        <f t="shared" si="17"/>
        <v xml:space="preserve"> </v>
      </c>
      <c r="CI19" s="58"/>
      <c r="CJ19" s="24" t="str">
        <f t="shared" si="18"/>
        <v xml:space="preserve"> </v>
      </c>
      <c r="CK19" s="695" t="s">
        <v>1420</v>
      </c>
      <c r="CL19" s="57">
        <v>96</v>
      </c>
      <c r="CM19" s="57">
        <v>96</v>
      </c>
      <c r="CN19" s="122">
        <f>CL19/CM19</f>
        <v>1</v>
      </c>
      <c r="CO19" s="122">
        <v>1</v>
      </c>
      <c r="CP19" s="24">
        <f t="shared" si="21"/>
        <v>1</v>
      </c>
      <c r="CQ19" s="220" t="s">
        <v>1455</v>
      </c>
      <c r="CR19" s="568">
        <v>1</v>
      </c>
      <c r="CS19" s="99">
        <v>1</v>
      </c>
      <c r="CT19" s="99">
        <f>CR19/CS19</f>
        <v>1</v>
      </c>
      <c r="CU19" s="99">
        <v>1</v>
      </c>
      <c r="CV19" s="24">
        <f>IF(CS19=0," ",CT19/CU19)</f>
        <v>1</v>
      </c>
      <c r="CW19" s="101" t="s">
        <v>1456</v>
      </c>
    </row>
    <row r="20" spans="2:101" ht="15.75" customHeight="1">
      <c r="B20" s="2316" t="s">
        <v>17</v>
      </c>
      <c r="C20" s="2316"/>
      <c r="D20" s="2316"/>
      <c r="E20" s="2316"/>
      <c r="F20" s="298"/>
      <c r="G20" s="298"/>
      <c r="H20" s="298"/>
      <c r="I20" s="298"/>
      <c r="J20" s="298"/>
      <c r="K20" s="693"/>
      <c r="L20" s="693"/>
      <c r="M20" s="693"/>
      <c r="N20" s="693"/>
      <c r="O20" s="693"/>
      <c r="P20" s="693"/>
      <c r="Q20" s="693"/>
      <c r="R20" s="693"/>
      <c r="S20" s="693"/>
      <c r="T20" s="693"/>
      <c r="U20" s="693"/>
      <c r="V20" s="693"/>
      <c r="W20" s="687"/>
      <c r="X20" s="687"/>
      <c r="Y20" s="687"/>
      <c r="Z20" s="687"/>
      <c r="AA20" s="687"/>
      <c r="AB20" s="687"/>
      <c r="AC20" s="687"/>
      <c r="AD20" s="687"/>
      <c r="AE20" s="687"/>
      <c r="AF20" s="687"/>
      <c r="AG20" s="687"/>
      <c r="AH20" s="687"/>
      <c r="AI20" s="687"/>
      <c r="AJ20" s="687"/>
      <c r="AK20" s="687"/>
      <c r="AL20" s="687"/>
      <c r="AM20" s="687"/>
      <c r="AN20" s="687"/>
      <c r="AO20" s="687"/>
      <c r="AP20" s="687"/>
      <c r="AQ20" s="687"/>
      <c r="AR20" s="687"/>
      <c r="AS20" s="687"/>
      <c r="AT20" s="687"/>
      <c r="AU20" s="687"/>
      <c r="AV20" s="687"/>
      <c r="AW20" s="687"/>
      <c r="AX20" s="687"/>
      <c r="AY20" s="687"/>
      <c r="AZ20" s="687"/>
      <c r="BA20" s="687"/>
      <c r="BB20" s="687"/>
      <c r="BC20" s="687"/>
      <c r="BD20" s="687"/>
      <c r="BE20" s="687"/>
      <c r="BF20" s="687"/>
      <c r="BG20" s="687"/>
      <c r="BH20" s="687"/>
      <c r="BI20" s="687"/>
      <c r="BJ20" s="687"/>
      <c r="BK20" s="687"/>
      <c r="BL20" s="687"/>
      <c r="BM20" s="687"/>
      <c r="BN20" s="687"/>
      <c r="BO20" s="687"/>
      <c r="BP20" s="687"/>
      <c r="BQ20" s="687"/>
      <c r="BR20" s="687"/>
      <c r="BS20" s="687"/>
      <c r="BT20" s="687"/>
      <c r="BU20" s="687"/>
      <c r="BV20" s="687"/>
      <c r="BW20" s="687"/>
      <c r="BX20" s="687"/>
      <c r="BY20" s="687"/>
    </row>
    <row r="21" spans="2:101">
      <c r="B21" s="2306" t="s">
        <v>1457</v>
      </c>
      <c r="C21" s="2307"/>
      <c r="D21" s="2307"/>
      <c r="E21" s="2307"/>
      <c r="F21" s="2307"/>
      <c r="G21" s="2307"/>
      <c r="H21" s="2307"/>
      <c r="I21" s="2307"/>
      <c r="J21" s="2307"/>
      <c r="K21" s="2307"/>
      <c r="L21" s="2307"/>
      <c r="M21" s="2307"/>
      <c r="N21" s="2307"/>
      <c r="O21" s="2307"/>
      <c r="P21" s="2307"/>
      <c r="Q21" s="2307"/>
      <c r="R21" s="2307"/>
      <c r="S21" s="2307"/>
      <c r="T21" s="2307"/>
      <c r="U21" s="2307"/>
      <c r="V21" s="2307"/>
      <c r="W21" s="2307"/>
      <c r="X21" s="2307"/>
      <c r="Y21" s="2307"/>
      <c r="Z21" s="2307"/>
      <c r="AA21" s="2307"/>
      <c r="AB21" s="2307"/>
      <c r="AC21" s="2307"/>
      <c r="AD21" s="2307"/>
      <c r="AE21" s="2307"/>
      <c r="AF21" s="2307"/>
      <c r="AG21" s="2307"/>
      <c r="AH21" s="2307"/>
      <c r="AI21" s="2307"/>
      <c r="AJ21" s="2307"/>
      <c r="AK21" s="2307"/>
      <c r="AL21" s="2307"/>
      <c r="AM21" s="2307"/>
      <c r="AN21" s="2307"/>
      <c r="AO21" s="2307"/>
      <c r="AP21" s="2307"/>
      <c r="AQ21" s="2307"/>
      <c r="AR21" s="2307"/>
      <c r="AS21" s="2307"/>
      <c r="AT21" s="2307"/>
      <c r="AU21" s="2307"/>
      <c r="AV21" s="2307"/>
      <c r="AW21" s="2307"/>
      <c r="AX21" s="2307"/>
      <c r="AY21" s="2307"/>
      <c r="AZ21" s="2307"/>
      <c r="BA21" s="2307"/>
      <c r="BB21" s="2307"/>
      <c r="BC21" s="2307"/>
      <c r="BD21" s="2307"/>
      <c r="BE21" s="2307"/>
      <c r="BF21" s="2307"/>
      <c r="BG21" s="2307"/>
      <c r="BH21" s="2307"/>
      <c r="BI21" s="2307"/>
      <c r="BJ21" s="2307"/>
      <c r="BK21" s="2307"/>
      <c r="BL21" s="2307"/>
      <c r="BM21" s="2307"/>
      <c r="BN21" s="2307"/>
      <c r="BO21" s="2307"/>
      <c r="BP21" s="2307"/>
      <c r="BQ21" s="2307"/>
      <c r="BR21" s="2307"/>
      <c r="BS21" s="2307"/>
      <c r="BT21" s="2307"/>
      <c r="BU21" s="2307"/>
      <c r="BV21" s="2307"/>
      <c r="BW21" s="2307"/>
      <c r="BX21" s="2307"/>
      <c r="BY21" s="2308"/>
    </row>
    <row r="22" spans="2:101" ht="54.75" customHeight="1">
      <c r="B22" s="2309"/>
      <c r="C22" s="2310"/>
      <c r="D22" s="2310"/>
      <c r="E22" s="2310"/>
      <c r="F22" s="2310"/>
      <c r="G22" s="2310"/>
      <c r="H22" s="2310"/>
      <c r="I22" s="2310"/>
      <c r="J22" s="2310"/>
      <c r="K22" s="2310"/>
      <c r="L22" s="2310"/>
      <c r="M22" s="2310"/>
      <c r="N22" s="2310"/>
      <c r="O22" s="2310"/>
      <c r="P22" s="2310"/>
      <c r="Q22" s="2310"/>
      <c r="R22" s="2310"/>
      <c r="S22" s="2310"/>
      <c r="T22" s="2310"/>
      <c r="U22" s="2310"/>
      <c r="V22" s="2310"/>
      <c r="W22" s="2310"/>
      <c r="X22" s="2310"/>
      <c r="Y22" s="2310"/>
      <c r="Z22" s="2310"/>
      <c r="AA22" s="2310"/>
      <c r="AB22" s="2310"/>
      <c r="AC22" s="2310"/>
      <c r="AD22" s="2310"/>
      <c r="AE22" s="2310"/>
      <c r="AF22" s="2310"/>
      <c r="AG22" s="2310"/>
      <c r="AH22" s="2310"/>
      <c r="AI22" s="2310"/>
      <c r="AJ22" s="2310"/>
      <c r="AK22" s="2310"/>
      <c r="AL22" s="2310"/>
      <c r="AM22" s="2310"/>
      <c r="AN22" s="2310"/>
      <c r="AO22" s="2310"/>
      <c r="AP22" s="2310"/>
      <c r="AQ22" s="2310"/>
      <c r="AR22" s="2310"/>
      <c r="AS22" s="2310"/>
      <c r="AT22" s="2310"/>
      <c r="AU22" s="2310"/>
      <c r="AV22" s="2310"/>
      <c r="AW22" s="2310"/>
      <c r="AX22" s="2310"/>
      <c r="AY22" s="2310"/>
      <c r="AZ22" s="2310"/>
      <c r="BA22" s="2310"/>
      <c r="BB22" s="2310"/>
      <c r="BC22" s="2310"/>
      <c r="BD22" s="2310"/>
      <c r="BE22" s="2310"/>
      <c r="BF22" s="2310"/>
      <c r="BG22" s="2310"/>
      <c r="BH22" s="2310"/>
      <c r="BI22" s="2310"/>
      <c r="BJ22" s="2310"/>
      <c r="BK22" s="2310"/>
      <c r="BL22" s="2310"/>
      <c r="BM22" s="2310"/>
      <c r="BN22" s="2310"/>
      <c r="BO22" s="2310"/>
      <c r="BP22" s="2310"/>
      <c r="BQ22" s="2310"/>
      <c r="BR22" s="2310"/>
      <c r="BS22" s="2310"/>
      <c r="BT22" s="2310"/>
      <c r="BU22" s="2310"/>
      <c r="BV22" s="2310"/>
      <c r="BW22" s="2310"/>
      <c r="BX22" s="2310"/>
      <c r="BY22" s="2311"/>
    </row>
    <row r="23" spans="2:101" ht="12.75" customHeight="1">
      <c r="B23" s="2309"/>
      <c r="C23" s="2310"/>
      <c r="D23" s="2310"/>
      <c r="E23" s="2310"/>
      <c r="F23" s="2310"/>
      <c r="G23" s="2310"/>
      <c r="H23" s="2310"/>
      <c r="I23" s="2310"/>
      <c r="J23" s="2310"/>
      <c r="K23" s="2310"/>
      <c r="L23" s="2310"/>
      <c r="M23" s="2310"/>
      <c r="N23" s="2310"/>
      <c r="O23" s="2310"/>
      <c r="P23" s="2310"/>
      <c r="Q23" s="2310"/>
      <c r="R23" s="2310"/>
      <c r="S23" s="2310"/>
      <c r="T23" s="2310"/>
      <c r="U23" s="2310"/>
      <c r="V23" s="2310"/>
      <c r="W23" s="2310"/>
      <c r="X23" s="2310"/>
      <c r="Y23" s="2310"/>
      <c r="Z23" s="2310"/>
      <c r="AA23" s="2310"/>
      <c r="AB23" s="2310"/>
      <c r="AC23" s="2310"/>
      <c r="AD23" s="2310"/>
      <c r="AE23" s="2310"/>
      <c r="AF23" s="2310"/>
      <c r="AG23" s="2310"/>
      <c r="AH23" s="2310"/>
      <c r="AI23" s="2310"/>
      <c r="AJ23" s="2310"/>
      <c r="AK23" s="2310"/>
      <c r="AL23" s="2310"/>
      <c r="AM23" s="2310"/>
      <c r="AN23" s="2310"/>
      <c r="AO23" s="2310"/>
      <c r="AP23" s="2310"/>
      <c r="AQ23" s="2310"/>
      <c r="AR23" s="2310"/>
      <c r="AS23" s="2310"/>
      <c r="AT23" s="2310"/>
      <c r="AU23" s="2310"/>
      <c r="AV23" s="2310"/>
      <c r="AW23" s="2310"/>
      <c r="AX23" s="2310"/>
      <c r="AY23" s="2310"/>
      <c r="AZ23" s="2310"/>
      <c r="BA23" s="2310"/>
      <c r="BB23" s="2310"/>
      <c r="BC23" s="2310"/>
      <c r="BD23" s="2310"/>
      <c r="BE23" s="2310"/>
      <c r="BF23" s="2310"/>
      <c r="BG23" s="2310"/>
      <c r="BH23" s="2310"/>
      <c r="BI23" s="2310"/>
      <c r="BJ23" s="2310"/>
      <c r="BK23" s="2310"/>
      <c r="BL23" s="2310"/>
      <c r="BM23" s="2310"/>
      <c r="BN23" s="2310"/>
      <c r="BO23" s="2310"/>
      <c r="BP23" s="2310"/>
      <c r="BQ23" s="2310"/>
      <c r="BR23" s="2310"/>
      <c r="BS23" s="2310"/>
      <c r="BT23" s="2310"/>
      <c r="BU23" s="2310"/>
      <c r="BV23" s="2310"/>
      <c r="BW23" s="2310"/>
      <c r="BX23" s="2310"/>
      <c r="BY23" s="2311"/>
    </row>
    <row r="24" spans="2:101" ht="26.25" customHeight="1">
      <c r="B24" s="2309"/>
      <c r="C24" s="2310"/>
      <c r="D24" s="2310"/>
      <c r="E24" s="2310"/>
      <c r="F24" s="2310"/>
      <c r="G24" s="2310"/>
      <c r="H24" s="2310"/>
      <c r="I24" s="2310"/>
      <c r="J24" s="2310"/>
      <c r="K24" s="2310"/>
      <c r="L24" s="2310"/>
      <c r="M24" s="2310"/>
      <c r="N24" s="2310"/>
      <c r="O24" s="2310"/>
      <c r="P24" s="2310"/>
      <c r="Q24" s="2310"/>
      <c r="R24" s="2310"/>
      <c r="S24" s="2310"/>
      <c r="T24" s="2310"/>
      <c r="U24" s="2310"/>
      <c r="V24" s="2310"/>
      <c r="W24" s="2310"/>
      <c r="X24" s="2310"/>
      <c r="Y24" s="2310"/>
      <c r="Z24" s="2310"/>
      <c r="AA24" s="2310"/>
      <c r="AB24" s="2310"/>
      <c r="AC24" s="2310"/>
      <c r="AD24" s="2310"/>
      <c r="AE24" s="2310"/>
      <c r="AF24" s="2310"/>
      <c r="AG24" s="2310"/>
      <c r="AH24" s="2310"/>
      <c r="AI24" s="2310"/>
      <c r="AJ24" s="2310"/>
      <c r="AK24" s="2310"/>
      <c r="AL24" s="2310"/>
      <c r="AM24" s="2310"/>
      <c r="AN24" s="2310"/>
      <c r="AO24" s="2310"/>
      <c r="AP24" s="2310"/>
      <c r="AQ24" s="2310"/>
      <c r="AR24" s="2310"/>
      <c r="AS24" s="2310"/>
      <c r="AT24" s="2310"/>
      <c r="AU24" s="2310"/>
      <c r="AV24" s="2310"/>
      <c r="AW24" s="2310"/>
      <c r="AX24" s="2310"/>
      <c r="AY24" s="2310"/>
      <c r="AZ24" s="2310"/>
      <c r="BA24" s="2310"/>
      <c r="BB24" s="2310"/>
      <c r="BC24" s="2310"/>
      <c r="BD24" s="2310"/>
      <c r="BE24" s="2310"/>
      <c r="BF24" s="2310"/>
      <c r="BG24" s="2310"/>
      <c r="BH24" s="2310"/>
      <c r="BI24" s="2310"/>
      <c r="BJ24" s="2310"/>
      <c r="BK24" s="2310"/>
      <c r="BL24" s="2310"/>
      <c r="BM24" s="2310"/>
      <c r="BN24" s="2310"/>
      <c r="BO24" s="2310"/>
      <c r="BP24" s="2310"/>
      <c r="BQ24" s="2310"/>
      <c r="BR24" s="2310"/>
      <c r="BS24" s="2310"/>
      <c r="BT24" s="2310"/>
      <c r="BU24" s="2310"/>
      <c r="BV24" s="2310"/>
      <c r="BW24" s="2310"/>
      <c r="BX24" s="2310"/>
      <c r="BY24" s="2311"/>
    </row>
    <row r="25" spans="2:101">
      <c r="B25" s="2312"/>
      <c r="C25" s="2313"/>
      <c r="D25" s="2313"/>
      <c r="E25" s="2313"/>
      <c r="F25" s="2313"/>
      <c r="G25" s="2313"/>
      <c r="H25" s="2313"/>
      <c r="I25" s="2313"/>
      <c r="J25" s="2313"/>
      <c r="K25" s="2313"/>
      <c r="L25" s="2313"/>
      <c r="M25" s="2313"/>
      <c r="N25" s="2313"/>
      <c r="O25" s="2313"/>
      <c r="P25" s="2313"/>
      <c r="Q25" s="2313"/>
      <c r="R25" s="2313"/>
      <c r="S25" s="2313"/>
      <c r="T25" s="2313"/>
      <c r="U25" s="2313"/>
      <c r="V25" s="2313"/>
      <c r="W25" s="2313"/>
      <c r="X25" s="2313"/>
      <c r="Y25" s="2313"/>
      <c r="Z25" s="2313"/>
      <c r="AA25" s="2313"/>
      <c r="AB25" s="2313"/>
      <c r="AC25" s="2313"/>
      <c r="AD25" s="2313"/>
      <c r="AE25" s="2313"/>
      <c r="AF25" s="2313"/>
      <c r="AG25" s="2313"/>
      <c r="AH25" s="2313"/>
      <c r="AI25" s="2313"/>
      <c r="AJ25" s="2313"/>
      <c r="AK25" s="2313"/>
      <c r="AL25" s="2313"/>
      <c r="AM25" s="2313"/>
      <c r="AN25" s="2313"/>
      <c r="AO25" s="2313"/>
      <c r="AP25" s="2313"/>
      <c r="AQ25" s="2313"/>
      <c r="AR25" s="2313"/>
      <c r="AS25" s="2313"/>
      <c r="AT25" s="2313"/>
      <c r="AU25" s="2313"/>
      <c r="AV25" s="2313"/>
      <c r="AW25" s="2313"/>
      <c r="AX25" s="2313"/>
      <c r="AY25" s="2313"/>
      <c r="AZ25" s="2313"/>
      <c r="BA25" s="2313"/>
      <c r="BB25" s="2313"/>
      <c r="BC25" s="2313"/>
      <c r="BD25" s="2313"/>
      <c r="BE25" s="2313"/>
      <c r="BF25" s="2313"/>
      <c r="BG25" s="2313"/>
      <c r="BH25" s="2313"/>
      <c r="BI25" s="2313"/>
      <c r="BJ25" s="2313"/>
      <c r="BK25" s="2313"/>
      <c r="BL25" s="2313"/>
      <c r="BM25" s="2313"/>
      <c r="BN25" s="2313"/>
      <c r="BO25" s="2313"/>
      <c r="BP25" s="2313"/>
      <c r="BQ25" s="2313"/>
      <c r="BR25" s="2313"/>
      <c r="BS25" s="2313"/>
      <c r="BT25" s="2313"/>
      <c r="BU25" s="2313"/>
      <c r="BV25" s="2313"/>
      <c r="BW25" s="2313"/>
      <c r="BX25" s="2313"/>
      <c r="BY25" s="2314"/>
    </row>
    <row r="26" spans="2:101" ht="19.5" customHeight="1"/>
    <row r="27" spans="2:101" ht="12.75" customHeight="1"/>
    <row r="28" spans="2:101" ht="12.75" customHeight="1"/>
  </sheetData>
  <mergeCells count="47">
    <mergeCell ref="B21:BY25"/>
    <mergeCell ref="BT6:BY6"/>
    <mergeCell ref="BZ6:CE6"/>
    <mergeCell ref="CF6:CK6"/>
    <mergeCell ref="CL6:CQ6"/>
    <mergeCell ref="CR6:CW6"/>
    <mergeCell ref="B20:E20"/>
    <mergeCell ref="AJ6:AO6"/>
    <mergeCell ref="AP6:AU6"/>
    <mergeCell ref="AV6:BA6"/>
    <mergeCell ref="BB6:BG6"/>
    <mergeCell ref="BH6:BM6"/>
    <mergeCell ref="BN6:BS6"/>
    <mergeCell ref="H6:H7"/>
    <mergeCell ref="I6:I7"/>
    <mergeCell ref="J6:J7"/>
    <mergeCell ref="K6:V6"/>
    <mergeCell ref="X6:AC6"/>
    <mergeCell ref="AD6:AI6"/>
    <mergeCell ref="BZ4:CE4"/>
    <mergeCell ref="CF4:CK4"/>
    <mergeCell ref="CL4:CQ4"/>
    <mergeCell ref="CR4:CW4"/>
    <mergeCell ref="B6:B7"/>
    <mergeCell ref="C6:C7"/>
    <mergeCell ref="D6:D7"/>
    <mergeCell ref="E6:E7"/>
    <mergeCell ref="F6:F7"/>
    <mergeCell ref="G6:G7"/>
    <mergeCell ref="AP4:AU4"/>
    <mergeCell ref="AV4:BA4"/>
    <mergeCell ref="BB4:BG4"/>
    <mergeCell ref="BH4:BM4"/>
    <mergeCell ref="BN4:BS4"/>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13:AB17 AH13:AH17 AN13:AN17 AT13:AT19 BF13:BF18 BL13:BL19 BR13:BR14 BX13:BX19 CD13:CD14 CJ13:CJ19 CP14:CP18 AH19 AB19 AN19 AZ13:AZ19 BR16:BR19 CD16:CD19 CV15:CV19">
    <cfRule type="colorScale" priority="80">
      <colorScale>
        <cfvo type="num" val="0.69"/>
        <cfvo type="num" val="0.8"/>
        <cfvo type="num" val="0.9"/>
        <color rgb="FFF8696B"/>
        <color rgb="FFFFEB84"/>
        <color rgb="FF63BE7B"/>
      </colorScale>
    </cfRule>
  </conditionalFormatting>
  <conditionalFormatting sqref="AZ11">
    <cfRule type="colorScale" priority="79">
      <colorScale>
        <cfvo type="num" val="0.69"/>
        <cfvo type="num" val="0.8"/>
        <cfvo type="num" val="0.9"/>
        <color rgb="FFF8696B"/>
        <color rgb="FFFFEB84"/>
        <color rgb="FF63BE7B"/>
      </colorScale>
    </cfRule>
  </conditionalFormatting>
  <conditionalFormatting sqref="BR11">
    <cfRule type="colorScale" priority="78">
      <colorScale>
        <cfvo type="num" val="0.69"/>
        <cfvo type="num" val="0.8"/>
        <cfvo type="num" val="0.9"/>
        <color rgb="FFF8696B"/>
        <color rgb="FFFFEB84"/>
        <color rgb="FF63BE7B"/>
      </colorScale>
    </cfRule>
  </conditionalFormatting>
  <conditionalFormatting sqref="BX11">
    <cfRule type="colorScale" priority="77">
      <colorScale>
        <cfvo type="num" val="0.69"/>
        <cfvo type="num" val="0.8"/>
        <cfvo type="num" val="0.9"/>
        <color rgb="FFF8696B"/>
        <color rgb="FFFFEB84"/>
        <color rgb="FF63BE7B"/>
      </colorScale>
    </cfRule>
  </conditionalFormatting>
  <conditionalFormatting sqref="CD11">
    <cfRule type="colorScale" priority="76">
      <colorScale>
        <cfvo type="num" val="0.69"/>
        <cfvo type="num" val="0.8"/>
        <cfvo type="num" val="0.9"/>
        <color rgb="FFF8696B"/>
        <color rgb="FFFFEB84"/>
        <color rgb="FF63BE7B"/>
      </colorScale>
    </cfRule>
  </conditionalFormatting>
  <conditionalFormatting sqref="CJ11">
    <cfRule type="colorScale" priority="75">
      <colorScale>
        <cfvo type="num" val="0.69"/>
        <cfvo type="num" val="0.8"/>
        <cfvo type="num" val="0.9"/>
        <color rgb="FFF8696B"/>
        <color rgb="FFFFEB84"/>
        <color rgb="FF63BE7B"/>
      </colorScale>
    </cfRule>
  </conditionalFormatting>
  <conditionalFormatting sqref="CP11">
    <cfRule type="colorScale" priority="74">
      <colorScale>
        <cfvo type="num" val="0.69"/>
        <cfvo type="num" val="0.8"/>
        <cfvo type="num" val="0.9"/>
        <color rgb="FFF8696B"/>
        <color rgb="FFFFEB84"/>
        <color rgb="FF63BE7B"/>
      </colorScale>
    </cfRule>
  </conditionalFormatting>
  <conditionalFormatting sqref="CV11">
    <cfRule type="colorScale" priority="73">
      <colorScale>
        <cfvo type="num" val="0.69"/>
        <cfvo type="num" val="0.8"/>
        <cfvo type="num" val="0.9"/>
        <color rgb="FFF8696B"/>
        <color rgb="FFFFEB84"/>
        <color rgb="FF63BE7B"/>
      </colorScale>
    </cfRule>
  </conditionalFormatting>
  <conditionalFormatting sqref="AB12">
    <cfRule type="colorScale" priority="72">
      <colorScale>
        <cfvo type="num" val="0.69"/>
        <cfvo type="num" val="0.8"/>
        <cfvo type="num" val="0.9"/>
        <color rgb="FFF8696B"/>
        <color rgb="FFFFEB84"/>
        <color rgb="FF63BE7B"/>
      </colorScale>
    </cfRule>
  </conditionalFormatting>
  <conditionalFormatting sqref="AT12">
    <cfRule type="colorScale" priority="71">
      <colorScale>
        <cfvo type="num" val="0.69"/>
        <cfvo type="num" val="0.8"/>
        <cfvo type="num" val="0.9"/>
        <color rgb="FFF8696B"/>
        <color rgb="FFFFEB84"/>
        <color rgb="FF63BE7B"/>
      </colorScale>
    </cfRule>
  </conditionalFormatting>
  <conditionalFormatting sqref="BF12">
    <cfRule type="colorScale" priority="70">
      <colorScale>
        <cfvo type="num" val="0.69"/>
        <cfvo type="num" val="0.8"/>
        <cfvo type="num" val="0.9"/>
        <color rgb="FFF8696B"/>
        <color rgb="FFFFEB84"/>
        <color rgb="FF63BE7B"/>
      </colorScale>
    </cfRule>
  </conditionalFormatting>
  <conditionalFormatting sqref="BR12">
    <cfRule type="colorScale" priority="69">
      <colorScale>
        <cfvo type="num" val="0.69"/>
        <cfvo type="num" val="0.8"/>
        <cfvo type="num" val="0.9"/>
        <color rgb="FFF8696B"/>
        <color rgb="FFFFEB84"/>
        <color rgb="FF63BE7B"/>
      </colorScale>
    </cfRule>
  </conditionalFormatting>
  <conditionalFormatting sqref="CD12">
    <cfRule type="colorScale" priority="68">
      <colorScale>
        <cfvo type="num" val="0.69"/>
        <cfvo type="num" val="0.8"/>
        <cfvo type="num" val="0.9"/>
        <color rgb="FFF8696B"/>
        <color rgb="FFFFEB84"/>
        <color rgb="FF63BE7B"/>
      </colorScale>
    </cfRule>
  </conditionalFormatting>
  <conditionalFormatting sqref="CP12">
    <cfRule type="colorScale" priority="67">
      <colorScale>
        <cfvo type="num" val="0.69"/>
        <cfvo type="num" val="0.8"/>
        <cfvo type="num" val="0.9"/>
        <color rgb="FFF8696B"/>
        <color rgb="FFFFEB84"/>
        <color rgb="FF63BE7B"/>
      </colorScale>
    </cfRule>
  </conditionalFormatting>
  <conditionalFormatting sqref="AI12">
    <cfRule type="colorScale" priority="66">
      <colorScale>
        <cfvo type="num" val="0.69"/>
        <cfvo type="num" val="0.8"/>
        <cfvo type="num" val="0.9"/>
        <color rgb="FFF8696B"/>
        <color rgb="FFFFEB84"/>
        <color rgb="FF63BE7B"/>
      </colorScale>
    </cfRule>
  </conditionalFormatting>
  <conditionalFormatting sqref="AO12">
    <cfRule type="colorScale" priority="65">
      <colorScale>
        <cfvo type="num" val="0.69"/>
        <cfvo type="num" val="0.8"/>
        <cfvo type="num" val="0.9"/>
        <color rgb="FFF8696B"/>
        <color rgb="FFFFEB84"/>
        <color rgb="FF63BE7B"/>
      </colorScale>
    </cfRule>
  </conditionalFormatting>
  <conditionalFormatting sqref="BA12">
    <cfRule type="colorScale" priority="64">
      <colorScale>
        <cfvo type="num" val="0.69"/>
        <cfvo type="num" val="0.8"/>
        <cfvo type="num" val="0.9"/>
        <color rgb="FFF8696B"/>
        <color rgb="FFFFEB84"/>
        <color rgb="FF63BE7B"/>
      </colorScale>
    </cfRule>
  </conditionalFormatting>
  <conditionalFormatting sqref="BM12">
    <cfRule type="colorScale" priority="63">
      <colorScale>
        <cfvo type="num" val="0.69"/>
        <cfvo type="num" val="0.8"/>
        <cfvo type="num" val="0.9"/>
        <color rgb="FFF8696B"/>
        <color rgb="FFFFEB84"/>
        <color rgb="FF63BE7B"/>
      </colorScale>
    </cfRule>
  </conditionalFormatting>
  <conditionalFormatting sqref="BY12">
    <cfRule type="colorScale" priority="62">
      <colorScale>
        <cfvo type="num" val="0.69"/>
        <cfvo type="num" val="0.8"/>
        <cfvo type="num" val="0.9"/>
        <color rgb="FFF8696B"/>
        <color rgb="FFFFEB84"/>
        <color rgb="FF63BE7B"/>
      </colorScale>
    </cfRule>
  </conditionalFormatting>
  <conditionalFormatting sqref="CK12">
    <cfRule type="colorScale" priority="61">
      <colorScale>
        <cfvo type="num" val="0.69"/>
        <cfvo type="num" val="0.8"/>
        <cfvo type="num" val="0.9"/>
        <color rgb="FFF8696B"/>
        <color rgb="FFFFEB84"/>
        <color rgb="FF63BE7B"/>
      </colorScale>
    </cfRule>
  </conditionalFormatting>
  <conditionalFormatting sqref="CW12">
    <cfRule type="colorScale" priority="60">
      <colorScale>
        <cfvo type="num" val="0.69"/>
        <cfvo type="num" val="0.8"/>
        <cfvo type="num" val="0.9"/>
        <color rgb="FFF8696B"/>
        <color rgb="FFFFEB84"/>
        <color rgb="FF63BE7B"/>
      </colorScale>
    </cfRule>
  </conditionalFormatting>
  <conditionalFormatting sqref="AB8">
    <cfRule type="colorScale" priority="59">
      <colorScale>
        <cfvo type="num" val="0.69"/>
        <cfvo type="num" val="0.8"/>
        <cfvo type="num" val="0.9"/>
        <color rgb="FFF8696B"/>
        <color rgb="FFFFEB84"/>
        <color rgb="FF63BE7B"/>
      </colorScale>
    </cfRule>
  </conditionalFormatting>
  <conditionalFormatting sqref="AH8">
    <cfRule type="colorScale" priority="58">
      <colorScale>
        <cfvo type="num" val="0.69"/>
        <cfvo type="num" val="0.8"/>
        <cfvo type="num" val="0.9"/>
        <color rgb="FFF8696B"/>
        <color rgb="FFFFEB84"/>
        <color rgb="FF63BE7B"/>
      </colorScale>
    </cfRule>
  </conditionalFormatting>
  <conditionalFormatting sqref="AN8">
    <cfRule type="colorScale" priority="57">
      <colorScale>
        <cfvo type="num" val="0.69"/>
        <cfvo type="num" val="0.8"/>
        <cfvo type="num" val="0.9"/>
        <color rgb="FFF8696B"/>
        <color rgb="FFFFEB84"/>
        <color rgb="FF63BE7B"/>
      </colorScale>
    </cfRule>
  </conditionalFormatting>
  <conditionalFormatting sqref="AT8">
    <cfRule type="colorScale" priority="56">
      <colorScale>
        <cfvo type="num" val="0.69"/>
        <cfvo type="num" val="0.8"/>
        <cfvo type="num" val="0.9"/>
        <color rgb="FFF8696B"/>
        <color rgb="FFFFEB84"/>
        <color rgb="FF63BE7B"/>
      </colorScale>
    </cfRule>
  </conditionalFormatting>
  <conditionalFormatting sqref="AZ8">
    <cfRule type="colorScale" priority="55">
      <colorScale>
        <cfvo type="num" val="0.69"/>
        <cfvo type="num" val="0.8"/>
        <cfvo type="num" val="0.9"/>
        <color rgb="FFF8696B"/>
        <color rgb="FFFFEB84"/>
        <color rgb="FF63BE7B"/>
      </colorScale>
    </cfRule>
  </conditionalFormatting>
  <conditionalFormatting sqref="BF8">
    <cfRule type="colorScale" priority="54">
      <colorScale>
        <cfvo type="num" val="0.69"/>
        <cfvo type="num" val="0.8"/>
        <cfvo type="num" val="0.9"/>
        <color rgb="FFF8696B"/>
        <color rgb="FFFFEB84"/>
        <color rgb="FF63BE7B"/>
      </colorScale>
    </cfRule>
  </conditionalFormatting>
  <conditionalFormatting sqref="BL8:BL9">
    <cfRule type="colorScale" priority="53">
      <colorScale>
        <cfvo type="num" val="0.69"/>
        <cfvo type="num" val="0.8"/>
        <cfvo type="num" val="0.9"/>
        <color rgb="FFF8696B"/>
        <color rgb="FFFFEB84"/>
        <color rgb="FF63BE7B"/>
      </colorScale>
    </cfRule>
  </conditionalFormatting>
  <conditionalFormatting sqref="BR8">
    <cfRule type="colorScale" priority="52">
      <colorScale>
        <cfvo type="num" val="0.69"/>
        <cfvo type="num" val="0.8"/>
        <cfvo type="num" val="0.9"/>
        <color rgb="FFF8696B"/>
        <color rgb="FFFFEB84"/>
        <color rgb="FF63BE7B"/>
      </colorScale>
    </cfRule>
  </conditionalFormatting>
  <conditionalFormatting sqref="BX8">
    <cfRule type="colorScale" priority="51">
      <colorScale>
        <cfvo type="num" val="0.69"/>
        <cfvo type="num" val="0.8"/>
        <cfvo type="num" val="0.9"/>
        <color rgb="FFF8696B"/>
        <color rgb="FFFFEB84"/>
        <color rgb="FF63BE7B"/>
      </colorScale>
    </cfRule>
  </conditionalFormatting>
  <conditionalFormatting sqref="CD8">
    <cfRule type="colorScale" priority="50">
      <colorScale>
        <cfvo type="num" val="0.69"/>
        <cfvo type="num" val="0.8"/>
        <cfvo type="num" val="0.9"/>
        <color rgb="FFF8696B"/>
        <color rgb="FFFFEB84"/>
        <color rgb="FF63BE7B"/>
      </colorScale>
    </cfRule>
  </conditionalFormatting>
  <conditionalFormatting sqref="CJ8">
    <cfRule type="colorScale" priority="49">
      <colorScale>
        <cfvo type="num" val="0.69"/>
        <cfvo type="num" val="0.8"/>
        <cfvo type="num" val="0.9"/>
        <color rgb="FFF8696B"/>
        <color rgb="FFFFEB84"/>
        <color rgb="FF63BE7B"/>
      </colorScale>
    </cfRule>
  </conditionalFormatting>
  <conditionalFormatting sqref="CP8">
    <cfRule type="colorScale" priority="48">
      <colorScale>
        <cfvo type="num" val="0.69"/>
        <cfvo type="num" val="0.8"/>
        <cfvo type="num" val="0.9"/>
        <color rgb="FFF8696B"/>
        <color rgb="FFFFEB84"/>
        <color rgb="FF63BE7B"/>
      </colorScale>
    </cfRule>
  </conditionalFormatting>
  <conditionalFormatting sqref="CV8">
    <cfRule type="colorScale" priority="47">
      <colorScale>
        <cfvo type="num" val="0.69"/>
        <cfvo type="num" val="0.8"/>
        <cfvo type="num" val="0.9"/>
        <color rgb="FFF8696B"/>
        <color rgb="FFFFEB84"/>
        <color rgb="FF63BE7B"/>
      </colorScale>
    </cfRule>
  </conditionalFormatting>
  <conditionalFormatting sqref="AB9">
    <cfRule type="colorScale" priority="46">
      <colorScale>
        <cfvo type="num" val="0.69"/>
        <cfvo type="num" val="0.8"/>
        <cfvo type="num" val="0.9"/>
        <color rgb="FFF8696B"/>
        <color rgb="FFFFEB84"/>
        <color rgb="FF63BE7B"/>
      </colorScale>
    </cfRule>
  </conditionalFormatting>
  <conditionalFormatting sqref="AH9">
    <cfRule type="colorScale" priority="45">
      <colorScale>
        <cfvo type="num" val="0.69"/>
        <cfvo type="num" val="0.8"/>
        <cfvo type="num" val="0.9"/>
        <color rgb="FFF8696B"/>
        <color rgb="FFFFEB84"/>
        <color rgb="FF63BE7B"/>
      </colorScale>
    </cfRule>
  </conditionalFormatting>
  <conditionalFormatting sqref="AN9">
    <cfRule type="colorScale" priority="44">
      <colorScale>
        <cfvo type="num" val="0.69"/>
        <cfvo type="num" val="0.8"/>
        <cfvo type="num" val="0.9"/>
        <color rgb="FFF8696B"/>
        <color rgb="FFFFEB84"/>
        <color rgb="FF63BE7B"/>
      </colorScale>
    </cfRule>
  </conditionalFormatting>
  <conditionalFormatting sqref="AT9">
    <cfRule type="colorScale" priority="43">
      <colorScale>
        <cfvo type="num" val="0.69"/>
        <cfvo type="num" val="0.8"/>
        <cfvo type="num" val="0.9"/>
        <color rgb="FFF8696B"/>
        <color rgb="FFFFEB84"/>
        <color rgb="FF63BE7B"/>
      </colorScale>
    </cfRule>
  </conditionalFormatting>
  <conditionalFormatting sqref="AZ9">
    <cfRule type="colorScale" priority="42">
      <colorScale>
        <cfvo type="num" val="0.69"/>
        <cfvo type="num" val="0.8"/>
        <cfvo type="num" val="0.9"/>
        <color rgb="FFF8696B"/>
        <color rgb="FFFFEB84"/>
        <color rgb="FF63BE7B"/>
      </colorScale>
    </cfRule>
  </conditionalFormatting>
  <conditionalFormatting sqref="BF9">
    <cfRule type="colorScale" priority="41">
      <colorScale>
        <cfvo type="num" val="0.69"/>
        <cfvo type="num" val="0.8"/>
        <cfvo type="num" val="0.9"/>
        <color rgb="FFF8696B"/>
        <color rgb="FFFFEB84"/>
        <color rgb="FF63BE7B"/>
      </colorScale>
    </cfRule>
  </conditionalFormatting>
  <conditionalFormatting sqref="BR9">
    <cfRule type="colorScale" priority="40">
      <colorScale>
        <cfvo type="num" val="0.69"/>
        <cfvo type="num" val="0.8"/>
        <cfvo type="num" val="0.9"/>
        <color rgb="FFF8696B"/>
        <color rgb="FFFFEB84"/>
        <color rgb="FF63BE7B"/>
      </colorScale>
    </cfRule>
  </conditionalFormatting>
  <conditionalFormatting sqref="BX9">
    <cfRule type="colorScale" priority="39">
      <colorScale>
        <cfvo type="num" val="0.69"/>
        <cfvo type="num" val="0.8"/>
        <cfvo type="num" val="0.9"/>
        <color rgb="FFF8696B"/>
        <color rgb="FFFFEB84"/>
        <color rgb="FF63BE7B"/>
      </colorScale>
    </cfRule>
  </conditionalFormatting>
  <conditionalFormatting sqref="CD9">
    <cfRule type="colorScale" priority="38">
      <colorScale>
        <cfvo type="num" val="0.69"/>
        <cfvo type="num" val="0.8"/>
        <cfvo type="num" val="0.9"/>
        <color rgb="FFF8696B"/>
        <color rgb="FFFFEB84"/>
        <color rgb="FF63BE7B"/>
      </colorScale>
    </cfRule>
  </conditionalFormatting>
  <conditionalFormatting sqref="CJ9">
    <cfRule type="colorScale" priority="37">
      <colorScale>
        <cfvo type="num" val="0.69"/>
        <cfvo type="num" val="0.8"/>
        <cfvo type="num" val="0.9"/>
        <color rgb="FFF8696B"/>
        <color rgb="FFFFEB84"/>
        <color rgb="FF63BE7B"/>
      </colorScale>
    </cfRule>
  </conditionalFormatting>
  <conditionalFormatting sqref="CP9">
    <cfRule type="colorScale" priority="36">
      <colorScale>
        <cfvo type="num" val="0.69"/>
        <cfvo type="num" val="0.8"/>
        <cfvo type="num" val="0.9"/>
        <color rgb="FFF8696B"/>
        <color rgb="FFFFEB84"/>
        <color rgb="FF63BE7B"/>
      </colorScale>
    </cfRule>
  </conditionalFormatting>
  <conditionalFormatting sqref="CV9">
    <cfRule type="colorScale" priority="35">
      <colorScale>
        <cfvo type="num" val="0.69"/>
        <cfvo type="num" val="0.8"/>
        <cfvo type="num" val="0.9"/>
        <color rgb="FFF8696B"/>
        <color rgb="FFFFEB84"/>
        <color rgb="FF63BE7B"/>
      </colorScale>
    </cfRule>
  </conditionalFormatting>
  <conditionalFormatting sqref="AZ10">
    <cfRule type="colorScale" priority="34">
      <colorScale>
        <cfvo type="num" val="0.69"/>
        <cfvo type="num" val="0.8"/>
        <cfvo type="num" val="0.9"/>
        <color rgb="FFF8696B"/>
        <color rgb="FFFFEB84"/>
        <color rgb="FF63BE7B"/>
      </colorScale>
    </cfRule>
  </conditionalFormatting>
  <conditionalFormatting sqref="BX10">
    <cfRule type="colorScale" priority="32">
      <colorScale>
        <cfvo type="num" val="0.69"/>
        <cfvo type="num" val="0.8"/>
        <cfvo type="num" val="0.9"/>
        <color rgb="FFF8696B"/>
        <color rgb="FFFFEB84"/>
        <color rgb="FF63BE7B"/>
      </colorScale>
    </cfRule>
  </conditionalFormatting>
  <conditionalFormatting sqref="BR10">
    <cfRule type="colorScale" priority="33">
      <colorScale>
        <cfvo type="num" val="0.69"/>
        <cfvo type="num" val="0.8"/>
        <cfvo type="num" val="0.9"/>
        <color rgb="FFF8696B"/>
        <color rgb="FFFFEB84"/>
        <color rgb="FF63BE7B"/>
      </colorScale>
    </cfRule>
  </conditionalFormatting>
  <conditionalFormatting sqref="CD10">
    <cfRule type="colorScale" priority="31">
      <colorScale>
        <cfvo type="num" val="0.69"/>
        <cfvo type="num" val="0.8"/>
        <cfvo type="num" val="0.9"/>
        <color rgb="FFF8696B"/>
        <color rgb="FFFFEB84"/>
        <color rgb="FF63BE7B"/>
      </colorScale>
    </cfRule>
  </conditionalFormatting>
  <conditionalFormatting sqref="CJ10">
    <cfRule type="colorScale" priority="30">
      <colorScale>
        <cfvo type="num" val="0.69"/>
        <cfvo type="num" val="0.8"/>
        <cfvo type="num" val="0.9"/>
        <color rgb="FFF8696B"/>
        <color rgb="FFFFEB84"/>
        <color rgb="FF63BE7B"/>
      </colorScale>
    </cfRule>
  </conditionalFormatting>
  <conditionalFormatting sqref="CP10">
    <cfRule type="colorScale" priority="29">
      <colorScale>
        <cfvo type="num" val="0.69"/>
        <cfvo type="num" val="0.8"/>
        <cfvo type="num" val="0.9"/>
        <color rgb="FFF8696B"/>
        <color rgb="FFFFEB84"/>
        <color rgb="FF63BE7B"/>
      </colorScale>
    </cfRule>
  </conditionalFormatting>
  <conditionalFormatting sqref="CV10">
    <cfRule type="colorScale" priority="28">
      <colorScale>
        <cfvo type="num" val="0.69"/>
        <cfvo type="num" val="0.8"/>
        <cfvo type="num" val="0.9"/>
        <color rgb="FFF8696B"/>
        <color rgb="FFFFEB84"/>
        <color rgb="FF63BE7B"/>
      </colorScale>
    </cfRule>
  </conditionalFormatting>
  <conditionalFormatting sqref="AB18 AH18">
    <cfRule type="colorScale" priority="27">
      <colorScale>
        <cfvo type="num" val="0.69"/>
        <cfvo type="num" val="0.8"/>
        <cfvo type="num" val="0.9"/>
        <color rgb="FFF8696B"/>
        <color rgb="FFFFEB84"/>
        <color rgb="FF63BE7B"/>
      </colorScale>
    </cfRule>
  </conditionalFormatting>
  <conditionalFormatting sqref="AN18">
    <cfRule type="colorScale" priority="26">
      <colorScale>
        <cfvo type="num" val="0.69"/>
        <cfvo type="num" val="0.8"/>
        <cfvo type="num" val="0.9"/>
        <color rgb="FFF8696B"/>
        <color rgb="FFFFEB84"/>
        <color rgb="FF63BE7B"/>
      </colorScale>
    </cfRule>
  </conditionalFormatting>
  <conditionalFormatting sqref="AB11">
    <cfRule type="colorScale" priority="25">
      <colorScale>
        <cfvo type="num" val="0.69"/>
        <cfvo type="num" val="0.8"/>
        <cfvo type="num" val="0.9"/>
        <color rgb="FFF8696B"/>
        <color rgb="FFFFEB84"/>
        <color rgb="FF63BE7B"/>
      </colorScale>
    </cfRule>
  </conditionalFormatting>
  <conditionalFormatting sqref="AH11">
    <cfRule type="colorScale" priority="24">
      <colorScale>
        <cfvo type="num" val="0.69"/>
        <cfvo type="num" val="0.8"/>
        <cfvo type="num" val="0.9"/>
        <color rgb="FFF8696B"/>
        <color rgb="FFFFEB84"/>
        <color rgb="FF63BE7B"/>
      </colorScale>
    </cfRule>
  </conditionalFormatting>
  <conditionalFormatting sqref="AN11">
    <cfRule type="colorScale" priority="23">
      <colorScale>
        <cfvo type="num" val="0.69"/>
        <cfvo type="num" val="0.8"/>
        <cfvo type="num" val="0.9"/>
        <color rgb="FFF8696B"/>
        <color rgb="FFFFEB84"/>
        <color rgb="FF63BE7B"/>
      </colorScale>
    </cfRule>
  </conditionalFormatting>
  <conditionalFormatting sqref="AT11">
    <cfRule type="colorScale" priority="22">
      <colorScale>
        <cfvo type="num" val="0.69"/>
        <cfvo type="num" val="0.8"/>
        <cfvo type="num" val="0.9"/>
        <color rgb="FFF8696B"/>
        <color rgb="FFFFEB84"/>
        <color rgb="FF63BE7B"/>
      </colorScale>
    </cfRule>
  </conditionalFormatting>
  <conditionalFormatting sqref="AB10">
    <cfRule type="colorScale" priority="21">
      <colorScale>
        <cfvo type="num" val="0.69"/>
        <cfvo type="num" val="0.8"/>
        <cfvo type="num" val="0.9"/>
        <color rgb="FFF8696B"/>
        <color rgb="FFFFEB84"/>
        <color rgb="FF63BE7B"/>
      </colorScale>
    </cfRule>
  </conditionalFormatting>
  <conditionalFormatting sqref="AH10">
    <cfRule type="colorScale" priority="20">
      <colorScale>
        <cfvo type="num" val="0.69"/>
        <cfvo type="num" val="0.8"/>
        <cfvo type="num" val="0.9"/>
        <color rgb="FFF8696B"/>
        <color rgb="FFFFEB84"/>
        <color rgb="FF63BE7B"/>
      </colorScale>
    </cfRule>
  </conditionalFormatting>
  <conditionalFormatting sqref="AN10">
    <cfRule type="colorScale" priority="19">
      <colorScale>
        <cfvo type="num" val="0.69"/>
        <cfvo type="num" val="0.8"/>
        <cfvo type="num" val="0.9"/>
        <color rgb="FFF8696B"/>
        <color rgb="FFFFEB84"/>
        <color rgb="FF63BE7B"/>
      </colorScale>
    </cfRule>
  </conditionalFormatting>
  <conditionalFormatting sqref="AT10">
    <cfRule type="colorScale" priority="18">
      <colorScale>
        <cfvo type="num" val="0.69"/>
        <cfvo type="num" val="0.8"/>
        <cfvo type="num" val="0.9"/>
        <color rgb="FFF8696B"/>
        <color rgb="FFFFEB84"/>
        <color rgb="FF63BE7B"/>
      </colorScale>
    </cfRule>
  </conditionalFormatting>
  <conditionalFormatting sqref="BF10">
    <cfRule type="colorScale" priority="17">
      <colorScale>
        <cfvo type="num" val="0.69"/>
        <cfvo type="num" val="0.8"/>
        <cfvo type="num" val="0.9"/>
        <color rgb="FFF8696B"/>
        <color rgb="FFFFEB84"/>
        <color rgb="FF63BE7B"/>
      </colorScale>
    </cfRule>
  </conditionalFormatting>
  <conditionalFormatting sqref="BF11">
    <cfRule type="colorScale" priority="16">
      <colorScale>
        <cfvo type="num" val="0.69"/>
        <cfvo type="num" val="0.8"/>
        <cfvo type="num" val="0.9"/>
        <color rgb="FFF8696B"/>
        <color rgb="FFFFEB84"/>
        <color rgb="FF63BE7B"/>
      </colorScale>
    </cfRule>
  </conditionalFormatting>
  <conditionalFormatting sqref="BF19">
    <cfRule type="colorScale" priority="15">
      <colorScale>
        <cfvo type="num" val="0.69"/>
        <cfvo type="num" val="0.8"/>
        <cfvo type="num" val="0.9"/>
        <color rgb="FFF8696B"/>
        <color rgb="FFFFEB84"/>
        <color rgb="FF63BE7B"/>
      </colorScale>
    </cfRule>
  </conditionalFormatting>
  <conditionalFormatting sqref="BL10">
    <cfRule type="colorScale" priority="14">
      <colorScale>
        <cfvo type="num" val="0.69"/>
        <cfvo type="num" val="0.8"/>
        <cfvo type="num" val="0.9"/>
        <color rgb="FFF8696B"/>
        <color rgb="FFFFEB84"/>
        <color rgb="FF63BE7B"/>
      </colorScale>
    </cfRule>
  </conditionalFormatting>
  <conditionalFormatting sqref="BL11">
    <cfRule type="colorScale" priority="13">
      <colorScale>
        <cfvo type="num" val="0.69"/>
        <cfvo type="num" val="0.8"/>
        <cfvo type="num" val="0.9"/>
        <color rgb="FFF8696B"/>
        <color rgb="FFFFEB84"/>
        <color rgb="FF63BE7B"/>
      </colorScale>
    </cfRule>
  </conditionalFormatting>
  <conditionalFormatting sqref="BR15">
    <cfRule type="colorScale" priority="12">
      <colorScale>
        <cfvo type="num" val="0.69"/>
        <cfvo type="num" val="0.8"/>
        <cfvo type="num" val="0.9"/>
        <color rgb="FFF8696B"/>
        <color rgb="FFFFEB84"/>
        <color rgb="FF63BE7B"/>
      </colorScale>
    </cfRule>
  </conditionalFormatting>
  <conditionalFormatting sqref="BR15">
    <cfRule type="colorScale" priority="11">
      <colorScale>
        <cfvo type="num" val="0.69"/>
        <cfvo type="num" val="0.8"/>
        <cfvo type="num" val="0.9"/>
        <color rgb="FFF8696B"/>
        <color rgb="FFFFEB84"/>
        <color rgb="FF63BE7B"/>
      </colorScale>
    </cfRule>
  </conditionalFormatting>
  <conditionalFormatting sqref="BR15">
    <cfRule type="colorScale" priority="10">
      <colorScale>
        <cfvo type="num" val="0.69"/>
        <cfvo type="num" val="0.8"/>
        <cfvo type="num" val="0.9"/>
        <color rgb="FFF8696B"/>
        <color rgb="FFFFEB84"/>
        <color rgb="FF63BE7B"/>
      </colorScale>
    </cfRule>
  </conditionalFormatting>
  <conditionalFormatting sqref="CD15">
    <cfRule type="colorScale" priority="9">
      <colorScale>
        <cfvo type="num" val="0.69"/>
        <cfvo type="num" val="0.8"/>
        <cfvo type="num" val="0.9"/>
        <color rgb="FFF8696B"/>
        <color rgb="FFFFEB84"/>
        <color rgb="FF63BE7B"/>
      </colorScale>
    </cfRule>
  </conditionalFormatting>
  <conditionalFormatting sqref="CD15">
    <cfRule type="colorScale" priority="8">
      <colorScale>
        <cfvo type="num" val="0.69"/>
        <cfvo type="num" val="0.8"/>
        <cfvo type="num" val="0.9"/>
        <color rgb="FFF8696B"/>
        <color rgb="FFFFEB84"/>
        <color rgb="FF63BE7B"/>
      </colorScale>
    </cfRule>
  </conditionalFormatting>
  <conditionalFormatting sqref="CD15">
    <cfRule type="colorScale" priority="7">
      <colorScale>
        <cfvo type="num" val="0.69"/>
        <cfvo type="num" val="0.8"/>
        <cfvo type="num" val="0.9"/>
        <color rgb="FFF8696B"/>
        <color rgb="FFFFEB84"/>
        <color rgb="FF63BE7B"/>
      </colorScale>
    </cfRule>
  </conditionalFormatting>
  <conditionalFormatting sqref="CP13">
    <cfRule type="colorScale" priority="6">
      <colorScale>
        <cfvo type="num" val="0.69"/>
        <cfvo type="num" val="0.8"/>
        <cfvo type="num" val="0.9"/>
        <color rgb="FFF8696B"/>
        <color rgb="FFFFEB84"/>
        <color rgb="FF63BE7B"/>
      </colorScale>
    </cfRule>
  </conditionalFormatting>
  <conditionalFormatting sqref="CV13">
    <cfRule type="colorScale" priority="5">
      <colorScale>
        <cfvo type="num" val="0.69"/>
        <cfvo type="num" val="0.8"/>
        <cfvo type="num" val="0.9"/>
        <color rgb="FFF8696B"/>
        <color rgb="FFFFEB84"/>
        <color rgb="FF63BE7B"/>
      </colorScale>
    </cfRule>
  </conditionalFormatting>
  <conditionalFormatting sqref="CP19">
    <cfRule type="colorScale" priority="4">
      <colorScale>
        <cfvo type="num" val="0.69"/>
        <cfvo type="num" val="0.8"/>
        <cfvo type="num" val="0.9"/>
        <color rgb="FFF8696B"/>
        <color rgb="FFFFEB84"/>
        <color rgb="FF63BE7B"/>
      </colorScale>
    </cfRule>
  </conditionalFormatting>
  <conditionalFormatting sqref="CV14">
    <cfRule type="colorScale" priority="3">
      <colorScale>
        <cfvo type="num" val="0.69"/>
        <cfvo type="num" val="0.8"/>
        <cfvo type="num" val="0.9"/>
        <color rgb="FFF8696B"/>
        <color rgb="FFFFEB84"/>
        <color rgb="FF63BE7B"/>
      </colorScale>
    </cfRule>
  </conditionalFormatting>
  <conditionalFormatting sqref="CV14">
    <cfRule type="colorScale" priority="2">
      <colorScale>
        <cfvo type="num" val="0.69"/>
        <cfvo type="num" val="0.8"/>
        <cfvo type="num" val="0.9"/>
        <color rgb="FFF8696B"/>
        <color rgb="FFFFEB84"/>
        <color rgb="FF63BE7B"/>
      </colorScale>
    </cfRule>
  </conditionalFormatting>
  <conditionalFormatting sqref="CV14">
    <cfRule type="colorScale" priority="1">
      <colorScale>
        <cfvo type="num" val="0.69"/>
        <cfvo type="num" val="0.8"/>
        <cfvo type="num" val="0.9"/>
        <color rgb="FFF8696B"/>
        <color rgb="FFFFEB84"/>
        <color rgb="FF63BE7B"/>
      </colorScale>
    </cfRule>
  </conditionalFormatting>
  <printOptions horizontalCentered="1" verticalCentered="1"/>
  <pageMargins left="0.78740157480314965" right="0.19685039370078741" top="0.39370078740157483" bottom="0.39370078740157483" header="0.31496062992125984" footer="0.31496062992125984"/>
  <pageSetup paperSize="14" scale="55" fitToHeight="4" orientation="landscape" r:id="rId1"/>
  <headerFooter alignWithMargins="0"/>
  <rowBreaks count="2" manualBreakCount="2">
    <brk id="10" max="100" man="1"/>
    <brk id="16" max="100" man="1"/>
  </rowBreaks>
  <colBreaks count="2" manualBreakCount="2">
    <brk id="89" max="24" man="1"/>
    <brk id="95" max="24"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sheetPr>
  <dimension ref="A1:CW28"/>
  <sheetViews>
    <sheetView showGridLines="0" topLeftCell="B1" zoomScaleNormal="100" zoomScaleSheetLayoutView="100" workbookViewId="0">
      <selection activeCell="D2" sqref="D2:N2"/>
    </sheetView>
  </sheetViews>
  <sheetFormatPr baseColWidth="10" defaultRowHeight="12.75"/>
  <cols>
    <col min="1" max="1" width="1.140625" style="15" hidden="1" customWidth="1"/>
    <col min="2" max="2" width="13.42578125" style="15" customWidth="1"/>
    <col min="3" max="3" width="5.42578125" style="2" customWidth="1"/>
    <col min="4" max="4" width="16.140625" style="15" customWidth="1"/>
    <col min="5" max="5" width="11.5703125" style="15" customWidth="1"/>
    <col min="6" max="6" width="12" style="15" customWidth="1"/>
    <col min="7" max="7" width="9.28515625" style="15" hidden="1" customWidth="1"/>
    <col min="8" max="8" width="15.85546875" style="15" customWidth="1"/>
    <col min="9" max="9" width="13.5703125" style="15" hidden="1" customWidth="1"/>
    <col min="10" max="10" width="10" style="15" hidden="1" customWidth="1"/>
    <col min="11" max="11" width="3.28515625" style="15" customWidth="1"/>
    <col min="12" max="12" width="5" style="15" customWidth="1"/>
    <col min="13" max="13" width="4.85546875" style="15" customWidth="1"/>
    <col min="14" max="14" width="4.7109375" style="15" customWidth="1"/>
    <col min="15" max="15" width="3.85546875" style="15" customWidth="1"/>
    <col min="16" max="16" width="5.140625" style="15" customWidth="1"/>
    <col min="17" max="17" width="4.28515625" style="15" customWidth="1"/>
    <col min="18" max="18" width="5.28515625" style="15" customWidth="1"/>
    <col min="19" max="19" width="5" style="15" customWidth="1"/>
    <col min="20" max="20" width="4.7109375" style="15" customWidth="1"/>
    <col min="21" max="21" width="4.28515625" style="15" customWidth="1"/>
    <col min="22" max="22" width="4.7109375" style="15" customWidth="1"/>
    <col min="23" max="23" width="7.28515625" style="15" hidden="1" customWidth="1"/>
    <col min="24" max="24" width="9.28515625" style="15" hidden="1" customWidth="1"/>
    <col min="25" max="25" width="11" style="15" hidden="1" customWidth="1"/>
    <col min="26" max="27" width="8.140625" style="15" hidden="1" customWidth="1"/>
    <col min="28" max="28" width="11.5703125" style="15" hidden="1" customWidth="1"/>
    <col min="29" max="29" width="37.7109375" style="15" hidden="1" customWidth="1"/>
    <col min="30" max="30" width="9.28515625" style="15" hidden="1" customWidth="1"/>
    <col min="31" max="31" width="11" style="15" hidden="1" customWidth="1"/>
    <col min="32" max="33" width="8.140625" style="15" hidden="1" customWidth="1"/>
    <col min="34" max="34" width="11.5703125" style="15" hidden="1" customWidth="1"/>
    <col min="35" max="35" width="37.7109375" style="15" hidden="1" customWidth="1"/>
    <col min="36" max="36" width="10.140625" style="15" hidden="1" customWidth="1"/>
    <col min="37" max="37" width="11" style="15" hidden="1" customWidth="1"/>
    <col min="38" max="39" width="8.140625" style="15" hidden="1" customWidth="1"/>
    <col min="40" max="40" width="11.5703125" style="15" hidden="1" customWidth="1"/>
    <col min="41" max="41" width="37.7109375" style="15" hidden="1" customWidth="1"/>
    <col min="42" max="42" width="9.28515625" style="15" hidden="1" customWidth="1"/>
    <col min="43" max="43" width="11" style="15" hidden="1" customWidth="1"/>
    <col min="44" max="45" width="8.140625" style="15" hidden="1" customWidth="1"/>
    <col min="46" max="46" width="11.5703125" style="15" hidden="1" customWidth="1"/>
    <col min="47" max="47" width="37.7109375" style="15" hidden="1" customWidth="1"/>
    <col min="48" max="48" width="9.28515625" style="15" hidden="1" customWidth="1"/>
    <col min="49" max="49" width="11" style="15" hidden="1" customWidth="1"/>
    <col min="50" max="51" width="8.140625" style="15" hidden="1" customWidth="1"/>
    <col min="52" max="52" width="11.5703125" style="15" hidden="1" customWidth="1"/>
    <col min="53" max="53" width="37.7109375" style="15" hidden="1" customWidth="1"/>
    <col min="54" max="54" width="12.5703125" style="15" hidden="1" customWidth="1"/>
    <col min="55" max="55" width="11.85546875" style="15" hidden="1" customWidth="1"/>
    <col min="56" max="57" width="8.140625" style="15" hidden="1" customWidth="1"/>
    <col min="58" max="58" width="11.5703125" style="15" hidden="1" customWidth="1"/>
    <col min="59" max="59" width="36.5703125" style="15" hidden="1" customWidth="1"/>
    <col min="60" max="60" width="10.85546875" style="15" hidden="1" customWidth="1"/>
    <col min="61" max="61" width="10.7109375" style="15" hidden="1" customWidth="1"/>
    <col min="62" max="62" width="8.140625" style="15" hidden="1" customWidth="1"/>
    <col min="63" max="63" width="7.5703125" style="15" hidden="1" customWidth="1"/>
    <col min="64" max="64" width="10.85546875" style="15" hidden="1" customWidth="1"/>
    <col min="65" max="65" width="33.5703125" style="15" hidden="1" customWidth="1"/>
    <col min="66" max="66" width="10.85546875" style="15" hidden="1" customWidth="1"/>
    <col min="67" max="67" width="11" style="15" hidden="1" customWidth="1"/>
    <col min="68" max="68" width="8.140625" style="15" hidden="1" customWidth="1"/>
    <col min="69" max="69" width="7.140625" style="15" hidden="1" customWidth="1"/>
    <col min="70" max="70" width="11.5703125" style="15" hidden="1" customWidth="1"/>
    <col min="71" max="71" width="35.140625" style="15" hidden="1" customWidth="1"/>
    <col min="72" max="72" width="12.140625" style="15" hidden="1" customWidth="1"/>
    <col min="73" max="73" width="12.5703125" style="15" hidden="1" customWidth="1"/>
    <col min="74" max="74" width="8.140625" style="15" hidden="1" customWidth="1"/>
    <col min="75" max="75" width="7.28515625" style="15" hidden="1" customWidth="1"/>
    <col min="76" max="76" width="9.28515625" style="15" hidden="1" customWidth="1"/>
    <col min="77" max="77" width="35.7109375" style="15" hidden="1" customWidth="1"/>
    <col min="78" max="78" width="11" style="15" hidden="1" customWidth="1"/>
    <col min="79" max="79" width="10.85546875" style="15" hidden="1" customWidth="1"/>
    <col min="80" max="81" width="8.140625" style="15" hidden="1" customWidth="1"/>
    <col min="82" max="82" width="11.5703125" style="15" hidden="1" customWidth="1"/>
    <col min="83" max="83" width="36.42578125" style="15" hidden="1" customWidth="1"/>
    <col min="84" max="84" width="10.42578125" style="15" hidden="1" customWidth="1"/>
    <col min="85" max="85" width="11" style="15" hidden="1" customWidth="1"/>
    <col min="86" max="87" width="8.140625" style="15" hidden="1" customWidth="1"/>
    <col min="88" max="88" width="11.5703125" style="15" hidden="1" customWidth="1"/>
    <col min="89" max="89" width="36.42578125" style="15" hidden="1" customWidth="1"/>
    <col min="90" max="90" width="11.7109375" style="15" hidden="1" customWidth="1"/>
    <col min="91" max="91" width="11.5703125" style="15" hidden="1" customWidth="1"/>
    <col min="92" max="93" width="8.140625" style="15" hidden="1" customWidth="1"/>
    <col min="94" max="94" width="11.5703125" style="15" hidden="1" customWidth="1"/>
    <col min="95" max="95" width="34" style="15" hidden="1" customWidth="1"/>
    <col min="96" max="97" width="11.42578125" style="15" customWidth="1"/>
    <col min="98" max="98" width="8.140625" style="15" customWidth="1"/>
    <col min="99" max="99" width="9.140625" style="15" customWidth="1"/>
    <col min="100" max="100" width="11.140625" style="15" customWidth="1"/>
    <col min="101" max="101" width="33.28515625" style="15" customWidth="1"/>
    <col min="102" max="16384" width="11.42578125" style="15"/>
  </cols>
  <sheetData>
    <row r="1" spans="1:101" s="4" customFormat="1" ht="24.75" customHeight="1">
      <c r="A1" s="10"/>
      <c r="B1" s="1991" t="s">
        <v>22</v>
      </c>
      <c r="C1" s="1991"/>
      <c r="D1" s="1991"/>
      <c r="E1" s="1991"/>
      <c r="F1" s="1991"/>
      <c r="G1" s="1991"/>
      <c r="H1" s="1991"/>
      <c r="I1" s="1991"/>
      <c r="J1" s="1991"/>
      <c r="K1" s="1991"/>
      <c r="L1" s="1991"/>
      <c r="M1" s="1991"/>
      <c r="N1" s="1991"/>
      <c r="O1" s="1983"/>
      <c r="P1" s="1984"/>
      <c r="Q1" s="1984"/>
      <c r="R1" s="1984"/>
      <c r="S1" s="1982"/>
      <c r="T1" s="1982"/>
      <c r="U1" s="1982"/>
      <c r="V1" s="1982"/>
    </row>
    <row r="2" spans="1:101" s="3" customFormat="1" ht="22.5" customHeight="1">
      <c r="A2" s="1980" t="s">
        <v>52</v>
      </c>
      <c r="B2" s="1981"/>
      <c r="C2" s="11"/>
      <c r="D2" s="1985" t="s">
        <v>50</v>
      </c>
      <c r="E2" s="1985"/>
      <c r="F2" s="1985"/>
      <c r="G2" s="1985"/>
      <c r="H2" s="1985"/>
      <c r="I2" s="1985"/>
      <c r="J2" s="1985"/>
      <c r="K2" s="1985"/>
      <c r="L2" s="1985"/>
      <c r="M2" s="1985"/>
      <c r="N2" s="1981"/>
      <c r="O2" s="1978" t="s">
        <v>48</v>
      </c>
      <c r="P2" s="1978"/>
      <c r="Q2" s="1978"/>
      <c r="R2" s="1978"/>
      <c r="S2" s="1982"/>
      <c r="T2" s="1982"/>
      <c r="U2" s="1982"/>
      <c r="V2" s="1982"/>
    </row>
    <row r="3" spans="1:101" ht="5.25" customHeight="1"/>
    <row r="4" spans="1:101" ht="19.5" customHeight="1">
      <c r="B4" s="49" t="s">
        <v>18</v>
      </c>
      <c r="C4" s="1979" t="s">
        <v>1458</v>
      </c>
      <c r="D4" s="1979"/>
      <c r="E4" s="1979"/>
      <c r="F4" s="1979"/>
      <c r="G4" s="1979"/>
      <c r="H4" s="1979"/>
      <c r="I4" s="1979"/>
      <c r="J4" s="1979"/>
      <c r="K4" s="1996" t="s">
        <v>21</v>
      </c>
      <c r="L4" s="1996"/>
      <c r="M4" s="1996"/>
      <c r="N4" s="1999"/>
      <c r="O4" s="2000"/>
      <c r="P4" s="2000"/>
      <c r="Q4" s="2000"/>
      <c r="R4" s="2000"/>
      <c r="S4" s="2000"/>
      <c r="T4" s="2000"/>
      <c r="U4" s="2000"/>
      <c r="V4" s="2001"/>
      <c r="W4" s="128"/>
      <c r="X4" s="1994" t="s">
        <v>29</v>
      </c>
      <c r="Y4" s="1994"/>
      <c r="Z4" s="1994"/>
      <c r="AA4" s="1994"/>
      <c r="AB4" s="1994"/>
      <c r="AC4" s="1995"/>
      <c r="AD4" s="1993" t="s">
        <v>29</v>
      </c>
      <c r="AE4" s="1994"/>
      <c r="AF4" s="1994"/>
      <c r="AG4" s="1994"/>
      <c r="AH4" s="1994"/>
      <c r="AI4" s="1995"/>
      <c r="AJ4" s="1993" t="s">
        <v>29</v>
      </c>
      <c r="AK4" s="1994"/>
      <c r="AL4" s="1994"/>
      <c r="AM4" s="1994"/>
      <c r="AN4" s="1994"/>
      <c r="AO4" s="1995"/>
      <c r="AP4" s="1993" t="s">
        <v>29</v>
      </c>
      <c r="AQ4" s="1994"/>
      <c r="AR4" s="1994"/>
      <c r="AS4" s="1994"/>
      <c r="AT4" s="1994"/>
      <c r="AU4" s="1995"/>
      <c r="AV4" s="1993" t="s">
        <v>29</v>
      </c>
      <c r="AW4" s="1994"/>
      <c r="AX4" s="1994"/>
      <c r="AY4" s="1994"/>
      <c r="AZ4" s="1994"/>
      <c r="BA4" s="1995"/>
      <c r="BB4" s="1993" t="s">
        <v>29</v>
      </c>
      <c r="BC4" s="1994"/>
      <c r="BD4" s="1994"/>
      <c r="BE4" s="1994"/>
      <c r="BF4" s="1994"/>
      <c r="BG4" s="1995"/>
      <c r="BH4" s="1993" t="s">
        <v>29</v>
      </c>
      <c r="BI4" s="1994"/>
      <c r="BJ4" s="1994"/>
      <c r="BK4" s="1994"/>
      <c r="BL4" s="1994"/>
      <c r="BM4" s="1995"/>
      <c r="BN4" s="1993" t="s">
        <v>29</v>
      </c>
      <c r="BO4" s="1994"/>
      <c r="BP4" s="1994"/>
      <c r="BQ4" s="1994"/>
      <c r="BR4" s="1994"/>
      <c r="BS4" s="1995"/>
      <c r="BT4" s="1993" t="s">
        <v>29</v>
      </c>
      <c r="BU4" s="1994"/>
      <c r="BV4" s="1994"/>
      <c r="BW4" s="1994"/>
      <c r="BX4" s="1994"/>
      <c r="BY4" s="1995"/>
      <c r="BZ4" s="1993" t="s">
        <v>29</v>
      </c>
      <c r="CA4" s="1994"/>
      <c r="CB4" s="1994"/>
      <c r="CC4" s="1994"/>
      <c r="CD4" s="1994"/>
      <c r="CE4" s="1995"/>
      <c r="CF4" s="1993" t="s">
        <v>29</v>
      </c>
      <c r="CG4" s="1994"/>
      <c r="CH4" s="1994"/>
      <c r="CI4" s="1994"/>
      <c r="CJ4" s="1994"/>
      <c r="CK4" s="1995"/>
      <c r="CL4" s="1993" t="s">
        <v>29</v>
      </c>
      <c r="CM4" s="1994"/>
      <c r="CN4" s="1994"/>
      <c r="CO4" s="1994"/>
      <c r="CP4" s="1994"/>
      <c r="CQ4" s="1995"/>
      <c r="CR4" s="1993" t="s">
        <v>30</v>
      </c>
      <c r="CS4" s="1994"/>
      <c r="CT4" s="1994"/>
      <c r="CU4" s="1994"/>
      <c r="CV4" s="1994"/>
      <c r="CW4" s="1994"/>
    </row>
    <row r="5" spans="1:101" ht="6" customHeight="1">
      <c r="A5" s="128"/>
      <c r="B5" s="128"/>
      <c r="C5" s="44"/>
      <c r="D5" s="128"/>
      <c r="E5" s="128"/>
      <c r="F5" s="128"/>
      <c r="G5" s="128"/>
      <c r="H5" s="128"/>
      <c r="I5" s="128"/>
      <c r="J5" s="128"/>
      <c r="K5" s="128"/>
      <c r="L5" s="128"/>
      <c r="M5" s="128"/>
      <c r="N5" s="128"/>
      <c r="O5" s="128"/>
      <c r="P5" s="128"/>
      <c r="Q5" s="128"/>
      <c r="R5" s="128"/>
      <c r="S5" s="128"/>
      <c r="T5" s="128"/>
      <c r="U5" s="128"/>
      <c r="V5" s="128"/>
      <c r="W5" s="128"/>
    </row>
    <row r="6" spans="1:101" s="2" customFormat="1" ht="13.5" customHeight="1">
      <c r="B6" s="1968" t="s">
        <v>26</v>
      </c>
      <c r="C6" s="1968" t="s">
        <v>10</v>
      </c>
      <c r="D6" s="1968" t="s">
        <v>23</v>
      </c>
      <c r="E6" s="1968" t="s">
        <v>19</v>
      </c>
      <c r="F6" s="1968" t="s">
        <v>11</v>
      </c>
      <c r="G6" s="1968" t="s">
        <v>15</v>
      </c>
      <c r="H6" s="1968" t="s">
        <v>12</v>
      </c>
      <c r="I6" s="1968" t="s">
        <v>20</v>
      </c>
      <c r="J6" s="1968" t="s">
        <v>16</v>
      </c>
      <c r="K6" s="1968" t="s">
        <v>24</v>
      </c>
      <c r="L6" s="1968"/>
      <c r="M6" s="1968"/>
      <c r="N6" s="1968"/>
      <c r="O6" s="1968"/>
      <c r="P6" s="1968"/>
      <c r="Q6" s="1968"/>
      <c r="R6" s="1968"/>
      <c r="S6" s="1968"/>
      <c r="T6" s="1968"/>
      <c r="U6" s="1968"/>
      <c r="V6" s="1968"/>
      <c r="W6" s="51"/>
      <c r="X6" s="1990" t="s">
        <v>37</v>
      </c>
      <c r="Y6" s="1987"/>
      <c r="Z6" s="1987"/>
      <c r="AA6" s="1987"/>
      <c r="AB6" s="1987"/>
      <c r="AC6" s="1987"/>
      <c r="AD6" s="1966" t="s">
        <v>38</v>
      </c>
      <c r="AE6" s="1967"/>
      <c r="AF6" s="1967"/>
      <c r="AG6" s="1967"/>
      <c r="AH6" s="1967"/>
      <c r="AI6" s="1967"/>
      <c r="AJ6" s="1976" t="s">
        <v>39</v>
      </c>
      <c r="AK6" s="1977"/>
      <c r="AL6" s="1977"/>
      <c r="AM6" s="1977"/>
      <c r="AN6" s="1977"/>
      <c r="AO6" s="1977"/>
      <c r="AP6" s="1962" t="s">
        <v>40</v>
      </c>
      <c r="AQ6" s="1963"/>
      <c r="AR6" s="1963"/>
      <c r="AS6" s="1963"/>
      <c r="AT6" s="1963"/>
      <c r="AU6" s="1963"/>
      <c r="AV6" s="1986" t="s">
        <v>41</v>
      </c>
      <c r="AW6" s="1987"/>
      <c r="AX6" s="1987"/>
      <c r="AY6" s="1987"/>
      <c r="AZ6" s="1987"/>
      <c r="BA6" s="1987"/>
      <c r="BB6" s="1997" t="s">
        <v>42</v>
      </c>
      <c r="BC6" s="1998"/>
      <c r="BD6" s="1998"/>
      <c r="BE6" s="1998"/>
      <c r="BF6" s="1998"/>
      <c r="BG6" s="1998"/>
      <c r="BH6" s="1969" t="s">
        <v>43</v>
      </c>
      <c r="BI6" s="1970"/>
      <c r="BJ6" s="1970"/>
      <c r="BK6" s="1970"/>
      <c r="BL6" s="1970"/>
      <c r="BM6" s="1970"/>
      <c r="BN6" s="1964" t="s">
        <v>44</v>
      </c>
      <c r="BO6" s="1965"/>
      <c r="BP6" s="1965"/>
      <c r="BQ6" s="1965"/>
      <c r="BR6" s="1965"/>
      <c r="BS6" s="1965"/>
      <c r="BT6" s="1966" t="s">
        <v>45</v>
      </c>
      <c r="BU6" s="1967"/>
      <c r="BV6" s="1967"/>
      <c r="BW6" s="1967"/>
      <c r="BX6" s="1967"/>
      <c r="BY6" s="1967"/>
      <c r="BZ6" s="1976" t="s">
        <v>46</v>
      </c>
      <c r="CA6" s="1977"/>
      <c r="CB6" s="1977"/>
      <c r="CC6" s="1977"/>
      <c r="CD6" s="1977"/>
      <c r="CE6" s="1977"/>
      <c r="CF6" s="1962" t="s">
        <v>47</v>
      </c>
      <c r="CG6" s="1963"/>
      <c r="CH6" s="1963"/>
      <c r="CI6" s="1963"/>
      <c r="CJ6" s="1963"/>
      <c r="CK6" s="1963"/>
      <c r="CL6" s="1986" t="s">
        <v>87</v>
      </c>
      <c r="CM6" s="1987"/>
      <c r="CN6" s="1987"/>
      <c r="CO6" s="1987"/>
      <c r="CP6" s="1987"/>
      <c r="CQ6" s="1987"/>
      <c r="CR6" s="1988" t="s">
        <v>51</v>
      </c>
      <c r="CS6" s="1989"/>
      <c r="CT6" s="1989"/>
      <c r="CU6" s="1989"/>
      <c r="CV6" s="1989"/>
      <c r="CW6" s="1989"/>
    </row>
    <row r="7" spans="1:101" s="2" customFormat="1" ht="30.75" customHeight="1">
      <c r="B7" s="1968"/>
      <c r="C7" s="1968"/>
      <c r="D7" s="1968"/>
      <c r="E7" s="1968"/>
      <c r="F7" s="1968"/>
      <c r="G7" s="1968"/>
      <c r="H7" s="1992"/>
      <c r="I7" s="1968"/>
      <c r="J7" s="1968"/>
      <c r="K7" s="47" t="s">
        <v>13</v>
      </c>
      <c r="L7" s="47" t="s">
        <v>0</v>
      </c>
      <c r="M7" s="47" t="s">
        <v>1</v>
      </c>
      <c r="N7" s="47" t="s">
        <v>14</v>
      </c>
      <c r="O7" s="47" t="s">
        <v>2</v>
      </c>
      <c r="P7" s="47" t="s">
        <v>3</v>
      </c>
      <c r="Q7" s="47" t="s">
        <v>4</v>
      </c>
      <c r="R7" s="47" t="s">
        <v>5</v>
      </c>
      <c r="S7" s="47" t="s">
        <v>6</v>
      </c>
      <c r="T7" s="47" t="s">
        <v>7</v>
      </c>
      <c r="U7" s="47" t="s">
        <v>8</v>
      </c>
      <c r="V7" s="47" t="s">
        <v>9</v>
      </c>
      <c r="W7" s="686" t="s">
        <v>27</v>
      </c>
      <c r="X7" s="16" t="s">
        <v>31</v>
      </c>
      <c r="Y7" s="16" t="s">
        <v>32</v>
      </c>
      <c r="Z7" s="17" t="s">
        <v>33</v>
      </c>
      <c r="AA7" s="18" t="s">
        <v>34</v>
      </c>
      <c r="AB7" s="19" t="s">
        <v>35</v>
      </c>
      <c r="AC7" s="20" t="s">
        <v>36</v>
      </c>
      <c r="AD7" s="16" t="s">
        <v>31</v>
      </c>
      <c r="AE7" s="16" t="s">
        <v>32</v>
      </c>
      <c r="AF7" s="17" t="s">
        <v>33</v>
      </c>
      <c r="AG7" s="18" t="s">
        <v>34</v>
      </c>
      <c r="AH7" s="19" t="s">
        <v>35</v>
      </c>
      <c r="AI7" s="20" t="s">
        <v>36</v>
      </c>
      <c r="AJ7" s="16" t="s">
        <v>31</v>
      </c>
      <c r="AK7" s="16" t="s">
        <v>32</v>
      </c>
      <c r="AL7" s="17" t="s">
        <v>33</v>
      </c>
      <c r="AM7" s="18" t="s">
        <v>34</v>
      </c>
      <c r="AN7" s="19" t="s">
        <v>35</v>
      </c>
      <c r="AO7" s="20" t="s">
        <v>36</v>
      </c>
      <c r="AP7" s="16" t="s">
        <v>31</v>
      </c>
      <c r="AQ7" s="16" t="s">
        <v>32</v>
      </c>
      <c r="AR7" s="17" t="s">
        <v>33</v>
      </c>
      <c r="AS7" s="18" t="s">
        <v>34</v>
      </c>
      <c r="AT7" s="19" t="s">
        <v>35</v>
      </c>
      <c r="AU7" s="20" t="s">
        <v>36</v>
      </c>
      <c r="AV7" s="16" t="s">
        <v>31</v>
      </c>
      <c r="AW7" s="16" t="s">
        <v>32</v>
      </c>
      <c r="AX7" s="17" t="s">
        <v>33</v>
      </c>
      <c r="AY7" s="18" t="s">
        <v>34</v>
      </c>
      <c r="AZ7" s="19" t="s">
        <v>35</v>
      </c>
      <c r="BA7" s="20" t="s">
        <v>36</v>
      </c>
      <c r="BB7" s="16" t="s">
        <v>31</v>
      </c>
      <c r="BC7" s="16" t="s">
        <v>32</v>
      </c>
      <c r="BD7" s="17" t="s">
        <v>33</v>
      </c>
      <c r="BE7" s="18" t="s">
        <v>34</v>
      </c>
      <c r="BF7" s="19" t="s">
        <v>35</v>
      </c>
      <c r="BG7" s="20" t="s">
        <v>36</v>
      </c>
      <c r="BH7" s="16" t="s">
        <v>31</v>
      </c>
      <c r="BI7" s="16" t="s">
        <v>32</v>
      </c>
      <c r="BJ7" s="17" t="s">
        <v>33</v>
      </c>
      <c r="BK7" s="18" t="s">
        <v>34</v>
      </c>
      <c r="BL7" s="19" t="s">
        <v>35</v>
      </c>
      <c r="BM7" s="20" t="s">
        <v>36</v>
      </c>
      <c r="BN7" s="16" t="s">
        <v>31</v>
      </c>
      <c r="BO7" s="16" t="s">
        <v>32</v>
      </c>
      <c r="BP7" s="17" t="s">
        <v>33</v>
      </c>
      <c r="BQ7" s="18" t="s">
        <v>34</v>
      </c>
      <c r="BR7" s="19" t="s">
        <v>35</v>
      </c>
      <c r="BS7" s="20" t="s">
        <v>36</v>
      </c>
      <c r="BT7" s="16" t="s">
        <v>31</v>
      </c>
      <c r="BU7" s="16" t="s">
        <v>32</v>
      </c>
      <c r="BV7" s="17" t="s">
        <v>33</v>
      </c>
      <c r="BW7" s="18" t="s">
        <v>34</v>
      </c>
      <c r="BX7" s="19" t="s">
        <v>35</v>
      </c>
      <c r="BY7" s="20" t="s">
        <v>36</v>
      </c>
      <c r="BZ7" s="16" t="s">
        <v>31</v>
      </c>
      <c r="CA7" s="16" t="s">
        <v>32</v>
      </c>
      <c r="CB7" s="17" t="s">
        <v>33</v>
      </c>
      <c r="CC7" s="18" t="s">
        <v>34</v>
      </c>
      <c r="CD7" s="19" t="s">
        <v>35</v>
      </c>
      <c r="CE7" s="20" t="s">
        <v>36</v>
      </c>
      <c r="CF7" s="16" t="s">
        <v>31</v>
      </c>
      <c r="CG7" s="16" t="s">
        <v>32</v>
      </c>
      <c r="CH7" s="17" t="s">
        <v>33</v>
      </c>
      <c r="CI7" s="18" t="s">
        <v>34</v>
      </c>
      <c r="CJ7" s="19" t="s">
        <v>35</v>
      </c>
      <c r="CK7" s="20" t="s">
        <v>36</v>
      </c>
      <c r="CL7" s="16" t="s">
        <v>31</v>
      </c>
      <c r="CM7" s="16" t="s">
        <v>32</v>
      </c>
      <c r="CN7" s="17" t="s">
        <v>33</v>
      </c>
      <c r="CO7" s="18" t="s">
        <v>34</v>
      </c>
      <c r="CP7" s="19" t="s">
        <v>35</v>
      </c>
      <c r="CQ7" s="20" t="s">
        <v>36</v>
      </c>
      <c r="CR7" s="16" t="s">
        <v>31</v>
      </c>
      <c r="CS7" s="16" t="s">
        <v>32</v>
      </c>
      <c r="CT7" s="17" t="s">
        <v>33</v>
      </c>
      <c r="CU7" s="18" t="s">
        <v>34</v>
      </c>
      <c r="CV7" s="19" t="s">
        <v>35</v>
      </c>
      <c r="CW7" s="20" t="s">
        <v>36</v>
      </c>
    </row>
    <row r="8" spans="1:101" ht="81.75" customHeight="1">
      <c r="B8" s="726" t="s">
        <v>1459</v>
      </c>
      <c r="C8" s="9"/>
      <c r="D8" s="726" t="s">
        <v>1460</v>
      </c>
      <c r="E8" s="726" t="s">
        <v>1461</v>
      </c>
      <c r="F8" s="726" t="s">
        <v>1462</v>
      </c>
      <c r="G8" s="727" t="s">
        <v>53</v>
      </c>
      <c r="H8" s="726" t="s">
        <v>1463</v>
      </c>
      <c r="I8" s="9" t="s">
        <v>1464</v>
      </c>
      <c r="J8" s="9" t="s">
        <v>1465</v>
      </c>
      <c r="K8" s="387"/>
      <c r="L8" s="714">
        <v>0.72</v>
      </c>
      <c r="M8" s="713"/>
      <c r="N8" s="714">
        <v>0.72</v>
      </c>
      <c r="O8" s="713"/>
      <c r="P8" s="714">
        <v>0.72</v>
      </c>
      <c r="Q8" s="713"/>
      <c r="R8" s="714">
        <v>0.72</v>
      </c>
      <c r="S8" s="713"/>
      <c r="T8" s="714">
        <v>0.72</v>
      </c>
      <c r="U8" s="713"/>
      <c r="V8" s="714">
        <v>0.72</v>
      </c>
      <c r="W8" s="8" t="s">
        <v>1466</v>
      </c>
      <c r="X8" s="26"/>
      <c r="Y8" s="21"/>
      <c r="Z8" s="22" t="str">
        <f>IF(Y8=0," ",X8/Y8)</f>
        <v xml:space="preserve"> </v>
      </c>
      <c r="AA8" s="23"/>
      <c r="AB8" s="24" t="str">
        <f>IF(Y8=0," ",Z8/AA8)</f>
        <v xml:space="preserve"> </v>
      </c>
      <c r="AC8" s="25" t="s">
        <v>1467</v>
      </c>
      <c r="AD8" s="26">
        <v>20</v>
      </c>
      <c r="AE8" s="21">
        <v>26</v>
      </c>
      <c r="AF8" s="22">
        <f>IF(AE8=0," ",AD8/AE8)</f>
        <v>0.76923076923076927</v>
      </c>
      <c r="AG8" s="23">
        <v>0.72</v>
      </c>
      <c r="AH8" s="728">
        <f>IF(AE8=0," ",AF8/AG8)</f>
        <v>1.0683760683760686</v>
      </c>
      <c r="AI8" s="729" t="s">
        <v>1468</v>
      </c>
      <c r="AJ8" s="26"/>
      <c r="AK8" s="21"/>
      <c r="AL8" s="22" t="str">
        <f>IF(AK8=0," ",AJ8/AK8)</f>
        <v xml:space="preserve"> </v>
      </c>
      <c r="AM8" s="23"/>
      <c r="AN8" s="24" t="str">
        <f>IF(AK8=0," ",AL8/AM8)</f>
        <v xml:space="preserve"> </v>
      </c>
      <c r="AO8" s="25" t="s">
        <v>1469</v>
      </c>
      <c r="AP8" s="26">
        <v>37</v>
      </c>
      <c r="AQ8" s="21">
        <v>50</v>
      </c>
      <c r="AR8" s="22">
        <f>IF(AQ8=0," ",AP8/AQ8)</f>
        <v>0.74</v>
      </c>
      <c r="AS8" s="23">
        <v>0.72</v>
      </c>
      <c r="AT8" s="24">
        <f>IF(AQ8=0," ",AR8/AS8)</f>
        <v>1.0277777777777779</v>
      </c>
      <c r="AU8" s="729" t="s">
        <v>1470</v>
      </c>
      <c r="AV8" s="26"/>
      <c r="AW8" s="21"/>
      <c r="AX8" s="22" t="str">
        <f>IF(AW8=0," ",AV8/AW8)</f>
        <v xml:space="preserve"> </v>
      </c>
      <c r="AY8" s="23"/>
      <c r="AZ8" s="24" t="str">
        <f>IF(AW8=0," ",AX8/AY8)</f>
        <v xml:space="preserve"> </v>
      </c>
      <c r="BA8" s="25" t="s">
        <v>1471</v>
      </c>
      <c r="BB8" s="26">
        <v>42</v>
      </c>
      <c r="BC8" s="21">
        <v>59</v>
      </c>
      <c r="BD8" s="22">
        <f>IF(BC8=0," ",BB8/BC8)</f>
        <v>0.71186440677966101</v>
      </c>
      <c r="BE8" s="23">
        <v>0.72</v>
      </c>
      <c r="BF8" s="24">
        <f>IF(BC8=0," ",BD8/BE8)</f>
        <v>0.98870056497175141</v>
      </c>
      <c r="BG8" s="729" t="s">
        <v>1472</v>
      </c>
      <c r="BH8" s="26"/>
      <c r="BI8" s="21"/>
      <c r="BJ8" s="22" t="str">
        <f>IF(BI8=0," ",BH8/BI8)</f>
        <v xml:space="preserve"> </v>
      </c>
      <c r="BK8" s="23"/>
      <c r="BL8" s="24" t="str">
        <f>IF(BI8=0," ",BJ8/BK8)</f>
        <v xml:space="preserve"> </v>
      </c>
      <c r="BM8" s="25" t="s">
        <v>1473</v>
      </c>
      <c r="BN8" s="26">
        <v>27</v>
      </c>
      <c r="BO8" s="21">
        <v>35</v>
      </c>
      <c r="BP8" s="22">
        <f>IF(BO8=0," ",BN8/BO8)</f>
        <v>0.77142857142857146</v>
      </c>
      <c r="BQ8" s="23">
        <v>0.72</v>
      </c>
      <c r="BR8" s="24">
        <f>IF(BO8=0," ",BP8/BQ8)</f>
        <v>1.0714285714285716</v>
      </c>
      <c r="BS8" s="729" t="s">
        <v>1474</v>
      </c>
      <c r="BT8" s="26"/>
      <c r="BU8" s="21"/>
      <c r="BV8" s="22" t="str">
        <f>IF(BU8=0," ",BT8/BU8)</f>
        <v xml:space="preserve"> </v>
      </c>
      <c r="BW8" s="23"/>
      <c r="BX8" s="24" t="str">
        <f>IF(BU8=0," ",BV8/BW8)</f>
        <v xml:space="preserve"> </v>
      </c>
      <c r="BY8" s="25" t="s">
        <v>1475</v>
      </c>
      <c r="BZ8" s="26">
        <v>71</v>
      </c>
      <c r="CA8" s="21">
        <v>86</v>
      </c>
      <c r="CB8" s="22">
        <f>IF(CA8=0," ",BZ8/CA8)</f>
        <v>0.82558139534883723</v>
      </c>
      <c r="CC8" s="23">
        <v>0.72</v>
      </c>
      <c r="CD8" s="24">
        <f>IF(CA8=0," ",CB8/CC8)</f>
        <v>1.146640826873385</v>
      </c>
      <c r="CE8" s="729" t="s">
        <v>1476</v>
      </c>
      <c r="CF8" s="26"/>
      <c r="CG8" s="21"/>
      <c r="CH8" s="22" t="str">
        <f>IF(CG8=0," ",CF8/CG8)</f>
        <v xml:space="preserve"> </v>
      </c>
      <c r="CI8" s="23"/>
      <c r="CJ8" s="24" t="str">
        <f>IF(CG8=0," ",CH8/CI8)</f>
        <v xml:space="preserve"> </v>
      </c>
      <c r="CK8" s="729" t="s">
        <v>1477</v>
      </c>
      <c r="CL8" s="26">
        <v>17</v>
      </c>
      <c r="CM8" s="21">
        <v>19</v>
      </c>
      <c r="CN8" s="22">
        <f>IF(CM8=0," ",CL8/CM8)</f>
        <v>0.89473684210526316</v>
      </c>
      <c r="CO8" s="23">
        <v>0.72</v>
      </c>
      <c r="CP8" s="24">
        <f>IF(CM8=0," ",CN8/CO8)</f>
        <v>1.2426900584795322</v>
      </c>
      <c r="CQ8" s="729" t="s">
        <v>1478</v>
      </c>
      <c r="CR8" s="26">
        <f t="shared" ref="CR8:CS10" si="0">+X8+AD8+AJ8+AP8+AV8+BB8+BH8+BN8+BT8+BZ8+CF8+CL8</f>
        <v>214</v>
      </c>
      <c r="CS8" s="26">
        <f t="shared" si="0"/>
        <v>275</v>
      </c>
      <c r="CT8" s="22">
        <f>IF(CS8=0," ",CR8/CS8)</f>
        <v>0.7781818181818182</v>
      </c>
      <c r="CU8" s="23">
        <v>0.72</v>
      </c>
      <c r="CV8" s="24">
        <f>IF(CS8=0," ",CT8/CU8)</f>
        <v>1.0808080808080809</v>
      </c>
      <c r="CW8" s="729" t="s">
        <v>1479</v>
      </c>
    </row>
    <row r="9" spans="1:101" ht="135.75" customHeight="1">
      <c r="B9" s="726" t="s">
        <v>1459</v>
      </c>
      <c r="C9" s="9"/>
      <c r="D9" s="726" t="s">
        <v>1480</v>
      </c>
      <c r="E9" s="726" t="s">
        <v>1481</v>
      </c>
      <c r="F9" s="726" t="s">
        <v>1482</v>
      </c>
      <c r="G9" s="727" t="s">
        <v>53</v>
      </c>
      <c r="H9" s="726" t="s">
        <v>1483</v>
      </c>
      <c r="I9" s="9" t="s">
        <v>1464</v>
      </c>
      <c r="J9" s="9" t="s">
        <v>1465</v>
      </c>
      <c r="K9" s="387"/>
      <c r="L9" s="714">
        <v>1</v>
      </c>
      <c r="M9" s="713"/>
      <c r="N9" s="714">
        <v>1</v>
      </c>
      <c r="O9" s="713"/>
      <c r="P9" s="714">
        <v>1</v>
      </c>
      <c r="Q9" s="713"/>
      <c r="R9" s="714">
        <v>1</v>
      </c>
      <c r="S9" s="713"/>
      <c r="T9" s="714">
        <v>1</v>
      </c>
      <c r="U9" s="713"/>
      <c r="V9" s="714">
        <v>1</v>
      </c>
      <c r="W9" s="8" t="s">
        <v>1466</v>
      </c>
      <c r="X9" s="26"/>
      <c r="Y9" s="21"/>
      <c r="Z9" s="22" t="str">
        <f>IF(Y9=0," ",X9/Y9)</f>
        <v xml:space="preserve"> </v>
      </c>
      <c r="AA9" s="23"/>
      <c r="AB9" s="24" t="str">
        <f>IF(Y9=0," ",Z9/AA9)</f>
        <v xml:space="preserve"> </v>
      </c>
      <c r="AC9" s="25" t="s">
        <v>1467</v>
      </c>
      <c r="AD9" s="26">
        <v>36</v>
      </c>
      <c r="AE9" s="21">
        <v>36</v>
      </c>
      <c r="AF9" s="22">
        <f>IF(AE9=0," ",AD9/AE9)</f>
        <v>1</v>
      </c>
      <c r="AG9" s="23">
        <v>1</v>
      </c>
      <c r="AH9" s="728">
        <f>IF(AE9=0," ",AF9/AG9)</f>
        <v>1</v>
      </c>
      <c r="AI9" s="729" t="s">
        <v>1484</v>
      </c>
      <c r="AJ9" s="26"/>
      <c r="AK9" s="21"/>
      <c r="AL9" s="22" t="str">
        <f>IF(AK9=0," ",AJ9/AK9)</f>
        <v xml:space="preserve"> </v>
      </c>
      <c r="AM9" s="23"/>
      <c r="AN9" s="24" t="str">
        <f>IF(AK9=0," ",AL9/AM9)</f>
        <v xml:space="preserve"> </v>
      </c>
      <c r="AO9" s="25" t="s">
        <v>1469</v>
      </c>
      <c r="AP9" s="26">
        <v>30</v>
      </c>
      <c r="AQ9" s="21">
        <v>30</v>
      </c>
      <c r="AR9" s="22">
        <f>IF(AQ9=0," ",AP9/AQ9)</f>
        <v>1</v>
      </c>
      <c r="AS9" s="23">
        <v>1</v>
      </c>
      <c r="AT9" s="24">
        <f>IF(AQ9=0," ",AR9/AS9)</f>
        <v>1</v>
      </c>
      <c r="AU9" s="729" t="s">
        <v>1485</v>
      </c>
      <c r="AV9" s="26"/>
      <c r="AW9" s="21"/>
      <c r="AX9" s="22" t="str">
        <f>IF(AW9=0," ",AV9/AW9)</f>
        <v xml:space="preserve"> </v>
      </c>
      <c r="AY9" s="23"/>
      <c r="AZ9" s="24" t="str">
        <f>IF(AW9=0," ",AX9/AY9)</f>
        <v xml:space="preserve"> </v>
      </c>
      <c r="BA9" s="25" t="s">
        <v>1471</v>
      </c>
      <c r="BB9" s="26">
        <v>26</v>
      </c>
      <c r="BC9" s="21">
        <v>26</v>
      </c>
      <c r="BD9" s="22">
        <f>IF(BC9=0," ",BB9/BC9)</f>
        <v>1</v>
      </c>
      <c r="BE9" s="23">
        <v>1</v>
      </c>
      <c r="BF9" s="24">
        <f>IF(BC9=0," ",BD9/BE9)</f>
        <v>1</v>
      </c>
      <c r="BG9" s="729" t="s">
        <v>1486</v>
      </c>
      <c r="BH9" s="26"/>
      <c r="BI9" s="21"/>
      <c r="BJ9" s="22" t="str">
        <f>IF(BI9=0," ",BH9/BI9)</f>
        <v xml:space="preserve"> </v>
      </c>
      <c r="BK9" s="23"/>
      <c r="BL9" s="24" t="str">
        <f>IF(BI9=0," ",BJ9/BK9)</f>
        <v xml:space="preserve"> </v>
      </c>
      <c r="BM9" s="25" t="s">
        <v>1473</v>
      </c>
      <c r="BN9" s="26">
        <v>21</v>
      </c>
      <c r="BO9" s="21">
        <v>21</v>
      </c>
      <c r="BP9" s="22">
        <f>IF(BO9=0," ",BN9/BO9)</f>
        <v>1</v>
      </c>
      <c r="BQ9" s="23">
        <v>1</v>
      </c>
      <c r="BR9" s="24">
        <f>IF(BO9=0," ",BP9/BQ9)</f>
        <v>1</v>
      </c>
      <c r="BS9" s="729" t="s">
        <v>1487</v>
      </c>
      <c r="BT9" s="26"/>
      <c r="BU9" s="21"/>
      <c r="BV9" s="22" t="str">
        <f>IF(BU9=0," ",BT9/BU9)</f>
        <v xml:space="preserve"> </v>
      </c>
      <c r="BW9" s="23"/>
      <c r="BX9" s="24" t="str">
        <f>IF(BU9=0," ",BV9/BW9)</f>
        <v xml:space="preserve"> </v>
      </c>
      <c r="BY9" s="25" t="s">
        <v>1475</v>
      </c>
      <c r="BZ9" s="26">
        <v>16</v>
      </c>
      <c r="CA9" s="21">
        <v>16</v>
      </c>
      <c r="CB9" s="22">
        <f>IF(CA9=0," ",BZ9/CA9)</f>
        <v>1</v>
      </c>
      <c r="CC9" s="23">
        <v>1</v>
      </c>
      <c r="CD9" s="24">
        <f>IF(CA9=0," ",CB9/CC9)</f>
        <v>1</v>
      </c>
      <c r="CE9" s="729" t="s">
        <v>1488</v>
      </c>
      <c r="CF9" s="26"/>
      <c r="CG9" s="21"/>
      <c r="CH9" s="22" t="str">
        <f>IF(CG9=0," ",CF9/CG9)</f>
        <v xml:space="preserve"> </v>
      </c>
      <c r="CI9" s="23"/>
      <c r="CJ9" s="24" t="str">
        <f>IF(CG9=0," ",CH9/CI9)</f>
        <v xml:space="preserve"> </v>
      </c>
      <c r="CK9" s="729" t="s">
        <v>1477</v>
      </c>
      <c r="CL9" s="26">
        <v>3</v>
      </c>
      <c r="CM9" s="21">
        <v>3</v>
      </c>
      <c r="CN9" s="22">
        <f>IF(CM9=0," ",CL9/CM9)</f>
        <v>1</v>
      </c>
      <c r="CO9" s="23">
        <v>1</v>
      </c>
      <c r="CP9" s="24">
        <f>IF(CM9=0," ",CN9/CO9)</f>
        <v>1</v>
      </c>
      <c r="CQ9" s="729" t="s">
        <v>1489</v>
      </c>
      <c r="CR9" s="26">
        <f t="shared" si="0"/>
        <v>132</v>
      </c>
      <c r="CS9" s="26">
        <f t="shared" si="0"/>
        <v>132</v>
      </c>
      <c r="CT9" s="22">
        <f>IF(CS9=0," ",CR9/CS9)</f>
        <v>1</v>
      </c>
      <c r="CU9" s="23">
        <v>1</v>
      </c>
      <c r="CV9" s="24">
        <f>IF(CS9=0," ",CT9/CU9)</f>
        <v>1</v>
      </c>
      <c r="CW9" s="729" t="s">
        <v>1490</v>
      </c>
    </row>
    <row r="10" spans="1:101" ht="116.25" customHeight="1">
      <c r="B10" s="726" t="s">
        <v>1491</v>
      </c>
      <c r="C10" s="9"/>
      <c r="D10" s="726" t="s">
        <v>1492</v>
      </c>
      <c r="E10" s="726" t="s">
        <v>1493</v>
      </c>
      <c r="F10" s="726" t="s">
        <v>1494</v>
      </c>
      <c r="G10" s="727" t="s">
        <v>53</v>
      </c>
      <c r="H10" s="726" t="s">
        <v>1495</v>
      </c>
      <c r="I10" s="9" t="s">
        <v>1496</v>
      </c>
      <c r="J10" s="9" t="s">
        <v>1465</v>
      </c>
      <c r="K10" s="714"/>
      <c r="L10" s="714"/>
      <c r="M10" s="714"/>
      <c r="N10" s="714"/>
      <c r="O10" s="714"/>
      <c r="P10" s="714"/>
      <c r="Q10" s="714"/>
      <c r="R10" s="714"/>
      <c r="S10" s="714" t="s">
        <v>1497</v>
      </c>
      <c r="T10" s="714"/>
      <c r="U10" s="714"/>
      <c r="V10" s="714" t="s">
        <v>1497</v>
      </c>
      <c r="W10" s="8" t="s">
        <v>1498</v>
      </c>
      <c r="X10" s="26"/>
      <c r="Y10" s="21"/>
      <c r="Z10" s="22" t="str">
        <f>IF(Y10=0," ",X10/Y10)</f>
        <v xml:space="preserve"> </v>
      </c>
      <c r="AA10" s="23"/>
      <c r="AB10" s="24" t="str">
        <f>IF(Y10=0," ",Z10/AA10)</f>
        <v xml:space="preserve"> </v>
      </c>
      <c r="AC10" s="25" t="s">
        <v>1499</v>
      </c>
      <c r="AD10" s="26"/>
      <c r="AE10" s="21"/>
      <c r="AF10" s="22" t="str">
        <f>IF(AE10=0," ",AD10/AE10)</f>
        <v xml:space="preserve"> </v>
      </c>
      <c r="AG10" s="23"/>
      <c r="AH10" s="24" t="str">
        <f>IF(AE10=0," ",AF10/AG10)</f>
        <v xml:space="preserve"> </v>
      </c>
      <c r="AI10" s="25" t="s">
        <v>1499</v>
      </c>
      <c r="AJ10" s="26"/>
      <c r="AK10" s="21"/>
      <c r="AL10" s="22" t="str">
        <f>IF(AK10=0," ",AJ10/AK10)</f>
        <v xml:space="preserve"> </v>
      </c>
      <c r="AM10" s="23"/>
      <c r="AN10" s="24" t="str">
        <f>IF(AK10=0," ",AL10/AM10)</f>
        <v xml:space="preserve"> </v>
      </c>
      <c r="AO10" s="25" t="s">
        <v>1499</v>
      </c>
      <c r="AP10" s="26"/>
      <c r="AQ10" s="21"/>
      <c r="AR10" s="22" t="str">
        <f>IF(AQ10=0," ",AP10/AQ10)</f>
        <v xml:space="preserve"> </v>
      </c>
      <c r="AS10" s="23"/>
      <c r="AT10" s="24" t="str">
        <f>IF(AQ10=0," ",AR10/AS10)</f>
        <v xml:space="preserve"> </v>
      </c>
      <c r="AU10" s="25" t="s">
        <v>1499</v>
      </c>
      <c r="AV10" s="26"/>
      <c r="AW10" s="21"/>
      <c r="AX10" s="22" t="str">
        <f>IF(AW10=0," ",AV10/AW10)</f>
        <v xml:space="preserve"> </v>
      </c>
      <c r="AY10" s="23"/>
      <c r="AZ10" s="24" t="str">
        <f>IF(AW10=0," ",AX10/AY10)</f>
        <v xml:space="preserve"> </v>
      </c>
      <c r="BA10" s="25" t="s">
        <v>1499</v>
      </c>
      <c r="BB10" s="26"/>
      <c r="BC10" s="21"/>
      <c r="BD10" s="22" t="str">
        <f>IF(BC10=0," ",BB10/BC10)</f>
        <v xml:space="preserve"> </v>
      </c>
      <c r="BE10" s="23"/>
      <c r="BF10" s="24" t="str">
        <f>IF(BC10=0," ",BD10/BE10)</f>
        <v xml:space="preserve"> </v>
      </c>
      <c r="BG10" s="25" t="s">
        <v>1499</v>
      </c>
      <c r="BH10" s="26"/>
      <c r="BI10" s="21"/>
      <c r="BJ10" s="22" t="str">
        <f>IF(BI10=0," ",BH10/BI10)</f>
        <v xml:space="preserve"> </v>
      </c>
      <c r="BK10" s="23"/>
      <c r="BL10" s="24" t="str">
        <f>IF(BI10=0," ",BJ10/BK10)</f>
        <v xml:space="preserve"> </v>
      </c>
      <c r="BM10" s="25" t="s">
        <v>1499</v>
      </c>
      <c r="BN10" s="26"/>
      <c r="BO10" s="21"/>
      <c r="BP10" s="22" t="str">
        <f>IF(BO10=0," ",BN10/BO10)</f>
        <v xml:space="preserve"> </v>
      </c>
      <c r="BQ10" s="23"/>
      <c r="BR10" s="24" t="str">
        <f>IF(BO10=0," ",BP10/BQ10)</f>
        <v xml:space="preserve"> </v>
      </c>
      <c r="BS10" s="25" t="s">
        <v>1499</v>
      </c>
      <c r="BT10" s="26">
        <v>50</v>
      </c>
      <c r="BU10" s="21">
        <v>100</v>
      </c>
      <c r="BV10" s="22">
        <f>IF(BU10=0," ",BT10/BU10)</f>
        <v>0.5</v>
      </c>
      <c r="BW10" s="23">
        <v>0.5</v>
      </c>
      <c r="BX10" s="24">
        <f>IF(BU10=0," ",BV10/BW10)</f>
        <v>1</v>
      </c>
      <c r="BY10" s="25" t="s">
        <v>1500</v>
      </c>
      <c r="BZ10" s="26"/>
      <c r="CA10" s="21"/>
      <c r="CB10" s="22" t="str">
        <f>IF(CA10=0," ",BZ10/CA10)</f>
        <v xml:space="preserve"> </v>
      </c>
      <c r="CC10" s="23"/>
      <c r="CD10" s="24" t="str">
        <f>IF(CA10=0," ",CB10/CC10)</f>
        <v xml:space="preserve"> </v>
      </c>
      <c r="CE10" s="25" t="s">
        <v>1477</v>
      </c>
      <c r="CF10" s="26"/>
      <c r="CG10" s="21"/>
      <c r="CH10" s="22" t="str">
        <f>IF(CG10=0," ",CF10/CG10)</f>
        <v xml:space="preserve"> </v>
      </c>
      <c r="CI10" s="23"/>
      <c r="CJ10" s="24" t="str">
        <f>IF(CG10=0," ",CH10/CI10)</f>
        <v xml:space="preserve"> </v>
      </c>
      <c r="CK10" s="729" t="s">
        <v>1477</v>
      </c>
      <c r="CL10" s="26">
        <v>50</v>
      </c>
      <c r="CM10" s="21">
        <v>100</v>
      </c>
      <c r="CN10" s="22">
        <f>IF(CM10=0," ",CL10/CM10)</f>
        <v>0.5</v>
      </c>
      <c r="CO10" s="23">
        <v>0.5</v>
      </c>
      <c r="CP10" s="24">
        <f>IF(CM10=0," ",CN10/CO10)</f>
        <v>1</v>
      </c>
      <c r="CQ10" s="25" t="s">
        <v>1501</v>
      </c>
      <c r="CR10" s="26">
        <f t="shared" si="0"/>
        <v>100</v>
      </c>
      <c r="CS10" s="26">
        <v>100</v>
      </c>
      <c r="CT10" s="22">
        <f>IF(CS10=0," ",CR10/CS10)</f>
        <v>1</v>
      </c>
      <c r="CU10" s="23">
        <v>1</v>
      </c>
      <c r="CV10" s="24">
        <f>IF(CS10=0," ",CT10/CU10)</f>
        <v>1</v>
      </c>
      <c r="CW10" s="25" t="s">
        <v>1502</v>
      </c>
    </row>
    <row r="11" spans="1:101" ht="14.25" customHeight="1">
      <c r="B11" s="33"/>
      <c r="C11" s="34"/>
      <c r="D11" s="35"/>
      <c r="E11" s="35"/>
      <c r="F11" s="36"/>
      <c r="G11" s="36"/>
      <c r="H11" s="35" t="s">
        <v>49</v>
      </c>
      <c r="I11" s="36"/>
      <c r="J11" s="36"/>
      <c r="K11" s="37"/>
      <c r="L11" s="37"/>
      <c r="M11" s="38"/>
      <c r="N11" s="37"/>
      <c r="O11" s="37"/>
      <c r="P11" s="39"/>
      <c r="Q11" s="39"/>
      <c r="R11" s="39"/>
      <c r="S11" s="39"/>
      <c r="T11" s="39"/>
      <c r="U11" s="39"/>
      <c r="V11" s="39"/>
      <c r="W11" s="48"/>
      <c r="X11" s="40"/>
      <c r="Y11" s="40"/>
      <c r="Z11" s="41"/>
      <c r="AA11" s="42"/>
      <c r="AB11" s="43"/>
      <c r="AC11" s="33"/>
      <c r="AD11" s="33"/>
      <c r="AE11" s="40"/>
      <c r="AF11" s="40"/>
      <c r="AG11" s="41"/>
      <c r="AH11" s="42"/>
      <c r="AI11" s="43"/>
      <c r="AJ11" s="33"/>
      <c r="AK11" s="40"/>
      <c r="AL11" s="40"/>
      <c r="AM11" s="41"/>
      <c r="AN11" s="42"/>
      <c r="AO11" s="43"/>
      <c r="AP11" s="40"/>
      <c r="AQ11" s="40"/>
      <c r="AR11" s="41"/>
      <c r="AS11" s="42"/>
      <c r="AT11" s="42"/>
      <c r="AU11" s="730"/>
      <c r="AV11" s="33"/>
      <c r="AW11" s="40"/>
      <c r="AX11" s="40"/>
      <c r="AY11" s="41"/>
      <c r="AZ11" s="42"/>
      <c r="BA11" s="43"/>
      <c r="BB11" s="40"/>
      <c r="BC11" s="40"/>
      <c r="BD11" s="41"/>
      <c r="BE11" s="42"/>
      <c r="BF11" s="42"/>
      <c r="BG11" s="730"/>
      <c r="BH11" s="33"/>
      <c r="BI11" s="40"/>
      <c r="BJ11" s="40"/>
      <c r="BK11" s="41"/>
      <c r="BL11" s="42"/>
      <c r="BM11" s="43"/>
      <c r="BN11" s="40"/>
      <c r="BO11" s="40"/>
      <c r="BP11" s="41"/>
      <c r="BQ11" s="42"/>
      <c r="BR11" s="42"/>
      <c r="BS11" s="730"/>
      <c r="BT11" s="33"/>
      <c r="BU11" s="40"/>
      <c r="BV11" s="40"/>
      <c r="BW11" s="41"/>
      <c r="BX11" s="42"/>
      <c r="BY11" s="43"/>
      <c r="BZ11" s="40"/>
      <c r="CA11" s="40"/>
      <c r="CB11" s="41"/>
      <c r="CC11" s="42"/>
      <c r="CD11" s="42"/>
      <c r="CE11" s="730"/>
      <c r="CF11" s="33"/>
      <c r="CG11" s="40"/>
      <c r="CH11" s="40"/>
      <c r="CI11" s="41"/>
      <c r="CJ11" s="42"/>
      <c r="CK11" s="43"/>
      <c r="CL11" s="40"/>
      <c r="CM11" s="40"/>
      <c r="CN11" s="41"/>
      <c r="CO11" s="42"/>
      <c r="CP11" s="42"/>
      <c r="CQ11" s="730"/>
      <c r="CR11" s="33"/>
      <c r="CS11" s="40"/>
      <c r="CT11" s="40"/>
      <c r="CU11" s="41"/>
      <c r="CV11" s="42"/>
      <c r="CW11" s="43"/>
    </row>
    <row r="12" spans="1:101" ht="109.5" customHeight="1">
      <c r="B12" s="691" t="s">
        <v>55</v>
      </c>
      <c r="C12" s="9"/>
      <c r="D12" s="691" t="s">
        <v>1503</v>
      </c>
      <c r="E12" s="691" t="s">
        <v>57</v>
      </c>
      <c r="F12" s="691" t="s">
        <v>58</v>
      </c>
      <c r="G12" s="691" t="s">
        <v>53</v>
      </c>
      <c r="H12" s="691" t="s">
        <v>1504</v>
      </c>
      <c r="I12" s="691" t="s">
        <v>1505</v>
      </c>
      <c r="J12" s="9" t="s">
        <v>54</v>
      </c>
      <c r="K12" s="713"/>
      <c r="L12" s="713"/>
      <c r="M12" s="714">
        <v>1</v>
      </c>
      <c r="N12" s="713"/>
      <c r="O12" s="713"/>
      <c r="P12" s="714">
        <v>1</v>
      </c>
      <c r="Q12" s="714"/>
      <c r="R12" s="713"/>
      <c r="S12" s="714">
        <v>1</v>
      </c>
      <c r="T12" s="714"/>
      <c r="U12" s="713"/>
      <c r="V12" s="714">
        <v>1</v>
      </c>
      <c r="W12" s="8"/>
      <c r="X12" s="731">
        <v>0</v>
      </c>
      <c r="Y12" s="732">
        <v>0</v>
      </c>
      <c r="Z12" s="733"/>
      <c r="AA12" s="734"/>
      <c r="AB12" s="735"/>
      <c r="AC12" s="25" t="s">
        <v>1506</v>
      </c>
      <c r="AD12" s="731">
        <v>0</v>
      </c>
      <c r="AE12" s="732">
        <v>0</v>
      </c>
      <c r="AF12" s="22" t="str">
        <f t="shared" ref="AF12:AF17" si="1">IF(AE12=0," ",AD12/AE12)</f>
        <v xml:space="preserve"> </v>
      </c>
      <c r="AG12" s="734"/>
      <c r="AH12" s="24" t="str">
        <f t="shared" ref="AH12:AH17" si="2">IF(AE12=0," ",AF12/AG12)</f>
        <v xml:space="preserve"> </v>
      </c>
      <c r="AI12" s="25" t="s">
        <v>1506</v>
      </c>
      <c r="AJ12" s="21">
        <v>1</v>
      </c>
      <c r="AK12" s="21">
        <v>1</v>
      </c>
      <c r="AL12" s="22">
        <v>1</v>
      </c>
      <c r="AM12" s="23">
        <v>1</v>
      </c>
      <c r="AN12" s="24">
        <v>1</v>
      </c>
      <c r="AO12" s="215" t="s">
        <v>1507</v>
      </c>
      <c r="AP12" s="731">
        <v>0</v>
      </c>
      <c r="AQ12" s="732">
        <v>0</v>
      </c>
      <c r="AR12" s="733"/>
      <c r="AS12" s="734"/>
      <c r="AT12" s="735"/>
      <c r="AU12" s="736" t="s">
        <v>1508</v>
      </c>
      <c r="AV12" s="731">
        <v>0</v>
      </c>
      <c r="AW12" s="732">
        <v>0</v>
      </c>
      <c r="AX12" s="733"/>
      <c r="AY12" s="734"/>
      <c r="AZ12" s="735"/>
      <c r="BA12" s="736" t="s">
        <v>1508</v>
      </c>
      <c r="BB12" s="21">
        <v>1</v>
      </c>
      <c r="BC12" s="732">
        <v>1</v>
      </c>
      <c r="BD12" s="22">
        <v>1</v>
      </c>
      <c r="BE12" s="23">
        <v>1</v>
      </c>
      <c r="BF12" s="24">
        <f t="shared" ref="BF12:BF17" si="3">IF(BC12=0," ",BD12/BE12)</f>
        <v>1</v>
      </c>
      <c r="BG12" s="215" t="s">
        <v>1509</v>
      </c>
      <c r="BH12" s="731"/>
      <c r="BI12" s="732"/>
      <c r="BJ12" s="733"/>
      <c r="BK12" s="734"/>
      <c r="BL12" s="735"/>
      <c r="BM12" s="25" t="s">
        <v>1499</v>
      </c>
      <c r="BN12" s="731"/>
      <c r="BO12" s="732"/>
      <c r="BP12" s="733"/>
      <c r="BQ12" s="734"/>
      <c r="BR12" s="735"/>
      <c r="BS12" s="25" t="s">
        <v>1499</v>
      </c>
      <c r="BT12" s="21">
        <v>1</v>
      </c>
      <c r="BU12" s="732">
        <v>1</v>
      </c>
      <c r="BV12" s="22">
        <v>1</v>
      </c>
      <c r="BW12" s="23">
        <v>1</v>
      </c>
      <c r="BX12" s="24">
        <f>IF(BU12=0," ",BV12/BW12)</f>
        <v>1</v>
      </c>
      <c r="BY12" s="215" t="s">
        <v>1509</v>
      </c>
      <c r="BZ12" s="731"/>
      <c r="CA12" s="732"/>
      <c r="CB12" s="733"/>
      <c r="CC12" s="734"/>
      <c r="CD12" s="735"/>
      <c r="CE12" s="25" t="s">
        <v>1477</v>
      </c>
      <c r="CF12" s="731"/>
      <c r="CG12" s="732"/>
      <c r="CH12" s="733"/>
      <c r="CI12" s="734"/>
      <c r="CJ12" s="735"/>
      <c r="CK12" s="729" t="s">
        <v>1477</v>
      </c>
      <c r="CL12" s="731" t="s">
        <v>1510</v>
      </c>
      <c r="CM12" s="732">
        <v>100</v>
      </c>
      <c r="CN12" s="22">
        <v>1</v>
      </c>
      <c r="CO12" s="734">
        <v>1</v>
      </c>
      <c r="CP12" s="24">
        <v>1</v>
      </c>
      <c r="CQ12" s="736" t="s">
        <v>326</v>
      </c>
      <c r="CR12" s="26">
        <v>100</v>
      </c>
      <c r="CS12" s="26">
        <v>100</v>
      </c>
      <c r="CT12" s="733">
        <v>1</v>
      </c>
      <c r="CU12" s="734">
        <v>1</v>
      </c>
      <c r="CV12" s="735">
        <v>1</v>
      </c>
      <c r="CW12" s="736" t="s">
        <v>327</v>
      </c>
    </row>
    <row r="13" spans="1:101" ht="141.75" customHeight="1">
      <c r="B13" s="691" t="s">
        <v>55</v>
      </c>
      <c r="C13" s="9"/>
      <c r="D13" s="691" t="s">
        <v>1511</v>
      </c>
      <c r="E13" s="691" t="s">
        <v>57</v>
      </c>
      <c r="F13" s="691" t="s">
        <v>62</v>
      </c>
      <c r="G13" s="691" t="s">
        <v>53</v>
      </c>
      <c r="H13" s="691" t="s">
        <v>1512</v>
      </c>
      <c r="I13" s="691" t="s">
        <v>1513</v>
      </c>
      <c r="J13" s="9" t="s">
        <v>54</v>
      </c>
      <c r="K13" s="737"/>
      <c r="L13" s="737"/>
      <c r="M13" s="738"/>
      <c r="N13" s="737"/>
      <c r="O13" s="737"/>
      <c r="P13" s="714" t="s">
        <v>317</v>
      </c>
      <c r="Q13" s="739"/>
      <c r="R13" s="714" t="s">
        <v>318</v>
      </c>
      <c r="S13" s="739"/>
      <c r="T13" s="714" t="s">
        <v>319</v>
      </c>
      <c r="U13" s="740"/>
      <c r="V13" s="714" t="s">
        <v>320</v>
      </c>
      <c r="W13" s="8"/>
      <c r="X13" s="731"/>
      <c r="Y13" s="732"/>
      <c r="Z13" s="733"/>
      <c r="AA13" s="734"/>
      <c r="AB13" s="735"/>
      <c r="AC13" s="25" t="s">
        <v>1514</v>
      </c>
      <c r="AD13" s="731"/>
      <c r="AE13" s="732"/>
      <c r="AF13" s="22" t="str">
        <f t="shared" si="1"/>
        <v xml:space="preserve"> </v>
      </c>
      <c r="AG13" s="734"/>
      <c r="AH13" s="24" t="str">
        <f t="shared" si="2"/>
        <v xml:space="preserve"> </v>
      </c>
      <c r="AI13" s="25" t="s">
        <v>1514</v>
      </c>
      <c r="AJ13" s="731"/>
      <c r="AK13" s="732"/>
      <c r="AL13" s="22" t="str">
        <f>IF(AK13=0," ",AJ13/AK13)</f>
        <v xml:space="preserve"> </v>
      </c>
      <c r="AM13" s="734"/>
      <c r="AN13" s="24" t="str">
        <f>IF(AK13=0," ",AL13/AM13)</f>
        <v xml:space="preserve"> </v>
      </c>
      <c r="AO13" s="25" t="s">
        <v>1514</v>
      </c>
      <c r="AP13" s="731"/>
      <c r="AQ13" s="732"/>
      <c r="AR13" s="22" t="str">
        <f>IF(AQ13=0," ",AP13/AQ13)</f>
        <v xml:space="preserve"> </v>
      </c>
      <c r="AS13" s="734"/>
      <c r="AT13" s="24" t="str">
        <f>IF(AQ13=0," ",AR13/AS13)</f>
        <v xml:space="preserve"> </v>
      </c>
      <c r="AU13" s="25" t="s">
        <v>1514</v>
      </c>
      <c r="AV13" s="731"/>
      <c r="AW13" s="732"/>
      <c r="AX13" s="733"/>
      <c r="AY13" s="734"/>
      <c r="AZ13" s="735"/>
      <c r="BA13" s="25" t="s">
        <v>1514</v>
      </c>
      <c r="BB13" s="731"/>
      <c r="BC13" s="732"/>
      <c r="BD13" s="733" t="str">
        <f>IF(BC13=0," ",BB13/BC13)</f>
        <v xml:space="preserve"> </v>
      </c>
      <c r="BE13" s="734"/>
      <c r="BF13" s="735" t="str">
        <f t="shared" si="3"/>
        <v xml:space="preserve"> </v>
      </c>
      <c r="BG13" s="736" t="s">
        <v>1515</v>
      </c>
      <c r="BH13" s="731"/>
      <c r="BI13" s="732"/>
      <c r="BJ13" s="733"/>
      <c r="BK13" s="734"/>
      <c r="BL13" s="735"/>
      <c r="BM13" s="736" t="s">
        <v>1515</v>
      </c>
      <c r="BN13" s="731"/>
      <c r="BO13" s="732"/>
      <c r="BP13" s="733"/>
      <c r="BQ13" s="734"/>
      <c r="BR13" s="735"/>
      <c r="BS13" s="736" t="s">
        <v>1515</v>
      </c>
      <c r="BT13" s="731"/>
      <c r="BU13" s="732"/>
      <c r="BV13" s="733"/>
      <c r="BW13" s="734"/>
      <c r="BX13" s="735"/>
      <c r="BY13" s="736" t="s">
        <v>1515</v>
      </c>
      <c r="BZ13" s="731"/>
      <c r="CA13" s="732"/>
      <c r="CB13" s="733"/>
      <c r="CC13" s="734"/>
      <c r="CD13" s="735"/>
      <c r="CE13" s="736" t="s">
        <v>1515</v>
      </c>
      <c r="CF13" s="731"/>
      <c r="CG13" s="732"/>
      <c r="CH13" s="733"/>
      <c r="CI13" s="734"/>
      <c r="CJ13" s="735"/>
      <c r="CK13" s="729" t="s">
        <v>1477</v>
      </c>
      <c r="CL13" s="731"/>
      <c r="CM13" s="732"/>
      <c r="CN13" s="22" t="str">
        <f t="shared" ref="CN13:CN19" si="4">IF(CM13=0," ",CL13/CM13)</f>
        <v xml:space="preserve"> </v>
      </c>
      <c r="CO13" s="734"/>
      <c r="CP13" s="24" t="str">
        <f t="shared" ref="CP13:CP19" si="5">IF(CM13=0," ",CN13/CO13)</f>
        <v xml:space="preserve"> </v>
      </c>
      <c r="CQ13" s="736" t="s">
        <v>162</v>
      </c>
      <c r="CR13" s="26">
        <f>+X13+AD13+AJ13+AP13+AV13+BB13+BH13+BN13+BT13+BZ13+CF13+CL13</f>
        <v>0</v>
      </c>
      <c r="CS13" s="26">
        <f>+Y13+AE13+AK13+AQ13+AW13+BC13+BI13+BO13+BU13+CA13+CG13+CM13</f>
        <v>0</v>
      </c>
      <c r="CT13" s="733" t="str">
        <f>IF(CS13=0," ",CR13/CS13)</f>
        <v xml:space="preserve"> </v>
      </c>
      <c r="CU13" s="734"/>
      <c r="CV13" s="735" t="str">
        <f>IF(CS13=0," ",CT13/CU13)</f>
        <v xml:space="preserve"> </v>
      </c>
      <c r="CW13" s="736" t="s">
        <v>1515</v>
      </c>
    </row>
    <row r="14" spans="1:101" ht="112.5" customHeight="1">
      <c r="B14" s="691" t="s">
        <v>260</v>
      </c>
      <c r="C14" s="9"/>
      <c r="D14" s="691" t="s">
        <v>262</v>
      </c>
      <c r="E14" s="691" t="s">
        <v>263</v>
      </c>
      <c r="F14" s="691" t="s">
        <v>264</v>
      </c>
      <c r="G14" s="691" t="s">
        <v>98</v>
      </c>
      <c r="H14" s="691" t="s">
        <v>390</v>
      </c>
      <c r="I14" s="691" t="s">
        <v>267</v>
      </c>
      <c r="J14" s="9" t="s">
        <v>391</v>
      </c>
      <c r="K14" s="714"/>
      <c r="L14" s="714"/>
      <c r="M14" s="714">
        <v>1</v>
      </c>
      <c r="N14" s="714"/>
      <c r="O14" s="714"/>
      <c r="P14" s="714"/>
      <c r="Q14" s="714"/>
      <c r="R14" s="714"/>
      <c r="S14" s="714"/>
      <c r="T14" s="714"/>
      <c r="U14" s="714"/>
      <c r="V14" s="714"/>
      <c r="W14" s="8"/>
      <c r="X14" s="731"/>
      <c r="Y14" s="732"/>
      <c r="Z14" s="733"/>
      <c r="AA14" s="734"/>
      <c r="AB14" s="735"/>
      <c r="AC14" s="25" t="s">
        <v>1506</v>
      </c>
      <c r="AD14" s="731"/>
      <c r="AE14" s="732"/>
      <c r="AF14" s="22" t="str">
        <f t="shared" si="1"/>
        <v xml:space="preserve"> </v>
      </c>
      <c r="AG14" s="734"/>
      <c r="AH14" s="24" t="str">
        <f t="shared" si="2"/>
        <v xml:space="preserve"> </v>
      </c>
      <c r="AI14" s="25" t="s">
        <v>1506</v>
      </c>
      <c r="AJ14" s="741">
        <v>200000</v>
      </c>
      <c r="AK14" s="742">
        <v>200000</v>
      </c>
      <c r="AL14" s="22">
        <f>IF(AK14=0," ",AJ14/AK14)</f>
        <v>1</v>
      </c>
      <c r="AM14" s="734">
        <v>1</v>
      </c>
      <c r="AN14" s="24">
        <f>IF(AK14=0," ",AL14/AM14)</f>
        <v>1</v>
      </c>
      <c r="AO14" s="736" t="s">
        <v>1516</v>
      </c>
      <c r="AP14" s="731"/>
      <c r="AQ14" s="732"/>
      <c r="AR14" s="22" t="str">
        <f>IF(AQ14=0," ",AP14/AQ14)</f>
        <v xml:space="preserve"> </v>
      </c>
      <c r="AS14" s="734"/>
      <c r="AT14" s="24" t="str">
        <f>IF(AQ14=0," ",AR14/AS14)</f>
        <v xml:space="preserve"> </v>
      </c>
      <c r="AU14" s="736" t="s">
        <v>1517</v>
      </c>
      <c r="AV14" s="731"/>
      <c r="AW14" s="732"/>
      <c r="AX14" s="733"/>
      <c r="AY14" s="734"/>
      <c r="AZ14" s="735"/>
      <c r="BA14" s="736" t="s">
        <v>1517</v>
      </c>
      <c r="BB14" s="731"/>
      <c r="BC14" s="732"/>
      <c r="BD14" s="733" t="str">
        <f>IF(BC14=0," ",BB14/BC14)</f>
        <v xml:space="preserve"> </v>
      </c>
      <c r="BE14" s="734"/>
      <c r="BF14" s="735" t="str">
        <f t="shared" si="3"/>
        <v xml:space="preserve"> </v>
      </c>
      <c r="BG14" s="736" t="s">
        <v>1517</v>
      </c>
      <c r="BH14" s="731"/>
      <c r="BI14" s="732"/>
      <c r="BJ14" s="733"/>
      <c r="BK14" s="734"/>
      <c r="BL14" s="735"/>
      <c r="BM14" s="736" t="s">
        <v>1517</v>
      </c>
      <c r="BN14" s="731"/>
      <c r="BO14" s="732"/>
      <c r="BP14" s="733"/>
      <c r="BQ14" s="734"/>
      <c r="BR14" s="735"/>
      <c r="BS14" s="736" t="s">
        <v>1517</v>
      </c>
      <c r="BT14" s="731"/>
      <c r="BU14" s="732"/>
      <c r="BV14" s="733"/>
      <c r="BW14" s="734"/>
      <c r="BX14" s="735"/>
      <c r="BY14" s="736" t="s">
        <v>1517</v>
      </c>
      <c r="BZ14" s="731"/>
      <c r="CA14" s="732"/>
      <c r="CB14" s="733"/>
      <c r="CC14" s="734"/>
      <c r="CD14" s="735"/>
      <c r="CE14" s="736" t="s">
        <v>1517</v>
      </c>
      <c r="CF14" s="731"/>
      <c r="CG14" s="732"/>
      <c r="CH14" s="733"/>
      <c r="CI14" s="734"/>
      <c r="CJ14" s="735"/>
      <c r="CK14" s="736" t="s">
        <v>1517</v>
      </c>
      <c r="CL14" s="731"/>
      <c r="CM14" s="732"/>
      <c r="CN14" s="22" t="str">
        <f t="shared" si="4"/>
        <v xml:space="preserve"> </v>
      </c>
      <c r="CO14" s="734"/>
      <c r="CP14" s="24" t="str">
        <f t="shared" si="5"/>
        <v xml:space="preserve"> </v>
      </c>
      <c r="CQ14" s="736" t="s">
        <v>1517</v>
      </c>
      <c r="CR14" s="743">
        <f>+X14+AD14+AJ14+AP14+AV14+BB14+BH14+BN14+BT14+BZ14+CF14+CL14</f>
        <v>200000</v>
      </c>
      <c r="CS14" s="743">
        <f>+Y14+AE14+AK14+AQ14+AW14+BC14+BI14+BO14+BU14+CA14+CG14+CM14</f>
        <v>200000</v>
      </c>
      <c r="CT14" s="733">
        <f>IF(CS14=0," ",CR14/CS14)</f>
        <v>1</v>
      </c>
      <c r="CU14" s="734">
        <v>1</v>
      </c>
      <c r="CV14" s="735">
        <f>IF(CS14=0," ",CT14/CU14)</f>
        <v>1</v>
      </c>
      <c r="CW14" s="736" t="s">
        <v>1516</v>
      </c>
    </row>
    <row r="15" spans="1:101" ht="128.25" customHeight="1">
      <c r="B15" s="691" t="s">
        <v>260</v>
      </c>
      <c r="C15" s="9"/>
      <c r="D15" s="691" t="s">
        <v>274</v>
      </c>
      <c r="E15" s="691" t="s">
        <v>275</v>
      </c>
      <c r="F15" s="691" t="s">
        <v>276</v>
      </c>
      <c r="G15" s="691" t="s">
        <v>98</v>
      </c>
      <c r="H15" s="691" t="s">
        <v>394</v>
      </c>
      <c r="I15" s="691" t="s">
        <v>267</v>
      </c>
      <c r="J15" s="9" t="s">
        <v>391</v>
      </c>
      <c r="K15" s="714"/>
      <c r="L15" s="714"/>
      <c r="M15" s="714">
        <v>0.5</v>
      </c>
      <c r="N15" s="714"/>
      <c r="O15" s="714"/>
      <c r="P15" s="714"/>
      <c r="Q15" s="714">
        <v>0.5</v>
      </c>
      <c r="R15" s="714"/>
      <c r="S15" s="714"/>
      <c r="T15" s="714"/>
      <c r="U15" s="714"/>
      <c r="V15" s="714"/>
      <c r="W15" s="8"/>
      <c r="X15" s="731"/>
      <c r="Y15" s="732"/>
      <c r="Z15" s="733"/>
      <c r="AA15" s="734"/>
      <c r="AB15" s="735"/>
      <c r="AC15" s="25" t="s">
        <v>1506</v>
      </c>
      <c r="AD15" s="731"/>
      <c r="AE15" s="732"/>
      <c r="AF15" s="22" t="str">
        <f t="shared" si="1"/>
        <v xml:space="preserve"> </v>
      </c>
      <c r="AG15" s="734"/>
      <c r="AH15" s="24" t="str">
        <f t="shared" si="2"/>
        <v xml:space="preserve"> </v>
      </c>
      <c r="AI15" s="25" t="s">
        <v>1506</v>
      </c>
      <c r="AJ15" s="741">
        <v>814196689</v>
      </c>
      <c r="AK15" s="742">
        <v>817085689</v>
      </c>
      <c r="AL15" s="22">
        <f>IF(AK15=0," ",AJ15/AK15)</f>
        <v>0.99646426312577363</v>
      </c>
      <c r="AM15" s="734">
        <v>0.5</v>
      </c>
      <c r="AN15" s="24">
        <f>IF(AK15=0," ",AL15/AM15)</f>
        <v>1.9929285262515473</v>
      </c>
      <c r="AO15" s="736" t="s">
        <v>1518</v>
      </c>
      <c r="AP15" s="731"/>
      <c r="AQ15" s="732"/>
      <c r="AR15" s="22" t="str">
        <f>IF(AQ15=0," ",AP15/AQ15)</f>
        <v xml:space="preserve"> </v>
      </c>
      <c r="AS15" s="734"/>
      <c r="AT15" s="24" t="str">
        <f>IF(AQ15=0," ",AR15/AS15)</f>
        <v xml:space="preserve"> </v>
      </c>
      <c r="AU15" s="736" t="s">
        <v>1519</v>
      </c>
      <c r="AV15" s="731"/>
      <c r="AW15" s="732"/>
      <c r="AX15" s="733"/>
      <c r="AY15" s="734"/>
      <c r="AZ15" s="735"/>
      <c r="BA15" s="736" t="s">
        <v>1519</v>
      </c>
      <c r="BB15" s="731"/>
      <c r="BC15" s="732"/>
      <c r="BD15" s="733" t="str">
        <f>IF(BC15=0," ",BB15/BC15)</f>
        <v xml:space="preserve"> </v>
      </c>
      <c r="BE15" s="734"/>
      <c r="BF15" s="735" t="str">
        <f t="shared" si="3"/>
        <v xml:space="preserve"> </v>
      </c>
      <c r="BG15" s="736" t="s">
        <v>1519</v>
      </c>
      <c r="BH15" s="741">
        <v>814196689</v>
      </c>
      <c r="BI15" s="742">
        <v>817085689</v>
      </c>
      <c r="BJ15" s="560">
        <f>IF(BI15=0," ",BH15/BI15)</f>
        <v>0.99646426312577363</v>
      </c>
      <c r="BK15" s="734">
        <v>1</v>
      </c>
      <c r="BL15" s="24">
        <f>IF(BI15=0," ",BJ15/BK15)</f>
        <v>0.99646426312577363</v>
      </c>
      <c r="BM15" s="736" t="s">
        <v>1520</v>
      </c>
      <c r="BN15" s="741">
        <v>814196689</v>
      </c>
      <c r="BO15" s="742">
        <v>817085689</v>
      </c>
      <c r="BP15" s="560">
        <f>IF(BO15=0," ",BN15/BO15)</f>
        <v>0.99646426312577363</v>
      </c>
      <c r="BQ15" s="734">
        <v>1</v>
      </c>
      <c r="BR15" s="24">
        <f>IF(BO15=0," ",BP15/BQ15)</f>
        <v>0.99646426312577363</v>
      </c>
      <c r="BS15" s="736" t="s">
        <v>1520</v>
      </c>
      <c r="BT15" s="741">
        <v>814196689</v>
      </c>
      <c r="BU15" s="742">
        <v>817085689</v>
      </c>
      <c r="BV15" s="560">
        <f>IF(BU15=0," ",BT15/BU15)</f>
        <v>0.99646426312577363</v>
      </c>
      <c r="BW15" s="734">
        <v>1</v>
      </c>
      <c r="BX15" s="735">
        <f>IF(BU15=0," ",BV15/BW15)</f>
        <v>0.99646426312577363</v>
      </c>
      <c r="BY15" s="736" t="s">
        <v>1520</v>
      </c>
      <c r="BZ15" s="741">
        <v>814196689</v>
      </c>
      <c r="CA15" s="742">
        <v>817085689</v>
      </c>
      <c r="CB15" s="560">
        <f>IF(CA15=0," ",BZ15/CA15)</f>
        <v>0.99646426312577363</v>
      </c>
      <c r="CC15" s="734">
        <v>1</v>
      </c>
      <c r="CD15" s="735">
        <f>IF(CA15=0," ",CB15/CC15)</f>
        <v>0.99646426312577363</v>
      </c>
      <c r="CE15" s="736" t="s">
        <v>1520</v>
      </c>
      <c r="CF15" s="741">
        <v>814196689</v>
      </c>
      <c r="CG15" s="742">
        <v>817085689</v>
      </c>
      <c r="CH15" s="560">
        <f>IF(CG15=0," ",CF15/CG15)</f>
        <v>0.99646426312577363</v>
      </c>
      <c r="CI15" s="734">
        <v>1</v>
      </c>
      <c r="CJ15" s="735">
        <f>IF(CG15=0," ",CH15/CI15)</f>
        <v>0.99646426312577363</v>
      </c>
      <c r="CK15" s="736" t="s">
        <v>1520</v>
      </c>
      <c r="CL15" s="742">
        <v>817085689</v>
      </c>
      <c r="CM15" s="742">
        <v>817085689</v>
      </c>
      <c r="CN15" s="22">
        <f t="shared" si="4"/>
        <v>1</v>
      </c>
      <c r="CO15" s="734">
        <v>1</v>
      </c>
      <c r="CP15" s="24">
        <f t="shared" si="5"/>
        <v>1</v>
      </c>
      <c r="CQ15" s="736" t="s">
        <v>1517</v>
      </c>
      <c r="CR15" s="742">
        <v>817085689</v>
      </c>
      <c r="CS15" s="742">
        <v>817085689</v>
      </c>
      <c r="CT15" s="744">
        <f>IF(CS15=0," ",CR15/CS15)</f>
        <v>1</v>
      </c>
      <c r="CU15" s="734">
        <v>1</v>
      </c>
      <c r="CV15" s="745">
        <f>IF(CS15=0," ",CT15/CU15)</f>
        <v>1</v>
      </c>
      <c r="CW15" s="736" t="s">
        <v>1521</v>
      </c>
    </row>
    <row r="16" spans="1:101" ht="90" customHeight="1">
      <c r="B16" s="691" t="s">
        <v>67</v>
      </c>
      <c r="C16" s="9"/>
      <c r="D16" s="746" t="s">
        <v>1522</v>
      </c>
      <c r="E16" s="746" t="s">
        <v>68</v>
      </c>
      <c r="F16" s="746" t="s">
        <v>69</v>
      </c>
      <c r="G16" s="746" t="s">
        <v>53</v>
      </c>
      <c r="H16" s="746" t="s">
        <v>70</v>
      </c>
      <c r="I16" s="746" t="s">
        <v>71</v>
      </c>
      <c r="J16" s="722" t="s">
        <v>54</v>
      </c>
      <c r="K16" s="713"/>
      <c r="L16" s="713"/>
      <c r="M16" s="714"/>
      <c r="N16" s="713"/>
      <c r="O16" s="713"/>
      <c r="P16" s="714">
        <v>0.2</v>
      </c>
      <c r="Q16" s="713"/>
      <c r="R16" s="713"/>
      <c r="S16" s="714">
        <v>0.2</v>
      </c>
      <c r="T16" s="713"/>
      <c r="U16" s="713"/>
      <c r="V16" s="714">
        <v>0.5</v>
      </c>
      <c r="W16" s="8"/>
      <c r="X16" s="731"/>
      <c r="Y16" s="732"/>
      <c r="Z16" s="733"/>
      <c r="AA16" s="734"/>
      <c r="AB16" s="735"/>
      <c r="AC16" s="25" t="s">
        <v>1514</v>
      </c>
      <c r="AD16" s="731"/>
      <c r="AE16" s="732"/>
      <c r="AF16" s="22" t="str">
        <f t="shared" si="1"/>
        <v xml:space="preserve"> </v>
      </c>
      <c r="AG16" s="734"/>
      <c r="AH16" s="24" t="str">
        <f t="shared" si="2"/>
        <v xml:space="preserve"> </v>
      </c>
      <c r="AI16" s="25" t="s">
        <v>1514</v>
      </c>
      <c r="AJ16" s="731"/>
      <c r="AK16" s="732"/>
      <c r="AL16" s="22" t="str">
        <f>IF(AK16=0," ",AJ16/AK16)</f>
        <v xml:space="preserve"> </v>
      </c>
      <c r="AM16" s="734"/>
      <c r="AN16" s="24" t="str">
        <f>IF(AK16=0," ",AL16/AM16)</f>
        <v xml:space="preserve"> </v>
      </c>
      <c r="AO16" s="25" t="s">
        <v>1514</v>
      </c>
      <c r="AP16" s="731"/>
      <c r="AQ16" s="732"/>
      <c r="AR16" s="22" t="str">
        <f>IF(AQ16=0," ",AP16/AQ16)</f>
        <v xml:space="preserve"> </v>
      </c>
      <c r="AS16" s="734"/>
      <c r="AT16" s="24" t="str">
        <f>IF(AQ16=0," ",AR16/AS16)</f>
        <v xml:space="preserve"> </v>
      </c>
      <c r="AU16" s="25" t="s">
        <v>1514</v>
      </c>
      <c r="AV16" s="731"/>
      <c r="AW16" s="732"/>
      <c r="AX16" s="733"/>
      <c r="AY16" s="734"/>
      <c r="AZ16" s="735"/>
      <c r="BA16" s="25" t="s">
        <v>1514</v>
      </c>
      <c r="BB16" s="741">
        <v>290451604</v>
      </c>
      <c r="BC16" s="742">
        <v>2351120588</v>
      </c>
      <c r="BD16" s="733">
        <f>IF(BC16=0," ",BB16/BC16)</f>
        <v>0.12353751886757754</v>
      </c>
      <c r="BE16" s="734">
        <v>0.2</v>
      </c>
      <c r="BF16" s="735">
        <f t="shared" si="3"/>
        <v>0.61768759433788767</v>
      </c>
      <c r="BG16" s="736" t="s">
        <v>1523</v>
      </c>
      <c r="BH16" s="731"/>
      <c r="BI16" s="732"/>
      <c r="BJ16" s="733"/>
      <c r="BK16" s="734"/>
      <c r="BL16" s="735"/>
      <c r="BM16" s="736" t="s">
        <v>1499</v>
      </c>
      <c r="BN16" s="731"/>
      <c r="BO16" s="732"/>
      <c r="BP16" s="733"/>
      <c r="BQ16" s="734"/>
      <c r="BR16" s="735"/>
      <c r="BS16" s="736" t="s">
        <v>1499</v>
      </c>
      <c r="BT16" s="747">
        <v>1084546508</v>
      </c>
      <c r="BU16" s="748">
        <v>1841060588</v>
      </c>
      <c r="BV16" s="560">
        <f>IF(BU16=0," ",BT16/BU16)</f>
        <v>0.5890878958949286</v>
      </c>
      <c r="BW16" s="734">
        <v>0.4</v>
      </c>
      <c r="BX16" s="735">
        <f>IF(BU16=0," ",BV16/BW16)</f>
        <v>1.4727197397373215</v>
      </c>
      <c r="BY16" s="736" t="s">
        <v>1524</v>
      </c>
      <c r="BZ16" s="731"/>
      <c r="CA16" s="732"/>
      <c r="CB16" s="733"/>
      <c r="CC16" s="734"/>
      <c r="CD16" s="735"/>
      <c r="CE16" s="736" t="s">
        <v>1477</v>
      </c>
      <c r="CF16" s="731"/>
      <c r="CG16" s="732"/>
      <c r="CH16" s="560" t="str">
        <f>IF(CG16=0," ",CF16/CG16)</f>
        <v xml:space="preserve"> </v>
      </c>
      <c r="CI16" s="734"/>
      <c r="CJ16" s="735"/>
      <c r="CK16" s="736" t="s">
        <v>1477</v>
      </c>
      <c r="CL16" s="742">
        <v>2634143833</v>
      </c>
      <c r="CM16" s="742">
        <v>2667034606</v>
      </c>
      <c r="CN16" s="22">
        <f t="shared" si="4"/>
        <v>0.98766766170712372</v>
      </c>
      <c r="CO16" s="734">
        <v>0.9</v>
      </c>
      <c r="CP16" s="24">
        <f t="shared" si="5"/>
        <v>1.0974085130079152</v>
      </c>
      <c r="CQ16" s="736" t="s">
        <v>1525</v>
      </c>
      <c r="CR16" s="742">
        <v>2634143833</v>
      </c>
      <c r="CS16" s="742">
        <v>2667034606</v>
      </c>
      <c r="CT16" s="733">
        <f>IF(CS16=0," ",CR16/CS16)</f>
        <v>0.98766766170712372</v>
      </c>
      <c r="CU16" s="734">
        <v>0.9</v>
      </c>
      <c r="CV16" s="735">
        <f>IF(CS16=0," ",CT16/CU16)</f>
        <v>1.0974085130079152</v>
      </c>
      <c r="CW16" s="736" t="s">
        <v>1525</v>
      </c>
    </row>
    <row r="17" spans="2:101" ht="136.5" customHeight="1">
      <c r="B17" s="691" t="s">
        <v>260</v>
      </c>
      <c r="C17" s="9"/>
      <c r="D17" s="691" t="s">
        <v>74</v>
      </c>
      <c r="E17" s="691" t="s">
        <v>75</v>
      </c>
      <c r="F17" s="691" t="s">
        <v>76</v>
      </c>
      <c r="G17" s="691" t="s">
        <v>53</v>
      </c>
      <c r="H17" s="691" t="s">
        <v>776</v>
      </c>
      <c r="I17" s="691" t="s">
        <v>78</v>
      </c>
      <c r="J17" s="9" t="s">
        <v>54</v>
      </c>
      <c r="K17" s="714"/>
      <c r="L17" s="714">
        <v>0.8</v>
      </c>
      <c r="M17" s="714">
        <v>0.8</v>
      </c>
      <c r="N17" s="714">
        <v>0.8</v>
      </c>
      <c r="O17" s="714">
        <v>0.8</v>
      </c>
      <c r="P17" s="714">
        <v>0.8</v>
      </c>
      <c r="Q17" s="714">
        <v>0.8</v>
      </c>
      <c r="R17" s="714">
        <v>0.8</v>
      </c>
      <c r="S17" s="714">
        <v>0.8</v>
      </c>
      <c r="T17" s="714">
        <v>0.8</v>
      </c>
      <c r="U17" s="714">
        <v>0.8</v>
      </c>
      <c r="V17" s="714">
        <v>0.8</v>
      </c>
      <c r="W17" s="8"/>
      <c r="X17" s="731"/>
      <c r="Y17" s="732"/>
      <c r="Z17" s="733"/>
      <c r="AA17" s="734"/>
      <c r="AB17" s="735"/>
      <c r="AC17" s="25" t="s">
        <v>1467</v>
      </c>
      <c r="AD17" s="731">
        <v>30</v>
      </c>
      <c r="AE17" s="732">
        <v>100</v>
      </c>
      <c r="AF17" s="22">
        <f t="shared" si="1"/>
        <v>0.3</v>
      </c>
      <c r="AG17" s="734">
        <v>0.8</v>
      </c>
      <c r="AH17" s="24">
        <f t="shared" si="2"/>
        <v>0.37499999999999994</v>
      </c>
      <c r="AI17" s="749" t="s">
        <v>1526</v>
      </c>
      <c r="AJ17" s="731">
        <v>5</v>
      </c>
      <c r="AK17" s="732">
        <v>100</v>
      </c>
      <c r="AL17" s="22">
        <f>IF(AK17=0," ",AJ17/AK17)</f>
        <v>0.05</v>
      </c>
      <c r="AM17" s="734">
        <v>0.8</v>
      </c>
      <c r="AN17" s="24">
        <f>IF(AK17=0," ",AL17/AM17)</f>
        <v>6.25E-2</v>
      </c>
      <c r="AO17" s="749" t="s">
        <v>1527</v>
      </c>
      <c r="AP17" s="731">
        <v>65</v>
      </c>
      <c r="AQ17" s="732">
        <v>100</v>
      </c>
      <c r="AR17" s="22">
        <f>IF(AQ17=0," ",AP17/AQ17)</f>
        <v>0.65</v>
      </c>
      <c r="AS17" s="734">
        <v>0.8</v>
      </c>
      <c r="AT17" s="24">
        <f>IF(AQ17=0," ",AR17/AS17)</f>
        <v>0.8125</v>
      </c>
      <c r="AU17" s="749" t="s">
        <v>1528</v>
      </c>
      <c r="AV17" s="731">
        <v>65</v>
      </c>
      <c r="AW17" s="732">
        <v>100</v>
      </c>
      <c r="AX17" s="22">
        <f>IF(AW17=0," ",AV17/AW17)</f>
        <v>0.65</v>
      </c>
      <c r="AY17" s="734">
        <v>0.8</v>
      </c>
      <c r="AZ17" s="24">
        <f>IF(AW17=0," ",AX17/AY17)</f>
        <v>0.8125</v>
      </c>
      <c r="BA17" s="736" t="s">
        <v>1313</v>
      </c>
      <c r="BB17" s="731">
        <v>50</v>
      </c>
      <c r="BC17" s="732">
        <v>100</v>
      </c>
      <c r="BD17" s="733">
        <f>IF(BC17=0," ",BB17/BC17)</f>
        <v>0.5</v>
      </c>
      <c r="BE17" s="734">
        <v>0.8</v>
      </c>
      <c r="BF17" s="735">
        <f t="shared" si="3"/>
        <v>0.625</v>
      </c>
      <c r="BG17" s="736" t="s">
        <v>1529</v>
      </c>
      <c r="BH17" s="731">
        <v>5</v>
      </c>
      <c r="BI17" s="732">
        <v>100</v>
      </c>
      <c r="BJ17" s="733">
        <f>IF(BI17=0," ",BH17/BI17)</f>
        <v>0.05</v>
      </c>
      <c r="BK17" s="734">
        <v>0.8</v>
      </c>
      <c r="BL17" s="735">
        <f>IF(BI17=0," ",BJ17/BK17)</f>
        <v>6.25E-2</v>
      </c>
      <c r="BM17" s="736" t="s">
        <v>1530</v>
      </c>
      <c r="BN17" s="731">
        <v>75</v>
      </c>
      <c r="BO17" s="732">
        <v>100</v>
      </c>
      <c r="BP17" s="733">
        <f>IF(BO17=0," ",BN17/BO17)</f>
        <v>0.75</v>
      </c>
      <c r="BQ17" s="734">
        <v>0.8</v>
      </c>
      <c r="BR17" s="735">
        <f>IF(BO17=0," ",BP17/BQ17)</f>
        <v>0.9375</v>
      </c>
      <c r="BS17" s="736" t="s">
        <v>1531</v>
      </c>
      <c r="BT17" s="731">
        <v>65</v>
      </c>
      <c r="BU17" s="732">
        <v>100</v>
      </c>
      <c r="BV17" s="733">
        <f>IF(BU17=0," ",BT17/BU17)</f>
        <v>0.65</v>
      </c>
      <c r="BW17" s="734">
        <v>0.8</v>
      </c>
      <c r="BX17" s="735">
        <f>IF(BU17=0," ",BV17/BW17)</f>
        <v>0.8125</v>
      </c>
      <c r="BY17" s="736" t="s">
        <v>1532</v>
      </c>
      <c r="BZ17" s="731">
        <v>65</v>
      </c>
      <c r="CA17" s="732">
        <v>100</v>
      </c>
      <c r="CB17" s="733">
        <v>0.99646426312577363</v>
      </c>
      <c r="CC17" s="734">
        <v>0.8</v>
      </c>
      <c r="CD17" s="735">
        <v>0.99646426312577363</v>
      </c>
      <c r="CE17" s="736" t="s">
        <v>1533</v>
      </c>
      <c r="CF17" s="731">
        <v>5</v>
      </c>
      <c r="CG17" s="732">
        <v>100</v>
      </c>
      <c r="CH17" s="750">
        <f>IF(CG17=0," ",CF17/CG17)</f>
        <v>0.05</v>
      </c>
      <c r="CI17" s="734">
        <v>0.8</v>
      </c>
      <c r="CJ17" s="735">
        <f>IF(CG17=0," ",CH17/CI17)</f>
        <v>6.25E-2</v>
      </c>
      <c r="CK17" s="736" t="s">
        <v>1534</v>
      </c>
      <c r="CL17" s="731">
        <v>30</v>
      </c>
      <c r="CM17" s="732">
        <v>100</v>
      </c>
      <c r="CN17" s="22">
        <f t="shared" si="4"/>
        <v>0.3</v>
      </c>
      <c r="CO17" s="734">
        <v>0.8</v>
      </c>
      <c r="CP17" s="24">
        <f t="shared" si="5"/>
        <v>0.37499999999999994</v>
      </c>
      <c r="CQ17" s="736" t="s">
        <v>1535</v>
      </c>
      <c r="CR17" s="26">
        <v>45</v>
      </c>
      <c r="CS17" s="26">
        <v>100</v>
      </c>
      <c r="CT17" s="733">
        <f>IF(CS17=0," ",CR17/CS17)</f>
        <v>0.45</v>
      </c>
      <c r="CU17" s="734">
        <v>1</v>
      </c>
      <c r="CV17" s="735">
        <f>IF(CS17=0," ",CT17/CU17)</f>
        <v>0.45</v>
      </c>
      <c r="CW17" s="736" t="s">
        <v>1536</v>
      </c>
    </row>
    <row r="18" spans="2:101" ht="165.75" customHeight="1">
      <c r="B18" s="726" t="s">
        <v>81</v>
      </c>
      <c r="C18" s="9" t="s">
        <v>92</v>
      </c>
      <c r="D18" s="726" t="s">
        <v>83</v>
      </c>
      <c r="E18" s="726" t="s">
        <v>84</v>
      </c>
      <c r="F18" s="726" t="s">
        <v>82</v>
      </c>
      <c r="G18" s="727" t="s">
        <v>66</v>
      </c>
      <c r="H18" s="726" t="s">
        <v>1537</v>
      </c>
      <c r="I18" s="9" t="s">
        <v>85</v>
      </c>
      <c r="J18" s="9" t="s">
        <v>54</v>
      </c>
      <c r="K18" s="387"/>
      <c r="L18" s="714"/>
      <c r="M18" s="714">
        <v>1</v>
      </c>
      <c r="N18" s="714"/>
      <c r="O18" s="713"/>
      <c r="P18" s="714">
        <v>1</v>
      </c>
      <c r="Q18" s="713"/>
      <c r="R18" s="714"/>
      <c r="S18" s="714">
        <v>1</v>
      </c>
      <c r="T18" s="714"/>
      <c r="U18" s="713"/>
      <c r="V18" s="714">
        <v>1</v>
      </c>
      <c r="W18" s="8" t="s">
        <v>79</v>
      </c>
      <c r="X18" s="26"/>
      <c r="Y18" s="21"/>
      <c r="Z18" s="22"/>
      <c r="AA18" s="23"/>
      <c r="AB18" s="24"/>
      <c r="AC18" s="25" t="s">
        <v>1506</v>
      </c>
      <c r="AD18" s="26"/>
      <c r="AE18" s="21"/>
      <c r="AF18" s="22"/>
      <c r="AG18" s="23"/>
      <c r="AH18" s="728"/>
      <c r="AI18" s="729" t="s">
        <v>1506</v>
      </c>
      <c r="AJ18" s="26">
        <v>48</v>
      </c>
      <c r="AK18" s="21">
        <v>49</v>
      </c>
      <c r="AL18" s="22">
        <f>AJ18/AK18</f>
        <v>0.97959183673469385</v>
      </c>
      <c r="AM18" s="23">
        <v>1</v>
      </c>
      <c r="AN18" s="24">
        <f>AL18/AM18</f>
        <v>0.97959183673469385</v>
      </c>
      <c r="AO18" s="25" t="s">
        <v>1538</v>
      </c>
      <c r="AP18" s="26"/>
      <c r="AQ18" s="21"/>
      <c r="AR18" s="22"/>
      <c r="AS18" s="23"/>
      <c r="AT18" s="24"/>
      <c r="AU18" s="729" t="s">
        <v>1514</v>
      </c>
      <c r="AV18" s="26"/>
      <c r="AW18" s="21"/>
      <c r="AX18" s="22"/>
      <c r="AY18" s="23"/>
      <c r="AZ18" s="24"/>
      <c r="BA18" s="25" t="s">
        <v>1514</v>
      </c>
      <c r="BB18" s="26">
        <v>48</v>
      </c>
      <c r="BC18" s="21">
        <v>48</v>
      </c>
      <c r="BD18" s="22">
        <f>BB18/BC18</f>
        <v>1</v>
      </c>
      <c r="BE18" s="23">
        <v>1</v>
      </c>
      <c r="BF18" s="24">
        <f>BD18/BE18</f>
        <v>1</v>
      </c>
      <c r="BG18" s="729" t="s">
        <v>1539</v>
      </c>
      <c r="BH18" s="26"/>
      <c r="BI18" s="21"/>
      <c r="BJ18" s="22"/>
      <c r="BK18" s="23"/>
      <c r="BL18" s="24"/>
      <c r="BM18" s="25" t="s">
        <v>1477</v>
      </c>
      <c r="BN18" s="26"/>
      <c r="BO18" s="21"/>
      <c r="BP18" s="22"/>
      <c r="BQ18" s="23"/>
      <c r="BR18" s="24"/>
      <c r="BS18" s="25" t="s">
        <v>1477</v>
      </c>
      <c r="BT18" s="731">
        <v>65</v>
      </c>
      <c r="BU18" s="732">
        <v>65</v>
      </c>
      <c r="BV18" s="22">
        <f>IF(BU18=0," ",BT18/BU18)</f>
        <v>1</v>
      </c>
      <c r="BW18" s="58">
        <v>1</v>
      </c>
      <c r="BX18" s="24">
        <f>IF(BU18=0," ",BV18/BW18)</f>
        <v>1</v>
      </c>
      <c r="BY18" s="25" t="s">
        <v>1540</v>
      </c>
      <c r="BZ18" s="26"/>
      <c r="CA18" s="21"/>
      <c r="CB18" s="22"/>
      <c r="CC18" s="23"/>
      <c r="CD18" s="24"/>
      <c r="CE18" s="25" t="s">
        <v>1477</v>
      </c>
      <c r="CF18" s="26"/>
      <c r="CG18" s="21"/>
      <c r="CH18" s="22"/>
      <c r="CI18" s="23"/>
      <c r="CJ18" s="24"/>
      <c r="CK18" s="25" t="s">
        <v>1477</v>
      </c>
      <c r="CL18" s="26">
        <v>79</v>
      </c>
      <c r="CM18" s="21">
        <v>79</v>
      </c>
      <c r="CN18" s="22">
        <v>1</v>
      </c>
      <c r="CO18" s="23">
        <v>1</v>
      </c>
      <c r="CP18" s="24">
        <v>1</v>
      </c>
      <c r="CQ18" s="25" t="s">
        <v>1541</v>
      </c>
      <c r="CR18" s="751">
        <v>0.99489795918367352</v>
      </c>
      <c r="CS18" s="751">
        <v>1</v>
      </c>
      <c r="CT18" s="22">
        <v>0.99489795918367352</v>
      </c>
      <c r="CU18" s="23">
        <v>1</v>
      </c>
      <c r="CV18" s="24">
        <v>0.99489795918367352</v>
      </c>
      <c r="CW18" s="729" t="s">
        <v>315</v>
      </c>
    </row>
    <row r="19" spans="2:101" ht="126" customHeight="1">
      <c r="B19" s="726" t="s">
        <v>155</v>
      </c>
      <c r="C19" s="9" t="s">
        <v>156</v>
      </c>
      <c r="D19" s="726" t="s">
        <v>157</v>
      </c>
      <c r="E19" s="726" t="s">
        <v>158</v>
      </c>
      <c r="F19" s="726" t="s">
        <v>159</v>
      </c>
      <c r="G19" s="727" t="s">
        <v>53</v>
      </c>
      <c r="H19" s="726" t="s">
        <v>160</v>
      </c>
      <c r="I19" s="9" t="s">
        <v>161</v>
      </c>
      <c r="J19" s="9" t="s">
        <v>54</v>
      </c>
      <c r="K19" s="387"/>
      <c r="L19" s="714"/>
      <c r="M19" s="713"/>
      <c r="N19" s="714">
        <v>1</v>
      </c>
      <c r="O19" s="713"/>
      <c r="P19" s="714">
        <v>1</v>
      </c>
      <c r="Q19" s="713"/>
      <c r="R19" s="714"/>
      <c r="S19" s="713"/>
      <c r="T19" s="714"/>
      <c r="U19" s="713"/>
      <c r="V19" s="714">
        <v>1</v>
      </c>
      <c r="W19" s="8" t="s">
        <v>79</v>
      </c>
      <c r="X19" s="26"/>
      <c r="Y19" s="21"/>
      <c r="Z19" s="22"/>
      <c r="AA19" s="23"/>
      <c r="AB19" s="24"/>
      <c r="AC19" s="25" t="s">
        <v>1469</v>
      </c>
      <c r="AD19" s="26"/>
      <c r="AE19" s="21"/>
      <c r="AF19" s="22"/>
      <c r="AG19" s="23"/>
      <c r="AH19" s="728"/>
      <c r="AI19" s="729" t="s">
        <v>1469</v>
      </c>
      <c r="AJ19" s="26"/>
      <c r="AK19" s="21"/>
      <c r="AL19" s="22"/>
      <c r="AM19" s="23"/>
      <c r="AN19" s="24"/>
      <c r="AO19" s="25" t="s">
        <v>1469</v>
      </c>
      <c r="AP19" s="21">
        <v>1</v>
      </c>
      <c r="AQ19" s="21">
        <v>1</v>
      </c>
      <c r="AR19" s="22">
        <f>IF(AQ19=0," ",AP19/AQ19)</f>
        <v>1</v>
      </c>
      <c r="AS19" s="58">
        <v>1</v>
      </c>
      <c r="AT19" s="24">
        <f>IF(AQ19=0," ",AR19/AS19)</f>
        <v>1</v>
      </c>
      <c r="AU19" s="687" t="s">
        <v>1542</v>
      </c>
      <c r="AV19" s="26"/>
      <c r="AW19" s="21"/>
      <c r="AX19" s="22"/>
      <c r="AY19" s="23"/>
      <c r="AZ19" s="24"/>
      <c r="BA19" s="25"/>
      <c r="BB19" s="26">
        <v>1</v>
      </c>
      <c r="BC19" s="21">
        <v>5</v>
      </c>
      <c r="BD19" s="22">
        <f>BB19/BC19</f>
        <v>0.2</v>
      </c>
      <c r="BE19" s="23">
        <v>1</v>
      </c>
      <c r="BF19" s="24">
        <f>BD19/BE19</f>
        <v>0.2</v>
      </c>
      <c r="BG19" s="729" t="s">
        <v>1543</v>
      </c>
      <c r="BH19" s="26"/>
      <c r="BI19" s="21"/>
      <c r="BJ19" s="22"/>
      <c r="BK19" s="23"/>
      <c r="BL19" s="24"/>
      <c r="BM19" s="25" t="s">
        <v>1477</v>
      </c>
      <c r="BN19" s="26"/>
      <c r="BO19" s="21"/>
      <c r="BP19" s="22"/>
      <c r="BQ19" s="23"/>
      <c r="BR19" s="24"/>
      <c r="BS19" s="25" t="s">
        <v>1477</v>
      </c>
      <c r="BT19" s="26"/>
      <c r="BU19" s="21"/>
      <c r="BV19" s="22"/>
      <c r="BW19" s="23"/>
      <c r="BX19" s="24"/>
      <c r="BY19" s="25" t="s">
        <v>1477</v>
      </c>
      <c r="BZ19" s="26"/>
      <c r="CA19" s="21"/>
      <c r="CB19" s="22"/>
      <c r="CC19" s="23"/>
      <c r="CD19" s="24"/>
      <c r="CE19" s="25" t="s">
        <v>1477</v>
      </c>
      <c r="CF19" s="26"/>
      <c r="CG19" s="21"/>
      <c r="CH19" s="22"/>
      <c r="CI19" s="23"/>
      <c r="CJ19" s="24"/>
      <c r="CK19" s="25" t="s">
        <v>1477</v>
      </c>
      <c r="CL19" s="26">
        <v>4</v>
      </c>
      <c r="CM19" s="21">
        <v>4</v>
      </c>
      <c r="CN19" s="22">
        <f t="shared" si="4"/>
        <v>1</v>
      </c>
      <c r="CO19" s="23">
        <v>1</v>
      </c>
      <c r="CP19" s="24">
        <f t="shared" si="5"/>
        <v>1</v>
      </c>
      <c r="CQ19" s="25" t="s">
        <v>1421</v>
      </c>
      <c r="CR19" s="26">
        <v>4</v>
      </c>
      <c r="CS19" s="21">
        <v>4</v>
      </c>
      <c r="CT19" s="22">
        <f>CR19/CS19</f>
        <v>1</v>
      </c>
      <c r="CU19" s="23">
        <v>1</v>
      </c>
      <c r="CV19" s="24">
        <f>CT19/CU19</f>
        <v>1</v>
      </c>
      <c r="CW19" s="729" t="s">
        <v>1421</v>
      </c>
    </row>
    <row r="20" spans="2:101" ht="25.5" customHeight="1">
      <c r="B20" s="1972" t="s">
        <v>17</v>
      </c>
      <c r="C20" s="1972"/>
      <c r="D20" s="1972"/>
      <c r="E20" s="1972"/>
      <c r="F20" s="5"/>
      <c r="G20" s="5"/>
      <c r="H20" s="5"/>
      <c r="I20" s="5"/>
      <c r="J20" s="5"/>
      <c r="K20" s="6"/>
      <c r="L20" s="6"/>
      <c r="M20" s="6"/>
      <c r="N20" s="6"/>
      <c r="O20" s="6"/>
      <c r="P20" s="6"/>
      <c r="Q20" s="6"/>
      <c r="R20" s="6"/>
      <c r="S20" s="6"/>
      <c r="T20" s="6"/>
      <c r="U20" s="6"/>
      <c r="V20" s="6"/>
    </row>
    <row r="21" spans="2:101">
      <c r="D21" s="752"/>
      <c r="E21" s="1971"/>
      <c r="F21" s="1971"/>
      <c r="G21" s="1971"/>
      <c r="H21" s="1971"/>
    </row>
    <row r="22" spans="2:101" ht="18" customHeight="1">
      <c r="D22" s="2317" t="s">
        <v>1544</v>
      </c>
      <c r="E22" s="2317"/>
      <c r="F22" s="2317"/>
      <c r="G22" s="2317"/>
      <c r="H22" s="2317"/>
      <c r="I22" s="2317"/>
      <c r="J22" s="2317"/>
      <c r="K22" s="2317"/>
      <c r="L22" s="2317"/>
      <c r="M22" s="2318"/>
      <c r="N22" s="2318"/>
      <c r="O22" s="2318"/>
      <c r="P22" s="2318"/>
      <c r="Q22" s="2318"/>
      <c r="R22" s="2318"/>
      <c r="S22" s="2318"/>
      <c r="T22" s="2318"/>
      <c r="U22" s="2318"/>
    </row>
    <row r="23" spans="2:101" ht="12.75" customHeight="1">
      <c r="D23" s="2319" t="s">
        <v>1545</v>
      </c>
      <c r="E23" s="2319"/>
      <c r="F23" s="2319"/>
      <c r="G23" s="2319"/>
      <c r="H23" s="2319"/>
      <c r="I23" s="2319"/>
      <c r="J23" s="2319"/>
      <c r="K23" s="2319"/>
      <c r="L23" s="2319"/>
      <c r="M23" s="2318"/>
      <c r="N23" s="2318"/>
      <c r="O23" s="2318"/>
      <c r="P23" s="2318"/>
      <c r="Q23" s="2318"/>
      <c r="R23" s="2318"/>
      <c r="S23" s="2318"/>
      <c r="T23" s="2318"/>
      <c r="U23" s="2318"/>
    </row>
    <row r="24" spans="2:101">
      <c r="M24" s="2320"/>
      <c r="N24" s="2320"/>
      <c r="O24" s="2320"/>
      <c r="P24" s="2320"/>
      <c r="Q24" s="2320"/>
      <c r="R24" s="2320"/>
      <c r="S24" s="2320"/>
      <c r="T24" s="2320"/>
      <c r="U24" s="2320"/>
    </row>
    <row r="28" spans="2:101">
      <c r="BA28" s="753"/>
    </row>
  </sheetData>
  <mergeCells count="52">
    <mergeCell ref="E21:H21"/>
    <mergeCell ref="D22:L22"/>
    <mergeCell ref="M22:U22"/>
    <mergeCell ref="D23:L23"/>
    <mergeCell ref="M23:U23"/>
    <mergeCell ref="M24:U24"/>
    <mergeCell ref="BT6:BY6"/>
    <mergeCell ref="BZ6:CE6"/>
    <mergeCell ref="CF6:CK6"/>
    <mergeCell ref="CL6:CQ6"/>
    <mergeCell ref="CR6:CW6"/>
    <mergeCell ref="B20:E20"/>
    <mergeCell ref="AJ6:AO6"/>
    <mergeCell ref="AP6:AU6"/>
    <mergeCell ref="AV6:BA6"/>
    <mergeCell ref="BB6:BG6"/>
    <mergeCell ref="BH6:BM6"/>
    <mergeCell ref="BN6:BS6"/>
    <mergeCell ref="H6:H7"/>
    <mergeCell ref="I6:I7"/>
    <mergeCell ref="J6:J7"/>
    <mergeCell ref="K6:V6"/>
    <mergeCell ref="X6:AC6"/>
    <mergeCell ref="AD6:AI6"/>
    <mergeCell ref="BZ4:CE4"/>
    <mergeCell ref="CF4:CK4"/>
    <mergeCell ref="CL4:CQ4"/>
    <mergeCell ref="CR4:CW4"/>
    <mergeCell ref="B6:B7"/>
    <mergeCell ref="C6:C7"/>
    <mergeCell ref="D6:D7"/>
    <mergeCell ref="E6:E7"/>
    <mergeCell ref="F6:F7"/>
    <mergeCell ref="G6:G7"/>
    <mergeCell ref="AP4:AU4"/>
    <mergeCell ref="AV4:BA4"/>
    <mergeCell ref="BB4:BG4"/>
    <mergeCell ref="BH4:BM4"/>
    <mergeCell ref="BN4:BS4"/>
    <mergeCell ref="BT4:BY4"/>
    <mergeCell ref="C4:J4"/>
    <mergeCell ref="K4:M4"/>
    <mergeCell ref="N4:V4"/>
    <mergeCell ref="X4:AC4"/>
    <mergeCell ref="AD4:AI4"/>
    <mergeCell ref="AJ4:AO4"/>
    <mergeCell ref="B1:N1"/>
    <mergeCell ref="O1:R1"/>
    <mergeCell ref="S1:V2"/>
    <mergeCell ref="A2:B2"/>
    <mergeCell ref="D2:N2"/>
    <mergeCell ref="O2:R2"/>
  </mergeCells>
  <conditionalFormatting sqref="AB8">
    <cfRule type="colorScale" priority="110">
      <colorScale>
        <cfvo type="num" val="0.69"/>
        <cfvo type="num" val="0.8"/>
        <cfvo type="num" val="0.9"/>
        <color rgb="FFF8696B"/>
        <color rgb="FFFFEB84"/>
        <color rgb="FF63BE7B"/>
      </colorScale>
    </cfRule>
  </conditionalFormatting>
  <conditionalFormatting sqref="AH8">
    <cfRule type="colorScale" priority="109">
      <colorScale>
        <cfvo type="num" val="0.69"/>
        <cfvo type="num" val="0.8"/>
        <cfvo type="num" val="0.9"/>
        <color rgb="FFF8696B"/>
        <color rgb="FFFFEB84"/>
        <color rgb="FF63BE7B"/>
      </colorScale>
    </cfRule>
  </conditionalFormatting>
  <conditionalFormatting sqref="AN8">
    <cfRule type="colorScale" priority="108">
      <colorScale>
        <cfvo type="num" val="0.69"/>
        <cfvo type="num" val="0.8"/>
        <cfvo type="num" val="0.9"/>
        <color rgb="FFF8696B"/>
        <color rgb="FFFFEB84"/>
        <color rgb="FF63BE7B"/>
      </colorScale>
    </cfRule>
  </conditionalFormatting>
  <conditionalFormatting sqref="AT8">
    <cfRule type="colorScale" priority="107">
      <colorScale>
        <cfvo type="num" val="0.69"/>
        <cfvo type="num" val="0.8"/>
        <cfvo type="num" val="0.9"/>
        <color rgb="FFF8696B"/>
        <color rgb="FFFFEB84"/>
        <color rgb="FF63BE7B"/>
      </colorScale>
    </cfRule>
  </conditionalFormatting>
  <conditionalFormatting sqref="AZ8">
    <cfRule type="colorScale" priority="106">
      <colorScale>
        <cfvo type="num" val="0.69"/>
        <cfvo type="num" val="0.8"/>
        <cfvo type="num" val="0.9"/>
        <color rgb="FFF8696B"/>
        <color rgb="FFFFEB84"/>
        <color rgb="FF63BE7B"/>
      </colorScale>
    </cfRule>
  </conditionalFormatting>
  <conditionalFormatting sqref="CD8">
    <cfRule type="colorScale" priority="103">
      <colorScale>
        <cfvo type="num" val="0.69"/>
        <cfvo type="num" val="0.8"/>
        <cfvo type="num" val="0.9"/>
        <color rgb="FFF8696B"/>
        <color rgb="FFFFEB84"/>
        <color rgb="FF63BE7B"/>
      </colorScale>
    </cfRule>
  </conditionalFormatting>
  <conditionalFormatting sqref="BL8">
    <cfRule type="colorScale" priority="105">
      <colorScale>
        <cfvo type="num" val="0.69"/>
        <cfvo type="num" val="0.8"/>
        <cfvo type="num" val="0.9"/>
        <color rgb="FFF8696B"/>
        <color rgb="FFFFEB84"/>
        <color rgb="FF63BE7B"/>
      </colorScale>
    </cfRule>
  </conditionalFormatting>
  <conditionalFormatting sqref="BX8">
    <cfRule type="colorScale" priority="104">
      <colorScale>
        <cfvo type="num" val="0.69"/>
        <cfvo type="num" val="0.8"/>
        <cfvo type="num" val="0.9"/>
        <color rgb="FFF8696B"/>
        <color rgb="FFFFEB84"/>
        <color rgb="FF63BE7B"/>
      </colorScale>
    </cfRule>
  </conditionalFormatting>
  <conditionalFormatting sqref="CJ8">
    <cfRule type="colorScale" priority="102">
      <colorScale>
        <cfvo type="num" val="0.69"/>
        <cfvo type="num" val="0.8"/>
        <cfvo type="num" val="0.9"/>
        <color rgb="FFF8696B"/>
        <color rgb="FFFFEB84"/>
        <color rgb="FF63BE7B"/>
      </colorScale>
    </cfRule>
  </conditionalFormatting>
  <conditionalFormatting sqref="CP8">
    <cfRule type="colorScale" priority="101">
      <colorScale>
        <cfvo type="num" val="0.69"/>
        <cfvo type="num" val="0.8"/>
        <cfvo type="num" val="0.9"/>
        <color rgb="FFF8696B"/>
        <color rgb="FFFFEB84"/>
        <color rgb="FF63BE7B"/>
      </colorScale>
    </cfRule>
  </conditionalFormatting>
  <conditionalFormatting sqref="CV8">
    <cfRule type="colorScale" priority="100">
      <colorScale>
        <cfvo type="num" val="0.69"/>
        <cfvo type="num" val="0.8"/>
        <cfvo type="num" val="0.9"/>
        <color rgb="FFF8696B"/>
        <color rgb="FFFFEB84"/>
        <color rgb="FF63BE7B"/>
      </colorScale>
    </cfRule>
  </conditionalFormatting>
  <conditionalFormatting sqref="AB9">
    <cfRule type="colorScale" priority="99">
      <colorScale>
        <cfvo type="num" val="0.69"/>
        <cfvo type="num" val="0.8"/>
        <cfvo type="num" val="0.9"/>
        <color rgb="FFF8696B"/>
        <color rgb="FFFFEB84"/>
        <color rgb="FF63BE7B"/>
      </colorScale>
    </cfRule>
  </conditionalFormatting>
  <conditionalFormatting sqref="AH9">
    <cfRule type="colorScale" priority="98">
      <colorScale>
        <cfvo type="num" val="0.69"/>
        <cfvo type="num" val="0.8"/>
        <cfvo type="num" val="0.9"/>
        <color rgb="FFF8696B"/>
        <color rgb="FFFFEB84"/>
        <color rgb="FF63BE7B"/>
      </colorScale>
    </cfRule>
  </conditionalFormatting>
  <conditionalFormatting sqref="AN9">
    <cfRule type="colorScale" priority="97">
      <colorScale>
        <cfvo type="num" val="0.69"/>
        <cfvo type="num" val="0.8"/>
        <cfvo type="num" val="0.9"/>
        <color rgb="FFF8696B"/>
        <color rgb="FFFFEB84"/>
        <color rgb="FF63BE7B"/>
      </colorScale>
    </cfRule>
  </conditionalFormatting>
  <conditionalFormatting sqref="AT9">
    <cfRule type="colorScale" priority="96">
      <colorScale>
        <cfvo type="num" val="0.69"/>
        <cfvo type="num" val="0.8"/>
        <cfvo type="num" val="0.9"/>
        <color rgb="FFF8696B"/>
        <color rgb="FFFFEB84"/>
        <color rgb="FF63BE7B"/>
      </colorScale>
    </cfRule>
  </conditionalFormatting>
  <conditionalFormatting sqref="AZ9">
    <cfRule type="colorScale" priority="95">
      <colorScale>
        <cfvo type="num" val="0.69"/>
        <cfvo type="num" val="0.8"/>
        <cfvo type="num" val="0.9"/>
        <color rgb="FFF8696B"/>
        <color rgb="FFFFEB84"/>
        <color rgb="FF63BE7B"/>
      </colorScale>
    </cfRule>
  </conditionalFormatting>
  <conditionalFormatting sqref="BX9">
    <cfRule type="colorScale" priority="93">
      <colorScale>
        <cfvo type="num" val="0.69"/>
        <cfvo type="num" val="0.8"/>
        <cfvo type="num" val="0.9"/>
        <color rgb="FFF8696B"/>
        <color rgb="FFFFEB84"/>
        <color rgb="FF63BE7B"/>
      </colorScale>
    </cfRule>
  </conditionalFormatting>
  <conditionalFormatting sqref="BL9">
    <cfRule type="colorScale" priority="94">
      <colorScale>
        <cfvo type="num" val="0.69"/>
        <cfvo type="num" val="0.8"/>
        <cfvo type="num" val="0.9"/>
        <color rgb="FFF8696B"/>
        <color rgb="FFFFEB84"/>
        <color rgb="FF63BE7B"/>
      </colorScale>
    </cfRule>
  </conditionalFormatting>
  <conditionalFormatting sqref="BX10">
    <cfRule type="colorScale" priority="81">
      <colorScale>
        <cfvo type="num" val="0.69"/>
        <cfvo type="num" val="0.8"/>
        <cfvo type="num" val="0.9"/>
        <color rgb="FFF8696B"/>
        <color rgb="FFFFEB84"/>
        <color rgb="FF63BE7B"/>
      </colorScale>
    </cfRule>
  </conditionalFormatting>
  <conditionalFormatting sqref="CJ9">
    <cfRule type="colorScale" priority="92">
      <colorScale>
        <cfvo type="num" val="0.69"/>
        <cfvo type="num" val="0.8"/>
        <cfvo type="num" val="0.9"/>
        <color rgb="FFF8696B"/>
        <color rgb="FFFFEB84"/>
        <color rgb="FF63BE7B"/>
      </colorScale>
    </cfRule>
  </conditionalFormatting>
  <conditionalFormatting sqref="CP9">
    <cfRule type="colorScale" priority="91">
      <colorScale>
        <cfvo type="num" val="0.69"/>
        <cfvo type="num" val="0.8"/>
        <cfvo type="num" val="0.9"/>
        <color rgb="FFF8696B"/>
        <color rgb="FFFFEB84"/>
        <color rgb="FF63BE7B"/>
      </colorScale>
    </cfRule>
  </conditionalFormatting>
  <conditionalFormatting sqref="CV9">
    <cfRule type="colorScale" priority="90">
      <colorScale>
        <cfvo type="num" val="0.69"/>
        <cfvo type="num" val="0.8"/>
        <cfvo type="num" val="0.9"/>
        <color rgb="FFF8696B"/>
        <color rgb="FFFFEB84"/>
        <color rgb="FF63BE7B"/>
      </colorScale>
    </cfRule>
  </conditionalFormatting>
  <conditionalFormatting sqref="AB10">
    <cfRule type="colorScale" priority="89">
      <colorScale>
        <cfvo type="num" val="0.69"/>
        <cfvo type="num" val="0.8"/>
        <cfvo type="num" val="0.9"/>
        <color rgb="FFF8696B"/>
        <color rgb="FFFFEB84"/>
        <color rgb="FF63BE7B"/>
      </colorScale>
    </cfRule>
  </conditionalFormatting>
  <conditionalFormatting sqref="AH10">
    <cfRule type="colorScale" priority="88">
      <colorScale>
        <cfvo type="num" val="0.69"/>
        <cfvo type="num" val="0.8"/>
        <cfvo type="num" val="0.9"/>
        <color rgb="FFF8696B"/>
        <color rgb="FFFFEB84"/>
        <color rgb="FF63BE7B"/>
      </colorScale>
    </cfRule>
  </conditionalFormatting>
  <conditionalFormatting sqref="AN10">
    <cfRule type="colorScale" priority="87">
      <colorScale>
        <cfvo type="num" val="0.69"/>
        <cfvo type="num" val="0.8"/>
        <cfvo type="num" val="0.9"/>
        <color rgb="FFF8696B"/>
        <color rgb="FFFFEB84"/>
        <color rgb="FF63BE7B"/>
      </colorScale>
    </cfRule>
  </conditionalFormatting>
  <conditionalFormatting sqref="AT10">
    <cfRule type="colorScale" priority="86">
      <colorScale>
        <cfvo type="num" val="0.69"/>
        <cfvo type="num" val="0.8"/>
        <cfvo type="num" val="0.9"/>
        <color rgb="FFF8696B"/>
        <color rgb="FFFFEB84"/>
        <color rgb="FF63BE7B"/>
      </colorScale>
    </cfRule>
  </conditionalFormatting>
  <conditionalFormatting sqref="AZ10">
    <cfRule type="colorScale" priority="85">
      <colorScale>
        <cfvo type="num" val="0.69"/>
        <cfvo type="num" val="0.8"/>
        <cfvo type="num" val="0.9"/>
        <color rgb="FFF8696B"/>
        <color rgb="FFFFEB84"/>
        <color rgb="FF63BE7B"/>
      </colorScale>
    </cfRule>
  </conditionalFormatting>
  <conditionalFormatting sqref="BF10">
    <cfRule type="colorScale" priority="84">
      <colorScale>
        <cfvo type="num" val="0.69"/>
        <cfvo type="num" val="0.8"/>
        <cfvo type="num" val="0.9"/>
        <color rgb="FFF8696B"/>
        <color rgb="FFFFEB84"/>
        <color rgb="FF63BE7B"/>
      </colorScale>
    </cfRule>
  </conditionalFormatting>
  <conditionalFormatting sqref="BL10">
    <cfRule type="colorScale" priority="83">
      <colorScale>
        <cfvo type="num" val="0.69"/>
        <cfvo type="num" val="0.8"/>
        <cfvo type="num" val="0.9"/>
        <color rgb="FFF8696B"/>
        <color rgb="FFFFEB84"/>
        <color rgb="FF63BE7B"/>
      </colorScale>
    </cfRule>
  </conditionalFormatting>
  <conditionalFormatting sqref="BR10">
    <cfRule type="colorScale" priority="82">
      <colorScale>
        <cfvo type="num" val="0.69"/>
        <cfvo type="num" val="0.8"/>
        <cfvo type="num" val="0.9"/>
        <color rgb="FFF8696B"/>
        <color rgb="FFFFEB84"/>
        <color rgb="FF63BE7B"/>
      </colorScale>
    </cfRule>
  </conditionalFormatting>
  <conditionalFormatting sqref="CD10">
    <cfRule type="colorScale" priority="80">
      <colorScale>
        <cfvo type="num" val="0.69"/>
        <cfvo type="num" val="0.8"/>
        <cfvo type="num" val="0.9"/>
        <color rgb="FFF8696B"/>
        <color rgb="FFFFEB84"/>
        <color rgb="FF63BE7B"/>
      </colorScale>
    </cfRule>
  </conditionalFormatting>
  <conditionalFormatting sqref="CJ10">
    <cfRule type="colorScale" priority="79">
      <colorScale>
        <cfvo type="num" val="0.69"/>
        <cfvo type="num" val="0.8"/>
        <cfvo type="num" val="0.9"/>
        <color rgb="FFF8696B"/>
        <color rgb="FFFFEB84"/>
        <color rgb="FF63BE7B"/>
      </colorScale>
    </cfRule>
  </conditionalFormatting>
  <conditionalFormatting sqref="CP10">
    <cfRule type="colorScale" priority="78">
      <colorScale>
        <cfvo type="num" val="0.69"/>
        <cfvo type="num" val="0.8"/>
        <cfvo type="num" val="0.9"/>
        <color rgb="FFF8696B"/>
        <color rgb="FFFFEB84"/>
        <color rgb="FF63BE7B"/>
      </colorScale>
    </cfRule>
  </conditionalFormatting>
  <conditionalFormatting sqref="CV10">
    <cfRule type="colorScale" priority="77">
      <colorScale>
        <cfvo type="num" val="0.69"/>
        <cfvo type="num" val="0.8"/>
        <cfvo type="num" val="0.9"/>
        <color rgb="FFF8696B"/>
        <color rgb="FFFFEB84"/>
        <color rgb="FF63BE7B"/>
      </colorScale>
    </cfRule>
  </conditionalFormatting>
  <conditionalFormatting sqref="AB11">
    <cfRule type="colorScale" priority="76">
      <colorScale>
        <cfvo type="num" val="0.69"/>
        <cfvo type="num" val="0.8"/>
        <cfvo type="num" val="0.9"/>
        <color rgb="FFF8696B"/>
        <color rgb="FFFFEB84"/>
        <color rgb="FF63BE7B"/>
      </colorScale>
    </cfRule>
  </conditionalFormatting>
  <conditionalFormatting sqref="AT11">
    <cfRule type="colorScale" priority="75">
      <colorScale>
        <cfvo type="num" val="0.69"/>
        <cfvo type="num" val="0.8"/>
        <cfvo type="num" val="0.9"/>
        <color rgb="FFF8696B"/>
        <color rgb="FFFFEB84"/>
        <color rgb="FF63BE7B"/>
      </colorScale>
    </cfRule>
  </conditionalFormatting>
  <conditionalFormatting sqref="BF11">
    <cfRule type="colorScale" priority="74">
      <colorScale>
        <cfvo type="num" val="0.69"/>
        <cfvo type="num" val="0.8"/>
        <cfvo type="num" val="0.9"/>
        <color rgb="FFF8696B"/>
        <color rgb="FFFFEB84"/>
        <color rgb="FF63BE7B"/>
      </colorScale>
    </cfRule>
  </conditionalFormatting>
  <conditionalFormatting sqref="BR11">
    <cfRule type="colorScale" priority="73">
      <colorScale>
        <cfvo type="num" val="0.69"/>
        <cfvo type="num" val="0.8"/>
        <cfvo type="num" val="0.9"/>
        <color rgb="FFF8696B"/>
        <color rgb="FFFFEB84"/>
        <color rgb="FF63BE7B"/>
      </colorScale>
    </cfRule>
  </conditionalFormatting>
  <conditionalFormatting sqref="CD11">
    <cfRule type="colorScale" priority="72">
      <colorScale>
        <cfvo type="num" val="0.69"/>
        <cfvo type="num" val="0.8"/>
        <cfvo type="num" val="0.9"/>
        <color rgb="FFF8696B"/>
        <color rgb="FFFFEB84"/>
        <color rgb="FF63BE7B"/>
      </colorScale>
    </cfRule>
  </conditionalFormatting>
  <conditionalFormatting sqref="CP11">
    <cfRule type="colorScale" priority="71">
      <colorScale>
        <cfvo type="num" val="0.69"/>
        <cfvo type="num" val="0.8"/>
        <cfvo type="num" val="0.9"/>
        <color rgb="FFF8696B"/>
        <color rgb="FFFFEB84"/>
        <color rgb="FF63BE7B"/>
      </colorScale>
    </cfRule>
  </conditionalFormatting>
  <conditionalFormatting sqref="AI11">
    <cfRule type="colorScale" priority="70">
      <colorScale>
        <cfvo type="num" val="0.69"/>
        <cfvo type="num" val="0.8"/>
        <cfvo type="num" val="0.9"/>
        <color rgb="FFF8696B"/>
        <color rgb="FFFFEB84"/>
        <color rgb="FF63BE7B"/>
      </colorScale>
    </cfRule>
  </conditionalFormatting>
  <conditionalFormatting sqref="AO11">
    <cfRule type="colorScale" priority="69">
      <colorScale>
        <cfvo type="num" val="0.69"/>
        <cfvo type="num" val="0.8"/>
        <cfvo type="num" val="0.9"/>
        <color rgb="FFF8696B"/>
        <color rgb="FFFFEB84"/>
        <color rgb="FF63BE7B"/>
      </colorScale>
    </cfRule>
  </conditionalFormatting>
  <conditionalFormatting sqref="BA11">
    <cfRule type="colorScale" priority="68">
      <colorScale>
        <cfvo type="num" val="0.69"/>
        <cfvo type="num" val="0.8"/>
        <cfvo type="num" val="0.9"/>
        <color rgb="FFF8696B"/>
        <color rgb="FFFFEB84"/>
        <color rgb="FF63BE7B"/>
      </colorScale>
    </cfRule>
  </conditionalFormatting>
  <conditionalFormatting sqref="BM11">
    <cfRule type="colorScale" priority="67">
      <colorScale>
        <cfvo type="num" val="0.69"/>
        <cfvo type="num" val="0.8"/>
        <cfvo type="num" val="0.9"/>
        <color rgb="FFF8696B"/>
        <color rgb="FFFFEB84"/>
        <color rgb="FF63BE7B"/>
      </colorScale>
    </cfRule>
  </conditionalFormatting>
  <conditionalFormatting sqref="BY11">
    <cfRule type="colorScale" priority="66">
      <colorScale>
        <cfvo type="num" val="0.69"/>
        <cfvo type="num" val="0.8"/>
        <cfvo type="num" val="0.9"/>
        <color rgb="FFF8696B"/>
        <color rgb="FFFFEB84"/>
        <color rgb="FF63BE7B"/>
      </colorScale>
    </cfRule>
  </conditionalFormatting>
  <conditionalFormatting sqref="CK11">
    <cfRule type="colorScale" priority="65">
      <colorScale>
        <cfvo type="num" val="0.69"/>
        <cfvo type="num" val="0.8"/>
        <cfvo type="num" val="0.9"/>
        <color rgb="FFF8696B"/>
        <color rgb="FFFFEB84"/>
        <color rgb="FF63BE7B"/>
      </colorScale>
    </cfRule>
  </conditionalFormatting>
  <conditionalFormatting sqref="CW11">
    <cfRule type="colorScale" priority="64">
      <colorScale>
        <cfvo type="num" val="0.69"/>
        <cfvo type="num" val="0.8"/>
        <cfvo type="num" val="0.9"/>
        <color rgb="FFF8696B"/>
        <color rgb="FFFFEB84"/>
        <color rgb="FF63BE7B"/>
      </colorScale>
    </cfRule>
  </conditionalFormatting>
  <conditionalFormatting sqref="AB12:AB17">
    <cfRule type="colorScale" priority="63">
      <colorScale>
        <cfvo type="num" val="0.69"/>
        <cfvo type="num" val="0.8"/>
        <cfvo type="num" val="0.9"/>
        <color rgb="FFF8696B"/>
        <color rgb="FFFFEB84"/>
        <color rgb="FF63BE7B"/>
      </colorScale>
    </cfRule>
  </conditionalFormatting>
  <conditionalFormatting sqref="AT12">
    <cfRule type="colorScale" priority="62">
      <colorScale>
        <cfvo type="num" val="0.69"/>
        <cfvo type="num" val="0.8"/>
        <cfvo type="num" val="0.9"/>
        <color rgb="FFF8696B"/>
        <color rgb="FFFFEB84"/>
        <color rgb="FF63BE7B"/>
      </colorScale>
    </cfRule>
  </conditionalFormatting>
  <conditionalFormatting sqref="AZ12:AZ16">
    <cfRule type="colorScale" priority="61">
      <colorScale>
        <cfvo type="num" val="0.69"/>
        <cfvo type="num" val="0.8"/>
        <cfvo type="num" val="0.9"/>
        <color rgb="FFF8696B"/>
        <color rgb="FFFFEB84"/>
        <color rgb="FF63BE7B"/>
      </colorScale>
    </cfRule>
  </conditionalFormatting>
  <conditionalFormatting sqref="BF13:BF17">
    <cfRule type="colorScale" priority="60">
      <colorScale>
        <cfvo type="num" val="0.69"/>
        <cfvo type="num" val="0.8"/>
        <cfvo type="num" val="0.9"/>
        <color rgb="FFF8696B"/>
        <color rgb="FFFFEB84"/>
        <color rgb="FF63BE7B"/>
      </colorScale>
    </cfRule>
  </conditionalFormatting>
  <conditionalFormatting sqref="BL12:BL14 BL16">
    <cfRule type="colorScale" priority="59">
      <colorScale>
        <cfvo type="num" val="0.69"/>
        <cfvo type="num" val="0.8"/>
        <cfvo type="num" val="0.9"/>
        <color rgb="FFF8696B"/>
        <color rgb="FFFFEB84"/>
        <color rgb="FF63BE7B"/>
      </colorScale>
    </cfRule>
  </conditionalFormatting>
  <conditionalFormatting sqref="BR12:BR14 BR16">
    <cfRule type="colorScale" priority="58">
      <colorScale>
        <cfvo type="num" val="0.69"/>
        <cfvo type="num" val="0.8"/>
        <cfvo type="num" val="0.9"/>
        <color rgb="FFF8696B"/>
        <color rgb="FFFFEB84"/>
        <color rgb="FF63BE7B"/>
      </colorScale>
    </cfRule>
  </conditionalFormatting>
  <conditionalFormatting sqref="BX13:BX14">
    <cfRule type="colorScale" priority="57">
      <colorScale>
        <cfvo type="num" val="0.69"/>
        <cfvo type="num" val="0.8"/>
        <cfvo type="num" val="0.9"/>
        <color rgb="FFF8696B"/>
        <color rgb="FFFFEB84"/>
        <color rgb="FF63BE7B"/>
      </colorScale>
    </cfRule>
  </conditionalFormatting>
  <conditionalFormatting sqref="CD12:CD14 CD16:CD17">
    <cfRule type="colorScale" priority="56">
      <colorScale>
        <cfvo type="num" val="0.69"/>
        <cfvo type="num" val="0.8"/>
        <cfvo type="num" val="0.9"/>
        <color rgb="FFF8696B"/>
        <color rgb="FFFFEB84"/>
        <color rgb="FF63BE7B"/>
      </colorScale>
    </cfRule>
  </conditionalFormatting>
  <conditionalFormatting sqref="CJ12:CJ14 CJ16">
    <cfRule type="colorScale" priority="55">
      <colorScale>
        <cfvo type="num" val="0.69"/>
        <cfvo type="num" val="0.8"/>
        <cfvo type="num" val="0.9"/>
        <color rgb="FFF8696B"/>
        <color rgb="FFFFEB84"/>
        <color rgb="FF63BE7B"/>
      </colorScale>
    </cfRule>
  </conditionalFormatting>
  <conditionalFormatting sqref="CV12:CV17">
    <cfRule type="colorScale" priority="54">
      <colorScale>
        <cfvo type="num" val="0.69"/>
        <cfvo type="num" val="0.8"/>
        <cfvo type="num" val="0.9"/>
        <color rgb="FFF8696B"/>
        <color rgb="FFFFEB84"/>
        <color rgb="FF63BE7B"/>
      </colorScale>
    </cfRule>
  </conditionalFormatting>
  <conditionalFormatting sqref="AN13">
    <cfRule type="colorScale" priority="53">
      <colorScale>
        <cfvo type="num" val="0.69"/>
        <cfvo type="num" val="0.8"/>
        <cfvo type="num" val="0.9"/>
        <color rgb="FFF8696B"/>
        <color rgb="FFFFEB84"/>
        <color rgb="FF63BE7B"/>
      </colorScale>
    </cfRule>
  </conditionalFormatting>
  <conditionalFormatting sqref="AN14">
    <cfRule type="colorScale" priority="52">
      <colorScale>
        <cfvo type="num" val="0.69"/>
        <cfvo type="num" val="0.8"/>
        <cfvo type="num" val="0.9"/>
        <color rgb="FFF8696B"/>
        <color rgb="FFFFEB84"/>
        <color rgb="FF63BE7B"/>
      </colorScale>
    </cfRule>
  </conditionalFormatting>
  <conditionalFormatting sqref="AN15">
    <cfRule type="colorScale" priority="51">
      <colorScale>
        <cfvo type="num" val="0.69"/>
        <cfvo type="num" val="0.8"/>
        <cfvo type="num" val="0.9"/>
        <color rgb="FFF8696B"/>
        <color rgb="FFFFEB84"/>
        <color rgb="FF63BE7B"/>
      </colorScale>
    </cfRule>
  </conditionalFormatting>
  <conditionalFormatting sqref="AN16">
    <cfRule type="colorScale" priority="50">
      <colorScale>
        <cfvo type="num" val="0.69"/>
        <cfvo type="num" val="0.8"/>
        <cfvo type="num" val="0.9"/>
        <color rgb="FFF8696B"/>
        <color rgb="FFFFEB84"/>
        <color rgb="FF63BE7B"/>
      </colorScale>
    </cfRule>
  </conditionalFormatting>
  <conditionalFormatting sqref="AN17">
    <cfRule type="colorScale" priority="49">
      <colorScale>
        <cfvo type="num" val="0.69"/>
        <cfvo type="num" val="0.8"/>
        <cfvo type="num" val="0.9"/>
        <color rgb="FFF8696B"/>
        <color rgb="FFFFEB84"/>
        <color rgb="FF63BE7B"/>
      </colorScale>
    </cfRule>
  </conditionalFormatting>
  <conditionalFormatting sqref="AH12">
    <cfRule type="colorScale" priority="48">
      <colorScale>
        <cfvo type="num" val="0.69"/>
        <cfvo type="num" val="0.8"/>
        <cfvo type="num" val="0.9"/>
        <color rgb="FFF8696B"/>
        <color rgb="FFFFEB84"/>
        <color rgb="FF63BE7B"/>
      </colorScale>
    </cfRule>
  </conditionalFormatting>
  <conditionalFormatting sqref="AH13">
    <cfRule type="colorScale" priority="47">
      <colorScale>
        <cfvo type="num" val="0.69"/>
        <cfvo type="num" val="0.8"/>
        <cfvo type="num" val="0.9"/>
        <color rgb="FFF8696B"/>
        <color rgb="FFFFEB84"/>
        <color rgb="FF63BE7B"/>
      </colorScale>
    </cfRule>
  </conditionalFormatting>
  <conditionalFormatting sqref="AH14">
    <cfRule type="colorScale" priority="46">
      <colorScale>
        <cfvo type="num" val="0.69"/>
        <cfvo type="num" val="0.8"/>
        <cfvo type="num" val="0.9"/>
        <color rgb="FFF8696B"/>
        <color rgb="FFFFEB84"/>
        <color rgb="FF63BE7B"/>
      </colorScale>
    </cfRule>
  </conditionalFormatting>
  <conditionalFormatting sqref="AH15">
    <cfRule type="colorScale" priority="45">
      <colorScale>
        <cfvo type="num" val="0.69"/>
        <cfvo type="num" val="0.8"/>
        <cfvo type="num" val="0.9"/>
        <color rgb="FFF8696B"/>
        <color rgb="FFFFEB84"/>
        <color rgb="FF63BE7B"/>
      </colorScale>
    </cfRule>
  </conditionalFormatting>
  <conditionalFormatting sqref="AH16">
    <cfRule type="colorScale" priority="44">
      <colorScale>
        <cfvo type="num" val="0.69"/>
        <cfvo type="num" val="0.8"/>
        <cfvo type="num" val="0.9"/>
        <color rgb="FFF8696B"/>
        <color rgb="FFFFEB84"/>
        <color rgb="FF63BE7B"/>
      </colorScale>
    </cfRule>
  </conditionalFormatting>
  <conditionalFormatting sqref="AH17">
    <cfRule type="colorScale" priority="43">
      <colorScale>
        <cfvo type="num" val="0.69"/>
        <cfvo type="num" val="0.8"/>
        <cfvo type="num" val="0.9"/>
        <color rgb="FFF8696B"/>
        <color rgb="FFFFEB84"/>
        <color rgb="FF63BE7B"/>
      </colorScale>
    </cfRule>
  </conditionalFormatting>
  <conditionalFormatting sqref="AN12">
    <cfRule type="colorScale" priority="42">
      <colorScale>
        <cfvo type="num" val="0.69"/>
        <cfvo type="num" val="0.8"/>
        <cfvo type="num" val="0.9"/>
        <color rgb="FFF8696B"/>
        <color rgb="FFFFEB84"/>
        <color rgb="FF63BE7B"/>
      </colorScale>
    </cfRule>
  </conditionalFormatting>
  <conditionalFormatting sqref="AN12">
    <cfRule type="colorScale" priority="41">
      <colorScale>
        <cfvo type="num" val="0.69"/>
        <cfvo type="num" val="0.8"/>
        <cfvo type="num" val="0.9"/>
        <color rgb="FFF8696B"/>
        <color rgb="FFFFEB84"/>
        <color rgb="FF63BE7B"/>
      </colorScale>
    </cfRule>
  </conditionalFormatting>
  <conditionalFormatting sqref="AT13">
    <cfRule type="colorScale" priority="40">
      <colorScale>
        <cfvo type="num" val="0.69"/>
        <cfvo type="num" val="0.8"/>
        <cfvo type="num" val="0.9"/>
        <color rgb="FFF8696B"/>
        <color rgb="FFFFEB84"/>
        <color rgb="FF63BE7B"/>
      </colorScale>
    </cfRule>
  </conditionalFormatting>
  <conditionalFormatting sqref="AT14">
    <cfRule type="colorScale" priority="39">
      <colorScale>
        <cfvo type="num" val="0.69"/>
        <cfvo type="num" val="0.8"/>
        <cfvo type="num" val="0.9"/>
        <color rgb="FFF8696B"/>
        <color rgb="FFFFEB84"/>
        <color rgb="FF63BE7B"/>
      </colorScale>
    </cfRule>
  </conditionalFormatting>
  <conditionalFormatting sqref="AT15">
    <cfRule type="colorScale" priority="38">
      <colorScale>
        <cfvo type="num" val="0.69"/>
        <cfvo type="num" val="0.8"/>
        <cfvo type="num" val="0.9"/>
        <color rgb="FFF8696B"/>
        <color rgb="FFFFEB84"/>
        <color rgb="FF63BE7B"/>
      </colorScale>
    </cfRule>
  </conditionalFormatting>
  <conditionalFormatting sqref="AT16">
    <cfRule type="colorScale" priority="37">
      <colorScale>
        <cfvo type="num" val="0.69"/>
        <cfvo type="num" val="0.8"/>
        <cfvo type="num" val="0.9"/>
        <color rgb="FFF8696B"/>
        <color rgb="FFFFEB84"/>
        <color rgb="FF63BE7B"/>
      </colorScale>
    </cfRule>
  </conditionalFormatting>
  <conditionalFormatting sqref="AT17">
    <cfRule type="colorScale" priority="36">
      <colorScale>
        <cfvo type="num" val="0.69"/>
        <cfvo type="num" val="0.8"/>
        <cfvo type="num" val="0.9"/>
        <color rgb="FFF8696B"/>
        <color rgb="FFFFEB84"/>
        <color rgb="FF63BE7B"/>
      </colorScale>
    </cfRule>
  </conditionalFormatting>
  <conditionalFormatting sqref="AZ17">
    <cfRule type="colorScale" priority="35">
      <colorScale>
        <cfvo type="num" val="0.69"/>
        <cfvo type="num" val="0.8"/>
        <cfvo type="num" val="0.9"/>
        <color rgb="FFF8696B"/>
        <color rgb="FFFFEB84"/>
        <color rgb="FF63BE7B"/>
      </colorScale>
    </cfRule>
  </conditionalFormatting>
  <conditionalFormatting sqref="BF8">
    <cfRule type="colorScale" priority="34">
      <colorScale>
        <cfvo type="num" val="0.69"/>
        <cfvo type="num" val="0.8"/>
        <cfvo type="num" val="0.9"/>
        <color rgb="FFF8696B"/>
        <color rgb="FFFFEB84"/>
        <color rgb="FF63BE7B"/>
      </colorScale>
    </cfRule>
  </conditionalFormatting>
  <conditionalFormatting sqref="BF9">
    <cfRule type="colorScale" priority="33">
      <colorScale>
        <cfvo type="num" val="0.69"/>
        <cfvo type="num" val="0.8"/>
        <cfvo type="num" val="0.9"/>
        <color rgb="FFF8696B"/>
        <color rgb="FFFFEB84"/>
        <color rgb="FF63BE7B"/>
      </colorScale>
    </cfRule>
  </conditionalFormatting>
  <conditionalFormatting sqref="BF12">
    <cfRule type="colorScale" priority="31">
      <colorScale>
        <cfvo type="num" val="0.69"/>
        <cfvo type="num" val="0.8"/>
        <cfvo type="num" val="0.9"/>
        <color rgb="FFF8696B"/>
        <color rgb="FFFFEB84"/>
        <color rgb="FF63BE7B"/>
      </colorScale>
    </cfRule>
  </conditionalFormatting>
  <conditionalFormatting sqref="BF12">
    <cfRule type="colorScale" priority="32">
      <colorScale>
        <cfvo type="num" val="0.69"/>
        <cfvo type="num" val="0.8"/>
        <cfvo type="num" val="0.9"/>
        <color rgb="FFF8696B"/>
        <color rgb="FFFFEB84"/>
        <color rgb="FF63BE7B"/>
      </colorScale>
    </cfRule>
  </conditionalFormatting>
  <conditionalFormatting sqref="CD18:CD19">
    <cfRule type="colorScale" priority="22">
      <colorScale>
        <cfvo type="num" val="0.69"/>
        <cfvo type="num" val="0.8"/>
        <cfvo type="num" val="0.9"/>
        <color rgb="FFF8696B"/>
        <color rgb="FFFFEB84"/>
        <color rgb="FF63BE7B"/>
      </colorScale>
    </cfRule>
  </conditionalFormatting>
  <conditionalFormatting sqref="AB18:AB19">
    <cfRule type="colorScale" priority="30">
      <colorScale>
        <cfvo type="num" val="0.69"/>
        <cfvo type="num" val="0.8"/>
        <cfvo type="num" val="0.9"/>
        <color rgb="FFF8696B"/>
        <color rgb="FFFFEB84"/>
        <color rgb="FF63BE7B"/>
      </colorScale>
    </cfRule>
  </conditionalFormatting>
  <conditionalFormatting sqref="AH18:AH19">
    <cfRule type="colorScale" priority="29">
      <colorScale>
        <cfvo type="num" val="0.69"/>
        <cfvo type="num" val="0.8"/>
        <cfvo type="num" val="0.9"/>
        <color rgb="FFF8696B"/>
        <color rgb="FFFFEB84"/>
        <color rgb="FF63BE7B"/>
      </colorScale>
    </cfRule>
  </conditionalFormatting>
  <conditionalFormatting sqref="AN18:AN19">
    <cfRule type="colorScale" priority="28">
      <colorScale>
        <cfvo type="num" val="0.69"/>
        <cfvo type="num" val="0.8"/>
        <cfvo type="num" val="0.9"/>
        <color rgb="FFF8696B"/>
        <color rgb="FFFFEB84"/>
        <color rgb="FF63BE7B"/>
      </colorScale>
    </cfRule>
  </conditionalFormatting>
  <conditionalFormatting sqref="AT18">
    <cfRule type="colorScale" priority="27">
      <colorScale>
        <cfvo type="num" val="0.69"/>
        <cfvo type="num" val="0.8"/>
        <cfvo type="num" val="0.9"/>
        <color rgb="FFF8696B"/>
        <color rgb="FFFFEB84"/>
        <color rgb="FF63BE7B"/>
      </colorScale>
    </cfRule>
  </conditionalFormatting>
  <conditionalFormatting sqref="AZ18:AZ19">
    <cfRule type="colorScale" priority="26">
      <colorScale>
        <cfvo type="num" val="0.69"/>
        <cfvo type="num" val="0.8"/>
        <cfvo type="num" val="0.9"/>
        <color rgb="FFF8696B"/>
        <color rgb="FFFFEB84"/>
        <color rgb="FF63BE7B"/>
      </colorScale>
    </cfRule>
  </conditionalFormatting>
  <conditionalFormatting sqref="BX19">
    <cfRule type="colorScale" priority="23">
      <colorScale>
        <cfvo type="num" val="0.69"/>
        <cfvo type="num" val="0.8"/>
        <cfvo type="num" val="0.9"/>
        <color rgb="FFF8696B"/>
        <color rgb="FFFFEB84"/>
        <color rgb="FF63BE7B"/>
      </colorScale>
    </cfRule>
  </conditionalFormatting>
  <conditionalFormatting sqref="BL18:BL19">
    <cfRule type="colorScale" priority="25">
      <colorScale>
        <cfvo type="num" val="0.69"/>
        <cfvo type="num" val="0.8"/>
        <cfvo type="num" val="0.9"/>
        <color rgb="FFF8696B"/>
        <color rgb="FFFFEB84"/>
        <color rgb="FF63BE7B"/>
      </colorScale>
    </cfRule>
  </conditionalFormatting>
  <conditionalFormatting sqref="BR18:BR19">
    <cfRule type="colorScale" priority="24">
      <colorScale>
        <cfvo type="num" val="0.69"/>
        <cfvo type="num" val="0.8"/>
        <cfvo type="num" val="0.9"/>
        <color rgb="FFF8696B"/>
        <color rgb="FFFFEB84"/>
        <color rgb="FF63BE7B"/>
      </colorScale>
    </cfRule>
  </conditionalFormatting>
  <conditionalFormatting sqref="CJ18:CJ19">
    <cfRule type="colorScale" priority="21">
      <colorScale>
        <cfvo type="num" val="0.69"/>
        <cfvo type="num" val="0.8"/>
        <cfvo type="num" val="0.9"/>
        <color rgb="FFF8696B"/>
        <color rgb="FFFFEB84"/>
        <color rgb="FF63BE7B"/>
      </colorScale>
    </cfRule>
  </conditionalFormatting>
  <conditionalFormatting sqref="CV18">
    <cfRule type="colorScale" priority="20">
      <colorScale>
        <cfvo type="num" val="0.69"/>
        <cfvo type="num" val="0.8"/>
        <cfvo type="num" val="0.9"/>
        <color rgb="FFF8696B"/>
        <color rgb="FFFFEB84"/>
        <color rgb="FF63BE7B"/>
      </colorScale>
    </cfRule>
  </conditionalFormatting>
  <conditionalFormatting sqref="BF18:BF19">
    <cfRule type="colorScale" priority="19">
      <colorScale>
        <cfvo type="num" val="0.69"/>
        <cfvo type="num" val="0.8"/>
        <cfvo type="num" val="0.9"/>
        <color rgb="FFF8696B"/>
        <color rgb="FFFFEB84"/>
        <color rgb="FF63BE7B"/>
      </colorScale>
    </cfRule>
  </conditionalFormatting>
  <conditionalFormatting sqref="AT19">
    <cfRule type="colorScale" priority="18">
      <colorScale>
        <cfvo type="num" val="0.69"/>
        <cfvo type="num" val="0.8"/>
        <cfvo type="num" val="0.9"/>
        <color rgb="FFF8696B"/>
        <color rgb="FFFFEB84"/>
        <color rgb="FF63BE7B"/>
      </colorScale>
    </cfRule>
  </conditionalFormatting>
  <conditionalFormatting sqref="CV19">
    <cfRule type="colorScale" priority="17">
      <colorScale>
        <cfvo type="num" val="0.69"/>
        <cfvo type="num" val="0.8"/>
        <cfvo type="num" val="0.9"/>
        <color rgb="FFF8696B"/>
        <color rgb="FFFFEB84"/>
        <color rgb="FF63BE7B"/>
      </colorScale>
    </cfRule>
  </conditionalFormatting>
  <conditionalFormatting sqref="BL17">
    <cfRule type="colorScale" priority="16">
      <colorScale>
        <cfvo type="num" val="0.69"/>
        <cfvo type="num" val="0.8"/>
        <cfvo type="num" val="0.9"/>
        <color rgb="FFF8696B"/>
        <color rgb="FFFFEB84"/>
        <color rgb="FF63BE7B"/>
      </colorScale>
    </cfRule>
  </conditionalFormatting>
  <conditionalFormatting sqref="BL15">
    <cfRule type="colorScale" priority="15">
      <colorScale>
        <cfvo type="num" val="0.69"/>
        <cfvo type="num" val="0.8"/>
        <cfvo type="num" val="0.9"/>
        <color rgb="FFF8696B"/>
        <color rgb="FFFFEB84"/>
        <color rgb="FF63BE7B"/>
      </colorScale>
    </cfRule>
  </conditionalFormatting>
  <conditionalFormatting sqref="BR8">
    <cfRule type="colorScale" priority="14">
      <colorScale>
        <cfvo type="num" val="0.69"/>
        <cfvo type="num" val="0.8"/>
        <cfvo type="num" val="0.9"/>
        <color rgb="FFF8696B"/>
        <color rgb="FFFFEB84"/>
        <color rgb="FF63BE7B"/>
      </colorScale>
    </cfRule>
  </conditionalFormatting>
  <conditionalFormatting sqref="BR9">
    <cfRule type="colorScale" priority="13">
      <colorScale>
        <cfvo type="num" val="0.69"/>
        <cfvo type="num" val="0.8"/>
        <cfvo type="num" val="0.9"/>
        <color rgb="FFF8696B"/>
        <color rgb="FFFFEB84"/>
        <color rgb="FF63BE7B"/>
      </colorScale>
    </cfRule>
  </conditionalFormatting>
  <conditionalFormatting sqref="BR17">
    <cfRule type="colorScale" priority="12">
      <colorScale>
        <cfvo type="num" val="0.69"/>
        <cfvo type="num" val="0.8"/>
        <cfvo type="num" val="0.9"/>
        <color rgb="FFF8696B"/>
        <color rgb="FFFFEB84"/>
        <color rgb="FF63BE7B"/>
      </colorScale>
    </cfRule>
  </conditionalFormatting>
  <conditionalFormatting sqref="BR15">
    <cfRule type="colorScale" priority="11">
      <colorScale>
        <cfvo type="num" val="0.69"/>
        <cfvo type="num" val="0.8"/>
        <cfvo type="num" val="0.9"/>
        <color rgb="FFF8696B"/>
        <color rgb="FFFFEB84"/>
        <color rgb="FF63BE7B"/>
      </colorScale>
    </cfRule>
  </conditionalFormatting>
  <conditionalFormatting sqref="BX17">
    <cfRule type="colorScale" priority="10">
      <colorScale>
        <cfvo type="num" val="0.69"/>
        <cfvo type="num" val="0.8"/>
        <cfvo type="num" val="0.9"/>
        <color rgb="FFF8696B"/>
        <color rgb="FFFFEB84"/>
        <color rgb="FF63BE7B"/>
      </colorScale>
    </cfRule>
  </conditionalFormatting>
  <conditionalFormatting sqref="BX15:BX16">
    <cfRule type="colorScale" priority="9">
      <colorScale>
        <cfvo type="num" val="0.69"/>
        <cfvo type="num" val="0.8"/>
        <cfvo type="num" val="0.9"/>
        <color rgb="FFF8696B"/>
        <color rgb="FFFFEB84"/>
        <color rgb="FF63BE7B"/>
      </colorScale>
    </cfRule>
  </conditionalFormatting>
  <conditionalFormatting sqref="BX18">
    <cfRule type="colorScale" priority="8">
      <colorScale>
        <cfvo type="num" val="0.69"/>
        <cfvo type="num" val="0.8"/>
        <cfvo type="num" val="0.9"/>
        <color rgb="FFF8696B"/>
        <color rgb="FFFFEB84"/>
        <color rgb="FF63BE7B"/>
      </colorScale>
    </cfRule>
  </conditionalFormatting>
  <conditionalFormatting sqref="BX12">
    <cfRule type="colorScale" priority="6">
      <colorScale>
        <cfvo type="num" val="0.69"/>
        <cfvo type="num" val="0.8"/>
        <cfvo type="num" val="0.9"/>
        <color rgb="FFF8696B"/>
        <color rgb="FFFFEB84"/>
        <color rgb="FF63BE7B"/>
      </colorScale>
    </cfRule>
  </conditionalFormatting>
  <conditionalFormatting sqref="BX12">
    <cfRule type="colorScale" priority="7">
      <colorScale>
        <cfvo type="num" val="0.69"/>
        <cfvo type="num" val="0.8"/>
        <cfvo type="num" val="0.9"/>
        <color rgb="FFF8696B"/>
        <color rgb="FFFFEB84"/>
        <color rgb="FF63BE7B"/>
      </colorScale>
    </cfRule>
  </conditionalFormatting>
  <conditionalFormatting sqref="CD9">
    <cfRule type="colorScale" priority="5">
      <colorScale>
        <cfvo type="num" val="0.69"/>
        <cfvo type="num" val="0.8"/>
        <cfvo type="num" val="0.9"/>
        <color rgb="FFF8696B"/>
        <color rgb="FFFFEB84"/>
        <color rgb="FF63BE7B"/>
      </colorScale>
    </cfRule>
  </conditionalFormatting>
  <conditionalFormatting sqref="CD15">
    <cfRule type="colorScale" priority="4">
      <colorScale>
        <cfvo type="num" val="0.69"/>
        <cfvo type="num" val="0.8"/>
        <cfvo type="num" val="0.9"/>
        <color rgb="FFF8696B"/>
        <color rgb="FFFFEB84"/>
        <color rgb="FF63BE7B"/>
      </colorScale>
    </cfRule>
  </conditionalFormatting>
  <conditionalFormatting sqref="CJ15">
    <cfRule type="colorScale" priority="3">
      <colorScale>
        <cfvo type="num" val="0.69"/>
        <cfvo type="num" val="0.8"/>
        <cfvo type="num" val="0.9"/>
        <color rgb="FFF8696B"/>
        <color rgb="FFFFEB84"/>
        <color rgb="FF63BE7B"/>
      </colorScale>
    </cfRule>
  </conditionalFormatting>
  <conditionalFormatting sqref="CJ17">
    <cfRule type="colorScale" priority="2">
      <colorScale>
        <cfvo type="num" val="0.69"/>
        <cfvo type="num" val="0.8"/>
        <cfvo type="num" val="0.9"/>
        <color rgb="FFF8696B"/>
        <color rgb="FFFFEB84"/>
        <color rgb="FF63BE7B"/>
      </colorScale>
    </cfRule>
  </conditionalFormatting>
  <conditionalFormatting sqref="CP12:CP19">
    <cfRule type="colorScale" priority="1">
      <colorScale>
        <cfvo type="num" val="0.69"/>
        <cfvo type="num" val="0.8"/>
        <cfvo type="num" val="0.9"/>
        <color rgb="FFF8696B"/>
        <color rgb="FFFFEB84"/>
        <color rgb="FF63BE7B"/>
      </colorScale>
    </cfRule>
  </conditionalFormatting>
  <dataValidations count="1">
    <dataValidation type="list" allowBlank="1" showInputMessage="1" showErrorMessage="1" sqref="B10 B12:B13">
      <formula1>INI</formula1>
    </dataValidation>
  </dataValidations>
  <printOptions horizontalCentered="1"/>
  <pageMargins left="0.19685039370078741" right="0.19685039370078741" top="0.39370078740157483" bottom="0.39370078740157483" header="0.31496062992125984" footer="0.31496062992125984"/>
  <pageSetup paperSize="14" scale="90" fitToHeight="4" orientation="landscape" horizontalDpi="4294967295" verticalDpi="4294967295"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48</vt:i4>
      </vt:variant>
    </vt:vector>
  </HeadingPairs>
  <TitlesOfParts>
    <vt:vector size="80" baseType="lpstr">
      <vt:lpstr>DTAF</vt:lpstr>
      <vt:lpstr>DTAI</vt:lpstr>
      <vt:lpstr>DTAV</vt:lpstr>
      <vt:lpstr>DTC</vt:lpstr>
      <vt:lpstr>DTD</vt:lpstr>
      <vt:lpstr>DTDP</vt:lpstr>
      <vt:lpstr>DTE</vt:lpstr>
      <vt:lpstr>DTGC</vt:lpstr>
      <vt:lpstr>DTGJ</vt:lpstr>
      <vt:lpstr>DTM</vt:lpstr>
      <vt:lpstr>DTP</vt:lpstr>
      <vt:lpstr>DTPS</vt:lpstr>
      <vt:lpstr>OAC</vt:lpstr>
      <vt:lpstr>OAP</vt:lpstr>
      <vt:lpstr>OCD</vt:lpstr>
      <vt:lpstr>OCI</vt:lpstr>
      <vt:lpstr>OTC</vt:lpstr>
      <vt:lpstr>SGDU</vt:lpstr>
      <vt:lpstr>SGGC</vt:lpstr>
      <vt:lpstr>SGI</vt:lpstr>
      <vt:lpstr>SGJ</vt:lpstr>
      <vt:lpstr>STEST</vt:lpstr>
      <vt:lpstr>STESV</vt:lpstr>
      <vt:lpstr>STJEF</vt:lpstr>
      <vt:lpstr>STMST</vt:lpstr>
      <vt:lpstr>STMSV</vt:lpstr>
      <vt:lpstr>STOP</vt:lpstr>
      <vt:lpstr>STPC</vt:lpstr>
      <vt:lpstr>STRF</vt:lpstr>
      <vt:lpstr>STRH</vt:lpstr>
      <vt:lpstr>STRT</vt:lpstr>
      <vt:lpstr>STTR</vt:lpstr>
      <vt:lpstr>DTAF!Área_de_impresión</vt:lpstr>
      <vt:lpstr>DTAV!Área_de_impresión</vt:lpstr>
      <vt:lpstr>DTC!Área_de_impresión</vt:lpstr>
      <vt:lpstr>DTD!Área_de_impresión</vt:lpstr>
      <vt:lpstr>DTDP!Área_de_impresión</vt:lpstr>
      <vt:lpstr>DTGC!Área_de_impresión</vt:lpstr>
      <vt:lpstr>DTP!Área_de_impresión</vt:lpstr>
      <vt:lpstr>DTPS!Área_de_impresión</vt:lpstr>
      <vt:lpstr>OAP!Área_de_impresión</vt:lpstr>
      <vt:lpstr>OCI!Área_de_impresión</vt:lpstr>
      <vt:lpstr>OTC!Área_de_impresión</vt:lpstr>
      <vt:lpstr>SGDU!Área_de_impresión</vt:lpstr>
      <vt:lpstr>SGGC!Área_de_impresión</vt:lpstr>
      <vt:lpstr>SGI!Área_de_impresión</vt:lpstr>
      <vt:lpstr>SGJ!Área_de_impresión</vt:lpstr>
      <vt:lpstr>STEST!Área_de_impresión</vt:lpstr>
      <vt:lpstr>STESV!Área_de_impresión</vt:lpstr>
      <vt:lpstr>STJEF!Área_de_impresión</vt:lpstr>
      <vt:lpstr>STOP!Área_de_impresión</vt:lpstr>
      <vt:lpstr>STPC!Área_de_impresión</vt:lpstr>
      <vt:lpstr>STRT!Área_de_impresión</vt:lpstr>
      <vt:lpstr>STTR!Área_de_impresión</vt:lpstr>
      <vt:lpstr>DTAF!Títulos_a_imprimir</vt:lpstr>
      <vt:lpstr>DTAI!Títulos_a_imprimir</vt:lpstr>
      <vt:lpstr>DTAV!Títulos_a_imprimir</vt:lpstr>
      <vt:lpstr>DTC!Títulos_a_imprimir</vt:lpstr>
      <vt:lpstr>DTD!Títulos_a_imprimir</vt:lpstr>
      <vt:lpstr>DTDP!Títulos_a_imprimir</vt:lpstr>
      <vt:lpstr>DTGC!Títulos_a_imprimir</vt:lpstr>
      <vt:lpstr>DTGJ!Títulos_a_imprimir</vt:lpstr>
      <vt:lpstr>DTP!Títulos_a_imprimir</vt:lpstr>
      <vt:lpstr>DTPS!Títulos_a_imprimir</vt:lpstr>
      <vt:lpstr>OAP!Títulos_a_imprimir</vt:lpstr>
      <vt:lpstr>OCD!Títulos_a_imprimir</vt:lpstr>
      <vt:lpstr>OCI!Títulos_a_imprimir</vt:lpstr>
      <vt:lpstr>OTC!Títulos_a_imprimir</vt:lpstr>
      <vt:lpstr>SGDU!Títulos_a_imprimir</vt:lpstr>
      <vt:lpstr>SGGC!Títulos_a_imprimir</vt:lpstr>
      <vt:lpstr>SGI!Títulos_a_imprimir</vt:lpstr>
      <vt:lpstr>SGJ!Títulos_a_imprimir</vt:lpstr>
      <vt:lpstr>STEST!Títulos_a_imprimir</vt:lpstr>
      <vt:lpstr>STESV!Títulos_a_imprimir</vt:lpstr>
      <vt:lpstr>STJEF!Títulos_a_imprimir</vt:lpstr>
      <vt:lpstr>STOP!Títulos_a_imprimir</vt:lpstr>
      <vt:lpstr>STPC!Títulos_a_imprimir</vt:lpstr>
      <vt:lpstr>STRH!Títulos_a_imprimir</vt:lpstr>
      <vt:lpstr>STRT!Títulos_a_imprimir</vt:lpstr>
      <vt:lpstr>STTR!Títulos_a_imprimir</vt:lpstr>
    </vt:vector>
  </TitlesOfParts>
  <Company>PERSONAL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FERNANDO DIAZ ROJAS</dc:creator>
  <cp:lastModifiedBy>prleonba1</cp:lastModifiedBy>
  <cp:lastPrinted>2015-01-21T16:16:50Z</cp:lastPrinted>
  <dcterms:created xsi:type="dcterms:W3CDTF">2001-06-11T12:19:51Z</dcterms:created>
  <dcterms:modified xsi:type="dcterms:W3CDTF">2015-01-30T22:33:26Z</dcterms:modified>
</cp:coreProperties>
</file>