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cymsc-my.sharepoint.com/personal/alugo_calymayor_com_mx/Documents/Documentos/2021/Cable San Cristobal/Muros Cuauh/4 Abril 22/"/>
    </mc:Choice>
  </mc:AlternateContent>
  <xr:revisionPtr revIDLastSave="307" documentId="13_ncr:1_{96CCF1F9-2341-4B1E-9BD5-1D9EC4C24FAD}" xr6:coauthVersionLast="47" xr6:coauthVersionMax="47" xr10:uidLastSave="{9D60C439-04E8-4C15-A7F2-2687DA600674}"/>
  <bookViews>
    <workbookView xWindow="-23148" yWindow="612" windowWidth="23256" windowHeight="12576" tabRatio="729" xr2:uid="{00000000-000D-0000-FFFF-FFFF00000000}"/>
  </bookViews>
  <sheets>
    <sheet name="Cantidades" sheetId="1" r:id="rId1"/>
    <sheet name="MC P1" sheetId="35" r:id="rId2"/>
    <sheet name="MC P3" sheetId="5" r:id="rId3"/>
    <sheet name="MC P4" sheetId="23" r:id="rId4"/>
    <sheet name="MC P5" sheetId="24" r:id="rId5"/>
    <sheet name="MC P6" sheetId="25" r:id="rId6"/>
    <sheet name="MC P8" sheetId="26" r:id="rId7"/>
    <sheet name="MC P9" sheetId="27" r:id="rId8"/>
    <sheet name="MC P14" sheetId="28" r:id="rId9"/>
    <sheet name="MC P15" sheetId="29" r:id="rId10"/>
    <sheet name="MC P17" sheetId="30" r:id="rId11"/>
    <sheet name="MC P18" sheetId="31" r:id="rId12"/>
    <sheet name="MC P19" sheetId="32" r:id="rId13"/>
    <sheet name="MC P20" sheetId="33" r:id="rId14"/>
    <sheet name="MC P21-P22" sheetId="34" r:id="rId15"/>
    <sheet name="Hoja2" sheetId="36" r:id="rId16"/>
  </sheets>
  <definedNames>
    <definedName name="_xlnm._FilterDatabase" localSheetId="0" hidden="1">Cantidades!$G$1:$G$182</definedName>
    <definedName name="_xlnm.Print_Area" localSheetId="0">Cantidades!$A$1:$L$15</definedName>
    <definedName name="_xlnm.Print_Area" localSheetId="1">'MC P1'!$A$1:$L$18</definedName>
    <definedName name="_xlnm.Print_Area" localSheetId="8">'MC P14'!$A$1:$L$50</definedName>
    <definedName name="_xlnm.Print_Area" localSheetId="9">'MC P15'!$A$1:$L$50</definedName>
    <definedName name="_xlnm.Print_Area" localSheetId="10">'MC P17'!$A$1:$L$50</definedName>
    <definedName name="_xlnm.Print_Area" localSheetId="11">'MC P18'!$A$1:$L$50</definedName>
    <definedName name="_xlnm.Print_Area" localSheetId="12">'MC P19'!$A$1:$L$50</definedName>
    <definedName name="_xlnm.Print_Area" localSheetId="13">'MC P20'!$A$1:$L$50</definedName>
    <definedName name="_xlnm.Print_Area" localSheetId="14">'MC P21-P22'!$A$1:$L$50</definedName>
    <definedName name="_xlnm.Print_Area" localSheetId="2">'MC P3'!$A$1:$L$68</definedName>
    <definedName name="_xlnm.Print_Area" localSheetId="3">'MC P4'!$A$1:$L$77</definedName>
    <definedName name="_xlnm.Print_Area" localSheetId="4">'MC P5'!$A$1:$L$67</definedName>
    <definedName name="_xlnm.Print_Area" localSheetId="5">'MC P6'!$A$1:$L$59</definedName>
    <definedName name="_xlnm.Print_Area" localSheetId="6">'MC P8'!$A$1:$L$55</definedName>
    <definedName name="_xlnm.Print_Area" localSheetId="7">'MC P9'!$A$1:$L$58</definedName>
    <definedName name="_xlnm.Print_Titles" localSheetId="0">Cantidades!$1:$7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13" i="1" l="1"/>
  <c r="I13" i="1"/>
  <c r="H13" i="1"/>
  <c r="G13" i="1"/>
  <c r="D15" i="35"/>
  <c r="D16" i="35"/>
  <c r="D25" i="5"/>
  <c r="E61" i="29"/>
  <c r="D23" i="29"/>
  <c r="J9" i="1"/>
  <c r="J10" i="1"/>
  <c r="J11" i="1"/>
  <c r="J12" i="1"/>
  <c r="I9" i="1"/>
  <c r="I10" i="1"/>
  <c r="I11" i="1"/>
  <c r="I12" i="1"/>
  <c r="G9" i="1"/>
  <c r="G10" i="1"/>
  <c r="G11" i="1"/>
  <c r="G12" i="1"/>
  <c r="H12" i="1"/>
  <c r="H11" i="1"/>
  <c r="H10" i="1"/>
  <c r="H9" i="1"/>
  <c r="D31" i="23"/>
  <c r="D31" i="24"/>
  <c r="D31" i="25"/>
  <c r="D31" i="26"/>
  <c r="D31" i="27"/>
  <c r="D31" i="28"/>
  <c r="D31" i="29"/>
  <c r="D31" i="30"/>
  <c r="D31" i="31"/>
  <c r="D31" i="32"/>
  <c r="D31" i="33"/>
  <c r="D31" i="34"/>
  <c r="D31" i="5"/>
  <c r="D14" i="35"/>
  <c r="M57" i="34" l="1"/>
  <c r="R54" i="34"/>
  <c r="R58" i="34"/>
  <c r="M56" i="34"/>
  <c r="M58" i="34" s="1"/>
  <c r="M55" i="34"/>
  <c r="M54" i="34"/>
  <c r="K54" i="34"/>
  <c r="L58" i="34"/>
  <c r="N58" i="34"/>
  <c r="O58" i="34"/>
  <c r="P58" i="34"/>
  <c r="Q58" i="34"/>
  <c r="S58" i="34"/>
  <c r="T58" i="34"/>
  <c r="K58" i="34"/>
  <c r="T54" i="34"/>
  <c r="O55" i="34"/>
  <c r="N57" i="34"/>
  <c r="N56" i="34"/>
  <c r="S54" i="34"/>
  <c r="Q54" i="34"/>
  <c r="P56" i="34"/>
  <c r="P55" i="34"/>
  <c r="P54" i="34"/>
  <c r="O54" i="34"/>
  <c r="N55" i="34"/>
  <c r="N54" i="34"/>
  <c r="L54" i="34"/>
  <c r="D14" i="33"/>
  <c r="S55" i="33"/>
  <c r="R55" i="33"/>
  <c r="Q55" i="33"/>
  <c r="P55" i="33"/>
  <c r="J55" i="33"/>
  <c r="K55" i="33"/>
  <c r="L55" i="33"/>
  <c r="M55" i="33"/>
  <c r="N55" i="33"/>
  <c r="O55" i="33"/>
  <c r="D14" i="32"/>
  <c r="AD54" i="32"/>
  <c r="AC54" i="32"/>
  <c r="AB54" i="32"/>
  <c r="AA54" i="32"/>
  <c r="AA56" i="32" s="1"/>
  <c r="Z54" i="32"/>
  <c r="L56" i="32"/>
  <c r="M56" i="32"/>
  <c r="N56" i="32"/>
  <c r="O56" i="32"/>
  <c r="P56" i="32"/>
  <c r="Q56" i="32"/>
  <c r="R56" i="32"/>
  <c r="S56" i="32"/>
  <c r="T56" i="32"/>
  <c r="U56" i="32"/>
  <c r="V56" i="32"/>
  <c r="W56" i="32"/>
  <c r="X56" i="32"/>
  <c r="Y56" i="32"/>
  <c r="Z56" i="32"/>
  <c r="AB56" i="32"/>
  <c r="AC56" i="32"/>
  <c r="AD56" i="32"/>
  <c r="K56" i="32"/>
  <c r="Y54" i="32"/>
  <c r="X54" i="32"/>
  <c r="W54" i="32"/>
  <c r="V54" i="32"/>
  <c r="U54" i="32"/>
  <c r="T54" i="32"/>
  <c r="R54" i="32"/>
  <c r="S54" i="32"/>
  <c r="Q54" i="32"/>
  <c r="P54" i="32"/>
  <c r="O54" i="32"/>
  <c r="N54" i="32"/>
  <c r="M55" i="32"/>
  <c r="M54" i="32"/>
  <c r="L54" i="32"/>
  <c r="K54" i="32"/>
  <c r="D14" i="31"/>
  <c r="K56" i="31"/>
  <c r="L56" i="31"/>
  <c r="M56" i="31"/>
  <c r="N56" i="31"/>
  <c r="O56" i="31"/>
  <c r="P56" i="31"/>
  <c r="Q56" i="31"/>
  <c r="J56" i="31"/>
  <c r="Q54" i="31"/>
  <c r="P54" i="31"/>
  <c r="N54" i="31"/>
  <c r="O54" i="31"/>
  <c r="M54" i="31"/>
  <c r="L54" i="31"/>
  <c r="J54" i="31"/>
  <c r="K55" i="31"/>
  <c r="K54" i="31"/>
  <c r="D14" i="30"/>
  <c r="N54" i="30"/>
  <c r="M54" i="30"/>
  <c r="L54" i="30"/>
  <c r="O54" i="30"/>
  <c r="P54" i="30"/>
  <c r="I54" i="30"/>
  <c r="K54" i="30"/>
  <c r="J54" i="30"/>
  <c r="D14" i="29"/>
  <c r="U55" i="29"/>
  <c r="T55" i="29"/>
  <c r="S55" i="29"/>
  <c r="R55" i="29"/>
  <c r="Q55" i="29"/>
  <c r="P55" i="29"/>
  <c r="N55" i="29"/>
  <c r="O55" i="29"/>
  <c r="M55" i="29"/>
  <c r="L55" i="29"/>
  <c r="K55" i="29"/>
  <c r="J55" i="29"/>
  <c r="I55" i="29"/>
  <c r="D14" i="28"/>
  <c r="K58" i="28"/>
  <c r="J58" i="28"/>
  <c r="K56" i="28"/>
  <c r="K55" i="28"/>
  <c r="J57" i="28"/>
  <c r="J56" i="28"/>
  <c r="J55" i="28"/>
  <c r="K54" i="28"/>
  <c r="J54" i="28"/>
  <c r="D14" i="27"/>
  <c r="L57" i="27"/>
  <c r="M57" i="27"/>
  <c r="N57" i="27"/>
  <c r="O57" i="27"/>
  <c r="K57" i="27"/>
  <c r="K53" i="27"/>
  <c r="O56" i="27"/>
  <c r="O55" i="27"/>
  <c r="O54" i="27"/>
  <c r="O53" i="27"/>
  <c r="L56" i="27"/>
  <c r="L55" i="27"/>
  <c r="L54" i="27"/>
  <c r="L53" i="27"/>
  <c r="N53" i="27"/>
  <c r="M53" i="27"/>
  <c r="D14" i="26"/>
  <c r="J55" i="26"/>
  <c r="K55" i="26"/>
  <c r="L55" i="26"/>
  <c r="M55" i="26"/>
  <c r="N55" i="26"/>
  <c r="O55" i="26"/>
  <c r="P55" i="26"/>
  <c r="Q55" i="26"/>
  <c r="R55" i="26"/>
  <c r="S55" i="26"/>
  <c r="T55" i="26"/>
  <c r="U55" i="26"/>
  <c r="V55" i="26"/>
  <c r="W55" i="26"/>
  <c r="X55" i="26"/>
  <c r="I55" i="26"/>
  <c r="X53" i="26"/>
  <c r="W53" i="26"/>
  <c r="V53" i="26"/>
  <c r="T53" i="26"/>
  <c r="S53" i="26"/>
  <c r="R53" i="26"/>
  <c r="Q53" i="26"/>
  <c r="P53" i="26"/>
  <c r="O53" i="26"/>
  <c r="N53" i="26"/>
  <c r="M53" i="26"/>
  <c r="U53" i="26"/>
  <c r="L53" i="26"/>
  <c r="K54" i="26"/>
  <c r="K53" i="26"/>
  <c r="J53" i="26"/>
  <c r="I54" i="26"/>
  <c r="I53" i="26"/>
  <c r="D14" i="25"/>
  <c r="AD53" i="25"/>
  <c r="AC53" i="25"/>
  <c r="AB53" i="25"/>
  <c r="AA53" i="25"/>
  <c r="Z53" i="25"/>
  <c r="Y53" i="25"/>
  <c r="X53" i="25"/>
  <c r="W53" i="25"/>
  <c r="V53" i="25"/>
  <c r="U53" i="25"/>
  <c r="S53" i="25"/>
  <c r="T53" i="25"/>
  <c r="R53" i="25"/>
  <c r="Q53" i="25"/>
  <c r="P53" i="25"/>
  <c r="O53" i="25"/>
  <c r="N53" i="25"/>
  <c r="M53" i="25"/>
  <c r="L53" i="25"/>
  <c r="K53" i="25"/>
  <c r="J53" i="25"/>
  <c r="I53" i="25"/>
  <c r="D14" i="24"/>
  <c r="R53" i="24"/>
  <c r="Q53" i="24"/>
  <c r="P53" i="24"/>
  <c r="O53" i="24"/>
  <c r="N53" i="24"/>
  <c r="M53" i="24"/>
  <c r="L53" i="24"/>
  <c r="K53" i="24"/>
  <c r="J53" i="24"/>
  <c r="I53" i="24"/>
  <c r="D14" i="23"/>
  <c r="S55" i="23"/>
  <c r="R55" i="23"/>
  <c r="Q55" i="23"/>
  <c r="P55" i="23"/>
  <c r="O55" i="23"/>
  <c r="N55" i="23"/>
  <c r="M55" i="23"/>
  <c r="L55" i="23"/>
  <c r="K55" i="23"/>
  <c r="I55" i="23"/>
  <c r="J55" i="23"/>
  <c r="G99" i="34"/>
  <c r="D19" i="34" s="1"/>
  <c r="H89" i="34"/>
  <c r="H76" i="34"/>
  <c r="H72" i="34"/>
  <c r="H68" i="34"/>
  <c r="H63" i="34"/>
  <c r="G100" i="33"/>
  <c r="H53" i="33"/>
  <c r="G91" i="31"/>
  <c r="H59" i="31"/>
  <c r="H102" i="29"/>
  <c r="H97" i="29"/>
  <c r="G62" i="28"/>
  <c r="H58" i="28"/>
  <c r="H54" i="28"/>
  <c r="G77" i="27"/>
  <c r="D19" i="27" s="1"/>
  <c r="H68" i="27"/>
  <c r="H63" i="27"/>
  <c r="H53" i="27"/>
  <c r="G84" i="5"/>
  <c r="D19" i="5"/>
  <c r="H78" i="5"/>
  <c r="D14" i="5"/>
  <c r="J57" i="5"/>
  <c r="K57" i="5"/>
  <c r="L57" i="5"/>
  <c r="M57" i="5"/>
  <c r="I57" i="5"/>
  <c r="M54" i="5"/>
  <c r="J56" i="5"/>
  <c r="J55" i="5"/>
  <c r="J54" i="5"/>
  <c r="L56" i="5"/>
  <c r="L55" i="5"/>
  <c r="K54" i="5"/>
  <c r="L54" i="5"/>
  <c r="I54" i="5"/>
  <c r="D19" i="33"/>
  <c r="D19" i="31"/>
  <c r="D19" i="30"/>
  <c r="D19" i="28"/>
  <c r="D19" i="26"/>
  <c r="D19" i="25"/>
  <c r="D19" i="24"/>
  <c r="D19" i="23"/>
  <c r="G55" i="34"/>
  <c r="G56" i="34"/>
  <c r="G57" i="34"/>
  <c r="G58" i="34"/>
  <c r="G59" i="34"/>
  <c r="G60" i="34"/>
  <c r="G61" i="34"/>
  <c r="G62" i="34"/>
  <c r="G63" i="34"/>
  <c r="G64" i="34"/>
  <c r="G65" i="34"/>
  <c r="G66" i="34"/>
  <c r="G67" i="34"/>
  <c r="G68" i="34"/>
  <c r="G69" i="34"/>
  <c r="G70" i="34"/>
  <c r="G71" i="34"/>
  <c r="G72" i="34"/>
  <c r="G73" i="34"/>
  <c r="G74" i="34"/>
  <c r="G75" i="34"/>
  <c r="G76" i="34"/>
  <c r="G77" i="34"/>
  <c r="G78" i="34"/>
  <c r="G79" i="34"/>
  <c r="G80" i="34"/>
  <c r="G81" i="34"/>
  <c r="G82" i="34"/>
  <c r="G83" i="34"/>
  <c r="G84" i="34"/>
  <c r="G85" i="34"/>
  <c r="G86" i="34"/>
  <c r="G87" i="34"/>
  <c r="G88" i="34"/>
  <c r="G89" i="34"/>
  <c r="G90" i="34"/>
  <c r="G91" i="34"/>
  <c r="G92" i="34"/>
  <c r="G93" i="34"/>
  <c r="G94" i="34"/>
  <c r="G95" i="34"/>
  <c r="G96" i="34"/>
  <c r="G97" i="34"/>
  <c r="G98" i="34"/>
  <c r="D55" i="34"/>
  <c r="D56" i="34"/>
  <c r="D57" i="34"/>
  <c r="D58" i="34"/>
  <c r="D59" i="34"/>
  <c r="D60" i="34"/>
  <c r="D61" i="34"/>
  <c r="D62" i="34"/>
  <c r="D63" i="34"/>
  <c r="D64" i="34"/>
  <c r="D65" i="34"/>
  <c r="D66" i="34"/>
  <c r="D67" i="34"/>
  <c r="D68" i="34"/>
  <c r="D69" i="34"/>
  <c r="D70" i="34"/>
  <c r="D71" i="34"/>
  <c r="D72" i="34"/>
  <c r="D73" i="34"/>
  <c r="D74" i="34"/>
  <c r="D75" i="34"/>
  <c r="D76" i="34"/>
  <c r="D77" i="34"/>
  <c r="D78" i="34"/>
  <c r="D79" i="34"/>
  <c r="D80" i="34"/>
  <c r="D81" i="34"/>
  <c r="D82" i="34"/>
  <c r="D83" i="34"/>
  <c r="D84" i="34"/>
  <c r="D85" i="34"/>
  <c r="D86" i="34"/>
  <c r="D87" i="34"/>
  <c r="D88" i="34"/>
  <c r="D89" i="34"/>
  <c r="D90" i="34"/>
  <c r="D91" i="34"/>
  <c r="D92" i="34"/>
  <c r="D93" i="34"/>
  <c r="D94" i="34"/>
  <c r="D95" i="34"/>
  <c r="D96" i="34"/>
  <c r="D97" i="34"/>
  <c r="D98" i="34"/>
  <c r="E86" i="34"/>
  <c r="E65" i="34"/>
  <c r="E56" i="34"/>
  <c r="D54" i="34"/>
  <c r="G54" i="34" s="1"/>
  <c r="G54" i="33"/>
  <c r="G55" i="33"/>
  <c r="G56" i="33"/>
  <c r="G57" i="33"/>
  <c r="G58" i="33"/>
  <c r="G59" i="33"/>
  <c r="G60" i="33"/>
  <c r="G61" i="33"/>
  <c r="G62" i="33"/>
  <c r="G63" i="33"/>
  <c r="G64" i="33"/>
  <c r="G65" i="33"/>
  <c r="G66" i="33"/>
  <c r="G67" i="33"/>
  <c r="G68" i="33"/>
  <c r="G69" i="33"/>
  <c r="G70" i="33"/>
  <c r="G71" i="33"/>
  <c r="G72" i="33"/>
  <c r="G73" i="33"/>
  <c r="G74" i="33"/>
  <c r="G75" i="33"/>
  <c r="G76" i="33"/>
  <c r="G77" i="33"/>
  <c r="G78" i="33"/>
  <c r="G79" i="33"/>
  <c r="G80" i="33"/>
  <c r="G81" i="33"/>
  <c r="G82" i="33"/>
  <c r="G83" i="33"/>
  <c r="G84" i="33"/>
  <c r="G85" i="33"/>
  <c r="G86" i="33"/>
  <c r="G87" i="33"/>
  <c r="G88" i="33"/>
  <c r="G89" i="33"/>
  <c r="G90" i="33"/>
  <c r="G91" i="33"/>
  <c r="G92" i="33"/>
  <c r="G93" i="33"/>
  <c r="G94" i="33"/>
  <c r="G95" i="33"/>
  <c r="G96" i="33"/>
  <c r="G97" i="33"/>
  <c r="G98" i="33"/>
  <c r="G99" i="33"/>
  <c r="D54" i="33"/>
  <c r="D55" i="33"/>
  <c r="D56" i="33"/>
  <c r="D57" i="33"/>
  <c r="D58" i="33"/>
  <c r="D59" i="33"/>
  <c r="D60" i="33"/>
  <c r="D61" i="33"/>
  <c r="D62" i="33"/>
  <c r="D63" i="33"/>
  <c r="D64" i="33"/>
  <c r="D65" i="33"/>
  <c r="D66" i="33"/>
  <c r="D67" i="33"/>
  <c r="D68" i="33"/>
  <c r="D69" i="33"/>
  <c r="D70" i="33"/>
  <c r="D71" i="33"/>
  <c r="D72" i="33"/>
  <c r="D73" i="33"/>
  <c r="D74" i="33"/>
  <c r="D75" i="33"/>
  <c r="D76" i="33"/>
  <c r="D77" i="33"/>
  <c r="D78" i="33"/>
  <c r="D79" i="33"/>
  <c r="D80" i="33"/>
  <c r="D81" i="33"/>
  <c r="D82" i="33"/>
  <c r="D83" i="33"/>
  <c r="D84" i="33"/>
  <c r="D85" i="33"/>
  <c r="D86" i="33"/>
  <c r="D87" i="33"/>
  <c r="D88" i="33"/>
  <c r="D89" i="33"/>
  <c r="D90" i="33"/>
  <c r="D91" i="33"/>
  <c r="D92" i="33"/>
  <c r="D93" i="33"/>
  <c r="D94" i="33"/>
  <c r="D95" i="33"/>
  <c r="D96" i="33"/>
  <c r="D97" i="33"/>
  <c r="D98" i="33"/>
  <c r="D99" i="33"/>
  <c r="E96" i="33"/>
  <c r="E91" i="33"/>
  <c r="E86" i="33"/>
  <c r="E81" i="33"/>
  <c r="E72" i="33"/>
  <c r="E63" i="33"/>
  <c r="D53" i="33"/>
  <c r="G53" i="33" s="1"/>
  <c r="D55" i="32"/>
  <c r="G55" i="32" s="1"/>
  <c r="D56" i="32"/>
  <c r="G56" i="32" s="1"/>
  <c r="D57" i="32"/>
  <c r="G57" i="32" s="1"/>
  <c r="D58" i="32"/>
  <c r="G58" i="32" s="1"/>
  <c r="D59" i="32"/>
  <c r="G59" i="32" s="1"/>
  <c r="D60" i="32"/>
  <c r="G60" i="32" s="1"/>
  <c r="D61" i="32"/>
  <c r="G61" i="32" s="1"/>
  <c r="D62" i="32"/>
  <c r="G62" i="32" s="1"/>
  <c r="D63" i="32"/>
  <c r="G63" i="32" s="1"/>
  <c r="D64" i="32"/>
  <c r="G64" i="32" s="1"/>
  <c r="D65" i="32"/>
  <c r="G65" i="32" s="1"/>
  <c r="D66" i="32"/>
  <c r="G66" i="32" s="1"/>
  <c r="D67" i="32"/>
  <c r="G67" i="32" s="1"/>
  <c r="D68" i="32"/>
  <c r="G68" i="32" s="1"/>
  <c r="D69" i="32"/>
  <c r="G69" i="32" s="1"/>
  <c r="D70" i="32"/>
  <c r="G70" i="32" s="1"/>
  <c r="D71" i="32"/>
  <c r="G71" i="32" s="1"/>
  <c r="D72" i="32"/>
  <c r="G72" i="32" s="1"/>
  <c r="D73" i="32"/>
  <c r="G73" i="32" s="1"/>
  <c r="D74" i="32"/>
  <c r="G74" i="32" s="1"/>
  <c r="D75" i="32"/>
  <c r="G75" i="32" s="1"/>
  <c r="D76" i="32"/>
  <c r="G76" i="32" s="1"/>
  <c r="D77" i="32"/>
  <c r="G77" i="32" s="1"/>
  <c r="D78" i="32"/>
  <c r="G78" i="32" s="1"/>
  <c r="D79" i="32"/>
  <c r="G79" i="32" s="1"/>
  <c r="D80" i="32"/>
  <c r="G80" i="32" s="1"/>
  <c r="D81" i="32"/>
  <c r="G81" i="32" s="1"/>
  <c r="D82" i="32"/>
  <c r="G82" i="32" s="1"/>
  <c r="D83" i="32"/>
  <c r="G83" i="32" s="1"/>
  <c r="D84" i="32"/>
  <c r="G84" i="32" s="1"/>
  <c r="D85" i="32"/>
  <c r="G85" i="32" s="1"/>
  <c r="D86" i="32"/>
  <c r="G86" i="32" s="1"/>
  <c r="D87" i="32"/>
  <c r="G87" i="32" s="1"/>
  <c r="D88" i="32"/>
  <c r="G88" i="32" s="1"/>
  <c r="D89" i="32"/>
  <c r="D90" i="32"/>
  <c r="G90" i="32" s="1"/>
  <c r="D91" i="32"/>
  <c r="G91" i="32" s="1"/>
  <c r="D92" i="32"/>
  <c r="G92" i="32" s="1"/>
  <c r="D93" i="32"/>
  <c r="G93" i="32" s="1"/>
  <c r="D94" i="32"/>
  <c r="G94" i="32" s="1"/>
  <c r="D95" i="32"/>
  <c r="G95" i="32" s="1"/>
  <c r="D96" i="32"/>
  <c r="G96" i="32" s="1"/>
  <c r="D97" i="32"/>
  <c r="G97" i="32" s="1"/>
  <c r="D98" i="32"/>
  <c r="G98" i="32" s="1"/>
  <c r="D99" i="32"/>
  <c r="D100" i="32"/>
  <c r="G100" i="32" s="1"/>
  <c r="D101" i="32"/>
  <c r="G101" i="32" s="1"/>
  <c r="D102" i="32"/>
  <c r="G102" i="32" s="1"/>
  <c r="D103" i="32"/>
  <c r="G103" i="32" s="1"/>
  <c r="D104" i="32"/>
  <c r="G104" i="32" s="1"/>
  <c r="D105" i="32"/>
  <c r="G105" i="32" s="1"/>
  <c r="D106" i="32"/>
  <c r="G106" i="32" s="1"/>
  <c r="D107" i="32"/>
  <c r="G107" i="32" s="1"/>
  <c r="D108" i="32"/>
  <c r="G108" i="32" s="1"/>
  <c r="D109" i="32"/>
  <c r="G109" i="32" s="1"/>
  <c r="D110" i="32"/>
  <c r="G110" i="32" s="1"/>
  <c r="D111" i="32"/>
  <c r="G111" i="32" s="1"/>
  <c r="D112" i="32"/>
  <c r="G112" i="32" s="1"/>
  <c r="D113" i="32"/>
  <c r="G113" i="32" s="1"/>
  <c r="D114" i="32"/>
  <c r="G114" i="32" s="1"/>
  <c r="D115" i="32"/>
  <c r="G115" i="32" s="1"/>
  <c r="D116" i="32"/>
  <c r="G116" i="32" s="1"/>
  <c r="D117" i="32"/>
  <c r="G117" i="32" s="1"/>
  <c r="D118" i="32"/>
  <c r="G118" i="32" s="1"/>
  <c r="D119" i="32"/>
  <c r="G119" i="32" s="1"/>
  <c r="D120" i="32"/>
  <c r="G120" i="32" s="1"/>
  <c r="D121" i="32"/>
  <c r="G121" i="32" s="1"/>
  <c r="D122" i="32"/>
  <c r="G122" i="32" s="1"/>
  <c r="D123" i="32"/>
  <c r="D124" i="32"/>
  <c r="G124" i="32" s="1"/>
  <c r="D125" i="32"/>
  <c r="G125" i="32" s="1"/>
  <c r="D126" i="32"/>
  <c r="G126" i="32" s="1"/>
  <c r="D127" i="32"/>
  <c r="G127" i="32" s="1"/>
  <c r="D128" i="32"/>
  <c r="G128" i="32" s="1"/>
  <c r="D129" i="32"/>
  <c r="G129" i="32" s="1"/>
  <c r="D130" i="32"/>
  <c r="G130" i="32" s="1"/>
  <c r="D131" i="32"/>
  <c r="G131" i="32" s="1"/>
  <c r="D132" i="32"/>
  <c r="D133" i="32"/>
  <c r="G133" i="32" s="1"/>
  <c r="D134" i="32"/>
  <c r="G134" i="32" s="1"/>
  <c r="D135" i="32"/>
  <c r="G135" i="32" s="1"/>
  <c r="D136" i="32"/>
  <c r="G136" i="32" s="1"/>
  <c r="D137" i="32"/>
  <c r="G137" i="32" s="1"/>
  <c r="D138" i="32"/>
  <c r="G138" i="32" s="1"/>
  <c r="D139" i="32"/>
  <c r="G139" i="32" s="1"/>
  <c r="D140" i="32"/>
  <c r="G140" i="32" s="1"/>
  <c r="D141" i="32"/>
  <c r="G141" i="32" s="1"/>
  <c r="D142" i="32"/>
  <c r="G142" i="32" s="1"/>
  <c r="D143" i="32"/>
  <c r="G143" i="32" s="1"/>
  <c r="E132" i="32"/>
  <c r="G132" i="32" s="1"/>
  <c r="E123" i="32"/>
  <c r="G123" i="32" s="1"/>
  <c r="E99" i="32"/>
  <c r="G99" i="32" s="1"/>
  <c r="E89" i="32"/>
  <c r="G89" i="32" s="1"/>
  <c r="D54" i="32"/>
  <c r="G54" i="32" s="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D55" i="31"/>
  <c r="D56" i="31"/>
  <c r="D57" i="31"/>
  <c r="D58" i="31"/>
  <c r="D59" i="31"/>
  <c r="D60" i="31"/>
  <c r="D61" i="31"/>
  <c r="D62" i="31"/>
  <c r="D63" i="31"/>
  <c r="D64" i="31"/>
  <c r="D65" i="31"/>
  <c r="D66" i="31"/>
  <c r="D67" i="31"/>
  <c r="D68" i="31"/>
  <c r="D69" i="31"/>
  <c r="D70" i="31"/>
  <c r="D71" i="31"/>
  <c r="D72" i="31"/>
  <c r="D73" i="31"/>
  <c r="D74" i="31"/>
  <c r="D75" i="31"/>
  <c r="D76" i="31"/>
  <c r="D77" i="31"/>
  <c r="D78" i="31"/>
  <c r="D79" i="31"/>
  <c r="D80" i="31"/>
  <c r="D81" i="31"/>
  <c r="D82" i="31"/>
  <c r="D83" i="31"/>
  <c r="D84" i="31"/>
  <c r="D85" i="31"/>
  <c r="D86" i="31"/>
  <c r="D87" i="31"/>
  <c r="D88" i="31"/>
  <c r="D89" i="31"/>
  <c r="D90" i="31"/>
  <c r="E89" i="31"/>
  <c r="E80" i="31"/>
  <c r="E76" i="31"/>
  <c r="E56" i="31"/>
  <c r="D54" i="31"/>
  <c r="G54" i="31" s="1"/>
  <c r="G87" i="30"/>
  <c r="G55" i="30"/>
  <c r="G56" i="30"/>
  <c r="G57" i="30"/>
  <c r="G58" i="30"/>
  <c r="G59" i="30"/>
  <c r="G60" i="30"/>
  <c r="G61" i="30"/>
  <c r="G62" i="30"/>
  <c r="G63" i="30"/>
  <c r="G64" i="30"/>
  <c r="G65" i="30"/>
  <c r="G66" i="30"/>
  <c r="G67" i="30"/>
  <c r="G68" i="30"/>
  <c r="G69" i="30"/>
  <c r="G70" i="30"/>
  <c r="G71" i="30"/>
  <c r="G72" i="30"/>
  <c r="G73" i="30"/>
  <c r="G74" i="30"/>
  <c r="G75" i="30"/>
  <c r="G76" i="30"/>
  <c r="G77" i="30"/>
  <c r="G78" i="30"/>
  <c r="G79" i="30"/>
  <c r="G80" i="30"/>
  <c r="G81" i="30"/>
  <c r="G82" i="30"/>
  <c r="G83" i="30"/>
  <c r="G84" i="30"/>
  <c r="G85" i="30"/>
  <c r="G86" i="30"/>
  <c r="D55" i="30"/>
  <c r="D56" i="30"/>
  <c r="D57" i="30"/>
  <c r="D58" i="30"/>
  <c r="D59" i="30"/>
  <c r="D60" i="30"/>
  <c r="D61" i="30"/>
  <c r="D62" i="30"/>
  <c r="D63" i="30"/>
  <c r="D64" i="30"/>
  <c r="D65" i="30"/>
  <c r="D66" i="30"/>
  <c r="D67" i="30"/>
  <c r="D68" i="30"/>
  <c r="D69" i="30"/>
  <c r="D70" i="30"/>
  <c r="D71" i="30"/>
  <c r="D72" i="30"/>
  <c r="D73" i="30"/>
  <c r="D74" i="30"/>
  <c r="D75" i="30"/>
  <c r="D76" i="30"/>
  <c r="D77" i="30"/>
  <c r="D78" i="30"/>
  <c r="D79" i="30"/>
  <c r="D80" i="30"/>
  <c r="D81" i="30"/>
  <c r="D82" i="30"/>
  <c r="D83" i="30"/>
  <c r="D84" i="30"/>
  <c r="D85" i="30"/>
  <c r="D86" i="30"/>
  <c r="E64" i="30"/>
  <c r="D54" i="30"/>
  <c r="G54" i="30" s="1"/>
  <c r="G56" i="29"/>
  <c r="G57" i="29"/>
  <c r="G58" i="29"/>
  <c r="G59" i="29"/>
  <c r="G60" i="29"/>
  <c r="G61" i="29"/>
  <c r="G117" i="29" s="1"/>
  <c r="D19" i="29" s="1"/>
  <c r="G62" i="29"/>
  <c r="G63" i="29"/>
  <c r="G64" i="29"/>
  <c r="G65" i="29"/>
  <c r="G66" i="29"/>
  <c r="G67" i="29"/>
  <c r="G68" i="29"/>
  <c r="G69" i="29"/>
  <c r="G70" i="29"/>
  <c r="G71" i="29"/>
  <c r="G72" i="29"/>
  <c r="G73" i="29"/>
  <c r="G74" i="29"/>
  <c r="G75" i="29"/>
  <c r="G76" i="29"/>
  <c r="G77" i="29"/>
  <c r="G78" i="29"/>
  <c r="G79" i="29"/>
  <c r="G80" i="29"/>
  <c r="G81" i="29"/>
  <c r="G82" i="29"/>
  <c r="G83" i="29"/>
  <c r="G84" i="29"/>
  <c r="G85" i="29"/>
  <c r="G86" i="29"/>
  <c r="G87" i="29"/>
  <c r="G88" i="29"/>
  <c r="G89" i="29"/>
  <c r="G90" i="29"/>
  <c r="G91" i="29"/>
  <c r="G92" i="29"/>
  <c r="G93" i="29"/>
  <c r="G94" i="29"/>
  <c r="G95" i="29"/>
  <c r="G96" i="29"/>
  <c r="G97" i="29"/>
  <c r="G98" i="29"/>
  <c r="G99" i="29"/>
  <c r="G100" i="29"/>
  <c r="G101" i="29"/>
  <c r="G102" i="29"/>
  <c r="G103" i="29"/>
  <c r="G104" i="29"/>
  <c r="G105" i="29"/>
  <c r="G106" i="29"/>
  <c r="G107" i="29"/>
  <c r="G108" i="29"/>
  <c r="G109" i="29"/>
  <c r="G110" i="29"/>
  <c r="G111" i="29"/>
  <c r="G112" i="29"/>
  <c r="G113" i="29"/>
  <c r="G114" i="29"/>
  <c r="G115" i="29"/>
  <c r="G116" i="29"/>
  <c r="D56" i="29"/>
  <c r="D57" i="29"/>
  <c r="D58" i="29"/>
  <c r="D59" i="29"/>
  <c r="D60" i="29"/>
  <c r="D61" i="29"/>
  <c r="D62" i="29"/>
  <c r="D63" i="29"/>
  <c r="D64" i="29"/>
  <c r="D65" i="29"/>
  <c r="D66" i="29"/>
  <c r="D67" i="29"/>
  <c r="D68" i="29"/>
  <c r="D69" i="29"/>
  <c r="D70" i="29"/>
  <c r="D71" i="29"/>
  <c r="D72" i="29"/>
  <c r="D73" i="29"/>
  <c r="D74" i="29"/>
  <c r="D75" i="29"/>
  <c r="D76" i="29"/>
  <c r="D77" i="29"/>
  <c r="D78" i="29"/>
  <c r="D79" i="29"/>
  <c r="D80" i="29"/>
  <c r="D81" i="29"/>
  <c r="D82" i="29"/>
  <c r="D83" i="29"/>
  <c r="D84" i="29"/>
  <c r="D85" i="29"/>
  <c r="D86" i="29"/>
  <c r="D87" i="29"/>
  <c r="D88" i="29"/>
  <c r="D89" i="29"/>
  <c r="D90" i="29"/>
  <c r="D91" i="29"/>
  <c r="D92" i="29"/>
  <c r="D93" i="29"/>
  <c r="D94" i="29"/>
  <c r="D95" i="29"/>
  <c r="D96" i="29"/>
  <c r="D97" i="29"/>
  <c r="D98" i="29"/>
  <c r="D99" i="29"/>
  <c r="D100" i="29"/>
  <c r="D101" i="29"/>
  <c r="D102" i="29"/>
  <c r="D103" i="29"/>
  <c r="D104" i="29"/>
  <c r="D105" i="29"/>
  <c r="D106" i="29"/>
  <c r="D107" i="29"/>
  <c r="D108" i="29"/>
  <c r="D109" i="29"/>
  <c r="D110" i="29"/>
  <c r="D111" i="29"/>
  <c r="D112" i="29"/>
  <c r="D113" i="29"/>
  <c r="D114" i="29"/>
  <c r="D115" i="29"/>
  <c r="D116" i="29"/>
  <c r="E114" i="29"/>
  <c r="E104" i="29"/>
  <c r="E109" i="29"/>
  <c r="E99" i="29"/>
  <c r="E94" i="29"/>
  <c r="E89" i="29"/>
  <c r="E84" i="29"/>
  <c r="E79" i="29"/>
  <c r="E70" i="29"/>
  <c r="D55" i="29"/>
  <c r="G55" i="29" s="1"/>
  <c r="G55" i="28"/>
  <c r="G56" i="28"/>
  <c r="G57" i="28"/>
  <c r="G58" i="28"/>
  <c r="G59" i="28"/>
  <c r="G60" i="28"/>
  <c r="G61" i="28"/>
  <c r="D55" i="28"/>
  <c r="D56" i="28"/>
  <c r="D57" i="28"/>
  <c r="D58" i="28"/>
  <c r="D59" i="28"/>
  <c r="D60" i="28"/>
  <c r="D61" i="28"/>
  <c r="E60" i="28"/>
  <c r="E56" i="28"/>
  <c r="D54" i="28"/>
  <c r="G54" i="28" s="1"/>
  <c r="G54" i="27"/>
  <c r="G55" i="27"/>
  <c r="G56" i="27"/>
  <c r="G57" i="27"/>
  <c r="G58" i="27"/>
  <c r="G59" i="27"/>
  <c r="G60" i="27"/>
  <c r="G61" i="27"/>
  <c r="G62" i="27"/>
  <c r="G63" i="27"/>
  <c r="G64" i="27"/>
  <c r="G65" i="27"/>
  <c r="G66" i="27"/>
  <c r="G67" i="27"/>
  <c r="G68" i="27"/>
  <c r="G69" i="27"/>
  <c r="G70" i="27"/>
  <c r="G71" i="27"/>
  <c r="G72" i="27"/>
  <c r="G73" i="27"/>
  <c r="G74" i="27"/>
  <c r="G75" i="27"/>
  <c r="G76" i="27"/>
  <c r="D54" i="27"/>
  <c r="D55" i="27"/>
  <c r="D56" i="27"/>
  <c r="D57" i="27"/>
  <c r="D58" i="27"/>
  <c r="D59" i="27"/>
  <c r="D60" i="27"/>
  <c r="D61" i="27"/>
  <c r="D62" i="27"/>
  <c r="D63" i="27"/>
  <c r="D64" i="27"/>
  <c r="D65" i="27"/>
  <c r="D66" i="27"/>
  <c r="D67" i="27"/>
  <c r="D68" i="27"/>
  <c r="D69" i="27"/>
  <c r="D70" i="27"/>
  <c r="D71" i="27"/>
  <c r="D72" i="27"/>
  <c r="D73" i="27"/>
  <c r="D74" i="27"/>
  <c r="D75" i="27"/>
  <c r="D76" i="27"/>
  <c r="D53" i="27"/>
  <c r="G53" i="27" s="1"/>
  <c r="G131" i="26"/>
  <c r="G54" i="26"/>
  <c r="G55" i="26"/>
  <c r="G56" i="26"/>
  <c r="G57" i="26"/>
  <c r="G58" i="26"/>
  <c r="G59" i="26"/>
  <c r="G60" i="26"/>
  <c r="G61" i="26"/>
  <c r="G62" i="26"/>
  <c r="G63" i="26"/>
  <c r="G64" i="26"/>
  <c r="G65" i="26"/>
  <c r="G66" i="26"/>
  <c r="G67" i="26"/>
  <c r="G68" i="26"/>
  <c r="G69" i="26"/>
  <c r="G70" i="26"/>
  <c r="G71" i="26"/>
  <c r="G72" i="26"/>
  <c r="G73" i="26"/>
  <c r="G74" i="26"/>
  <c r="G75" i="26"/>
  <c r="G76" i="26"/>
  <c r="G77" i="26"/>
  <c r="G78" i="26"/>
  <c r="G79" i="26"/>
  <c r="G80" i="26"/>
  <c r="G81" i="26"/>
  <c r="G82" i="26"/>
  <c r="G83" i="26"/>
  <c r="G84" i="26"/>
  <c r="G85" i="26"/>
  <c r="G86" i="26"/>
  <c r="G87" i="26"/>
  <c r="G88" i="26"/>
  <c r="G89" i="26"/>
  <c r="G90" i="26"/>
  <c r="G91" i="26"/>
  <c r="G92" i="26"/>
  <c r="G93" i="26"/>
  <c r="G94" i="26"/>
  <c r="G95" i="26"/>
  <c r="G96" i="26"/>
  <c r="G97" i="26"/>
  <c r="G98" i="26"/>
  <c r="G99" i="26"/>
  <c r="G100" i="26"/>
  <c r="G101" i="26"/>
  <c r="G102" i="26"/>
  <c r="G103" i="26"/>
  <c r="G104" i="26"/>
  <c r="G105" i="26"/>
  <c r="G106" i="26"/>
  <c r="G107" i="26"/>
  <c r="G108" i="26"/>
  <c r="G109" i="26"/>
  <c r="G110" i="26"/>
  <c r="G111" i="26"/>
  <c r="G112" i="26"/>
  <c r="G113" i="26"/>
  <c r="G114" i="26"/>
  <c r="G115" i="26"/>
  <c r="G116" i="26"/>
  <c r="G117" i="26"/>
  <c r="G118" i="26"/>
  <c r="G119" i="26"/>
  <c r="G120" i="26"/>
  <c r="G121" i="26"/>
  <c r="G122" i="26"/>
  <c r="G123" i="26"/>
  <c r="G124" i="26"/>
  <c r="G125" i="26"/>
  <c r="G126" i="26"/>
  <c r="G127" i="26"/>
  <c r="G128" i="26"/>
  <c r="G129" i="26"/>
  <c r="G130" i="26"/>
  <c r="D54" i="26"/>
  <c r="D55" i="26"/>
  <c r="D56" i="26"/>
  <c r="D57" i="26"/>
  <c r="D58" i="26"/>
  <c r="D59" i="26"/>
  <c r="D60" i="26"/>
  <c r="D61" i="26"/>
  <c r="D62" i="26"/>
  <c r="D63" i="26"/>
  <c r="D64" i="26"/>
  <c r="D65" i="26"/>
  <c r="D66" i="26"/>
  <c r="D67" i="26"/>
  <c r="D68" i="26"/>
  <c r="D69" i="26"/>
  <c r="D70" i="26"/>
  <c r="D71" i="26"/>
  <c r="D72" i="26"/>
  <c r="D73" i="26"/>
  <c r="D74" i="26"/>
  <c r="D75" i="26"/>
  <c r="D76" i="26"/>
  <c r="D77" i="26"/>
  <c r="D78" i="26"/>
  <c r="D79" i="26"/>
  <c r="D80" i="26"/>
  <c r="D81" i="26"/>
  <c r="D82" i="26"/>
  <c r="D83" i="26"/>
  <c r="D84" i="26"/>
  <c r="D85" i="26"/>
  <c r="D86" i="26"/>
  <c r="D87" i="26"/>
  <c r="D88" i="26"/>
  <c r="D89" i="26"/>
  <c r="D90" i="26"/>
  <c r="D91" i="26"/>
  <c r="D92" i="26"/>
  <c r="D93" i="26"/>
  <c r="D94" i="26"/>
  <c r="D95" i="26"/>
  <c r="D96" i="26"/>
  <c r="D97" i="26"/>
  <c r="D98" i="26"/>
  <c r="D99" i="26"/>
  <c r="D100" i="26"/>
  <c r="D101" i="26"/>
  <c r="D102" i="26"/>
  <c r="D103" i="26"/>
  <c r="D104" i="26"/>
  <c r="D105" i="26"/>
  <c r="D106" i="26"/>
  <c r="D107" i="26"/>
  <c r="D108" i="26"/>
  <c r="D109" i="26"/>
  <c r="D110" i="26"/>
  <c r="D111" i="26"/>
  <c r="D112" i="26"/>
  <c r="D113" i="26"/>
  <c r="D114" i="26"/>
  <c r="D115" i="26"/>
  <c r="D116" i="26"/>
  <c r="D117" i="26"/>
  <c r="D118" i="26"/>
  <c r="D119" i="26"/>
  <c r="D120" i="26"/>
  <c r="D121" i="26"/>
  <c r="D122" i="26"/>
  <c r="D123" i="26"/>
  <c r="D124" i="26"/>
  <c r="D125" i="26"/>
  <c r="D126" i="26"/>
  <c r="D127" i="26"/>
  <c r="D128" i="26"/>
  <c r="D129" i="26"/>
  <c r="D130" i="26"/>
  <c r="E128" i="26"/>
  <c r="E123" i="26"/>
  <c r="E118" i="26"/>
  <c r="E108" i="26"/>
  <c r="D53" i="26"/>
  <c r="G53" i="26" s="1"/>
  <c r="G158"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11" i="25"/>
  <c r="G112" i="25"/>
  <c r="G113" i="25"/>
  <c r="G114" i="25"/>
  <c r="G115" i="25"/>
  <c r="G116" i="25"/>
  <c r="G117" i="25"/>
  <c r="G118" i="25"/>
  <c r="G119" i="25"/>
  <c r="G120" i="25"/>
  <c r="G121" i="25"/>
  <c r="G122" i="25"/>
  <c r="G123" i="25"/>
  <c r="G124" i="25"/>
  <c r="G125" i="25"/>
  <c r="G126" i="25"/>
  <c r="G127" i="25"/>
  <c r="G128" i="25"/>
  <c r="G129" i="25"/>
  <c r="G130" i="25"/>
  <c r="G131" i="25"/>
  <c r="G132" i="25"/>
  <c r="G133" i="25"/>
  <c r="G134" i="25"/>
  <c r="G135" i="25"/>
  <c r="G136" i="25"/>
  <c r="G137" i="25"/>
  <c r="G138" i="25"/>
  <c r="G139" i="25"/>
  <c r="G140" i="25"/>
  <c r="G141" i="25"/>
  <c r="G142" i="25"/>
  <c r="G143" i="25"/>
  <c r="G144" i="25"/>
  <c r="G145" i="25"/>
  <c r="G146" i="25"/>
  <c r="G147" i="25"/>
  <c r="G148" i="25"/>
  <c r="G149" i="25"/>
  <c r="G150" i="25"/>
  <c r="G151" i="25"/>
  <c r="G152" i="25"/>
  <c r="G153" i="25"/>
  <c r="G154" i="25"/>
  <c r="G155" i="25"/>
  <c r="G156" i="25"/>
  <c r="G157" i="25"/>
  <c r="D54" i="25"/>
  <c r="D55" i="25"/>
  <c r="D56" i="25"/>
  <c r="D57" i="25"/>
  <c r="D58" i="25"/>
  <c r="D59" i="25"/>
  <c r="D60" i="25"/>
  <c r="D61" i="25"/>
  <c r="D62" i="25"/>
  <c r="D63" i="25"/>
  <c r="D64" i="25"/>
  <c r="D65" i="25"/>
  <c r="D66" i="25"/>
  <c r="D67" i="25"/>
  <c r="D68" i="25"/>
  <c r="D69" i="25"/>
  <c r="D70" i="25"/>
  <c r="D71" i="25"/>
  <c r="D72" i="25"/>
  <c r="D73" i="25"/>
  <c r="D74" i="25"/>
  <c r="D75" i="25"/>
  <c r="D76" i="25"/>
  <c r="D77" i="25"/>
  <c r="D78" i="25"/>
  <c r="D79" i="25"/>
  <c r="D80" i="25"/>
  <c r="D81" i="25"/>
  <c r="D82" i="25"/>
  <c r="D83" i="25"/>
  <c r="D84" i="25"/>
  <c r="D85" i="25"/>
  <c r="D86" i="25"/>
  <c r="D87" i="25"/>
  <c r="D88" i="25"/>
  <c r="D89" i="25"/>
  <c r="D90" i="25"/>
  <c r="D91" i="25"/>
  <c r="D92" i="25"/>
  <c r="D93" i="25"/>
  <c r="D94" i="25"/>
  <c r="D95" i="25"/>
  <c r="D96" i="25"/>
  <c r="D97" i="25"/>
  <c r="D98" i="25"/>
  <c r="D99" i="25"/>
  <c r="D100" i="25"/>
  <c r="D101" i="25"/>
  <c r="D102" i="25"/>
  <c r="D103" i="25"/>
  <c r="D104" i="25"/>
  <c r="D105" i="25"/>
  <c r="D106" i="25"/>
  <c r="D107" i="25"/>
  <c r="D108" i="25"/>
  <c r="D109" i="25"/>
  <c r="D110" i="25"/>
  <c r="D111" i="25"/>
  <c r="D112" i="25"/>
  <c r="D113" i="25"/>
  <c r="D114" i="25"/>
  <c r="D115" i="25"/>
  <c r="D116" i="25"/>
  <c r="D117" i="25"/>
  <c r="D118" i="25"/>
  <c r="D119" i="25"/>
  <c r="D120" i="25"/>
  <c r="D121" i="25"/>
  <c r="D122" i="25"/>
  <c r="D123" i="25"/>
  <c r="D124" i="25"/>
  <c r="D125" i="25"/>
  <c r="D126" i="25"/>
  <c r="D127" i="25"/>
  <c r="D128" i="25"/>
  <c r="D129" i="25"/>
  <c r="D130" i="25"/>
  <c r="D131" i="25"/>
  <c r="D132" i="25"/>
  <c r="D133" i="25"/>
  <c r="D134" i="25"/>
  <c r="D135" i="25"/>
  <c r="D136" i="25"/>
  <c r="D137" i="25"/>
  <c r="D138" i="25"/>
  <c r="D139" i="25"/>
  <c r="D140" i="25"/>
  <c r="D141" i="25"/>
  <c r="D142" i="25"/>
  <c r="D143" i="25"/>
  <c r="D144" i="25"/>
  <c r="D145" i="25"/>
  <c r="D146" i="25"/>
  <c r="D147" i="25"/>
  <c r="D148" i="25"/>
  <c r="D149" i="25"/>
  <c r="D150" i="25"/>
  <c r="D151" i="25"/>
  <c r="D152" i="25"/>
  <c r="D153" i="25"/>
  <c r="D154" i="25"/>
  <c r="D155" i="25"/>
  <c r="D156" i="25"/>
  <c r="D157" i="25"/>
  <c r="E70" i="25"/>
  <c r="E60" i="25"/>
  <c r="D53" i="25"/>
  <c r="G53" i="25" s="1"/>
  <c r="G98" i="24"/>
  <c r="G97" i="24"/>
  <c r="D97" i="24"/>
  <c r="G54" i="24"/>
  <c r="G55" i="24"/>
  <c r="G56" i="24"/>
  <c r="G57" i="24"/>
  <c r="G58" i="24"/>
  <c r="G59" i="24"/>
  <c r="G60" i="24"/>
  <c r="G61" i="24"/>
  <c r="G62" i="24"/>
  <c r="G63" i="24"/>
  <c r="G64" i="24"/>
  <c r="G65" i="24"/>
  <c r="G66" i="24"/>
  <c r="G67" i="24"/>
  <c r="G68" i="24"/>
  <c r="G69" i="24"/>
  <c r="G70" i="24"/>
  <c r="G71" i="24"/>
  <c r="G72" i="24"/>
  <c r="G73" i="24"/>
  <c r="G74" i="24"/>
  <c r="G75" i="24"/>
  <c r="G76" i="24"/>
  <c r="G77" i="24"/>
  <c r="G78" i="24"/>
  <c r="G79" i="24"/>
  <c r="G80" i="24"/>
  <c r="G81" i="24"/>
  <c r="G82" i="24"/>
  <c r="G83" i="24"/>
  <c r="G84" i="24"/>
  <c r="G85" i="24"/>
  <c r="G86" i="24"/>
  <c r="G87" i="24"/>
  <c r="G88" i="24"/>
  <c r="G89" i="24"/>
  <c r="G90" i="24"/>
  <c r="G91" i="24"/>
  <c r="G92" i="24"/>
  <c r="G93" i="24"/>
  <c r="G94" i="24"/>
  <c r="G95" i="24"/>
  <c r="G96" i="24"/>
  <c r="D54" i="24"/>
  <c r="D55" i="24"/>
  <c r="D56" i="24"/>
  <c r="D57" i="24"/>
  <c r="D58" i="24"/>
  <c r="D59" i="24"/>
  <c r="D60" i="24"/>
  <c r="D61" i="24"/>
  <c r="D62" i="24"/>
  <c r="D63" i="24"/>
  <c r="D64" i="24"/>
  <c r="D65" i="24"/>
  <c r="D66" i="24"/>
  <c r="D67" i="24"/>
  <c r="D68" i="24"/>
  <c r="D69" i="24"/>
  <c r="D70" i="24"/>
  <c r="D71" i="24"/>
  <c r="D72" i="24"/>
  <c r="D73" i="24"/>
  <c r="D74" i="24"/>
  <c r="D75" i="24"/>
  <c r="D76" i="24"/>
  <c r="D77" i="24"/>
  <c r="D78" i="24"/>
  <c r="D79" i="24"/>
  <c r="D80" i="24"/>
  <c r="D81" i="24"/>
  <c r="D82" i="24"/>
  <c r="D83" i="24"/>
  <c r="D84" i="24"/>
  <c r="D85" i="24"/>
  <c r="D86" i="24"/>
  <c r="D87" i="24"/>
  <c r="D88" i="24"/>
  <c r="D89" i="24"/>
  <c r="D90" i="24"/>
  <c r="D91" i="24"/>
  <c r="D92" i="24"/>
  <c r="D93" i="24"/>
  <c r="D94" i="24"/>
  <c r="D95" i="24"/>
  <c r="D96" i="24"/>
  <c r="E78" i="24"/>
  <c r="E64" i="24"/>
  <c r="E55" i="24"/>
  <c r="D53" i="24"/>
  <c r="G53" i="24" s="1"/>
  <c r="G84" i="23"/>
  <c r="D81" i="23"/>
  <c r="G81" i="23" s="1"/>
  <c r="D82" i="23"/>
  <c r="G82" i="23" s="1"/>
  <c r="D83" i="23"/>
  <c r="G83" i="23" s="1"/>
  <c r="D84" i="23"/>
  <c r="D85" i="23"/>
  <c r="G85" i="23" s="1"/>
  <c r="D86" i="23"/>
  <c r="G86" i="23" s="1"/>
  <c r="D87" i="23"/>
  <c r="G87" i="23" s="1"/>
  <c r="D88" i="23"/>
  <c r="G88" i="23" s="1"/>
  <c r="D89" i="23"/>
  <c r="G89" i="23" s="1"/>
  <c r="D90" i="23"/>
  <c r="G90" i="23" s="1"/>
  <c r="D91" i="23"/>
  <c r="G91" i="23" s="1"/>
  <c r="D92" i="23"/>
  <c r="G92" i="23" s="1"/>
  <c r="D93" i="23"/>
  <c r="G93" i="23" s="1"/>
  <c r="D94" i="23"/>
  <c r="G94" i="23" s="1"/>
  <c r="D95" i="23"/>
  <c r="G95" i="23" s="1"/>
  <c r="D96" i="23"/>
  <c r="G96" i="23" s="1"/>
  <c r="D97" i="23"/>
  <c r="G97" i="23" s="1"/>
  <c r="D98" i="23"/>
  <c r="G98" i="23" s="1"/>
  <c r="E93" i="23"/>
  <c r="D72" i="23"/>
  <c r="G72" i="23" s="1"/>
  <c r="D73" i="23"/>
  <c r="G73" i="23" s="1"/>
  <c r="D74" i="23"/>
  <c r="G74" i="23" s="1"/>
  <c r="D75" i="23"/>
  <c r="G75" i="23" s="1"/>
  <c r="D76" i="23"/>
  <c r="G76" i="23" s="1"/>
  <c r="D77" i="23"/>
  <c r="G77" i="23" s="1"/>
  <c r="D78" i="23"/>
  <c r="G78" i="23" s="1"/>
  <c r="D79" i="23"/>
  <c r="G79" i="23" s="1"/>
  <c r="D80" i="23"/>
  <c r="G80" i="23" s="1"/>
  <c r="G59" i="23"/>
  <c r="G71" i="23"/>
  <c r="D58" i="23"/>
  <c r="G58" i="23" s="1"/>
  <c r="D59" i="23"/>
  <c r="D60" i="23"/>
  <c r="G60" i="23" s="1"/>
  <c r="D61" i="23"/>
  <c r="G61" i="23" s="1"/>
  <c r="D62" i="23"/>
  <c r="G62" i="23" s="1"/>
  <c r="D63" i="23"/>
  <c r="G63" i="23" s="1"/>
  <c r="D64" i="23"/>
  <c r="G64" i="23" s="1"/>
  <c r="D65" i="23"/>
  <c r="G65" i="23" s="1"/>
  <c r="D66" i="23"/>
  <c r="G66" i="23" s="1"/>
  <c r="D67" i="23"/>
  <c r="G67" i="23" s="1"/>
  <c r="D68" i="23"/>
  <c r="G68" i="23" s="1"/>
  <c r="D69" i="23"/>
  <c r="G69" i="23" s="1"/>
  <c r="D70" i="23"/>
  <c r="G70" i="23" s="1"/>
  <c r="D71" i="23"/>
  <c r="E61" i="23"/>
  <c r="D57" i="23"/>
  <c r="G57" i="23" s="1"/>
  <c r="D56" i="23"/>
  <c r="G56" i="23" s="1"/>
  <c r="D55" i="23"/>
  <c r="G55" i="23" s="1"/>
  <c r="D73" i="5"/>
  <c r="G73" i="5" s="1"/>
  <c r="D74" i="5"/>
  <c r="G74" i="5" s="1"/>
  <c r="D75" i="5"/>
  <c r="G75" i="5" s="1"/>
  <c r="D76" i="5"/>
  <c r="G76" i="5" s="1"/>
  <c r="D77" i="5"/>
  <c r="G77" i="5" s="1"/>
  <c r="D78" i="5"/>
  <c r="G78" i="5" s="1"/>
  <c r="D79" i="5"/>
  <c r="G79" i="5" s="1"/>
  <c r="D80" i="5"/>
  <c r="G80" i="5" s="1"/>
  <c r="D81" i="5"/>
  <c r="G81" i="5" s="1"/>
  <c r="D82" i="5"/>
  <c r="G82" i="5" s="1"/>
  <c r="D83" i="5"/>
  <c r="G83" i="5" s="1"/>
  <c r="E82" i="5"/>
  <c r="E75" i="5"/>
  <c r="D65" i="5"/>
  <c r="G65" i="5" s="1"/>
  <c r="D66" i="5"/>
  <c r="G66" i="5" s="1"/>
  <c r="D67" i="5"/>
  <c r="G67" i="5" s="1"/>
  <c r="D68" i="5"/>
  <c r="G68" i="5" s="1"/>
  <c r="D69" i="5"/>
  <c r="G69" i="5" s="1"/>
  <c r="D70" i="5"/>
  <c r="G70" i="5" s="1"/>
  <c r="D71" i="5"/>
  <c r="G71" i="5" s="1"/>
  <c r="D72" i="5"/>
  <c r="G72" i="5" s="1"/>
  <c r="D56" i="5"/>
  <c r="G56" i="5" s="1"/>
  <c r="D57" i="5"/>
  <c r="G57" i="5" s="1"/>
  <c r="D58" i="5"/>
  <c r="G58" i="5" s="1"/>
  <c r="D59" i="5"/>
  <c r="G59" i="5" s="1"/>
  <c r="D60" i="5"/>
  <c r="G60" i="5" s="1"/>
  <c r="D61" i="5"/>
  <c r="G61" i="5" s="1"/>
  <c r="D62" i="5"/>
  <c r="G62" i="5" s="1"/>
  <c r="D63" i="5"/>
  <c r="G63" i="5" s="1"/>
  <c r="D64" i="5"/>
  <c r="G64" i="5" s="1"/>
  <c r="E62" i="5"/>
  <c r="E56" i="5"/>
  <c r="D55" i="5"/>
  <c r="G55" i="5" s="1"/>
  <c r="D54" i="5"/>
  <c r="G54" i="5" s="1"/>
  <c r="H107" i="32" l="1"/>
  <c r="H70" i="32"/>
  <c r="H58" i="32"/>
  <c r="G144" i="32" s="1"/>
  <c r="D19" i="32" s="1"/>
  <c r="G99" i="23"/>
  <c r="J182" i="1"/>
  <c r="J181" i="1"/>
  <c r="J180" i="1"/>
  <c r="J179" i="1"/>
  <c r="J178" i="1"/>
  <c r="J177" i="1"/>
  <c r="J176" i="1"/>
  <c r="J175" i="1"/>
  <c r="J174" i="1"/>
  <c r="J172" i="1"/>
  <c r="J171" i="1"/>
  <c r="I182" i="1"/>
  <c r="I181" i="1"/>
  <c r="I180" i="1"/>
  <c r="I179" i="1"/>
  <c r="I178" i="1"/>
  <c r="I177" i="1"/>
  <c r="I176" i="1"/>
  <c r="I175" i="1"/>
  <c r="I174" i="1"/>
  <c r="I173" i="1"/>
  <c r="I172" i="1"/>
  <c r="I171" i="1"/>
  <c r="H182" i="1"/>
  <c r="H181" i="1"/>
  <c r="H180" i="1"/>
  <c r="H179" i="1"/>
  <c r="H178" i="1"/>
  <c r="H177" i="1"/>
  <c r="H176" i="1"/>
  <c r="H175" i="1"/>
  <c r="H174" i="1"/>
  <c r="H173" i="1"/>
  <c r="H172" i="1"/>
  <c r="H171" i="1"/>
  <c r="G182" i="1"/>
  <c r="G181" i="1"/>
  <c r="G180" i="1"/>
  <c r="G179" i="1"/>
  <c r="G178" i="1"/>
  <c r="G177" i="1"/>
  <c r="G176" i="1"/>
  <c r="G175" i="1"/>
  <c r="G174" i="1"/>
  <c r="G173" i="1"/>
  <c r="G172" i="1"/>
  <c r="G171" i="1"/>
  <c r="J169" i="1"/>
  <c r="J168" i="1"/>
  <c r="J167" i="1"/>
  <c r="J166" i="1"/>
  <c r="J165" i="1"/>
  <c r="J164" i="1"/>
  <c r="J162" i="1"/>
  <c r="J161" i="1"/>
  <c r="J158" i="1"/>
  <c r="I169" i="1"/>
  <c r="I168" i="1"/>
  <c r="I167" i="1"/>
  <c r="I166" i="1"/>
  <c r="I165" i="1"/>
  <c r="I164" i="1"/>
  <c r="I163" i="1"/>
  <c r="I162" i="1"/>
  <c r="I161" i="1"/>
  <c r="I160" i="1"/>
  <c r="I159" i="1"/>
  <c r="I158" i="1"/>
  <c r="H169" i="1"/>
  <c r="H168" i="1"/>
  <c r="H167" i="1"/>
  <c r="H166" i="1"/>
  <c r="H165" i="1"/>
  <c r="H164" i="1"/>
  <c r="H163" i="1"/>
  <c r="H162" i="1"/>
  <c r="H161" i="1"/>
  <c r="H160" i="1"/>
  <c r="H159" i="1"/>
  <c r="H158" i="1"/>
  <c r="G169" i="1"/>
  <c r="G168" i="1"/>
  <c r="G167" i="1"/>
  <c r="G166" i="1"/>
  <c r="G165" i="1"/>
  <c r="G164" i="1"/>
  <c r="G163" i="1"/>
  <c r="G162" i="1"/>
  <c r="G161" i="1"/>
  <c r="G160" i="1"/>
  <c r="G159" i="1"/>
  <c r="G158" i="1"/>
  <c r="J156" i="1"/>
  <c r="J155" i="1"/>
  <c r="J154" i="1"/>
  <c r="J153" i="1"/>
  <c r="J152" i="1"/>
  <c r="I156" i="1"/>
  <c r="I155" i="1"/>
  <c r="I154" i="1"/>
  <c r="I153" i="1"/>
  <c r="I152" i="1"/>
  <c r="I151" i="1"/>
  <c r="I150" i="1"/>
  <c r="I149" i="1"/>
  <c r="I148" i="1"/>
  <c r="I147" i="1"/>
  <c r="I146" i="1"/>
  <c r="I145" i="1"/>
  <c r="H156" i="1"/>
  <c r="H155" i="1"/>
  <c r="H154" i="1"/>
  <c r="H153" i="1"/>
  <c r="H152" i="1"/>
  <c r="H151" i="1"/>
  <c r="H150" i="1"/>
  <c r="H149" i="1"/>
  <c r="H148" i="1"/>
  <c r="H147" i="1"/>
  <c r="H146" i="1"/>
  <c r="H145" i="1"/>
  <c r="G156" i="1"/>
  <c r="G155" i="1"/>
  <c r="G154" i="1"/>
  <c r="G153" i="1"/>
  <c r="G152" i="1"/>
  <c r="G151" i="1"/>
  <c r="G150" i="1"/>
  <c r="G149" i="1"/>
  <c r="G148" i="1"/>
  <c r="G147" i="1"/>
  <c r="G146" i="1"/>
  <c r="G145" i="1"/>
  <c r="J143" i="1"/>
  <c r="J142" i="1"/>
  <c r="J141" i="1"/>
  <c r="J140" i="1"/>
  <c r="J139" i="1"/>
  <c r="J138" i="1"/>
  <c r="J136" i="1"/>
  <c r="J135" i="1"/>
  <c r="J132" i="1"/>
  <c r="I143" i="1"/>
  <c r="I142" i="1"/>
  <c r="I141" i="1"/>
  <c r="I140" i="1"/>
  <c r="I139" i="1"/>
  <c r="I138" i="1"/>
  <c r="I137" i="1"/>
  <c r="I136" i="1"/>
  <c r="I135" i="1"/>
  <c r="I134" i="1"/>
  <c r="I133" i="1"/>
  <c r="I132" i="1"/>
  <c r="H143" i="1"/>
  <c r="H142" i="1"/>
  <c r="H141" i="1"/>
  <c r="H140" i="1"/>
  <c r="H139" i="1"/>
  <c r="H138" i="1"/>
  <c r="H137" i="1"/>
  <c r="H136" i="1"/>
  <c r="H135" i="1"/>
  <c r="H134" i="1"/>
  <c r="H133" i="1"/>
  <c r="H132" i="1"/>
  <c r="G143" i="1"/>
  <c r="G142" i="1"/>
  <c r="G141" i="1"/>
  <c r="G140" i="1"/>
  <c r="G139" i="1"/>
  <c r="G138" i="1"/>
  <c r="G137" i="1"/>
  <c r="G136" i="1"/>
  <c r="G135" i="1"/>
  <c r="G134" i="1"/>
  <c r="G133" i="1"/>
  <c r="G132" i="1"/>
  <c r="J130" i="1" l="1"/>
  <c r="J129" i="1"/>
  <c r="J128" i="1"/>
  <c r="J127" i="1"/>
  <c r="J126" i="1"/>
  <c r="J125" i="1"/>
  <c r="J123" i="1"/>
  <c r="J122" i="1"/>
  <c r="J119" i="1"/>
  <c r="I130" i="1"/>
  <c r="I129" i="1"/>
  <c r="I128" i="1"/>
  <c r="I127" i="1"/>
  <c r="I126" i="1"/>
  <c r="I125" i="1"/>
  <c r="I124" i="1"/>
  <c r="I123" i="1"/>
  <c r="I122" i="1"/>
  <c r="I121" i="1"/>
  <c r="I120" i="1"/>
  <c r="I119" i="1"/>
  <c r="H130" i="1"/>
  <c r="H129" i="1"/>
  <c r="H128" i="1"/>
  <c r="H127" i="1"/>
  <c r="H126" i="1"/>
  <c r="H125" i="1"/>
  <c r="H124" i="1"/>
  <c r="H123" i="1"/>
  <c r="H122" i="1"/>
  <c r="H121" i="1"/>
  <c r="H120" i="1"/>
  <c r="H119" i="1"/>
  <c r="G130" i="1"/>
  <c r="G129" i="1"/>
  <c r="G128" i="1"/>
  <c r="G127" i="1"/>
  <c r="G126" i="1"/>
  <c r="G125" i="1"/>
  <c r="G124" i="1"/>
  <c r="G123" i="1"/>
  <c r="G122" i="1"/>
  <c r="G121" i="1"/>
  <c r="G120" i="1"/>
  <c r="G119" i="1"/>
  <c r="J117" i="1"/>
  <c r="J116" i="1"/>
  <c r="J115" i="1"/>
  <c r="J114" i="1"/>
  <c r="J113" i="1"/>
  <c r="J112" i="1"/>
  <c r="J110" i="1"/>
  <c r="J109" i="1"/>
  <c r="J106" i="1"/>
  <c r="I117" i="1"/>
  <c r="I116" i="1"/>
  <c r="I115" i="1"/>
  <c r="I114" i="1"/>
  <c r="I113" i="1"/>
  <c r="I112" i="1"/>
  <c r="I111" i="1"/>
  <c r="I110" i="1"/>
  <c r="I109" i="1"/>
  <c r="I108" i="1"/>
  <c r="I107" i="1"/>
  <c r="I106" i="1"/>
  <c r="H117" i="1"/>
  <c r="H116" i="1"/>
  <c r="H115" i="1"/>
  <c r="H114" i="1"/>
  <c r="H113" i="1"/>
  <c r="H112" i="1"/>
  <c r="H111" i="1"/>
  <c r="H110" i="1"/>
  <c r="H109" i="1"/>
  <c r="H108" i="1"/>
  <c r="H107" i="1"/>
  <c r="H106" i="1"/>
  <c r="G117" i="1"/>
  <c r="G116" i="1"/>
  <c r="G115" i="1"/>
  <c r="G114" i="1"/>
  <c r="G113" i="1"/>
  <c r="G112" i="1"/>
  <c r="G111" i="1"/>
  <c r="G110" i="1"/>
  <c r="G109" i="1"/>
  <c r="G108" i="1"/>
  <c r="G107" i="1"/>
  <c r="G106" i="1"/>
  <c r="J104" i="1"/>
  <c r="J103" i="1"/>
  <c r="J102" i="1"/>
  <c r="J101" i="1"/>
  <c r="J100" i="1"/>
  <c r="J99" i="1"/>
  <c r="J97" i="1"/>
  <c r="J96" i="1"/>
  <c r="J93" i="1"/>
  <c r="I100" i="1"/>
  <c r="I104" i="1"/>
  <c r="I103" i="1"/>
  <c r="I102" i="1"/>
  <c r="I101" i="1"/>
  <c r="I99" i="1"/>
  <c r="I98" i="1"/>
  <c r="I97" i="1"/>
  <c r="I96" i="1"/>
  <c r="I95" i="1"/>
  <c r="I94" i="1"/>
  <c r="I93" i="1"/>
  <c r="H104" i="1"/>
  <c r="H103" i="1"/>
  <c r="H102" i="1"/>
  <c r="H101" i="1"/>
  <c r="H100" i="1"/>
  <c r="H99" i="1"/>
  <c r="H98" i="1"/>
  <c r="H97" i="1"/>
  <c r="H96" i="1"/>
  <c r="H95" i="1"/>
  <c r="H94" i="1"/>
  <c r="H93" i="1"/>
  <c r="G104" i="1"/>
  <c r="G103" i="1"/>
  <c r="G102" i="1"/>
  <c r="G101" i="1"/>
  <c r="G100" i="1"/>
  <c r="G99" i="1"/>
  <c r="G98" i="1"/>
  <c r="G97" i="1"/>
  <c r="G96" i="1"/>
  <c r="G95" i="1"/>
  <c r="G94" i="1"/>
  <c r="G93" i="1"/>
  <c r="J91" i="1"/>
  <c r="J90" i="1"/>
  <c r="J89" i="1"/>
  <c r="J88" i="1"/>
  <c r="J87" i="1"/>
  <c r="J86" i="1"/>
  <c r="J84" i="1"/>
  <c r="J83" i="1"/>
  <c r="J80" i="1"/>
  <c r="I91" i="1"/>
  <c r="I90" i="1"/>
  <c r="I89" i="1"/>
  <c r="I88" i="1"/>
  <c r="I87" i="1"/>
  <c r="I86" i="1"/>
  <c r="I85" i="1"/>
  <c r="I84" i="1"/>
  <c r="I83" i="1"/>
  <c r="I82" i="1"/>
  <c r="I81" i="1"/>
  <c r="I80" i="1"/>
  <c r="H91" i="1"/>
  <c r="H90" i="1"/>
  <c r="H89" i="1"/>
  <c r="H88" i="1"/>
  <c r="H87" i="1"/>
  <c r="H86" i="1"/>
  <c r="H85" i="1"/>
  <c r="H84" i="1"/>
  <c r="H83" i="1"/>
  <c r="H82" i="1"/>
  <c r="H81" i="1"/>
  <c r="H80" i="1"/>
  <c r="G91" i="1"/>
  <c r="G90" i="1"/>
  <c r="G89" i="1"/>
  <c r="G88" i="1"/>
  <c r="G87" i="1"/>
  <c r="G86" i="1"/>
  <c r="G85" i="1"/>
  <c r="G84" i="1"/>
  <c r="G83" i="1"/>
  <c r="G82" i="1"/>
  <c r="G81" i="1"/>
  <c r="G80" i="1"/>
  <c r="J78" i="1"/>
  <c r="J77" i="1"/>
  <c r="J76" i="1"/>
  <c r="J75" i="1"/>
  <c r="J74" i="1"/>
  <c r="J73" i="1"/>
  <c r="J71" i="1"/>
  <c r="J70" i="1"/>
  <c r="J67" i="1"/>
  <c r="I78" i="1"/>
  <c r="I77" i="1"/>
  <c r="I76" i="1"/>
  <c r="I75" i="1"/>
  <c r="I74" i="1"/>
  <c r="I73" i="1"/>
  <c r="I72" i="1"/>
  <c r="I71" i="1"/>
  <c r="I70" i="1"/>
  <c r="I69" i="1"/>
  <c r="I68" i="1"/>
  <c r="I67" i="1"/>
  <c r="H78" i="1"/>
  <c r="H77" i="1"/>
  <c r="H76" i="1"/>
  <c r="H75" i="1"/>
  <c r="H74" i="1"/>
  <c r="H73" i="1"/>
  <c r="H72" i="1"/>
  <c r="H71" i="1"/>
  <c r="H70" i="1"/>
  <c r="H69" i="1"/>
  <c r="H68" i="1"/>
  <c r="H67" i="1"/>
  <c r="G78" i="1"/>
  <c r="G77" i="1"/>
  <c r="G76" i="1"/>
  <c r="G75" i="1"/>
  <c r="G74" i="1"/>
  <c r="G73" i="1"/>
  <c r="G72" i="1"/>
  <c r="G71" i="1"/>
  <c r="G70" i="1"/>
  <c r="G69" i="1"/>
  <c r="G68" i="1"/>
  <c r="G67" i="1"/>
  <c r="J65" i="1"/>
  <c r="J64" i="1"/>
  <c r="J63" i="1"/>
  <c r="J62" i="1"/>
  <c r="J61" i="1"/>
  <c r="J60" i="1"/>
  <c r="J58" i="1"/>
  <c r="J57" i="1"/>
  <c r="J54" i="1"/>
  <c r="I65" i="1"/>
  <c r="I64" i="1"/>
  <c r="I63" i="1"/>
  <c r="I62" i="1"/>
  <c r="I61" i="1"/>
  <c r="I60" i="1"/>
  <c r="I59" i="1"/>
  <c r="I58" i="1"/>
  <c r="I57" i="1"/>
  <c r="I56" i="1"/>
  <c r="I55" i="1"/>
  <c r="I54" i="1"/>
  <c r="H65" i="1"/>
  <c r="H64" i="1"/>
  <c r="H63" i="1"/>
  <c r="H62" i="1"/>
  <c r="H61" i="1"/>
  <c r="H60" i="1"/>
  <c r="H59" i="1"/>
  <c r="H58" i="1"/>
  <c r="H57" i="1"/>
  <c r="H56" i="1"/>
  <c r="H55" i="1"/>
  <c r="H54" i="1"/>
  <c r="G65" i="1"/>
  <c r="G64" i="1"/>
  <c r="G63" i="1"/>
  <c r="G62" i="1"/>
  <c r="G61" i="1"/>
  <c r="G60" i="1"/>
  <c r="G59" i="1"/>
  <c r="G58" i="1"/>
  <c r="G57" i="1"/>
  <c r="G56" i="1"/>
  <c r="G55" i="1"/>
  <c r="G54" i="1"/>
  <c r="J52" i="1"/>
  <c r="J51" i="1"/>
  <c r="J50" i="1"/>
  <c r="J49" i="1"/>
  <c r="J48" i="1"/>
  <c r="J47" i="1"/>
  <c r="J45" i="1"/>
  <c r="J44" i="1"/>
  <c r="J41" i="1"/>
  <c r="I52" i="1"/>
  <c r="I51" i="1"/>
  <c r="I50" i="1"/>
  <c r="I49" i="1"/>
  <c r="I48" i="1"/>
  <c r="I47" i="1"/>
  <c r="I46" i="1"/>
  <c r="I45" i="1"/>
  <c r="I44" i="1"/>
  <c r="I43" i="1"/>
  <c r="I42" i="1"/>
  <c r="I41" i="1"/>
  <c r="H52" i="1"/>
  <c r="H51" i="1"/>
  <c r="H50" i="1"/>
  <c r="H49" i="1"/>
  <c r="H48" i="1"/>
  <c r="H47" i="1"/>
  <c r="H46" i="1"/>
  <c r="H45" i="1"/>
  <c r="H44" i="1"/>
  <c r="H43" i="1"/>
  <c r="H42" i="1"/>
  <c r="H41" i="1"/>
  <c r="G52" i="1"/>
  <c r="G51" i="1"/>
  <c r="G50" i="1"/>
  <c r="G49" i="1"/>
  <c r="G48" i="1"/>
  <c r="G47" i="1"/>
  <c r="G46" i="1"/>
  <c r="G45" i="1"/>
  <c r="G44" i="1"/>
  <c r="G43" i="1"/>
  <c r="G42" i="1"/>
  <c r="G41" i="1"/>
  <c r="J39" i="1"/>
  <c r="J38" i="1"/>
  <c r="J37" i="1"/>
  <c r="J36" i="1"/>
  <c r="J35" i="1"/>
  <c r="J34" i="1"/>
  <c r="J32" i="1"/>
  <c r="J31" i="1"/>
  <c r="J28" i="1"/>
  <c r="I39" i="1"/>
  <c r="I38" i="1"/>
  <c r="I37" i="1"/>
  <c r="I36" i="1"/>
  <c r="I35" i="1"/>
  <c r="I34" i="1"/>
  <c r="I33" i="1"/>
  <c r="I32" i="1"/>
  <c r="I31" i="1"/>
  <c r="I30" i="1"/>
  <c r="I29" i="1"/>
  <c r="I28" i="1"/>
  <c r="H39" i="1"/>
  <c r="H38" i="1"/>
  <c r="H37" i="1"/>
  <c r="H36" i="1"/>
  <c r="H35" i="1"/>
  <c r="H34" i="1"/>
  <c r="H33" i="1"/>
  <c r="H32" i="1"/>
  <c r="H31" i="1"/>
  <c r="H30" i="1"/>
  <c r="H29" i="1"/>
  <c r="H28" i="1"/>
  <c r="G39" i="1"/>
  <c r="G38" i="1"/>
  <c r="G37" i="1"/>
  <c r="G36" i="1"/>
  <c r="G35" i="1"/>
  <c r="G34" i="1"/>
  <c r="G33" i="1"/>
  <c r="G32" i="1"/>
  <c r="G31" i="1"/>
  <c r="G30" i="1"/>
  <c r="G29" i="1"/>
  <c r="G28" i="1"/>
  <c r="J26" i="1"/>
  <c r="J25" i="1"/>
  <c r="J24" i="1"/>
  <c r="J23" i="1"/>
  <c r="J22" i="1"/>
  <c r="J21" i="1"/>
  <c r="J15" i="1"/>
  <c r="I26" i="1"/>
  <c r="I25" i="1"/>
  <c r="I24" i="1"/>
  <c r="I23" i="1"/>
  <c r="I22" i="1"/>
  <c r="I21" i="1"/>
  <c r="I20" i="1"/>
  <c r="I19" i="1"/>
  <c r="I18" i="1"/>
  <c r="I17" i="1"/>
  <c r="I16" i="1"/>
  <c r="I15" i="1"/>
  <c r="H26" i="1"/>
  <c r="H25" i="1"/>
  <c r="H24" i="1"/>
  <c r="H23" i="1"/>
  <c r="H22" i="1"/>
  <c r="H21" i="1"/>
  <c r="H20" i="1"/>
  <c r="H19" i="1"/>
  <c r="H18" i="1"/>
  <c r="H17" i="1"/>
  <c r="H16" i="1"/>
  <c r="H15" i="1"/>
  <c r="G26" i="1"/>
  <c r="G25" i="1"/>
  <c r="G24" i="1"/>
  <c r="G23" i="1"/>
  <c r="G22" i="1"/>
  <c r="G21" i="1"/>
  <c r="G20" i="1"/>
  <c r="G19" i="1"/>
  <c r="G18" i="1"/>
  <c r="G17" i="1"/>
  <c r="G16" i="1"/>
  <c r="G15" i="1"/>
  <c r="D26" i="34" l="1"/>
  <c r="D20" i="33"/>
  <c r="D15" i="33"/>
  <c r="D20" i="32"/>
  <c r="D15" i="32"/>
  <c r="D20" i="31"/>
  <c r="D15" i="31"/>
  <c r="D20" i="30"/>
  <c r="D15" i="30"/>
  <c r="D20" i="29"/>
  <c r="D15" i="29"/>
  <c r="D20" i="28"/>
  <c r="D15" i="28"/>
  <c r="D20" i="27"/>
  <c r="D15" i="27"/>
  <c r="D20" i="26"/>
  <c r="D15" i="26"/>
  <c r="D20" i="24"/>
  <c r="D15" i="24"/>
  <c r="D20" i="23"/>
  <c r="D15" i="23"/>
  <c r="D20" i="5"/>
  <c r="D15" i="5"/>
  <c r="D20" i="34"/>
  <c r="D15" i="34"/>
  <c r="L48" i="34"/>
  <c r="L39" i="34"/>
  <c r="K39" i="34"/>
  <c r="K40" i="34" s="1"/>
  <c r="K42" i="34" s="1"/>
  <c r="H38" i="34"/>
  <c r="H40" i="34" s="1"/>
  <c r="J38" i="34"/>
  <c r="J39" i="34"/>
  <c r="J40" i="34" s="1"/>
  <c r="H39" i="34"/>
  <c r="E48" i="34"/>
  <c r="L40" i="34"/>
  <c r="I40" i="34"/>
  <c r="I42" i="34" s="1"/>
  <c r="I44" i="34" s="1"/>
  <c r="G40" i="34"/>
  <c r="G48" i="34" s="1"/>
  <c r="F40" i="34"/>
  <c r="F43" i="34" s="1"/>
  <c r="F44" i="34" s="1"/>
  <c r="E40" i="34"/>
  <c r="E43" i="34" s="1"/>
  <c r="D40" i="34"/>
  <c r="D48" i="34" s="1"/>
  <c r="D12" i="33"/>
  <c r="L40" i="33"/>
  <c r="H39" i="33"/>
  <c r="J38" i="33"/>
  <c r="J39" i="33"/>
  <c r="D43" i="33"/>
  <c r="K42" i="33"/>
  <c r="K40" i="33"/>
  <c r="K48" i="33" s="1"/>
  <c r="I40" i="33"/>
  <c r="I48" i="33" s="1"/>
  <c r="I49" i="33" s="1"/>
  <c r="F40" i="33"/>
  <c r="F43" i="33" s="1"/>
  <c r="F44" i="33" s="1"/>
  <c r="E40" i="33"/>
  <c r="E48" i="33" s="1"/>
  <c r="D40" i="33"/>
  <c r="D48" i="33" s="1"/>
  <c r="J40" i="33"/>
  <c r="H40" i="33"/>
  <c r="D23" i="33" s="1"/>
  <c r="G40" i="33"/>
  <c r="D26" i="32"/>
  <c r="J151" i="1" s="1"/>
  <c r="G38" i="32"/>
  <c r="G39" i="32"/>
  <c r="H39" i="32"/>
  <c r="H40" i="32" s="1"/>
  <c r="D23" i="32" s="1"/>
  <c r="J148" i="1" s="1"/>
  <c r="J39" i="32"/>
  <c r="K40" i="32"/>
  <c r="K43" i="32" s="1"/>
  <c r="J40" i="32"/>
  <c r="J47" i="32" s="1"/>
  <c r="I40" i="32"/>
  <c r="G40" i="32"/>
  <c r="G42" i="32" s="1"/>
  <c r="F40" i="32"/>
  <c r="F48" i="32" s="1"/>
  <c r="F49" i="32" s="1"/>
  <c r="E40" i="32"/>
  <c r="E43" i="32" s="1"/>
  <c r="D40" i="32"/>
  <c r="D43" i="32" s="1"/>
  <c r="G39" i="31"/>
  <c r="G40" i="31" s="1"/>
  <c r="G47" i="31" s="1"/>
  <c r="H39" i="31"/>
  <c r="D26" i="31"/>
  <c r="I40" i="31"/>
  <c r="H40" i="31"/>
  <c r="H43" i="31" s="1"/>
  <c r="E40" i="31"/>
  <c r="E48" i="31" s="1"/>
  <c r="D40" i="31"/>
  <c r="D42" i="31" s="1"/>
  <c r="J40" i="31"/>
  <c r="F40" i="31"/>
  <c r="K40" i="31"/>
  <c r="D26" i="30"/>
  <c r="K35" i="30"/>
  <c r="F39" i="30"/>
  <c r="J39" i="30"/>
  <c r="D22" i="29"/>
  <c r="D22" i="26"/>
  <c r="I42" i="32" l="1"/>
  <c r="I44" i="32" s="1"/>
  <c r="D42" i="34"/>
  <c r="I48" i="32"/>
  <c r="I49" i="32" s="1"/>
  <c r="E42" i="34"/>
  <c r="L49" i="33"/>
  <c r="D43" i="34"/>
  <c r="G43" i="32"/>
  <c r="G44" i="32" s="1"/>
  <c r="L48" i="33"/>
  <c r="G43" i="34"/>
  <c r="D42" i="33"/>
  <c r="D44" i="33" s="1"/>
  <c r="L42" i="33"/>
  <c r="E47" i="34"/>
  <c r="E49" i="34" s="1"/>
  <c r="D43" i="31"/>
  <c r="I48" i="34"/>
  <c r="I49" i="34" s="1"/>
  <c r="D12" i="34"/>
  <c r="L49" i="34"/>
  <c r="D23" i="34"/>
  <c r="L43" i="34"/>
  <c r="L44" i="34" s="1"/>
  <c r="K48" i="34"/>
  <c r="K43" i="34"/>
  <c r="K44" i="34" s="1"/>
  <c r="G42" i="34"/>
  <c r="G44" i="34" s="1"/>
  <c r="K47" i="34"/>
  <c r="J47" i="34"/>
  <c r="J43" i="34"/>
  <c r="J48" i="34"/>
  <c r="J42" i="34"/>
  <c r="J44" i="34" s="1"/>
  <c r="E44" i="34"/>
  <c r="H48" i="34"/>
  <c r="H47" i="34"/>
  <c r="H42" i="34"/>
  <c r="H43" i="34"/>
  <c r="D47" i="34"/>
  <c r="D49" i="34" s="1"/>
  <c r="G47" i="34"/>
  <c r="G49" i="34" s="1"/>
  <c r="F48" i="34"/>
  <c r="F49" i="34" s="1"/>
  <c r="L44" i="33"/>
  <c r="K44" i="33"/>
  <c r="E43" i="33"/>
  <c r="K49" i="33"/>
  <c r="K43" i="33"/>
  <c r="K47" i="33"/>
  <c r="E42" i="33"/>
  <c r="G42" i="33"/>
  <c r="G48" i="33"/>
  <c r="G43" i="33"/>
  <c r="G47" i="33"/>
  <c r="J42" i="33"/>
  <c r="J48" i="33"/>
  <c r="J47" i="33"/>
  <c r="J49" i="33" s="1"/>
  <c r="J43" i="33"/>
  <c r="H43" i="33"/>
  <c r="H48" i="33"/>
  <c r="H47" i="33"/>
  <c r="H42" i="33"/>
  <c r="I42" i="33"/>
  <c r="I44" i="33" s="1"/>
  <c r="D47" i="33"/>
  <c r="D49" i="33" s="1"/>
  <c r="F48" i="33"/>
  <c r="F49" i="33" s="1"/>
  <c r="E47" i="33"/>
  <c r="E49" i="33" s="1"/>
  <c r="G47" i="32"/>
  <c r="K47" i="32"/>
  <c r="F43" i="32"/>
  <c r="F44" i="32" s="1"/>
  <c r="H48" i="32"/>
  <c r="H47" i="32"/>
  <c r="H43" i="32"/>
  <c r="H42" i="32"/>
  <c r="D12" i="32"/>
  <c r="J145" i="1" s="1"/>
  <c r="D47" i="32"/>
  <c r="D48" i="32"/>
  <c r="J48" i="32"/>
  <c r="J49" i="32" s="1"/>
  <c r="J42" i="32"/>
  <c r="E47" i="32"/>
  <c r="E48" i="32"/>
  <c r="K48" i="32"/>
  <c r="D42" i="32"/>
  <c r="D44" i="32" s="1"/>
  <c r="K42" i="32"/>
  <c r="K44" i="32" s="1"/>
  <c r="J43" i="32"/>
  <c r="E42" i="32"/>
  <c r="E44" i="32" s="1"/>
  <c r="G48" i="32"/>
  <c r="I42" i="31"/>
  <c r="I44" i="31" s="1"/>
  <c r="E42" i="31"/>
  <c r="D44" i="31"/>
  <c r="H42" i="31"/>
  <c r="H44" i="31" s="1"/>
  <c r="H47" i="31"/>
  <c r="K42" i="31"/>
  <c r="K48" i="31"/>
  <c r="K47" i="31"/>
  <c r="K43" i="31"/>
  <c r="F48" i="31"/>
  <c r="F49" i="31" s="1"/>
  <c r="F43" i="31"/>
  <c r="F44" i="31" s="1"/>
  <c r="J43" i="31"/>
  <c r="J42" i="31"/>
  <c r="J48" i="31"/>
  <c r="D23" i="31"/>
  <c r="J47" i="31"/>
  <c r="G48" i="31"/>
  <c r="G49" i="31" s="1"/>
  <c r="D12" i="31"/>
  <c r="G42" i="31"/>
  <c r="E43" i="31"/>
  <c r="E44" i="31" s="1"/>
  <c r="H48" i="31"/>
  <c r="H49" i="31" s="1"/>
  <c r="I48" i="31"/>
  <c r="I49" i="31" s="1"/>
  <c r="G43" i="31"/>
  <c r="D47" i="31"/>
  <c r="D48" i="31"/>
  <c r="E47" i="31"/>
  <c r="E49" i="31" s="1"/>
  <c r="D48" i="30"/>
  <c r="D47" i="30"/>
  <c r="D49" i="30" s="1"/>
  <c r="K40" i="30"/>
  <c r="J40" i="30"/>
  <c r="J47" i="30" s="1"/>
  <c r="I40" i="30"/>
  <c r="I48" i="30" s="1"/>
  <c r="I49" i="30" s="1"/>
  <c r="H40" i="30"/>
  <c r="H48" i="30" s="1"/>
  <c r="G40" i="30"/>
  <c r="F40" i="30"/>
  <c r="E40" i="30"/>
  <c r="D40" i="30"/>
  <c r="D43" i="30" s="1"/>
  <c r="K37" i="29"/>
  <c r="K40" i="29"/>
  <c r="K48" i="29" s="1"/>
  <c r="G47" i="29"/>
  <c r="G43" i="29"/>
  <c r="I40" i="29"/>
  <c r="I42" i="29" s="1"/>
  <c r="H40" i="29"/>
  <c r="G40" i="29"/>
  <c r="G42" i="29" s="1"/>
  <c r="F40" i="29"/>
  <c r="F48" i="29" s="1"/>
  <c r="F49" i="29" s="1"/>
  <c r="E40" i="29"/>
  <c r="E47" i="29" s="1"/>
  <c r="D40" i="29"/>
  <c r="D47" i="29" s="1"/>
  <c r="J40" i="29"/>
  <c r="J39" i="28"/>
  <c r="J40" i="28" s="1"/>
  <c r="J48" i="28" s="1"/>
  <c r="G43" i="28"/>
  <c r="I40" i="28"/>
  <c r="I48" i="28" s="1"/>
  <c r="I49" i="28" s="1"/>
  <c r="H40" i="28"/>
  <c r="H48" i="28" s="1"/>
  <c r="G40" i="28"/>
  <c r="G42" i="28" s="1"/>
  <c r="F40" i="28"/>
  <c r="F48" i="28" s="1"/>
  <c r="F49" i="28" s="1"/>
  <c r="D40" i="28"/>
  <c r="D47" i="28" s="1"/>
  <c r="E40" i="28"/>
  <c r="D26" i="28"/>
  <c r="D26" i="27"/>
  <c r="H38" i="27"/>
  <c r="H40" i="27" s="1"/>
  <c r="E39" i="27"/>
  <c r="H39" i="27"/>
  <c r="J40" i="27"/>
  <c r="J47" i="27" s="1"/>
  <c r="I40" i="27"/>
  <c r="I42" i="27" s="1"/>
  <c r="I44" i="27" s="1"/>
  <c r="G40" i="27"/>
  <c r="F40" i="27"/>
  <c r="F48" i="27" s="1"/>
  <c r="F49" i="27" s="1"/>
  <c r="E40" i="27"/>
  <c r="E42" i="27" s="1"/>
  <c r="D40" i="27"/>
  <c r="D47" i="27" s="1"/>
  <c r="D26" i="26"/>
  <c r="H43" i="26"/>
  <c r="E38" i="26"/>
  <c r="H39" i="26"/>
  <c r="H40" i="26" s="1"/>
  <c r="E39" i="26"/>
  <c r="G47" i="26"/>
  <c r="G43" i="26"/>
  <c r="I40" i="26"/>
  <c r="I48" i="26" s="1"/>
  <c r="I49" i="26" s="1"/>
  <c r="G40" i="26"/>
  <c r="G42" i="26" s="1"/>
  <c r="F40" i="26"/>
  <c r="F48" i="26" s="1"/>
  <c r="F49" i="26" s="1"/>
  <c r="E40" i="26"/>
  <c r="E47" i="26" s="1"/>
  <c r="J40" i="26"/>
  <c r="D40" i="26"/>
  <c r="I48" i="29" l="1"/>
  <c r="D12" i="29"/>
  <c r="D23" i="30"/>
  <c r="D24" i="30" s="1"/>
  <c r="G48" i="26"/>
  <c r="G48" i="29"/>
  <c r="G49" i="29" s="1"/>
  <c r="K42" i="29"/>
  <c r="K43" i="29"/>
  <c r="D44" i="34"/>
  <c r="F48" i="30"/>
  <c r="F49" i="30" s="1"/>
  <c r="F43" i="30"/>
  <c r="F44" i="30" s="1"/>
  <c r="K47" i="30"/>
  <c r="K49" i="30" s="1"/>
  <c r="K43" i="30"/>
  <c r="K42" i="30"/>
  <c r="K44" i="30" s="1"/>
  <c r="K48" i="30"/>
  <c r="K47" i="29"/>
  <c r="K49" i="29" s="1"/>
  <c r="E43" i="30"/>
  <c r="D12" i="30"/>
  <c r="G49" i="26"/>
  <c r="E42" i="26"/>
  <c r="K49" i="31"/>
  <c r="K49" i="34"/>
  <c r="D24" i="34"/>
  <c r="H44" i="34"/>
  <c r="D14" i="34" s="1"/>
  <c r="D13" i="34" s="1"/>
  <c r="D25" i="34" s="1"/>
  <c r="H49" i="34"/>
  <c r="J49" i="34"/>
  <c r="G49" i="33"/>
  <c r="E44" i="33"/>
  <c r="D24" i="33"/>
  <c r="H44" i="33"/>
  <c r="H49" i="33"/>
  <c r="J44" i="33"/>
  <c r="G44" i="33"/>
  <c r="G49" i="32"/>
  <c r="K49" i="32"/>
  <c r="H49" i="32"/>
  <c r="H44" i="32"/>
  <c r="D49" i="32"/>
  <c r="D24" i="32"/>
  <c r="J149" i="1" s="1"/>
  <c r="E49" i="32"/>
  <c r="J44" i="32"/>
  <c r="D13" i="32" s="1"/>
  <c r="D49" i="31"/>
  <c r="J49" i="31"/>
  <c r="J44" i="31"/>
  <c r="D24" i="31"/>
  <c r="K44" i="31"/>
  <c r="G44" i="31"/>
  <c r="E42" i="30"/>
  <c r="E44" i="30" s="1"/>
  <c r="E48" i="30"/>
  <c r="J43" i="30"/>
  <c r="J48" i="30"/>
  <c r="J49" i="30" s="1"/>
  <c r="J42" i="30"/>
  <c r="J44" i="30" s="1"/>
  <c r="I49" i="29"/>
  <c r="G42" i="30"/>
  <c r="H42" i="30"/>
  <c r="H44" i="30" s="1"/>
  <c r="G43" i="30"/>
  <c r="E47" i="30"/>
  <c r="I42" i="30"/>
  <c r="I44" i="30" s="1"/>
  <c r="H43" i="30"/>
  <c r="G47" i="30"/>
  <c r="G48" i="30"/>
  <c r="H47" i="30"/>
  <c r="H49" i="30" s="1"/>
  <c r="D42" i="30"/>
  <c r="D44" i="30" s="1"/>
  <c r="D24" i="29"/>
  <c r="G44" i="29"/>
  <c r="J48" i="29"/>
  <c r="J47" i="29"/>
  <c r="J49" i="29" s="1"/>
  <c r="J43" i="29"/>
  <c r="J42" i="29"/>
  <c r="H42" i="29"/>
  <c r="I44" i="29"/>
  <c r="H43" i="29"/>
  <c r="H47" i="29"/>
  <c r="H48" i="29"/>
  <c r="D42" i="29"/>
  <c r="D43" i="29"/>
  <c r="D48" i="29"/>
  <c r="D49" i="29" s="1"/>
  <c r="E42" i="29"/>
  <c r="E43" i="29"/>
  <c r="E48" i="29"/>
  <c r="E49" i="29" s="1"/>
  <c r="F43" i="29"/>
  <c r="F44" i="29" s="1"/>
  <c r="G44" i="28"/>
  <c r="G48" i="28"/>
  <c r="G47" i="28"/>
  <c r="G49" i="28" s="1"/>
  <c r="E47" i="28"/>
  <c r="E48" i="28"/>
  <c r="E43" i="28"/>
  <c r="E42" i="28"/>
  <c r="E44" i="28" s="1"/>
  <c r="D12" i="28"/>
  <c r="H42" i="28"/>
  <c r="D23" i="28"/>
  <c r="I42" i="28"/>
  <c r="I44" i="28" s="1"/>
  <c r="H43" i="28"/>
  <c r="H47" i="28"/>
  <c r="H49" i="28" s="1"/>
  <c r="J42" i="28"/>
  <c r="J43" i="28"/>
  <c r="J47" i="28"/>
  <c r="J49" i="28" s="1"/>
  <c r="D42" i="28"/>
  <c r="D43" i="28"/>
  <c r="D48" i="28"/>
  <c r="D49" i="28" s="1"/>
  <c r="F43" i="28"/>
  <c r="F44" i="28" s="1"/>
  <c r="I48" i="27"/>
  <c r="I49" i="27" s="1"/>
  <c r="H48" i="27"/>
  <c r="H47" i="27"/>
  <c r="H43" i="27"/>
  <c r="H42" i="27"/>
  <c r="D23" i="27"/>
  <c r="J42" i="27"/>
  <c r="D43" i="27"/>
  <c r="J48" i="27"/>
  <c r="J49" i="27" s="1"/>
  <c r="E43" i="27"/>
  <c r="E44" i="27" s="1"/>
  <c r="E48" i="27"/>
  <c r="G42" i="27"/>
  <c r="E47" i="27"/>
  <c r="D12" i="27"/>
  <c r="G43" i="27"/>
  <c r="G47" i="27"/>
  <c r="G48" i="27"/>
  <c r="D42" i="27"/>
  <c r="D48" i="27"/>
  <c r="D49" i="27" s="1"/>
  <c r="F43" i="27"/>
  <c r="F44" i="27" s="1"/>
  <c r="J43" i="27"/>
  <c r="G44" i="26"/>
  <c r="D48" i="26"/>
  <c r="D43" i="26"/>
  <c r="D47" i="26"/>
  <c r="D42" i="26"/>
  <c r="H42" i="26"/>
  <c r="D23" i="26"/>
  <c r="H48" i="26"/>
  <c r="H47" i="26"/>
  <c r="H49" i="26" s="1"/>
  <c r="J48" i="26"/>
  <c r="J47" i="26"/>
  <c r="J43" i="26"/>
  <c r="J42" i="26"/>
  <c r="D12" i="26"/>
  <c r="E43" i="26"/>
  <c r="E48" i="26"/>
  <c r="E49" i="26" s="1"/>
  <c r="F43" i="26"/>
  <c r="F44" i="26" s="1"/>
  <c r="I42" i="26"/>
  <c r="I44" i="26" s="1"/>
  <c r="E43" i="25"/>
  <c r="F40" i="25"/>
  <c r="F48" i="25" s="1"/>
  <c r="F49" i="25" s="1"/>
  <c r="G40" i="25"/>
  <c r="G48" i="25" s="1"/>
  <c r="I40" i="25"/>
  <c r="J39" i="25"/>
  <c r="J40" i="25" s="1"/>
  <c r="J48" i="25" s="1"/>
  <c r="H35" i="25"/>
  <c r="H40" i="25" s="1"/>
  <c r="H36" i="25"/>
  <c r="H37" i="25"/>
  <c r="D38" i="25"/>
  <c r="H38" i="25"/>
  <c r="H39" i="25"/>
  <c r="D39" i="25"/>
  <c r="F43" i="25"/>
  <c r="F44" i="25" s="1"/>
  <c r="I48" i="25"/>
  <c r="I49" i="25" s="1"/>
  <c r="E40" i="25"/>
  <c r="D26" i="24"/>
  <c r="D40" i="24"/>
  <c r="D43" i="24" s="1"/>
  <c r="E38" i="24"/>
  <c r="E40" i="24" s="1"/>
  <c r="E39" i="24"/>
  <c r="J40" i="24"/>
  <c r="J48" i="24" s="1"/>
  <c r="I40" i="24"/>
  <c r="I48" i="24" s="1"/>
  <c r="I49" i="24" s="1"/>
  <c r="H40" i="24"/>
  <c r="H47" i="24" s="1"/>
  <c r="G40" i="24"/>
  <c r="G43" i="24" s="1"/>
  <c r="F40" i="24"/>
  <c r="F48" i="24" s="1"/>
  <c r="D26" i="23"/>
  <c r="J40" i="23"/>
  <c r="J48" i="23" s="1"/>
  <c r="D25" i="32" l="1"/>
  <c r="J150" i="1" s="1"/>
  <c r="J146" i="1"/>
  <c r="E42" i="24"/>
  <c r="E43" i="24"/>
  <c r="D12" i="24"/>
  <c r="H43" i="25"/>
  <c r="D12" i="25"/>
  <c r="D49" i="26"/>
  <c r="G44" i="30"/>
  <c r="D13" i="30" s="1"/>
  <c r="J42" i="23"/>
  <c r="J44" i="23" s="1"/>
  <c r="D23" i="24"/>
  <c r="J43" i="23"/>
  <c r="J47" i="23"/>
  <c r="J49" i="23" s="1"/>
  <c r="D47" i="24"/>
  <c r="F43" i="24"/>
  <c r="F44" i="24" s="1"/>
  <c r="D48" i="24"/>
  <c r="D40" i="25"/>
  <c r="D42" i="24"/>
  <c r="D44" i="24" s="1"/>
  <c r="H44" i="28"/>
  <c r="K44" i="29"/>
  <c r="D18" i="31"/>
  <c r="J134" i="1" s="1"/>
  <c r="D18" i="34"/>
  <c r="J173" i="1" s="1"/>
  <c r="D13" i="33"/>
  <c r="D18" i="33"/>
  <c r="J160" i="1" s="1"/>
  <c r="D18" i="32"/>
  <c r="J147" i="1" s="1"/>
  <c r="D13" i="31"/>
  <c r="E49" i="30"/>
  <c r="G49" i="30"/>
  <c r="D44" i="29"/>
  <c r="H44" i="29"/>
  <c r="E44" i="29"/>
  <c r="H49" i="29"/>
  <c r="J44" i="29"/>
  <c r="D24" i="28"/>
  <c r="E49" i="28"/>
  <c r="D18" i="28" s="1"/>
  <c r="J95" i="1" s="1"/>
  <c r="J44" i="28"/>
  <c r="D44" i="28"/>
  <c r="D44" i="27"/>
  <c r="H44" i="27"/>
  <c r="G44" i="27"/>
  <c r="D24" i="27"/>
  <c r="G49" i="27"/>
  <c r="E49" i="27"/>
  <c r="D18" i="27" s="1"/>
  <c r="J82" i="1" s="1"/>
  <c r="J44" i="27"/>
  <c r="H49" i="27"/>
  <c r="J49" i="26"/>
  <c r="D24" i="26"/>
  <c r="H44" i="26"/>
  <c r="E44" i="26"/>
  <c r="D44" i="26"/>
  <c r="J44" i="26"/>
  <c r="H48" i="25"/>
  <c r="E48" i="25"/>
  <c r="E42" i="25"/>
  <c r="E44" i="25" s="1"/>
  <c r="E47" i="25"/>
  <c r="G47" i="25"/>
  <c r="G49" i="25" s="1"/>
  <c r="I42" i="25"/>
  <c r="I44" i="25" s="1"/>
  <c r="J42" i="25"/>
  <c r="J43" i="25"/>
  <c r="J47" i="25"/>
  <c r="J49" i="25" s="1"/>
  <c r="G42" i="25"/>
  <c r="G43" i="25"/>
  <c r="D43" i="25"/>
  <c r="D48" i="25"/>
  <c r="J43" i="24"/>
  <c r="J42" i="24"/>
  <c r="J44" i="24" s="1"/>
  <c r="E47" i="24"/>
  <c r="E48" i="24"/>
  <c r="F49" i="24"/>
  <c r="I42" i="24"/>
  <c r="I44" i="24" s="1"/>
  <c r="H42" i="24"/>
  <c r="H43" i="24"/>
  <c r="E44" i="24"/>
  <c r="G47" i="24"/>
  <c r="H48" i="24"/>
  <c r="H49" i="24" s="1"/>
  <c r="G48" i="24"/>
  <c r="G42" i="24"/>
  <c r="G44" i="24" s="1"/>
  <c r="J47" i="24"/>
  <c r="J49" i="24" s="1"/>
  <c r="I40" i="23"/>
  <c r="H40" i="23"/>
  <c r="G40" i="23"/>
  <c r="F40" i="23"/>
  <c r="E40" i="23"/>
  <c r="D43" i="5"/>
  <c r="D44" i="5" s="1"/>
  <c r="I40" i="5"/>
  <c r="I42" i="5" s="1"/>
  <c r="I44" i="5" s="1"/>
  <c r="H40" i="5"/>
  <c r="H43" i="5" s="1"/>
  <c r="D25" i="33" l="1"/>
  <c r="J163" i="1" s="1"/>
  <c r="J159" i="1"/>
  <c r="D25" i="31"/>
  <c r="J137" i="1" s="1"/>
  <c r="J133" i="1"/>
  <c r="D25" i="30"/>
  <c r="J124" i="1" s="1"/>
  <c r="J120" i="1"/>
  <c r="D49" i="24"/>
  <c r="E48" i="23"/>
  <c r="E43" i="23"/>
  <c r="E47" i="23"/>
  <c r="E42" i="23"/>
  <c r="E44" i="23" s="1"/>
  <c r="D12" i="23"/>
  <c r="H43" i="23"/>
  <c r="H47" i="23"/>
  <c r="H42" i="23"/>
  <c r="H48" i="23"/>
  <c r="D18" i="30"/>
  <c r="J121" i="1" s="1"/>
  <c r="I48" i="23"/>
  <c r="I42" i="23"/>
  <c r="D49" i="25"/>
  <c r="D13" i="29"/>
  <c r="D23" i="23"/>
  <c r="G43" i="23"/>
  <c r="G47" i="23"/>
  <c r="G42" i="23"/>
  <c r="G48" i="23"/>
  <c r="D18" i="29"/>
  <c r="J108" i="1" s="1"/>
  <c r="F49" i="23"/>
  <c r="F48" i="23"/>
  <c r="F43" i="23"/>
  <c r="E49" i="25"/>
  <c r="D18" i="26"/>
  <c r="J69" i="1" s="1"/>
  <c r="D47" i="25"/>
  <c r="D42" i="25"/>
  <c r="D13" i="28"/>
  <c r="D13" i="27"/>
  <c r="D13" i="26"/>
  <c r="D23" i="25"/>
  <c r="D24" i="25" s="1"/>
  <c r="H42" i="25"/>
  <c r="H47" i="25"/>
  <c r="H49" i="25" s="1"/>
  <c r="J44" i="25"/>
  <c r="G44" i="25"/>
  <c r="D44" i="25"/>
  <c r="E49" i="24"/>
  <c r="D24" i="24"/>
  <c r="H44" i="24"/>
  <c r="G49" i="24"/>
  <c r="I49" i="23"/>
  <c r="I44" i="23"/>
  <c r="G49" i="23"/>
  <c r="H49" i="23"/>
  <c r="F44" i="23"/>
  <c r="H48" i="5"/>
  <c r="H47" i="5"/>
  <c r="I48" i="5"/>
  <c r="I49" i="5" s="1"/>
  <c r="H42" i="5"/>
  <c r="H44" i="5" s="1"/>
  <c r="D25" i="29" l="1"/>
  <c r="J111" i="1" s="1"/>
  <c r="J107" i="1"/>
  <c r="D25" i="28"/>
  <c r="J98" i="1" s="1"/>
  <c r="J94" i="1"/>
  <c r="D25" i="27"/>
  <c r="J85" i="1" s="1"/>
  <c r="J81" i="1"/>
  <c r="D25" i="26"/>
  <c r="J72" i="1" s="1"/>
  <c r="J68" i="1"/>
  <c r="D18" i="25"/>
  <c r="J56" i="1" s="1"/>
  <c r="D13" i="24"/>
  <c r="D18" i="24"/>
  <c r="J43" i="1" s="1"/>
  <c r="H44" i="25"/>
  <c r="D13" i="25"/>
  <c r="G44" i="23"/>
  <c r="E49" i="23"/>
  <c r="D18" i="23" s="1"/>
  <c r="J30" i="1" s="1"/>
  <c r="D24" i="23"/>
  <c r="H44" i="23"/>
  <c r="H49" i="5"/>
  <c r="G40" i="5"/>
  <c r="G43" i="5" s="1"/>
  <c r="F40" i="5"/>
  <c r="E40" i="5"/>
  <c r="D12" i="5" s="1"/>
  <c r="D40" i="5"/>
  <c r="D23" i="5" s="1"/>
  <c r="J18" i="1" s="1"/>
  <c r="D25" i="25" l="1"/>
  <c r="J59" i="1" s="1"/>
  <c r="J55" i="1"/>
  <c r="D25" i="24"/>
  <c r="J46" i="1" s="1"/>
  <c r="J42" i="1"/>
  <c r="D13" i="23"/>
  <c r="D48" i="5"/>
  <c r="D49" i="5" s="1"/>
  <c r="E43" i="5"/>
  <c r="E48" i="5"/>
  <c r="E47" i="5"/>
  <c r="F43" i="5"/>
  <c r="F44" i="5" s="1"/>
  <c r="F48" i="5"/>
  <c r="F49" i="5" s="1"/>
  <c r="G48" i="5"/>
  <c r="G47" i="5"/>
  <c r="G42" i="5"/>
  <c r="G44" i="5"/>
  <c r="E42" i="5"/>
  <c r="D25" i="23" l="1"/>
  <c r="J33" i="1" s="1"/>
  <c r="J29" i="1"/>
  <c r="D24" i="5"/>
  <c r="J19" i="1" s="1"/>
  <c r="E49" i="5"/>
  <c r="G49" i="5"/>
  <c r="E44" i="5"/>
  <c r="D18" i="5" l="1"/>
  <c r="J17" i="1" s="1"/>
  <c r="D13" i="5" l="1"/>
  <c r="J16" i="1" s="1"/>
  <c r="J20" i="1" l="1"/>
</calcChain>
</file>

<file path=xl/sharedStrings.xml><?xml version="1.0" encoding="utf-8"?>
<sst xmlns="http://schemas.openxmlformats.org/spreadsheetml/2006/main" count="1806" uniqueCount="235">
  <si>
    <t>RESUMEN CANTIDADES POR ESPECIALIDAD</t>
  </si>
  <si>
    <t>ESPECIALIDAD</t>
  </si>
  <si>
    <t>RESPONSABLE</t>
  </si>
  <si>
    <t>CÓDIGO</t>
  </si>
  <si>
    <t>FECHA</t>
  </si>
  <si>
    <t>UNIDAD</t>
  </si>
  <si>
    <t>ESPECIFICACIÓN TECNICA DE CONSTRUCCIÓN</t>
  </si>
  <si>
    <t>FO-AC-07</t>
  </si>
  <si>
    <t>VERSIÓN</t>
  </si>
  <si>
    <t xml:space="preserve">CANTIDAD </t>
  </si>
  <si>
    <t>N° ITEM</t>
  </si>
  <si>
    <r>
      <t xml:space="preserve">CÓDIGO 
ÍTEM IDU
</t>
    </r>
    <r>
      <rPr>
        <sz val="10"/>
        <rFont val="Times New Roman"/>
        <family val="1"/>
      </rPr>
      <t>(Si no existe dejar en Blanco)</t>
    </r>
  </si>
  <si>
    <r>
      <t xml:space="preserve">DESCRIPCIÓN
</t>
    </r>
    <r>
      <rPr>
        <sz val="10"/>
        <rFont val="Times New Roman"/>
        <family val="1"/>
      </rPr>
      <t>(Colocar la descripción del ítem tomado de la lista ítems IDU. Si no existe colocar la descripción completa del ítem nuevo)</t>
    </r>
  </si>
  <si>
    <r>
      <t xml:space="preserve">OBSERVACIONES 
</t>
    </r>
    <r>
      <rPr>
        <sz val="10"/>
        <rFont val="Times New Roman"/>
        <family val="1"/>
      </rPr>
      <t>(Colocar el documento de referencia de donde se tomo la cantidad. Ej: plano, reporte, etc.)</t>
    </r>
  </si>
  <si>
    <t>SUBESPECIALIDAD</t>
  </si>
  <si>
    <t>ABSCISA FINAL</t>
  </si>
  <si>
    <t xml:space="preserve">TRAMO </t>
  </si>
  <si>
    <r>
      <t xml:space="preserve">PROCESO
</t>
    </r>
    <r>
      <rPr>
        <sz val="12"/>
        <rFont val="Times New Roman"/>
        <family val="1"/>
      </rPr>
      <t>CANTIDADES DE OBRA</t>
    </r>
    <r>
      <rPr>
        <b/>
        <sz val="12"/>
        <rFont val="Times New Roman"/>
        <family val="1"/>
      </rPr>
      <t xml:space="preserve"> </t>
    </r>
  </si>
  <si>
    <r>
      <rPr>
        <b/>
        <sz val="12"/>
        <rFont val="Times New Roman"/>
        <family val="1"/>
      </rPr>
      <t>FORMATO</t>
    </r>
    <r>
      <rPr>
        <sz val="12"/>
        <rFont val="Times New Roman"/>
        <family val="1"/>
      </rPr>
      <t xml:space="preserve">
Contrato IDU  1630 de 16 de dicembre de 2020
AJUSTES, ACTUALIZACIÓN Y COMPLEMENTACIÓN DE LA FACTIBILIDAD Y ESTUDIOS Y DISEÑOS
DEL CABLE AÉREO EN SAN CRISTÓBAL, EN BOGOTÁ D.C.</t>
    </r>
  </si>
  <si>
    <t>PUNTO INICIAL INICIAL</t>
  </si>
  <si>
    <t>ALTERNATIVA</t>
  </si>
  <si>
    <t>ESTACIÓN DE SALIDA</t>
  </si>
  <si>
    <t>ESTACIÓN DE LLEGADA</t>
  </si>
  <si>
    <t>ACTUALIZACIÓN, AJUSTES Y COMPLEMENTACIÓN DE LA FACTIBILIDAD Y LOS ESTUDIOS</t>
  </si>
  <si>
    <t xml:space="preserve"> Y DISEÑOS DEL CABLE AÉREO EN SAN CRISTÓBAL, EN BOGOTÁ D.C.</t>
  </si>
  <si>
    <t>CONTRATO DE CONSULTORÍA No. 1630 DE 2020</t>
  </si>
  <si>
    <t>CODIGO 
IDU</t>
  </si>
  <si>
    <t>Concepto</t>
  </si>
  <si>
    <t>Unidad</t>
  </si>
  <si>
    <t>m3</t>
  </si>
  <si>
    <t>kg</t>
  </si>
  <si>
    <t>Estructuras</t>
  </si>
  <si>
    <t>Plano</t>
  </si>
  <si>
    <t>Transporte y disposición final de escombros en sitio autorizado (distancia de transporte 21 km) a distancia mayor del acarreo libre (90m) en sitio autorizado por la entidad ambiental competente.</t>
  </si>
  <si>
    <t>m2</t>
  </si>
  <si>
    <t>ESTRUCTURAL MURO DE CONTENCIÓN EN PILONA 3</t>
  </si>
  <si>
    <t>MC Pilona 3</t>
  </si>
  <si>
    <t>Urbanismo</t>
  </si>
  <si>
    <t>KES003</t>
  </si>
  <si>
    <t>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t>
  </si>
  <si>
    <t>Pantalla</t>
  </si>
  <si>
    <t>MC02</t>
  </si>
  <si>
    <t>MC03B</t>
  </si>
  <si>
    <t>MC01</t>
  </si>
  <si>
    <t>GMC001</t>
  </si>
  <si>
    <t>GMC002</t>
  </si>
  <si>
    <t>GMC003</t>
  </si>
  <si>
    <t>GMC004</t>
  </si>
  <si>
    <t>GMC005</t>
  </si>
  <si>
    <t>GMC006</t>
  </si>
  <si>
    <t>Muros
Contención P3</t>
  </si>
  <si>
    <t>Longitud
 total</t>
  </si>
  <si>
    <t>M3 Zapata</t>
  </si>
  <si>
    <t>M3 Muro</t>
  </si>
  <si>
    <t>ZC-01</t>
  </si>
  <si>
    <t>MC04</t>
  </si>
  <si>
    <t>Jardinera</t>
  </si>
  <si>
    <t>Muros de Concreto</t>
  </si>
  <si>
    <t>Concreto de nivelación 2000 psi grava común (140 kg/cm2) (premezclado. incluye suministro, fundida y nivelación y colocación. no incluye refuerzo, curado).</t>
  </si>
  <si>
    <t>Concreto 4000 PSI para muro estructural (Premezclado Incluye Sumin, Formaleteo y Colocación No incluye Refuerzo, Curado).</t>
  </si>
  <si>
    <t>Acero zap</t>
  </si>
  <si>
    <t>Acero muro</t>
  </si>
  <si>
    <t>Muros
Contención P4</t>
  </si>
  <si>
    <t>En muros de contención</t>
  </si>
  <si>
    <t>En muros de mamposteria</t>
  </si>
  <si>
    <t>En escaleras</t>
  </si>
  <si>
    <t xml:space="preserve">En viga cinta fundida en sitio </t>
  </si>
  <si>
    <t>ESTRUCTURAL MURO DE CONTENCIÓN EN PILONA 4</t>
  </si>
  <si>
    <t>Muros
Contención P5</t>
  </si>
  <si>
    <t>ESTRUCTURAL MURO DE CONTENCIÓN EN PILONA 5</t>
  </si>
  <si>
    <t>MC-A</t>
  </si>
  <si>
    <t>Muros
Contención P6</t>
  </si>
  <si>
    <t>ESTRUCTURAL MURO DE CONTENCIÓN EN PILONA 6</t>
  </si>
  <si>
    <t>Tuberia de PVC para drenaje D= 6" con filtro (incluye suministro e instalación)</t>
  </si>
  <si>
    <t>Geotextil NT 3000 para subdrenes/filtros (incluye suministro e instalación)</t>
  </si>
  <si>
    <t>ml</t>
  </si>
  <si>
    <t>ESTRUCTURAL MURO DE CONTENCIÓN EN PILONA 8</t>
  </si>
  <si>
    <t>Muros
Contención P8</t>
  </si>
  <si>
    <t>ESTRUCTURAL MURO DE CONTENCIÓN EN PILONA 9</t>
  </si>
  <si>
    <t>Muros
Contención P9</t>
  </si>
  <si>
    <t>ESTRUCTURAL MURO DE CONTENCIÓN EN PILONA 14</t>
  </si>
  <si>
    <t>Muros
Contención P14</t>
  </si>
  <si>
    <t>Muros
Contención P15</t>
  </si>
  <si>
    <t>ESTRUCTURAL MURO DE CONTENCIÓN EN PILONA 15</t>
  </si>
  <si>
    <t>MC03A</t>
  </si>
  <si>
    <t>Muros
Contención P16</t>
  </si>
  <si>
    <t>ESTRUCTURAL MURO DE CONTENCIÓN EN PILONA 16</t>
  </si>
  <si>
    <t>Muros
Contención P18</t>
  </si>
  <si>
    <t>ESTRUCTURAL MURO DE CONTENCIÓN EN PILONA 18</t>
  </si>
  <si>
    <t>ESTRUCTURAL MURO DE CONTENCIÓN EN PILONA 19</t>
  </si>
  <si>
    <t>Muros
Contención P19</t>
  </si>
  <si>
    <t>Muros
Contención P20</t>
  </si>
  <si>
    <t>ESTRUCTURAL MURO DE CONTENCIÓN EN PILONA 20</t>
  </si>
  <si>
    <t>Jardinera G</t>
  </si>
  <si>
    <t>Jardinera S</t>
  </si>
  <si>
    <t>Muros
Contención P21 y P22</t>
  </si>
  <si>
    <t>ESTRUCTURAL MURO DE CONTENCIÓN EN PILONA 21 y 22</t>
  </si>
  <si>
    <t>Trabe liga</t>
  </si>
  <si>
    <t>GMC007</t>
  </si>
  <si>
    <t>GMC008</t>
  </si>
  <si>
    <t>GMC009</t>
  </si>
  <si>
    <t>GMC010</t>
  </si>
  <si>
    <t>GMC011</t>
  </si>
  <si>
    <t>GMC012</t>
  </si>
  <si>
    <t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t>
  </si>
  <si>
    <t>MC Pilona 4</t>
  </si>
  <si>
    <t>MC Pilona 5</t>
  </si>
  <si>
    <t>MC Pilona 6</t>
  </si>
  <si>
    <t>MC Pilona 8</t>
  </si>
  <si>
    <t>MC Pilona 9</t>
  </si>
  <si>
    <t>MC Pilona 14</t>
  </si>
  <si>
    <t>MC Pilona 15</t>
  </si>
  <si>
    <t>MC Pilona 17</t>
  </si>
  <si>
    <t>MC Pilona 18</t>
  </si>
  <si>
    <t>MC Pilona 19</t>
  </si>
  <si>
    <t>MC Pilona 20</t>
  </si>
  <si>
    <t>MC Pilona 21-22</t>
  </si>
  <si>
    <t>Excavación manual en material común. Incluye cargue</t>
  </si>
  <si>
    <t>Relleno en recebo común (suministro e instalación extendido mecánico, humedecimiento, compatación y transporte a 28 km)</t>
  </si>
  <si>
    <t>Bloque estructural en concreto 39x14x6 tipo, color chocolate</t>
  </si>
  <si>
    <t>PROPIEDADES DE LAS VARILLAS</t>
  </si>
  <si>
    <t>Barra</t>
  </si>
  <si>
    <t>Diametro</t>
  </si>
  <si>
    <t xml:space="preserve">Peso </t>
  </si>
  <si>
    <t>Area</t>
  </si>
  <si>
    <t>Perimetro</t>
  </si>
  <si>
    <t>Doblez a 135°</t>
  </si>
  <si>
    <t>Doblez a 90°</t>
  </si>
  <si>
    <t>pul</t>
  </si>
  <si>
    <t>mm</t>
  </si>
  <si>
    <t>Kg/ml.</t>
  </si>
  <si>
    <t>cm2.</t>
  </si>
  <si>
    <t>cm</t>
  </si>
  <si>
    <t>a</t>
  </si>
  <si>
    <t>b</t>
  </si>
  <si>
    <t>1/4.</t>
  </si>
  <si>
    <t>3/8.</t>
  </si>
  <si>
    <t>1/2.</t>
  </si>
  <si>
    <t>5/8.</t>
  </si>
  <si>
    <t>3/4.</t>
  </si>
  <si>
    <t>7/8.</t>
  </si>
  <si>
    <t>1 1/8.</t>
  </si>
  <si>
    <t>1 1/4.</t>
  </si>
  <si>
    <t>1 3/8.</t>
  </si>
  <si>
    <t>1 3/4.</t>
  </si>
  <si>
    <t>Peso (kg/ml)</t>
  </si>
  <si>
    <t>Longitud</t>
  </si>
  <si>
    <t>Piezas</t>
  </si>
  <si>
    <t>Peso total</t>
  </si>
  <si>
    <t>MC04A</t>
  </si>
  <si>
    <t>MC04C</t>
  </si>
  <si>
    <t>MC04D</t>
  </si>
  <si>
    <t>MC03BE</t>
  </si>
  <si>
    <t>MC03BB</t>
  </si>
  <si>
    <t>MC04B</t>
  </si>
  <si>
    <t>ZC01B</t>
  </si>
  <si>
    <t>ZC01C</t>
  </si>
  <si>
    <t>ZC01D</t>
  </si>
  <si>
    <t>ZC01F</t>
  </si>
  <si>
    <t>ZC01-a</t>
  </si>
  <si>
    <t>MC-03Bc</t>
  </si>
  <si>
    <t>MC-04a</t>
  </si>
  <si>
    <t>ZC01-b</t>
  </si>
  <si>
    <t>ZC01-c</t>
  </si>
  <si>
    <t>MC-04b</t>
  </si>
  <si>
    <t>MC-02</t>
  </si>
  <si>
    <t>MC-04c</t>
  </si>
  <si>
    <t>MC-03Ba</t>
  </si>
  <si>
    <t>MC-03Bb</t>
  </si>
  <si>
    <t>MC-03B</t>
  </si>
  <si>
    <t>MC-03C</t>
  </si>
  <si>
    <t>ZC-01a</t>
  </si>
  <si>
    <t>ZC-01b</t>
  </si>
  <si>
    <t>MC-04d</t>
  </si>
  <si>
    <t>MC-04e</t>
  </si>
  <si>
    <t>MC-02a</t>
  </si>
  <si>
    <t>MC-02b</t>
  </si>
  <si>
    <t>MC-04f</t>
  </si>
  <si>
    <t>MC-01a</t>
  </si>
  <si>
    <t>MC-04g</t>
  </si>
  <si>
    <t>MC-04h</t>
  </si>
  <si>
    <t>MC-01b</t>
  </si>
  <si>
    <t>MC-04j</t>
  </si>
  <si>
    <t>MC-04k</t>
  </si>
  <si>
    <t>MC-04m</t>
  </si>
  <si>
    <t>MC-04n</t>
  </si>
  <si>
    <t>MC-04q</t>
  </si>
  <si>
    <t>MC-04p</t>
  </si>
  <si>
    <t>MC-04r</t>
  </si>
  <si>
    <t>MC-04s</t>
  </si>
  <si>
    <t>MC-Aa</t>
  </si>
  <si>
    <t>MC-Ab</t>
  </si>
  <si>
    <t>MC-Ac</t>
  </si>
  <si>
    <t>MC-03c</t>
  </si>
  <si>
    <t>MC-03Cd</t>
  </si>
  <si>
    <t>MC-03Ce</t>
  </si>
  <si>
    <t>MC-03Ca</t>
  </si>
  <si>
    <t>MC-03Cb</t>
  </si>
  <si>
    <t>MC-03Cc</t>
  </si>
  <si>
    <t>ZC.01a</t>
  </si>
  <si>
    <t>JARD D</t>
  </si>
  <si>
    <t>JARD C</t>
  </si>
  <si>
    <t>ZC-01c</t>
  </si>
  <si>
    <t>JARD B</t>
  </si>
  <si>
    <t>JARD A</t>
  </si>
  <si>
    <t>MC-03Cf</t>
  </si>
  <si>
    <t>MC-01</t>
  </si>
  <si>
    <t>MC-03Ac</t>
  </si>
  <si>
    <t>MC-03Ab</t>
  </si>
  <si>
    <t>MC-03Aa</t>
  </si>
  <si>
    <t>JARD</t>
  </si>
  <si>
    <t>MC03Bd</t>
  </si>
  <si>
    <t>MC03Bc</t>
  </si>
  <si>
    <t>MC03Bb</t>
  </si>
  <si>
    <t>MC03Ba</t>
  </si>
  <si>
    <t>MC03Be</t>
  </si>
  <si>
    <t>MC03Bf</t>
  </si>
  <si>
    <t>JARD E</t>
  </si>
  <si>
    <t>MC03Bg</t>
  </si>
  <si>
    <t>ZC-01d</t>
  </si>
  <si>
    <t>MC.04b</t>
  </si>
  <si>
    <t>MC.04a</t>
  </si>
  <si>
    <t>ZC-01e</t>
  </si>
  <si>
    <t>ZC-01f</t>
  </si>
  <si>
    <t>ZC-01g</t>
  </si>
  <si>
    <t>Muros Mecanicamente Estabilizado</t>
  </si>
  <si>
    <t>ESTRUCTURAL MURO MECANICAMENTE ESTABILIZADO EN PILONA 1</t>
  </si>
  <si>
    <t>Muros
Contención P1</t>
  </si>
  <si>
    <t>Pilote preexcavado en concreto tremie de 4000 psi (280 kg/cm2) acelerado a 2 días. incluye acelerante, alquiler de equipo de perforación con operario, motobomba, bentonita, mano de obra, transporte y disposición final de escombros en sitio autorizado. distancia de transporte 21 km.</t>
  </si>
  <si>
    <t>Tuberia de PVC para drenaje de 4" sin filtro (incluye suministro e instalación)</t>
  </si>
  <si>
    <t>Relleno de triturado de 3/4" (incluye transporte, suministro, extendido manual y colocación)</t>
  </si>
  <si>
    <t>MC Pilona 1</t>
  </si>
  <si>
    <t>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t>
  </si>
  <si>
    <t>Suministro y construcción de tierra armada con relleno de material granular y recubierto con escamas de concreto, sostenidas con armaduras metálicas de acuerdo a la geometría, dimensiones y disposición del proveedor del sistema. Las juntas verticales de las escamas deberan tener en una cinta de poliuretano y en las juntas horizontales se podrán colocar apoyos de neopreno que sirvan de apoyo a la escama superior.</t>
  </si>
  <si>
    <t>Demolición de concreto estructural (incluye cargue manual). No incluye transporte y disposición final de sobrantes.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</si>
</sst>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0_);_(* \(#,##0.0\);_(* &quot;-&quot;??_);_(@_)"/>
    <numFmt numFmtId="166" formatCode="d/mm/yyyy;@"/>
    <numFmt numFmtId="167" formatCode="0.0"/>
  </numFmts>
  <fonts count="25" x14ac:knownFonts="1">
    <font>
      <sz val="11"/>
      <color theme="1"/>
      <name val="Calibri"/>
      <family val="2"/>
      <scheme val="minor"/>
    </font>
    <font>
      <sz val="11"/>
      <color theme="1"/>
      <name val="Arial Narrow"/>
      <family val="2"/>
    </font>
    <font>
      <sz val="11"/>
      <color theme="1"/>
      <name val="Calibri"/>
      <family val="2"/>
      <scheme val="minor"/>
    </font>
    <font>
      <b/>
      <sz val="12"/>
      <color theme="1"/>
      <name val="Times New Roman"/>
      <family val="1"/>
    </font>
    <font>
      <sz val="12"/>
      <color theme="1"/>
      <name val="Times New Roman"/>
      <family val="1"/>
    </font>
    <font>
      <b/>
      <sz val="12"/>
      <name val="Times New Roman"/>
      <family val="1"/>
    </font>
    <font>
      <sz val="12"/>
      <name val="Times New Roman"/>
      <family val="1"/>
    </font>
    <font>
      <b/>
      <sz val="12"/>
      <color rgb="FFFF0000"/>
      <name val="Times New Roman"/>
      <family val="1"/>
    </font>
    <font>
      <sz val="10"/>
      <name val="Times New Roman"/>
      <family val="1"/>
    </font>
    <font>
      <sz val="18"/>
      <color rgb="FFFF0000"/>
      <name val="Times New Roman"/>
      <family val="1"/>
    </font>
    <font>
      <sz val="12"/>
      <color rgb="FFFF0000"/>
      <name val="Times New Roman"/>
      <family val="1"/>
    </font>
    <font>
      <b/>
      <sz val="11"/>
      <color theme="1"/>
      <name val="Arial Narrow"/>
      <family val="2"/>
    </font>
    <font>
      <b/>
      <sz val="11"/>
      <color rgb="FF000000"/>
      <name val="Arial Narrow"/>
      <family val="2"/>
    </font>
    <font>
      <sz val="11"/>
      <color theme="1"/>
      <name val="Arial"/>
      <family val="2"/>
    </font>
    <font>
      <b/>
      <sz val="10"/>
      <color theme="1"/>
      <name val="Arial"/>
      <family val="2"/>
    </font>
    <font>
      <sz val="10"/>
      <name val="Arial"/>
      <family val="2"/>
    </font>
    <font>
      <b/>
      <sz val="10"/>
      <name val="Arial"/>
      <family val="2"/>
    </font>
    <font>
      <sz val="8"/>
      <name val="Calibri"/>
      <family val="2"/>
      <scheme val="minor"/>
    </font>
    <font>
      <sz val="10"/>
      <color rgb="FF000000"/>
      <name val="Arial"/>
      <family val="2"/>
    </font>
    <font>
      <b/>
      <sz val="11"/>
      <color theme="1"/>
      <name val="Arial"/>
      <family val="2"/>
    </font>
    <font>
      <b/>
      <sz val="11"/>
      <color rgb="FFFF0000"/>
      <name val="Arial"/>
      <family val="2"/>
    </font>
    <font>
      <sz val="11"/>
      <name val="Arial"/>
      <family val="2"/>
    </font>
    <font>
      <sz val="11"/>
      <color theme="1"/>
      <name val="Times New Roman"/>
      <family val="1"/>
    </font>
    <font>
      <b/>
      <sz val="11"/>
      <name val="Arial"/>
      <family val="2"/>
    </font>
    <font>
      <u/>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6">
    <xf numFmtId="0" fontId="0" fillId="0" borderId="0"/>
    <xf numFmtId="164" fontId="2" fillId="0" borderId="0" applyFont="0" applyFill="0" applyBorder="0" applyAlignment="0" applyProtection="0"/>
    <xf numFmtId="164" fontId="2" fillId="0" borderId="0" applyFont="0" applyFill="0" applyBorder="0" applyAlignment="0" applyProtection="0"/>
    <xf numFmtId="0" fontId="13" fillId="0" borderId="0"/>
    <xf numFmtId="0" fontId="15" fillId="0" borderId="0"/>
    <xf numFmtId="0" fontId="13" fillId="0" borderId="0"/>
  </cellStyleXfs>
  <cellXfs count="160">
    <xf numFmtId="0" fontId="0" fillId="0" borderId="0" xfId="0"/>
    <xf numFmtId="0" fontId="3" fillId="2" borderId="2" xfId="0" applyFont="1" applyFill="1" applyBorder="1" applyAlignment="1">
      <alignment horizontal="center"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vertical="center" wrapText="1"/>
    </xf>
    <xf numFmtId="0" fontId="4" fillId="0" borderId="0" xfId="0" applyFont="1" applyAlignment="1">
      <alignment vertical="center" wrapText="1"/>
    </xf>
    <xf numFmtId="0" fontId="9" fillId="0" borderId="0" xfId="0" applyFont="1" applyFill="1" applyAlignment="1">
      <alignment vertical="center" wrapText="1"/>
    </xf>
    <xf numFmtId="166" fontId="7" fillId="0" borderId="9" xfId="0" applyNumberFormat="1"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3"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6" fillId="2" borderId="6" xfId="0" applyFont="1" applyFill="1" applyBorder="1" applyAlignment="1">
      <alignment horizontal="center" vertical="center"/>
    </xf>
    <xf numFmtId="4" fontId="4" fillId="2" borderId="0" xfId="0" applyNumberFormat="1" applyFont="1" applyFill="1" applyAlignment="1">
      <alignment vertical="center"/>
    </xf>
    <xf numFmtId="4" fontId="9" fillId="0" borderId="0" xfId="0" applyNumberFormat="1" applyFont="1" applyFill="1" applyBorder="1" applyAlignment="1">
      <alignment vertical="center" wrapText="1"/>
    </xf>
    <xf numFmtId="4" fontId="5" fillId="0" borderId="1" xfId="1" applyNumberFormat="1" applyFont="1" applyFill="1" applyBorder="1" applyAlignment="1" applyProtection="1">
      <alignment horizontal="center" vertical="center" wrapText="1"/>
    </xf>
    <xf numFmtId="4" fontId="4" fillId="0" borderId="0" xfId="0" applyNumberFormat="1" applyFont="1" applyAlignment="1">
      <alignment vertical="center"/>
    </xf>
    <xf numFmtId="0" fontId="5" fillId="0" borderId="6" xfId="0" applyFont="1" applyFill="1" applyBorder="1" applyAlignment="1" applyProtection="1">
      <alignment horizontal="center" vertical="center" wrapText="1"/>
    </xf>
    <xf numFmtId="0" fontId="10" fillId="0" borderId="0" xfId="0" applyFont="1" applyAlignment="1">
      <alignment vertical="center"/>
    </xf>
    <xf numFmtId="0" fontId="9" fillId="0" borderId="0" xfId="0" applyFont="1" applyFill="1" applyAlignment="1">
      <alignment horizontal="center" vertical="center" wrapText="1"/>
    </xf>
    <xf numFmtId="0" fontId="4" fillId="0" borderId="0" xfId="0" applyFont="1" applyAlignment="1">
      <alignment horizontal="center" vertical="center"/>
    </xf>
    <xf numFmtId="0" fontId="6" fillId="0" borderId="1" xfId="0" applyFont="1" applyFill="1" applyBorder="1" applyAlignment="1">
      <alignment horizontal="center" vertical="center"/>
    </xf>
    <xf numFmtId="164" fontId="11" fillId="0" borderId="0" xfId="2" applyFont="1" applyAlignment="1">
      <alignment horizontal="left" indent="9"/>
    </xf>
    <xf numFmtId="0" fontId="13" fillId="0" borderId="0" xfId="3"/>
    <xf numFmtId="0" fontId="13" fillId="0" borderId="0" xfId="3" applyAlignment="1">
      <alignment vertical="center"/>
    </xf>
    <xf numFmtId="0" fontId="12" fillId="0" borderId="0" xfId="3" applyFont="1" applyAlignment="1">
      <alignment horizontal="left" vertical="center" indent="4"/>
    </xf>
    <xf numFmtId="0" fontId="13" fillId="0" borderId="0" xfId="3" applyAlignment="1">
      <alignment horizontal="center"/>
    </xf>
    <xf numFmtId="0" fontId="1" fillId="0" borderId="0" xfId="3" applyFont="1" applyAlignment="1">
      <alignment horizontal="left" vertical="center" wrapText="1" indent="4"/>
    </xf>
    <xf numFmtId="0" fontId="11" fillId="0" borderId="0" xfId="3" applyFont="1" applyAlignment="1">
      <alignment horizontal="left" indent="14"/>
    </xf>
    <xf numFmtId="0" fontId="14" fillId="0" borderId="1" xfId="3" applyFont="1" applyBorder="1" applyAlignment="1">
      <alignment horizontal="center" vertical="center" wrapText="1"/>
    </xf>
    <xf numFmtId="0" fontId="16" fillId="2" borderId="1" xfId="4" applyFont="1" applyFill="1" applyBorder="1" applyAlignment="1">
      <alignment horizontal="center"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14" fillId="0" borderId="1" xfId="3"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3" fillId="0" borderId="0" xfId="0" applyFont="1" applyAlignment="1">
      <alignment horizontal="center" vertical="center"/>
    </xf>
    <xf numFmtId="0" fontId="16" fillId="0" borderId="1" xfId="4" applyFont="1" applyFill="1" applyBorder="1" applyAlignment="1">
      <alignment horizontal="center" vertical="center" wrapText="1"/>
    </xf>
    <xf numFmtId="0" fontId="13" fillId="0" borderId="0" xfId="3" applyAlignment="1">
      <alignment horizontal="center" wrapText="1"/>
    </xf>
    <xf numFmtId="2" fontId="13" fillId="0" borderId="0" xfId="3" applyNumberFormat="1" applyAlignment="1">
      <alignment horizontal="center"/>
    </xf>
    <xf numFmtId="0" fontId="18" fillId="0" borderId="1" xfId="5" applyFont="1" applyBorder="1" applyAlignment="1">
      <alignment horizontal="center" vertical="center"/>
    </xf>
    <xf numFmtId="0" fontId="4" fillId="0" borderId="0" xfId="0" applyFont="1" applyBorder="1" applyAlignment="1">
      <alignment vertical="center" wrapText="1"/>
    </xf>
    <xf numFmtId="0" fontId="13" fillId="0" borderId="0" xfId="3" applyBorder="1" applyAlignment="1">
      <alignment horizontal="center"/>
    </xf>
    <xf numFmtId="2" fontId="14" fillId="0" borderId="10" xfId="3" applyNumberFormat="1" applyFont="1" applyBorder="1" applyAlignment="1">
      <alignment horizontal="center" vertical="center" wrapText="1"/>
    </xf>
    <xf numFmtId="2" fontId="20" fillId="0" borderId="0" xfId="3" applyNumberFormat="1" applyFont="1" applyAlignment="1">
      <alignment horizontal="center"/>
    </xf>
    <xf numFmtId="2" fontId="13" fillId="0" borderId="1" xfId="3" applyNumberFormat="1" applyFont="1" applyBorder="1" applyAlignment="1">
      <alignment horizontal="center" vertical="center"/>
    </xf>
    <xf numFmtId="0" fontId="20" fillId="0" borderId="0" xfId="3" applyFont="1" applyAlignment="1">
      <alignment horizontal="center"/>
    </xf>
    <xf numFmtId="1" fontId="13" fillId="0" borderId="0" xfId="3" applyNumberFormat="1" applyAlignment="1">
      <alignment horizontal="center"/>
    </xf>
    <xf numFmtId="1" fontId="20" fillId="0" borderId="0" xfId="3" applyNumberFormat="1" applyFont="1" applyAlignment="1">
      <alignment horizontal="center"/>
    </xf>
    <xf numFmtId="1" fontId="13" fillId="0" borderId="1" xfId="3" applyNumberFormat="1" applyFont="1" applyBorder="1" applyAlignment="1">
      <alignment horizontal="center" vertical="center"/>
    </xf>
    <xf numFmtId="0" fontId="13" fillId="0" borderId="0" xfId="3" applyBorder="1"/>
    <xf numFmtId="0" fontId="4" fillId="0" borderId="0" xfId="0" applyFont="1" applyBorder="1" applyAlignment="1">
      <alignment vertical="center"/>
    </xf>
    <xf numFmtId="0" fontId="13" fillId="3" borderId="1" xfId="3" applyFill="1" applyBorder="1"/>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Border="1" applyAlignment="1">
      <alignment horizontal="right" vertical="center" wrapText="1"/>
    </xf>
    <xf numFmtId="2" fontId="19" fillId="0" borderId="1" xfId="3" applyNumberFormat="1" applyFont="1" applyBorder="1" applyAlignment="1">
      <alignment horizontal="center" vertical="center"/>
    </xf>
    <xf numFmtId="1" fontId="19" fillId="0" borderId="1" xfId="3" applyNumberFormat="1" applyFont="1" applyBorder="1" applyAlignment="1">
      <alignment horizontal="center" vertical="center"/>
    </xf>
    <xf numFmtId="0" fontId="19" fillId="0" borderId="1" xfId="3" applyFont="1" applyFill="1" applyBorder="1" applyAlignment="1">
      <alignment horizontal="center" vertical="center"/>
    </xf>
    <xf numFmtId="2" fontId="13" fillId="0" borderId="0" xfId="3" applyNumberFormat="1" applyFill="1" applyAlignment="1">
      <alignment horizontal="center"/>
    </xf>
    <xf numFmtId="0" fontId="13" fillId="0" borderId="0" xfId="3" applyFill="1" applyAlignment="1">
      <alignment horizontal="center"/>
    </xf>
    <xf numFmtId="2" fontId="19" fillId="0" borderId="1" xfId="3" applyNumberFormat="1" applyFont="1" applyFill="1" applyBorder="1" applyAlignment="1">
      <alignment horizontal="center" vertical="center"/>
    </xf>
    <xf numFmtId="0" fontId="4" fillId="3" borderId="1" xfId="0" applyFont="1" applyFill="1" applyBorder="1" applyAlignment="1">
      <alignment horizontal="center" vertical="center"/>
    </xf>
    <xf numFmtId="2" fontId="21" fillId="0" borderId="1" xfId="3" applyNumberFormat="1" applyFont="1" applyBorder="1" applyAlignment="1">
      <alignment horizontal="center" vertical="center"/>
    </xf>
    <xf numFmtId="1" fontId="21" fillId="0" borderId="1" xfId="3" applyNumberFormat="1" applyFont="1" applyBorder="1" applyAlignment="1">
      <alignment horizontal="center" vertical="center"/>
    </xf>
    <xf numFmtId="0" fontId="4" fillId="0" borderId="1" xfId="0" applyFont="1" applyFill="1" applyBorder="1" applyAlignment="1">
      <alignment horizontal="right" vertical="center" wrapText="1"/>
    </xf>
    <xf numFmtId="0" fontId="22" fillId="0" borderId="1" xfId="0" applyFont="1" applyFill="1" applyBorder="1" applyAlignment="1">
      <alignment horizontal="center" vertical="center"/>
    </xf>
    <xf numFmtId="2" fontId="13" fillId="0" borderId="1" xfId="3" applyNumberFormat="1" applyFont="1" applyFill="1" applyBorder="1" applyAlignment="1">
      <alignment horizontal="center" vertical="center"/>
    </xf>
    <xf numFmtId="1" fontId="19" fillId="0" borderId="1" xfId="3" applyNumberFormat="1" applyFont="1" applyFill="1" applyBorder="1" applyAlignment="1">
      <alignment horizontal="center" vertical="center"/>
    </xf>
    <xf numFmtId="1" fontId="13" fillId="0" borderId="1" xfId="3" applyNumberFormat="1" applyFont="1" applyFill="1" applyBorder="1" applyAlignment="1">
      <alignment horizontal="center" vertical="center"/>
    </xf>
    <xf numFmtId="2" fontId="13" fillId="0" borderId="1" xfId="3" applyNumberFormat="1" applyFill="1" applyBorder="1" applyAlignment="1">
      <alignment horizontal="center" vertical="center"/>
    </xf>
    <xf numFmtId="1" fontId="13" fillId="0" borderId="1" xfId="3" applyNumberFormat="1" applyFill="1" applyBorder="1" applyAlignment="1">
      <alignment horizontal="center" vertical="center"/>
    </xf>
    <xf numFmtId="2" fontId="21" fillId="0" borderId="1" xfId="3" applyNumberFormat="1" applyFont="1" applyFill="1" applyBorder="1" applyAlignment="1">
      <alignment horizontal="center" vertical="center"/>
    </xf>
    <xf numFmtId="1" fontId="21" fillId="0" borderId="1" xfId="3" applyNumberFormat="1" applyFont="1" applyFill="1" applyBorder="1" applyAlignment="1">
      <alignment horizontal="center" vertical="center"/>
    </xf>
    <xf numFmtId="2" fontId="23" fillId="0" borderId="1" xfId="3" applyNumberFormat="1" applyFont="1" applyFill="1" applyBorder="1" applyAlignment="1">
      <alignment horizontal="center" vertical="center"/>
    </xf>
    <xf numFmtId="0" fontId="4" fillId="0" borderId="0" xfId="0" applyFont="1" applyFill="1" applyBorder="1" applyAlignment="1">
      <alignment vertical="center" wrapText="1"/>
    </xf>
    <xf numFmtId="0" fontId="6" fillId="0" borderId="1" xfId="0" applyFont="1" applyFill="1" applyBorder="1" applyAlignment="1">
      <alignment horizontal="justify" vertical="center" wrapText="1"/>
    </xf>
    <xf numFmtId="2"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4" fillId="0" borderId="0" xfId="0" applyFont="1" applyFill="1" applyAlignment="1">
      <alignment vertical="center"/>
    </xf>
    <xf numFmtId="0" fontId="18" fillId="0" borderId="1" xfId="5" applyFont="1" applyFill="1" applyBorder="1" applyAlignment="1">
      <alignment horizontal="center" vertical="center"/>
    </xf>
    <xf numFmtId="2" fontId="14" fillId="0" borderId="10" xfId="3" applyNumberFormat="1" applyFont="1" applyFill="1" applyBorder="1" applyAlignment="1">
      <alignment horizontal="center" vertical="center" wrapText="1"/>
    </xf>
    <xf numFmtId="0" fontId="13" fillId="0" borderId="1" xfId="3" applyFill="1" applyBorder="1" applyAlignment="1">
      <alignment horizontal="center"/>
    </xf>
    <xf numFmtId="0" fontId="13" fillId="0" borderId="1" xfId="3" applyFill="1" applyBorder="1" applyAlignment="1">
      <alignment horizontal="center" vertical="center"/>
    </xf>
    <xf numFmtId="167" fontId="22" fillId="0" borderId="1" xfId="0" applyNumberFormat="1" applyFont="1" applyFill="1" applyBorder="1" applyAlignment="1">
      <alignment horizontal="center" vertical="center"/>
    </xf>
    <xf numFmtId="0" fontId="13" fillId="0" borderId="0" xfId="3" applyFill="1" applyBorder="1"/>
    <xf numFmtId="0" fontId="13" fillId="0" borderId="0" xfId="3" applyFill="1" applyBorder="1" applyAlignment="1">
      <alignment horizontal="center"/>
    </xf>
    <xf numFmtId="0" fontId="4" fillId="0" borderId="0" xfId="0" applyFont="1" applyFill="1" applyBorder="1" applyAlignment="1">
      <alignment vertical="center"/>
    </xf>
    <xf numFmtId="0" fontId="6" fillId="4" borderId="0" xfId="0" applyFont="1" applyFill="1" applyBorder="1" applyAlignment="1">
      <alignment horizontal="center" vertical="center" wrapText="1"/>
    </xf>
    <xf numFmtId="0" fontId="4" fillId="4" borderId="0" xfId="0" applyFont="1" applyFill="1" applyBorder="1" applyAlignment="1">
      <alignment vertical="center"/>
    </xf>
    <xf numFmtId="0" fontId="4"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4" fillId="4" borderId="0" xfId="0" applyFont="1" applyFill="1" applyBorder="1" applyAlignment="1">
      <alignment vertical="center" wrapText="1"/>
    </xf>
    <xf numFmtId="4" fontId="4" fillId="4" borderId="0" xfId="0" applyNumberFormat="1" applyFont="1" applyFill="1" applyBorder="1" applyAlignment="1">
      <alignment horizontal="center" vertical="center"/>
    </xf>
    <xf numFmtId="0" fontId="4"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wrapText="1"/>
    </xf>
    <xf numFmtId="4" fontId="4" fillId="4" borderId="0" xfId="0" applyNumberFormat="1" applyFont="1" applyFill="1" applyAlignment="1">
      <alignment vertical="center"/>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0" fontId="10" fillId="3" borderId="1" xfId="0" applyFont="1" applyFill="1" applyBorder="1" applyAlignment="1">
      <alignment horizontal="center" vertical="center"/>
    </xf>
    <xf numFmtId="0" fontId="0" fillId="0" borderId="17" xfId="0" applyBorder="1" applyAlignment="1">
      <alignment horizontal="center"/>
    </xf>
    <xf numFmtId="0" fontId="0" fillId="0" borderId="0" xfId="0" applyAlignment="1">
      <alignment horizontal="center"/>
    </xf>
    <xf numFmtId="0" fontId="0" fillId="0" borderId="18" xfId="0" applyBorder="1" applyAlignment="1">
      <alignment horizontal="center"/>
    </xf>
    <xf numFmtId="16" fontId="0" fillId="0" borderId="0" xfId="0" applyNumberFormat="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1" fontId="4" fillId="0" borderId="0" xfId="0" applyNumberFormat="1" applyFont="1" applyAlignment="1">
      <alignment horizontal="center" vertical="center"/>
    </xf>
    <xf numFmtId="1" fontId="19" fillId="0" borderId="0" xfId="3" applyNumberFormat="1" applyFont="1" applyAlignment="1">
      <alignment horizontal="center"/>
    </xf>
    <xf numFmtId="0" fontId="24" fillId="0" borderId="0" xfId="3" applyFont="1" applyAlignment="1">
      <alignment horizontal="center"/>
    </xf>
    <xf numFmtId="1" fontId="10" fillId="3" borderId="0" xfId="0" applyNumberFormat="1" applyFont="1" applyFill="1" applyAlignment="1">
      <alignment horizontal="center" vertical="center"/>
    </xf>
    <xf numFmtId="2" fontId="13" fillId="0" borderId="0" xfId="3" applyNumberFormat="1"/>
    <xf numFmtId="0" fontId="15" fillId="2" borderId="1" xfId="4" applyFill="1" applyBorder="1" applyAlignment="1">
      <alignment vertical="center" wrapText="1"/>
    </xf>
    <xf numFmtId="0" fontId="15" fillId="2" borderId="1" xfId="4" applyFill="1" applyBorder="1" applyAlignment="1">
      <alignment horizontal="center" vertical="center"/>
    </xf>
    <xf numFmtId="0" fontId="13" fillId="0" borderId="1" xfId="3" applyBorder="1"/>
    <xf numFmtId="0" fontId="13" fillId="0" borderId="1" xfId="3" applyBorder="1" applyAlignment="1">
      <alignment horizontal="center" vertical="center"/>
    </xf>
    <xf numFmtId="2" fontId="15" fillId="0" borderId="1" xfId="4" applyNumberFormat="1" applyFont="1" applyBorder="1" applyAlignment="1">
      <alignment horizontal="center" vertical="center" wrapText="1"/>
    </xf>
    <xf numFmtId="3" fontId="15" fillId="0" borderId="1" xfId="4" applyNumberFormat="1" applyFont="1" applyBorder="1" applyAlignment="1">
      <alignment horizontal="center" vertical="center" wrapText="1"/>
    </xf>
    <xf numFmtId="2" fontId="10" fillId="0" borderId="0" xfId="0" applyNumberFormat="1" applyFont="1" applyFill="1" applyAlignment="1">
      <alignment vertical="center"/>
    </xf>
    <xf numFmtId="0" fontId="10" fillId="0" borderId="0" xfId="0" applyFont="1" applyFill="1" applyAlignment="1">
      <alignment vertical="center"/>
    </xf>
    <xf numFmtId="2" fontId="4" fillId="0" borderId="0" xfId="0" applyNumberFormat="1" applyFont="1" applyFill="1" applyAlignment="1">
      <alignment vertical="center"/>
    </xf>
    <xf numFmtId="0" fontId="3" fillId="0" borderId="0" xfId="0" applyFont="1" applyFill="1" applyAlignment="1">
      <alignment vertical="center"/>
    </xf>
    <xf numFmtId="1" fontId="4" fillId="0" borderId="0" xfId="0" applyNumberFormat="1" applyFont="1" applyFill="1" applyAlignment="1">
      <alignment vertical="center"/>
    </xf>
    <xf numFmtId="0" fontId="13" fillId="0" borderId="1" xfId="3" applyFont="1" applyFill="1" applyBorder="1" applyAlignment="1">
      <alignment horizontal="center" vertical="center"/>
    </xf>
    <xf numFmtId="0" fontId="5" fillId="4" borderId="1" xfId="0" applyFont="1" applyFill="1" applyBorder="1" applyAlignment="1" applyProtection="1">
      <alignment horizontal="center" vertical="center" wrapText="1"/>
    </xf>
    <xf numFmtId="4" fontId="5" fillId="4" borderId="1" xfId="1" applyNumberFormat="1" applyFont="1" applyFill="1" applyBorder="1" applyAlignment="1" applyProtection="1">
      <alignment horizontal="center" vertical="center" wrapText="1"/>
    </xf>
    <xf numFmtId="0" fontId="6" fillId="3" borderId="1" xfId="0" applyFont="1" applyFill="1" applyBorder="1" applyAlignment="1">
      <alignment horizontal="center" vertical="center" wrapText="1"/>
    </xf>
    <xf numFmtId="2" fontId="13" fillId="0" borderId="1" xfId="3" applyNumberFormat="1" applyBorder="1" applyAlignment="1">
      <alignment horizontal="center" vertical="center"/>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6"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1"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165" fontId="5" fillId="0" borderId="7" xfId="1" applyNumberFormat="1" applyFont="1" applyFill="1" applyBorder="1" applyAlignment="1" applyProtection="1">
      <alignment horizontal="center" vertical="center" wrapText="1"/>
    </xf>
    <xf numFmtId="165" fontId="5" fillId="0" borderId="9" xfId="1" applyNumberFormat="1" applyFont="1" applyFill="1" applyBorder="1" applyAlignment="1" applyProtection="1">
      <alignment horizontal="center" vertical="center" wrapText="1"/>
    </xf>
    <xf numFmtId="0" fontId="11" fillId="0" borderId="0" xfId="3" applyFont="1" applyAlignment="1">
      <alignment horizontal="center"/>
    </xf>
    <xf numFmtId="0" fontId="14" fillId="0" borderId="11" xfId="3" applyFont="1" applyBorder="1" applyAlignment="1">
      <alignment horizontal="center" vertical="center" wrapText="1"/>
    </xf>
    <xf numFmtId="0" fontId="14" fillId="0" borderId="13" xfId="3" applyFont="1" applyBorder="1" applyAlignment="1">
      <alignment horizontal="center" vertical="center" wrapText="1"/>
    </xf>
    <xf numFmtId="0" fontId="14" fillId="0" borderId="10" xfId="3" applyFont="1" applyBorder="1" applyAlignment="1">
      <alignment horizontal="center" vertical="center" wrapText="1"/>
    </xf>
    <xf numFmtId="1" fontId="13" fillId="0" borderId="0" xfId="3" applyNumberFormat="1" applyAlignment="1">
      <alignment horizontal="center" vertical="center"/>
    </xf>
    <xf numFmtId="0" fontId="13" fillId="0" borderId="0" xfId="3" applyAlignment="1">
      <alignment horizontal="center" vertic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16" xfId="0" applyFont="1" applyBorder="1" applyAlignment="1">
      <alignment horizontal="center"/>
    </xf>
    <xf numFmtId="0" fontId="0" fillId="0" borderId="0" xfId="0" applyAlignment="1">
      <alignment horizontal="center"/>
    </xf>
  </cellXfs>
  <cellStyles count="6">
    <cellStyle name="Millares" xfId="1" builtinId="3"/>
    <cellStyle name="Millares 2 10 2" xfId="4" xr:uid="{96FD902E-CCFC-4247-A07B-A17A36E7C842}"/>
    <cellStyle name="Millares 5" xfId="2" xr:uid="{00000000-0005-0000-0000-000001000000}"/>
    <cellStyle name="Normal" xfId="0" builtinId="0"/>
    <cellStyle name="Normal 2" xfId="3" xr:uid="{D3D59410-3E7B-4E45-9793-CDA04BA781D8}"/>
    <cellStyle name="Normal 4" xfId="5" xr:uid="{F8B1C004-081B-47AD-B2E4-C0D11284DDB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1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wmf"/></Relationships>
</file>

<file path=xl/drawings/drawing1.xml><?xml version="1.0" encoding="utf-8"?>
<xdr:wsDr xmlns:xdr="http://schemas.openxmlformats.org/drawingml/2006/spreadsheetDrawing" xmlns:a="http://schemas.openxmlformats.org/drawingml/2006/main">
  <xdr:twoCellAnchor>
    <xdr:from>
      <xdr:col>11</xdr:col>
      <xdr:colOff>186615</xdr:colOff>
      <xdr:row>0</xdr:row>
      <xdr:rowOff>77881</xdr:rowOff>
    </xdr:from>
    <xdr:to>
      <xdr:col>11</xdr:col>
      <xdr:colOff>1259541</xdr:colOff>
      <xdr:row>2</xdr:row>
      <xdr:rowOff>115982</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61" t="73633" r="88985" b="14561"/>
        <a:stretch>
          <a:fillRect/>
        </a:stretch>
      </xdr:blipFill>
      <xdr:spPr bwMode="auto">
        <a:xfrm>
          <a:off x="13431968" y="77881"/>
          <a:ext cx="1072926" cy="11362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147918</xdr:colOff>
      <xdr:row>1</xdr:row>
      <xdr:rowOff>118110</xdr:rowOff>
    </xdr:from>
    <xdr:to>
      <xdr:col>11</xdr:col>
      <xdr:colOff>300655</xdr:colOff>
      <xdr:row>5</xdr:row>
      <xdr:rowOff>40303</xdr:rowOff>
    </xdr:to>
    <xdr:grpSp>
      <xdr:nvGrpSpPr>
        <xdr:cNvPr id="2" name="Grupo 1">
          <a:extLst>
            <a:ext uri="{FF2B5EF4-FFF2-40B4-BE49-F238E27FC236}">
              <a16:creationId xmlns:a16="http://schemas.microsoft.com/office/drawing/2014/main" id="{35F044D1-B569-4102-9583-87D042698FD0}"/>
            </a:ext>
          </a:extLst>
        </xdr:cNvPr>
        <xdr:cNvGrpSpPr/>
      </xdr:nvGrpSpPr>
      <xdr:grpSpPr>
        <a:xfrm>
          <a:off x="12405232" y="303167"/>
          <a:ext cx="2068623" cy="793050"/>
          <a:chOff x="0" y="0"/>
          <a:chExt cx="6132696" cy="2664000"/>
        </a:xfrm>
      </xdr:grpSpPr>
      <xdr:pic>
        <xdr:nvPicPr>
          <xdr:cNvPr id="3" name="Imagen 2">
            <a:extLst>
              <a:ext uri="{FF2B5EF4-FFF2-40B4-BE49-F238E27FC236}">
                <a16:creationId xmlns:a16="http://schemas.microsoft.com/office/drawing/2014/main" id="{9640EDD5-EDAF-4509-877D-41BBFFC07ADF}"/>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89EE6F3D-BB84-442A-B2D5-EE1A8D00BAB2}"/>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128DC0C4-9B30-4E69-BCFB-DF12B40AA33D}"/>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C011399F-3E3F-4241-B701-41A550D2B4A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5260"/>
          <a:ext cx="960084" cy="1044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147918</xdr:colOff>
      <xdr:row>1</xdr:row>
      <xdr:rowOff>118110</xdr:rowOff>
    </xdr:from>
    <xdr:to>
      <xdr:col>11</xdr:col>
      <xdr:colOff>300655</xdr:colOff>
      <xdr:row>5</xdr:row>
      <xdr:rowOff>40303</xdr:rowOff>
    </xdr:to>
    <xdr:grpSp>
      <xdr:nvGrpSpPr>
        <xdr:cNvPr id="2" name="Grupo 1">
          <a:extLst>
            <a:ext uri="{FF2B5EF4-FFF2-40B4-BE49-F238E27FC236}">
              <a16:creationId xmlns:a16="http://schemas.microsoft.com/office/drawing/2014/main" id="{9A5ADD14-1F68-4D90-9990-5969E122B5CE}"/>
            </a:ext>
          </a:extLst>
        </xdr:cNvPr>
        <xdr:cNvGrpSpPr/>
      </xdr:nvGrpSpPr>
      <xdr:grpSpPr>
        <a:xfrm>
          <a:off x="12375777" y="297404"/>
          <a:ext cx="2062219" cy="782805"/>
          <a:chOff x="0" y="0"/>
          <a:chExt cx="6132696" cy="2664000"/>
        </a:xfrm>
      </xdr:grpSpPr>
      <xdr:pic>
        <xdr:nvPicPr>
          <xdr:cNvPr id="3" name="Imagen 2">
            <a:extLst>
              <a:ext uri="{FF2B5EF4-FFF2-40B4-BE49-F238E27FC236}">
                <a16:creationId xmlns:a16="http://schemas.microsoft.com/office/drawing/2014/main" id="{1F518F6C-7BAC-48F4-BD0D-A44147F8F8F5}"/>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EF7D10C2-0AA8-4B6B-B1DE-B1A9BCBB1A6A}"/>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A8D673AF-29FD-4C0F-BEBE-44F5A9C1E4B5}"/>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7EDCF946-62D9-4C49-BFCD-E35927D79CC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1450"/>
          <a:ext cx="961989" cy="1029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147918</xdr:colOff>
      <xdr:row>1</xdr:row>
      <xdr:rowOff>118110</xdr:rowOff>
    </xdr:from>
    <xdr:to>
      <xdr:col>11</xdr:col>
      <xdr:colOff>300655</xdr:colOff>
      <xdr:row>5</xdr:row>
      <xdr:rowOff>40303</xdr:rowOff>
    </xdr:to>
    <xdr:grpSp>
      <xdr:nvGrpSpPr>
        <xdr:cNvPr id="2" name="Grupo 1">
          <a:extLst>
            <a:ext uri="{FF2B5EF4-FFF2-40B4-BE49-F238E27FC236}">
              <a16:creationId xmlns:a16="http://schemas.microsoft.com/office/drawing/2014/main" id="{F6096641-D738-41CF-9BDD-975F2A83B5AD}"/>
            </a:ext>
          </a:extLst>
        </xdr:cNvPr>
        <xdr:cNvGrpSpPr/>
      </xdr:nvGrpSpPr>
      <xdr:grpSpPr>
        <a:xfrm>
          <a:off x="12375777" y="297404"/>
          <a:ext cx="2062219" cy="782805"/>
          <a:chOff x="0" y="0"/>
          <a:chExt cx="6132696" cy="2664000"/>
        </a:xfrm>
      </xdr:grpSpPr>
      <xdr:pic>
        <xdr:nvPicPr>
          <xdr:cNvPr id="3" name="Imagen 2">
            <a:extLst>
              <a:ext uri="{FF2B5EF4-FFF2-40B4-BE49-F238E27FC236}">
                <a16:creationId xmlns:a16="http://schemas.microsoft.com/office/drawing/2014/main" id="{AE305856-98F1-488E-8F16-EA128E9482F5}"/>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4C8BDD46-694A-4CD6-AFB4-1EC00B352A43}"/>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85C0CFFC-5418-4243-84CB-8D677171EF76}"/>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4ADEDE55-C745-4407-9B0D-97E710B0E7A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1450"/>
          <a:ext cx="961989" cy="1029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147918</xdr:colOff>
      <xdr:row>1</xdr:row>
      <xdr:rowOff>118110</xdr:rowOff>
    </xdr:from>
    <xdr:to>
      <xdr:col>11</xdr:col>
      <xdr:colOff>300655</xdr:colOff>
      <xdr:row>5</xdr:row>
      <xdr:rowOff>40303</xdr:rowOff>
    </xdr:to>
    <xdr:grpSp>
      <xdr:nvGrpSpPr>
        <xdr:cNvPr id="2" name="Grupo 1">
          <a:extLst>
            <a:ext uri="{FF2B5EF4-FFF2-40B4-BE49-F238E27FC236}">
              <a16:creationId xmlns:a16="http://schemas.microsoft.com/office/drawing/2014/main" id="{C6F46610-66CA-42A0-A8BE-BD9D05B2C013}"/>
            </a:ext>
          </a:extLst>
        </xdr:cNvPr>
        <xdr:cNvGrpSpPr/>
      </xdr:nvGrpSpPr>
      <xdr:grpSpPr>
        <a:xfrm>
          <a:off x="12375777" y="297404"/>
          <a:ext cx="2062219" cy="782805"/>
          <a:chOff x="0" y="0"/>
          <a:chExt cx="6132696" cy="2664000"/>
        </a:xfrm>
      </xdr:grpSpPr>
      <xdr:pic>
        <xdr:nvPicPr>
          <xdr:cNvPr id="3" name="Imagen 2">
            <a:extLst>
              <a:ext uri="{FF2B5EF4-FFF2-40B4-BE49-F238E27FC236}">
                <a16:creationId xmlns:a16="http://schemas.microsoft.com/office/drawing/2014/main" id="{30026013-700B-43BE-AE61-12C867695EC4}"/>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1E6DF71B-42CB-4D05-B027-BCFC28B14F0A}"/>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6EDA87CD-B0A4-4DEA-85B3-FD84FFDAF30D}"/>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2F833AD3-1582-4982-BD38-3675BAD9094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1450"/>
          <a:ext cx="961989" cy="1029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147918</xdr:colOff>
      <xdr:row>1</xdr:row>
      <xdr:rowOff>118110</xdr:rowOff>
    </xdr:from>
    <xdr:to>
      <xdr:col>11</xdr:col>
      <xdr:colOff>300655</xdr:colOff>
      <xdr:row>5</xdr:row>
      <xdr:rowOff>40303</xdr:rowOff>
    </xdr:to>
    <xdr:grpSp>
      <xdr:nvGrpSpPr>
        <xdr:cNvPr id="2" name="Grupo 1">
          <a:extLst>
            <a:ext uri="{FF2B5EF4-FFF2-40B4-BE49-F238E27FC236}">
              <a16:creationId xmlns:a16="http://schemas.microsoft.com/office/drawing/2014/main" id="{DB2213CB-85CD-459F-96C3-4D0DFE1FB740}"/>
            </a:ext>
          </a:extLst>
        </xdr:cNvPr>
        <xdr:cNvGrpSpPr/>
      </xdr:nvGrpSpPr>
      <xdr:grpSpPr>
        <a:xfrm>
          <a:off x="12375777" y="297404"/>
          <a:ext cx="2062219" cy="782805"/>
          <a:chOff x="0" y="0"/>
          <a:chExt cx="6132696" cy="2664000"/>
        </a:xfrm>
      </xdr:grpSpPr>
      <xdr:pic>
        <xdr:nvPicPr>
          <xdr:cNvPr id="3" name="Imagen 2">
            <a:extLst>
              <a:ext uri="{FF2B5EF4-FFF2-40B4-BE49-F238E27FC236}">
                <a16:creationId xmlns:a16="http://schemas.microsoft.com/office/drawing/2014/main" id="{71F891F0-3297-4913-B1C1-98A26337D4E6}"/>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261E4F08-E4F5-49B0-9147-D19172B2F248}"/>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7223045E-759A-417D-BA9D-1AE26257BAE5}"/>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EDD7BA3A-3560-4E9F-B1ED-02D132EFAB0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1450"/>
          <a:ext cx="961989" cy="1029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147918</xdr:colOff>
      <xdr:row>1</xdr:row>
      <xdr:rowOff>118110</xdr:rowOff>
    </xdr:from>
    <xdr:to>
      <xdr:col>11</xdr:col>
      <xdr:colOff>300655</xdr:colOff>
      <xdr:row>5</xdr:row>
      <xdr:rowOff>40303</xdr:rowOff>
    </xdr:to>
    <xdr:grpSp>
      <xdr:nvGrpSpPr>
        <xdr:cNvPr id="2" name="Grupo 1">
          <a:extLst>
            <a:ext uri="{FF2B5EF4-FFF2-40B4-BE49-F238E27FC236}">
              <a16:creationId xmlns:a16="http://schemas.microsoft.com/office/drawing/2014/main" id="{DE890B26-A806-4E36-9B01-AB13E0A955C4}"/>
            </a:ext>
          </a:extLst>
        </xdr:cNvPr>
        <xdr:cNvGrpSpPr/>
      </xdr:nvGrpSpPr>
      <xdr:grpSpPr>
        <a:xfrm>
          <a:off x="12375777" y="297404"/>
          <a:ext cx="2062219" cy="782805"/>
          <a:chOff x="0" y="0"/>
          <a:chExt cx="6132696" cy="2664000"/>
        </a:xfrm>
      </xdr:grpSpPr>
      <xdr:pic>
        <xdr:nvPicPr>
          <xdr:cNvPr id="3" name="Imagen 2">
            <a:extLst>
              <a:ext uri="{FF2B5EF4-FFF2-40B4-BE49-F238E27FC236}">
                <a16:creationId xmlns:a16="http://schemas.microsoft.com/office/drawing/2014/main" id="{B183D89C-BB37-45C2-BA74-72FA10EB88EA}"/>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B5890121-0FAE-4FBD-8D26-6683D8AE62D5}"/>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80BA1112-B5C5-43BB-A335-291AABABE3E9}"/>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EE1DB06B-DB64-4833-AD9E-6BBF6928123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1450"/>
          <a:ext cx="961989" cy="1029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144108</xdr:colOff>
      <xdr:row>1</xdr:row>
      <xdr:rowOff>118110</xdr:rowOff>
    </xdr:from>
    <xdr:to>
      <xdr:col>11</xdr:col>
      <xdr:colOff>293035</xdr:colOff>
      <xdr:row>5</xdr:row>
      <xdr:rowOff>40303</xdr:rowOff>
    </xdr:to>
    <xdr:grpSp>
      <xdr:nvGrpSpPr>
        <xdr:cNvPr id="2" name="Grupo 1">
          <a:extLst>
            <a:ext uri="{FF2B5EF4-FFF2-40B4-BE49-F238E27FC236}">
              <a16:creationId xmlns:a16="http://schemas.microsoft.com/office/drawing/2014/main" id="{DA779194-E062-4B75-B375-0BAEF3915AE2}"/>
            </a:ext>
          </a:extLst>
        </xdr:cNvPr>
        <xdr:cNvGrpSpPr/>
      </xdr:nvGrpSpPr>
      <xdr:grpSpPr>
        <a:xfrm>
          <a:off x="12383733" y="300990"/>
          <a:ext cx="2061547" cy="775633"/>
          <a:chOff x="0" y="0"/>
          <a:chExt cx="6132696" cy="2664000"/>
        </a:xfrm>
      </xdr:grpSpPr>
      <xdr:pic>
        <xdr:nvPicPr>
          <xdr:cNvPr id="3" name="Imagen 2">
            <a:extLst>
              <a:ext uri="{FF2B5EF4-FFF2-40B4-BE49-F238E27FC236}">
                <a16:creationId xmlns:a16="http://schemas.microsoft.com/office/drawing/2014/main" id="{9CC0EA62-7406-4725-BC47-D245F0347404}"/>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DE133E86-03F2-4231-989E-C304DDB7BAEB}"/>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D738D2D2-7DAD-4B2C-9F43-B8AA54011438}"/>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D97B5486-B4F5-4264-972A-2597784BB29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5260"/>
          <a:ext cx="960084" cy="1044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142203</xdr:colOff>
      <xdr:row>1</xdr:row>
      <xdr:rowOff>120015</xdr:rowOff>
    </xdr:from>
    <xdr:to>
      <xdr:col>11</xdr:col>
      <xdr:colOff>289225</xdr:colOff>
      <xdr:row>5</xdr:row>
      <xdr:rowOff>40303</xdr:rowOff>
    </xdr:to>
    <xdr:grpSp>
      <xdr:nvGrpSpPr>
        <xdr:cNvPr id="2" name="Grupo 1">
          <a:extLst>
            <a:ext uri="{FF2B5EF4-FFF2-40B4-BE49-F238E27FC236}">
              <a16:creationId xmlns:a16="http://schemas.microsoft.com/office/drawing/2014/main" id="{76312C47-1658-4AC8-8B8D-5FF89C6F1CB6}"/>
            </a:ext>
          </a:extLst>
        </xdr:cNvPr>
        <xdr:cNvGrpSpPr/>
      </xdr:nvGrpSpPr>
      <xdr:grpSpPr>
        <a:xfrm>
          <a:off x="12371967" y="297404"/>
          <a:ext cx="2058409" cy="782805"/>
          <a:chOff x="0" y="0"/>
          <a:chExt cx="6132696" cy="2664000"/>
        </a:xfrm>
      </xdr:grpSpPr>
      <xdr:pic>
        <xdr:nvPicPr>
          <xdr:cNvPr id="3" name="Imagen 2">
            <a:extLst>
              <a:ext uri="{FF2B5EF4-FFF2-40B4-BE49-F238E27FC236}">
                <a16:creationId xmlns:a16="http://schemas.microsoft.com/office/drawing/2014/main" id="{7D93704E-0408-4471-B8E9-BD610ED93A21}"/>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127A2EF4-178C-464E-91C7-34D77583ADF5}"/>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31066456-A44B-4976-B27D-0E9AC5560963}"/>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44316E8C-43CC-44D0-AB7D-B0751994FDB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1450"/>
          <a:ext cx="961989" cy="1029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142203</xdr:colOff>
      <xdr:row>1</xdr:row>
      <xdr:rowOff>120015</xdr:rowOff>
    </xdr:from>
    <xdr:to>
      <xdr:col>11</xdr:col>
      <xdr:colOff>289225</xdr:colOff>
      <xdr:row>5</xdr:row>
      <xdr:rowOff>40303</xdr:rowOff>
    </xdr:to>
    <xdr:grpSp>
      <xdr:nvGrpSpPr>
        <xdr:cNvPr id="2" name="Grupo 1">
          <a:extLst>
            <a:ext uri="{FF2B5EF4-FFF2-40B4-BE49-F238E27FC236}">
              <a16:creationId xmlns:a16="http://schemas.microsoft.com/office/drawing/2014/main" id="{D356892F-5EA0-4ECB-B806-BB8AE9468F6B}"/>
            </a:ext>
          </a:extLst>
        </xdr:cNvPr>
        <xdr:cNvGrpSpPr/>
      </xdr:nvGrpSpPr>
      <xdr:grpSpPr>
        <a:xfrm>
          <a:off x="12371967" y="297404"/>
          <a:ext cx="2058409" cy="782805"/>
          <a:chOff x="0" y="0"/>
          <a:chExt cx="6132696" cy="2664000"/>
        </a:xfrm>
      </xdr:grpSpPr>
      <xdr:pic>
        <xdr:nvPicPr>
          <xdr:cNvPr id="3" name="Imagen 2">
            <a:extLst>
              <a:ext uri="{FF2B5EF4-FFF2-40B4-BE49-F238E27FC236}">
                <a16:creationId xmlns:a16="http://schemas.microsoft.com/office/drawing/2014/main" id="{55A0986C-0933-4AED-ADE8-90DDDF49AE9F}"/>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F9B20E03-C817-4194-B8F5-33B8F467A3DF}"/>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D18F4834-C662-4BF8-B9E6-4E58B7AEAF13}"/>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398BE496-A846-4E94-BF4F-1440F427A9F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1450"/>
          <a:ext cx="961989" cy="1029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142203</xdr:colOff>
      <xdr:row>1</xdr:row>
      <xdr:rowOff>120015</xdr:rowOff>
    </xdr:from>
    <xdr:to>
      <xdr:col>11</xdr:col>
      <xdr:colOff>289225</xdr:colOff>
      <xdr:row>5</xdr:row>
      <xdr:rowOff>40303</xdr:rowOff>
    </xdr:to>
    <xdr:grpSp>
      <xdr:nvGrpSpPr>
        <xdr:cNvPr id="2" name="Grupo 1">
          <a:extLst>
            <a:ext uri="{FF2B5EF4-FFF2-40B4-BE49-F238E27FC236}">
              <a16:creationId xmlns:a16="http://schemas.microsoft.com/office/drawing/2014/main" id="{DE40E0DD-7C7A-42AF-8221-4BA2143072F4}"/>
            </a:ext>
          </a:extLst>
        </xdr:cNvPr>
        <xdr:cNvGrpSpPr/>
      </xdr:nvGrpSpPr>
      <xdr:grpSpPr>
        <a:xfrm>
          <a:off x="12371967" y="297404"/>
          <a:ext cx="2058409" cy="782805"/>
          <a:chOff x="0" y="0"/>
          <a:chExt cx="6132696" cy="2664000"/>
        </a:xfrm>
      </xdr:grpSpPr>
      <xdr:pic>
        <xdr:nvPicPr>
          <xdr:cNvPr id="3" name="Imagen 2">
            <a:extLst>
              <a:ext uri="{FF2B5EF4-FFF2-40B4-BE49-F238E27FC236}">
                <a16:creationId xmlns:a16="http://schemas.microsoft.com/office/drawing/2014/main" id="{9B23F6B8-7E98-4FE6-AB21-D11576CB9463}"/>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8B5C80E8-BE74-43CE-B93E-C1B398FE7169}"/>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7C891AFE-DD86-4A87-9A9A-DC08F78232F7}"/>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6B5C28B5-DE1F-4577-913C-4E4860FF310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1450"/>
          <a:ext cx="961989" cy="1029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144108</xdr:colOff>
      <xdr:row>1</xdr:row>
      <xdr:rowOff>118110</xdr:rowOff>
    </xdr:from>
    <xdr:to>
      <xdr:col>11</xdr:col>
      <xdr:colOff>293035</xdr:colOff>
      <xdr:row>5</xdr:row>
      <xdr:rowOff>40303</xdr:rowOff>
    </xdr:to>
    <xdr:grpSp>
      <xdr:nvGrpSpPr>
        <xdr:cNvPr id="2" name="Grupo 1">
          <a:extLst>
            <a:ext uri="{FF2B5EF4-FFF2-40B4-BE49-F238E27FC236}">
              <a16:creationId xmlns:a16="http://schemas.microsoft.com/office/drawing/2014/main" id="{876E0BBA-27EE-48E4-A18D-1497DFBBCD41}"/>
            </a:ext>
          </a:extLst>
        </xdr:cNvPr>
        <xdr:cNvGrpSpPr/>
      </xdr:nvGrpSpPr>
      <xdr:grpSpPr>
        <a:xfrm>
          <a:off x="12373872" y="297404"/>
          <a:ext cx="2058409" cy="782805"/>
          <a:chOff x="0" y="0"/>
          <a:chExt cx="6132696" cy="2664000"/>
        </a:xfrm>
      </xdr:grpSpPr>
      <xdr:pic>
        <xdr:nvPicPr>
          <xdr:cNvPr id="3" name="Imagen 2">
            <a:extLst>
              <a:ext uri="{FF2B5EF4-FFF2-40B4-BE49-F238E27FC236}">
                <a16:creationId xmlns:a16="http://schemas.microsoft.com/office/drawing/2014/main" id="{72618D48-3450-4C5E-B4E7-0389778D567D}"/>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D383B16A-A5CC-4EBA-B71B-519C6F00D783}"/>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B3A91847-426E-4C4F-AC90-DFAA720032B8}"/>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4957F40D-3B10-4EFE-9FA1-693A21D21B7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5260"/>
          <a:ext cx="960084" cy="1044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146013</xdr:colOff>
      <xdr:row>1</xdr:row>
      <xdr:rowOff>118110</xdr:rowOff>
    </xdr:from>
    <xdr:to>
      <xdr:col>11</xdr:col>
      <xdr:colOff>294940</xdr:colOff>
      <xdr:row>5</xdr:row>
      <xdr:rowOff>40303</xdr:rowOff>
    </xdr:to>
    <xdr:grpSp>
      <xdr:nvGrpSpPr>
        <xdr:cNvPr id="2" name="Grupo 1">
          <a:extLst>
            <a:ext uri="{FF2B5EF4-FFF2-40B4-BE49-F238E27FC236}">
              <a16:creationId xmlns:a16="http://schemas.microsoft.com/office/drawing/2014/main" id="{0E0BC9C3-134F-44AB-AD75-57374F66897F}"/>
            </a:ext>
          </a:extLst>
        </xdr:cNvPr>
        <xdr:cNvGrpSpPr/>
      </xdr:nvGrpSpPr>
      <xdr:grpSpPr>
        <a:xfrm>
          <a:off x="12375777" y="297404"/>
          <a:ext cx="2058409" cy="782805"/>
          <a:chOff x="0" y="0"/>
          <a:chExt cx="6132696" cy="2664000"/>
        </a:xfrm>
      </xdr:grpSpPr>
      <xdr:pic>
        <xdr:nvPicPr>
          <xdr:cNvPr id="3" name="Imagen 2">
            <a:extLst>
              <a:ext uri="{FF2B5EF4-FFF2-40B4-BE49-F238E27FC236}">
                <a16:creationId xmlns:a16="http://schemas.microsoft.com/office/drawing/2014/main" id="{7A2A8078-40C9-44C5-B478-6D5582FB6EDA}"/>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3B53D991-CE63-4076-857F-932F3A69C158}"/>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719D9141-1B54-40A3-9079-6EE30A8BA100}"/>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92E41ECE-9A55-4E11-BA04-0A2652B284C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5260"/>
          <a:ext cx="960084" cy="1044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147918</xdr:colOff>
      <xdr:row>1</xdr:row>
      <xdr:rowOff>118110</xdr:rowOff>
    </xdr:from>
    <xdr:to>
      <xdr:col>11</xdr:col>
      <xdr:colOff>296845</xdr:colOff>
      <xdr:row>5</xdr:row>
      <xdr:rowOff>40303</xdr:rowOff>
    </xdr:to>
    <xdr:grpSp>
      <xdr:nvGrpSpPr>
        <xdr:cNvPr id="2" name="Grupo 1">
          <a:extLst>
            <a:ext uri="{FF2B5EF4-FFF2-40B4-BE49-F238E27FC236}">
              <a16:creationId xmlns:a16="http://schemas.microsoft.com/office/drawing/2014/main" id="{154FBD47-A41A-435B-966E-FEB6BCE2ED95}"/>
            </a:ext>
          </a:extLst>
        </xdr:cNvPr>
        <xdr:cNvGrpSpPr/>
      </xdr:nvGrpSpPr>
      <xdr:grpSpPr>
        <a:xfrm>
          <a:off x="12375777" y="297404"/>
          <a:ext cx="2060314" cy="782805"/>
          <a:chOff x="0" y="0"/>
          <a:chExt cx="6132696" cy="2664000"/>
        </a:xfrm>
      </xdr:grpSpPr>
      <xdr:pic>
        <xdr:nvPicPr>
          <xdr:cNvPr id="3" name="Imagen 2">
            <a:extLst>
              <a:ext uri="{FF2B5EF4-FFF2-40B4-BE49-F238E27FC236}">
                <a16:creationId xmlns:a16="http://schemas.microsoft.com/office/drawing/2014/main" id="{2A7C7259-FF23-476C-857D-9A3A60D73B08}"/>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03918DF8-3F3E-4283-9459-C062A938C9BB}"/>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FFA2A067-A273-4C9C-817B-401876164DD1}"/>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E2534A82-A802-4928-A56B-DA9EFD1B60D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5260"/>
          <a:ext cx="960084" cy="1044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147918</xdr:colOff>
      <xdr:row>1</xdr:row>
      <xdr:rowOff>118110</xdr:rowOff>
    </xdr:from>
    <xdr:to>
      <xdr:col>11</xdr:col>
      <xdr:colOff>298750</xdr:colOff>
      <xdr:row>5</xdr:row>
      <xdr:rowOff>40303</xdr:rowOff>
    </xdr:to>
    <xdr:grpSp>
      <xdr:nvGrpSpPr>
        <xdr:cNvPr id="2" name="Grupo 1">
          <a:extLst>
            <a:ext uri="{FF2B5EF4-FFF2-40B4-BE49-F238E27FC236}">
              <a16:creationId xmlns:a16="http://schemas.microsoft.com/office/drawing/2014/main" id="{93D8E2C1-CB50-4424-8304-0B233FA2BB1B}"/>
            </a:ext>
          </a:extLst>
        </xdr:cNvPr>
        <xdr:cNvGrpSpPr/>
      </xdr:nvGrpSpPr>
      <xdr:grpSpPr>
        <a:xfrm>
          <a:off x="12375777" y="297404"/>
          <a:ext cx="2062219" cy="782805"/>
          <a:chOff x="0" y="0"/>
          <a:chExt cx="6132696" cy="2664000"/>
        </a:xfrm>
      </xdr:grpSpPr>
      <xdr:pic>
        <xdr:nvPicPr>
          <xdr:cNvPr id="3" name="Imagen 2">
            <a:extLst>
              <a:ext uri="{FF2B5EF4-FFF2-40B4-BE49-F238E27FC236}">
                <a16:creationId xmlns:a16="http://schemas.microsoft.com/office/drawing/2014/main" id="{A8C18D01-B2EA-4096-BEB8-260CA65444C1}"/>
              </a:ext>
            </a:extLst>
          </xdr:cNvPr>
          <xdr:cNvPicPr preferRelativeResize="0">
            <a:picLocks/>
          </xdr:cNvPicPr>
        </xdr:nvPicPr>
        <xdr:blipFill>
          <a:blip xmlns:r="http://schemas.openxmlformats.org/officeDocument/2006/relationships" r:embed="rId1"/>
          <a:stretch>
            <a:fillRect/>
          </a:stretch>
        </xdr:blipFill>
        <xdr:spPr>
          <a:xfrm>
            <a:off x="936941" y="0"/>
            <a:ext cx="4140000" cy="1980000"/>
          </a:xfrm>
          <a:prstGeom prst="rect">
            <a:avLst/>
          </a:prstGeom>
        </xdr:spPr>
      </xdr:pic>
      <xdr:pic>
        <xdr:nvPicPr>
          <xdr:cNvPr id="4" name="Imagen 3">
            <a:extLst>
              <a:ext uri="{FF2B5EF4-FFF2-40B4-BE49-F238E27FC236}">
                <a16:creationId xmlns:a16="http://schemas.microsoft.com/office/drawing/2014/main" id="{BBEDCC87-85A8-4766-B7FA-58A81D706892}"/>
              </a:ext>
            </a:extLst>
          </xdr:cNvPr>
          <xdr:cNvPicPr>
            <a:picLocks noChangeAspect="1"/>
          </xdr:cNvPicPr>
        </xdr:nvPicPr>
        <xdr:blipFill>
          <a:blip xmlns:r="http://schemas.openxmlformats.org/officeDocument/2006/relationships" r:embed="rId2"/>
          <a:stretch>
            <a:fillRect/>
          </a:stretch>
        </xdr:blipFill>
        <xdr:spPr>
          <a:xfrm>
            <a:off x="0" y="1944000"/>
            <a:ext cx="2703070" cy="720000"/>
          </a:xfrm>
          <a:prstGeom prst="rect">
            <a:avLst/>
          </a:prstGeom>
        </xdr:spPr>
      </xdr:pic>
      <xdr:pic>
        <xdr:nvPicPr>
          <xdr:cNvPr id="5" name="Imagen 4">
            <a:extLst>
              <a:ext uri="{FF2B5EF4-FFF2-40B4-BE49-F238E27FC236}">
                <a16:creationId xmlns:a16="http://schemas.microsoft.com/office/drawing/2014/main" id="{03E75F08-0DA4-4C85-A6EC-C98B8CB67F4D}"/>
              </a:ext>
            </a:extLst>
          </xdr:cNvPr>
          <xdr:cNvPicPr>
            <a:picLocks noChangeAspect="1"/>
          </xdr:cNvPicPr>
        </xdr:nvPicPr>
        <xdr:blipFill>
          <a:blip xmlns:r="http://schemas.openxmlformats.org/officeDocument/2006/relationships" r:embed="rId3"/>
          <a:stretch>
            <a:fillRect/>
          </a:stretch>
        </xdr:blipFill>
        <xdr:spPr>
          <a:xfrm>
            <a:off x="3017101" y="1980000"/>
            <a:ext cx="3115595" cy="648000"/>
          </a:xfrm>
          <a:prstGeom prst="rect">
            <a:avLst/>
          </a:prstGeom>
        </xdr:spPr>
      </xdr:pic>
    </xdr:grpSp>
    <xdr:clientData/>
  </xdr:twoCellAnchor>
  <xdr:twoCellAnchor>
    <xdr:from>
      <xdr:col>1</xdr:col>
      <xdr:colOff>1562100</xdr:colOff>
      <xdr:row>0</xdr:row>
      <xdr:rowOff>171450</xdr:rowOff>
    </xdr:from>
    <xdr:to>
      <xdr:col>1</xdr:col>
      <xdr:colOff>2524089</xdr:colOff>
      <xdr:row>6</xdr:row>
      <xdr:rowOff>457</xdr:rowOff>
    </xdr:to>
    <xdr:pic>
      <xdr:nvPicPr>
        <xdr:cNvPr id="6" name="Imagen 60">
          <a:extLst>
            <a:ext uri="{FF2B5EF4-FFF2-40B4-BE49-F238E27FC236}">
              <a16:creationId xmlns:a16="http://schemas.microsoft.com/office/drawing/2014/main" id="{360F9286-BFD7-4CDC-B19C-C7403EC6434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9800" y="175260"/>
          <a:ext cx="960084" cy="1044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82"/>
  <sheetViews>
    <sheetView tabSelected="1" zoomScale="70" zoomScaleNormal="70" zoomScaleSheetLayoutView="85" workbookViewId="0">
      <pane xSplit="3" ySplit="8" topLeftCell="D12" activePane="bottomRight" state="frozen"/>
      <selection pane="topRight" activeCell="D1" sqref="D1"/>
      <selection pane="bottomLeft" activeCell="A9" sqref="A9"/>
      <selection pane="bottomRight" activeCell="H13" sqref="H13"/>
    </sheetView>
  </sheetViews>
  <sheetFormatPr baseColWidth="10" defaultColWidth="11.42578125" defaultRowHeight="15.75" x14ac:dyDescent="0.25"/>
  <cols>
    <col min="1" max="2" width="21.140625" style="2" customWidth="1"/>
    <col min="3" max="3" width="18.7109375" style="19" customWidth="1"/>
    <col min="4" max="4" width="18.7109375" style="2" customWidth="1"/>
    <col min="5" max="5" width="22.28515625" style="2" customWidth="1"/>
    <col min="6" max="6" width="11.140625" style="2" customWidth="1"/>
    <col min="7" max="7" width="12.140625" style="2" customWidth="1"/>
    <col min="8" max="8" width="57" style="5" bestFit="1" customWidth="1"/>
    <col min="9" max="9" width="10.28515625" style="2" bestFit="1" customWidth="1"/>
    <col min="10" max="10" width="16.85546875" style="15" customWidth="1"/>
    <col min="11" max="11" width="34.7109375" style="2" customWidth="1"/>
    <col min="12" max="12" width="21.42578125" style="2" customWidth="1"/>
    <col min="13" max="13" width="8.140625" style="2" bestFit="1" customWidth="1"/>
    <col min="14" max="16" width="11.42578125" style="80"/>
    <col min="17" max="16384" width="11.42578125" style="2"/>
  </cols>
  <sheetData>
    <row r="1" spans="1:16" ht="70.5" customHeight="1" x14ac:dyDescent="0.25">
      <c r="A1" s="134" t="s">
        <v>18</v>
      </c>
      <c r="B1" s="135"/>
      <c r="C1" s="135"/>
      <c r="D1" s="135"/>
      <c r="E1" s="135"/>
      <c r="F1" s="135"/>
      <c r="G1" s="135"/>
      <c r="H1" s="135"/>
      <c r="I1" s="135"/>
      <c r="J1" s="135"/>
      <c r="K1" s="136"/>
      <c r="L1" s="131"/>
    </row>
    <row r="2" spans="1:16" ht="15.75" customHeight="1" x14ac:dyDescent="0.25">
      <c r="A2" s="9" t="s">
        <v>3</v>
      </c>
      <c r="B2" s="137" t="s">
        <v>17</v>
      </c>
      <c r="C2" s="138"/>
      <c r="D2" s="138"/>
      <c r="E2" s="138"/>
      <c r="F2" s="138"/>
      <c r="G2" s="138"/>
      <c r="H2" s="138"/>
      <c r="I2" s="138"/>
      <c r="J2" s="139"/>
      <c r="K2" s="1" t="s">
        <v>8</v>
      </c>
      <c r="L2" s="132"/>
    </row>
    <row r="3" spans="1:16" ht="15.75" customHeight="1" x14ac:dyDescent="0.25">
      <c r="A3" s="10" t="s">
        <v>7</v>
      </c>
      <c r="B3" s="140"/>
      <c r="C3" s="141"/>
      <c r="D3" s="141"/>
      <c r="E3" s="141"/>
      <c r="F3" s="141"/>
      <c r="G3" s="141"/>
      <c r="H3" s="141"/>
      <c r="I3" s="141"/>
      <c r="J3" s="142"/>
      <c r="K3" s="11">
        <v>0</v>
      </c>
      <c r="L3" s="133"/>
    </row>
    <row r="4" spans="1:16" ht="15.75" customHeight="1" x14ac:dyDescent="0.25">
      <c r="B4" s="6"/>
      <c r="C4" s="18"/>
      <c r="D4" s="6"/>
      <c r="E4" s="6"/>
      <c r="F4" s="3"/>
      <c r="G4" s="3"/>
      <c r="H4" s="4"/>
      <c r="I4" s="3"/>
      <c r="J4" s="12"/>
      <c r="K4" s="3"/>
      <c r="L4" s="3"/>
    </row>
    <row r="5" spans="1:16" ht="17.25" customHeight="1" x14ac:dyDescent="0.25">
      <c r="A5" s="143" t="s">
        <v>0</v>
      </c>
      <c r="B5" s="144"/>
      <c r="C5" s="144"/>
      <c r="D5" s="144"/>
      <c r="E5" s="144"/>
      <c r="F5" s="144"/>
      <c r="G5" s="144"/>
      <c r="H5" s="144"/>
      <c r="I5" s="144"/>
      <c r="J5" s="144"/>
      <c r="K5" s="144"/>
      <c r="L5" s="145"/>
    </row>
    <row r="6" spans="1:16" ht="31.5" customHeight="1" x14ac:dyDescent="0.25">
      <c r="A6" s="146" t="s">
        <v>2</v>
      </c>
      <c r="B6" s="146"/>
      <c r="C6" s="146"/>
      <c r="D6" s="147"/>
      <c r="E6" s="147"/>
      <c r="F6" s="147"/>
      <c r="G6" s="16" t="s">
        <v>3</v>
      </c>
      <c r="H6" s="148"/>
      <c r="I6" s="149"/>
      <c r="J6" s="13"/>
      <c r="K6" s="16" t="s">
        <v>4</v>
      </c>
      <c r="L6" s="7"/>
    </row>
    <row r="7" spans="1:16" ht="80.25" customHeight="1" x14ac:dyDescent="0.25">
      <c r="A7" s="8" t="s">
        <v>16</v>
      </c>
      <c r="B7" s="8" t="s">
        <v>19</v>
      </c>
      <c r="C7" s="8" t="s">
        <v>15</v>
      </c>
      <c r="D7" s="8" t="s">
        <v>1</v>
      </c>
      <c r="E7" s="8" t="s">
        <v>14</v>
      </c>
      <c r="F7" s="8" t="s">
        <v>10</v>
      </c>
      <c r="G7" s="8" t="s">
        <v>11</v>
      </c>
      <c r="H7" s="8" t="s">
        <v>12</v>
      </c>
      <c r="I7" s="8" t="s">
        <v>5</v>
      </c>
      <c r="J7" s="14" t="s">
        <v>9</v>
      </c>
      <c r="K7" s="8" t="s">
        <v>6</v>
      </c>
      <c r="L7" s="8" t="s">
        <v>13</v>
      </c>
    </row>
    <row r="8" spans="1:16" ht="80.25" customHeight="1" x14ac:dyDescent="0.25">
      <c r="A8" s="8" t="s">
        <v>21</v>
      </c>
      <c r="B8" s="8" t="s">
        <v>22</v>
      </c>
      <c r="C8" s="8" t="s">
        <v>20</v>
      </c>
      <c r="D8" s="8" t="s">
        <v>1</v>
      </c>
      <c r="E8" s="8" t="s">
        <v>14</v>
      </c>
      <c r="F8" s="8" t="s">
        <v>10</v>
      </c>
      <c r="G8" s="8" t="s">
        <v>11</v>
      </c>
      <c r="H8" s="8" t="s">
        <v>12</v>
      </c>
      <c r="I8" s="8" t="s">
        <v>5</v>
      </c>
      <c r="J8" s="14" t="s">
        <v>9</v>
      </c>
      <c r="K8" s="8" t="s">
        <v>6</v>
      </c>
      <c r="L8" s="8" t="s">
        <v>13</v>
      </c>
    </row>
    <row r="9" spans="1:16" ht="102.75" customHeight="1" x14ac:dyDescent="0.25">
      <c r="A9" s="31" t="s">
        <v>231</v>
      </c>
      <c r="B9" s="8"/>
      <c r="C9" s="8"/>
      <c r="D9" s="20" t="s">
        <v>31</v>
      </c>
      <c r="E9" s="20" t="s">
        <v>37</v>
      </c>
      <c r="F9" s="20" t="s">
        <v>44</v>
      </c>
      <c r="G9" s="31">
        <f>'MC P1'!A12</f>
        <v>6007</v>
      </c>
      <c r="H9" s="76" t="str">
        <f>'MC P1'!B12</f>
        <v>Pilote preexcavado en concreto tremie de 4000 psi (280 kg/cm2) acelerado a 2 días. incluye acelerante, alquiler de equipo de perforación con operario, motobomba, bentonita, mano de obra, transporte y disposición final de escombros en sitio autorizado. distancia de transporte 21 km.</v>
      </c>
      <c r="I9" s="31" t="str">
        <f>'MC P1'!C12</f>
        <v>m3</v>
      </c>
      <c r="J9" s="31">
        <f>'MC P1'!D12</f>
        <v>29.37</v>
      </c>
      <c r="K9" s="8"/>
      <c r="L9" s="20" t="s">
        <v>32</v>
      </c>
    </row>
    <row r="10" spans="1:16" ht="120" customHeight="1" x14ac:dyDescent="0.25">
      <c r="A10" s="31" t="s">
        <v>231</v>
      </c>
      <c r="B10" s="8"/>
      <c r="C10" s="8"/>
      <c r="D10" s="20" t="s">
        <v>31</v>
      </c>
      <c r="E10" s="20" t="s">
        <v>37</v>
      </c>
      <c r="F10" s="20" t="s">
        <v>45</v>
      </c>
      <c r="G10" s="31">
        <f>'MC P1'!A13</f>
        <v>3708</v>
      </c>
      <c r="H10" s="76" t="str">
        <f>'MC P1'!B13</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10" s="31" t="str">
        <f>'MC P1'!C13</f>
        <v>kg</v>
      </c>
      <c r="J10" s="31">
        <f>'MC P1'!D13</f>
        <v>2227</v>
      </c>
      <c r="K10" s="8"/>
      <c r="L10" s="20" t="s">
        <v>32</v>
      </c>
    </row>
    <row r="11" spans="1:16" ht="135.75" customHeight="1" x14ac:dyDescent="0.25">
      <c r="A11" s="31" t="s">
        <v>231</v>
      </c>
      <c r="B11" s="8"/>
      <c r="C11" s="8"/>
      <c r="D11" s="20" t="s">
        <v>31</v>
      </c>
      <c r="E11" s="20" t="s">
        <v>37</v>
      </c>
      <c r="F11" s="20" t="s">
        <v>46</v>
      </c>
      <c r="G11" s="129">
        <f>'MC P1'!A14</f>
        <v>0</v>
      </c>
      <c r="H11" s="76" t="str">
        <f>'MC P1'!B14</f>
        <v>Suministro y construcción de tierra armada con relleno de material granular y recubierto con escamas de concreto, sostenidas con armaduras metálicas de acuerdo a la geometría, dimensiones y disposición del proveedor del sistema. Las juntas verticales de las escamas deberan tener en una cinta de poliuretano y en las juntas horizontales se podrán colocar apoyos de neopreno que sirvan de apoyo a la escama superior.</v>
      </c>
      <c r="I11" s="31" t="str">
        <f>'MC P1'!C14</f>
        <v>m3</v>
      </c>
      <c r="J11" s="77">
        <f>'MC P1'!D14</f>
        <v>50.625</v>
      </c>
      <c r="K11" s="8"/>
      <c r="L11" s="20" t="s">
        <v>32</v>
      </c>
    </row>
    <row r="12" spans="1:16" ht="63" x14ac:dyDescent="0.25">
      <c r="A12" s="31" t="s">
        <v>231</v>
      </c>
      <c r="B12" s="8"/>
      <c r="C12" s="8"/>
      <c r="D12" s="20" t="s">
        <v>31</v>
      </c>
      <c r="E12" s="20" t="s">
        <v>37</v>
      </c>
      <c r="F12" s="20" t="s">
        <v>47</v>
      </c>
      <c r="G12" s="31">
        <f>'MC P1'!A15</f>
        <v>3486</v>
      </c>
      <c r="H12" s="76" t="str">
        <f>'MC P1'!B15</f>
        <v>Demolición de concreto estructural (incluye cargue manual). No incluye transporte y disposición final de sobrantes.</v>
      </c>
      <c r="I12" s="31" t="str">
        <f>'MC P1'!C15</f>
        <v>m3</v>
      </c>
      <c r="J12" s="31">
        <f>'MC P1'!D15</f>
        <v>3.75</v>
      </c>
      <c r="K12" s="8"/>
      <c r="L12" s="20" t="s">
        <v>32</v>
      </c>
    </row>
    <row r="13" spans="1:16" ht="63" x14ac:dyDescent="0.25">
      <c r="A13" s="31" t="s">
        <v>231</v>
      </c>
      <c r="B13" s="8"/>
      <c r="C13" s="8"/>
      <c r="D13" s="20" t="s">
        <v>31</v>
      </c>
      <c r="E13" s="20" t="s">
        <v>37</v>
      </c>
      <c r="F13" s="20" t="s">
        <v>47</v>
      </c>
      <c r="G13" s="31">
        <f>'MC P1'!A16</f>
        <v>3017</v>
      </c>
      <c r="H13" s="76" t="str">
        <f>'MC P1'!B16</f>
        <v>Transporte y disposición final de escombros en sitio autorizado (distancia de transporte 21 km) a distancia mayor del acarreo libre (90m) en sitio autorizado por la entidad ambiental competente.</v>
      </c>
      <c r="I13" s="31" t="str">
        <f>'MC P1'!C16</f>
        <v>m3</v>
      </c>
      <c r="J13" s="31">
        <f>'MC P1'!D16</f>
        <v>3.75</v>
      </c>
      <c r="K13" s="8"/>
      <c r="L13" s="20" t="s">
        <v>32</v>
      </c>
    </row>
    <row r="14" spans="1:16" s="95" customFormat="1" x14ac:dyDescent="0.25">
      <c r="A14" s="127"/>
      <c r="B14" s="127"/>
      <c r="C14" s="127"/>
      <c r="D14" s="127"/>
      <c r="E14" s="127"/>
      <c r="F14" s="127"/>
      <c r="G14" s="127"/>
      <c r="H14" s="127"/>
      <c r="I14" s="127"/>
      <c r="J14" s="128"/>
      <c r="K14" s="127"/>
      <c r="L14" s="127"/>
    </row>
    <row r="15" spans="1:16" s="17" customFormat="1" ht="63.75" customHeight="1" x14ac:dyDescent="0.25">
      <c r="A15" s="31" t="s">
        <v>36</v>
      </c>
      <c r="B15" s="30"/>
      <c r="C15" s="20"/>
      <c r="D15" s="20" t="s">
        <v>31</v>
      </c>
      <c r="E15" s="20" t="s">
        <v>37</v>
      </c>
      <c r="F15" s="20" t="s">
        <v>44</v>
      </c>
      <c r="G15" s="31">
        <f>'MC P3'!$A$12</f>
        <v>6021</v>
      </c>
      <c r="H15" s="76" t="str">
        <f>'MC P3'!$B$12</f>
        <v>Concreto de nivelación 2000 psi grava común (140 kg/cm2) (premezclado. incluye suministro, fundida y nivelación y colocación. no incluye refuerzo, curado).</v>
      </c>
      <c r="I15" s="31" t="str">
        <f>'MC P3'!$C$12</f>
        <v>m3</v>
      </c>
      <c r="J15" s="77">
        <f>'MC P3'!$D$12</f>
        <v>2.5462500000000001</v>
      </c>
      <c r="K15" s="31"/>
      <c r="L15" s="20" t="s">
        <v>32</v>
      </c>
      <c r="N15" s="121"/>
      <c r="O15" s="122"/>
      <c r="P15" s="122"/>
    </row>
    <row r="16" spans="1:16" ht="63" customHeight="1" x14ac:dyDescent="0.25">
      <c r="A16" s="31" t="s">
        <v>36</v>
      </c>
      <c r="B16" s="33"/>
      <c r="C16" s="34"/>
      <c r="D16" s="20" t="s">
        <v>31</v>
      </c>
      <c r="E16" s="20" t="s">
        <v>37</v>
      </c>
      <c r="F16" s="34" t="s">
        <v>45</v>
      </c>
      <c r="G16" s="31" t="str">
        <f>'MC P3'!$A$13</f>
        <v>KES003</v>
      </c>
      <c r="H16" s="76" t="str">
        <f>'MC P3'!$B$13</f>
        <v>Concreto 4000 PSI para muro estructural (Premezclado Incluye Sumin, Formaleteo y Colocación No incluye Refuerzo, Curado).</v>
      </c>
      <c r="I16" s="31" t="str">
        <f>'MC P3'!$C$13</f>
        <v>m3</v>
      </c>
      <c r="J16" s="77">
        <f>'MC P3'!$D$13</f>
        <v>78.616900000000001</v>
      </c>
      <c r="K16" s="33"/>
      <c r="L16" s="20" t="s">
        <v>32</v>
      </c>
      <c r="N16" s="123"/>
      <c r="P16" s="124"/>
    </row>
    <row r="17" spans="1:16" ht="124.5" customHeight="1" x14ac:dyDescent="0.25">
      <c r="A17" s="31" t="s">
        <v>36</v>
      </c>
      <c r="B17" s="33"/>
      <c r="C17" s="34"/>
      <c r="D17" s="20" t="s">
        <v>31</v>
      </c>
      <c r="E17" s="20" t="s">
        <v>37</v>
      </c>
      <c r="F17" s="20" t="s">
        <v>46</v>
      </c>
      <c r="G17" s="34">
        <f>'MC P3'!$A$18</f>
        <v>3708</v>
      </c>
      <c r="H17" s="76" t="str">
        <f>'MC P3'!$B$18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17" s="31" t="str">
        <f>'MC P3'!$C$18</f>
        <v>kg</v>
      </c>
      <c r="J17" s="78">
        <f>'MC P3'!$D$18</f>
        <v>11327.572769999999</v>
      </c>
      <c r="K17" s="33"/>
      <c r="L17" s="20" t="s">
        <v>32</v>
      </c>
      <c r="N17" s="125"/>
    </row>
    <row r="18" spans="1:16" ht="50.25" customHeight="1" x14ac:dyDescent="0.25">
      <c r="A18" s="31" t="s">
        <v>36</v>
      </c>
      <c r="B18" s="33"/>
      <c r="C18" s="34"/>
      <c r="D18" s="20" t="s">
        <v>31</v>
      </c>
      <c r="E18" s="20" t="s">
        <v>37</v>
      </c>
      <c r="F18" s="20" t="s">
        <v>47</v>
      </c>
      <c r="G18" s="34">
        <f>'MC P3'!$A$23</f>
        <v>3464</v>
      </c>
      <c r="H18" s="76" t="str">
        <f>'MC P3'!$B$23</f>
        <v>Excavación manual en material común. Incluye cargue</v>
      </c>
      <c r="I18" s="31" t="str">
        <f>'MC P3'!$C$23</f>
        <v>m3</v>
      </c>
      <c r="J18" s="77">
        <f>'MC P3'!$D$23</f>
        <v>76.853200000000001</v>
      </c>
      <c r="K18" s="33"/>
      <c r="L18" s="20" t="s">
        <v>32</v>
      </c>
      <c r="N18" s="123"/>
    </row>
    <row r="19" spans="1:16" ht="77.25" customHeight="1" x14ac:dyDescent="0.25">
      <c r="A19" s="31" t="s">
        <v>36</v>
      </c>
      <c r="B19" s="33"/>
      <c r="C19" s="34"/>
      <c r="D19" s="20" t="s">
        <v>31</v>
      </c>
      <c r="E19" s="20" t="s">
        <v>37</v>
      </c>
      <c r="F19" s="34" t="s">
        <v>48</v>
      </c>
      <c r="G19" s="34">
        <f>'MC P3'!$A$24</f>
        <v>3017</v>
      </c>
      <c r="H19" s="76" t="str">
        <f>'MC P3'!$B$24</f>
        <v>Transporte y disposición final de escombros en sitio autorizado (distancia de transporte 21 km) a distancia mayor del acarreo libre (90m) en sitio autorizado por la entidad ambiental competente.</v>
      </c>
      <c r="I19" s="31" t="str">
        <f>'MC P3'!$C$24</f>
        <v>m3</v>
      </c>
      <c r="J19" s="77">
        <f>'MC P3'!$D$24</f>
        <v>76.853200000000001</v>
      </c>
      <c r="K19" s="33"/>
      <c r="L19" s="20" t="s">
        <v>32</v>
      </c>
      <c r="N19" s="123"/>
    </row>
    <row r="20" spans="1:16" ht="69" customHeight="1" x14ac:dyDescent="0.25">
      <c r="A20" s="31" t="s">
        <v>36</v>
      </c>
      <c r="B20" s="33"/>
      <c r="C20" s="34"/>
      <c r="D20" s="20" t="s">
        <v>31</v>
      </c>
      <c r="E20" s="20" t="s">
        <v>37</v>
      </c>
      <c r="F20" s="20" t="s">
        <v>49</v>
      </c>
      <c r="G20" s="34">
        <f>'MC P3'!$A$25</f>
        <v>7364</v>
      </c>
      <c r="H20" s="76" t="str">
        <f>'MC P3'!$B$25</f>
        <v>Relleno en recebo común (suministro e instalación extendido mecánico, humedecimiento, compatación y transporte a 28 km)</v>
      </c>
      <c r="I20" s="31" t="str">
        <f>'MC P3'!$C$25</f>
        <v>m3</v>
      </c>
      <c r="J20" s="77">
        <f>'MC P3'!$D$25</f>
        <v>12.220300000000009</v>
      </c>
      <c r="K20" s="33"/>
      <c r="L20" s="20" t="s">
        <v>32</v>
      </c>
      <c r="N20" s="123"/>
    </row>
    <row r="21" spans="1:16" ht="81" customHeight="1" x14ac:dyDescent="0.25">
      <c r="A21" s="31" t="s">
        <v>36</v>
      </c>
      <c r="B21" s="33"/>
      <c r="C21" s="34"/>
      <c r="D21" s="20" t="s">
        <v>31</v>
      </c>
      <c r="E21" s="20" t="s">
        <v>37</v>
      </c>
      <c r="F21" s="20" t="s">
        <v>98</v>
      </c>
      <c r="G21" s="62">
        <f>'MC P3'!$A$26</f>
        <v>0</v>
      </c>
      <c r="H21" s="76" t="str">
        <f>'MC P3'!$B$26</f>
        <v>Bloque estructural en concreto 39x14x6 tipo, color chocolate</v>
      </c>
      <c r="I21" s="31" t="str">
        <f>'MC P3'!$C$26</f>
        <v>m2</v>
      </c>
      <c r="J21" s="77">
        <f>'MC P3'!$D$26</f>
        <v>38.299999999999997</v>
      </c>
      <c r="K21" s="33"/>
      <c r="L21" s="20" t="s">
        <v>32</v>
      </c>
      <c r="N21" s="123"/>
    </row>
    <row r="22" spans="1:16" s="80" customFormat="1" ht="194.25" customHeight="1" x14ac:dyDescent="0.25">
      <c r="A22" s="31" t="s">
        <v>36</v>
      </c>
      <c r="B22" s="79"/>
      <c r="C22" s="54"/>
      <c r="D22" s="20" t="s">
        <v>31</v>
      </c>
      <c r="E22" s="20" t="s">
        <v>37</v>
      </c>
      <c r="F22" s="54" t="s">
        <v>99</v>
      </c>
      <c r="G22" s="62">
        <f>'MC P3'!$A$27</f>
        <v>0</v>
      </c>
      <c r="H22" s="76" t="str">
        <f>'MC P3'!$B$27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22" s="31" t="str">
        <f>'MC P3'!$C$27</f>
        <v>ml</v>
      </c>
      <c r="J22" s="77">
        <f>'MC P3'!$D$27</f>
        <v>23.8</v>
      </c>
      <c r="K22" s="79"/>
      <c r="L22" s="20" t="s">
        <v>32</v>
      </c>
      <c r="N22" s="123"/>
    </row>
    <row r="23" spans="1:16" ht="46.5" customHeight="1" x14ac:dyDescent="0.25">
      <c r="A23" s="31" t="s">
        <v>36</v>
      </c>
      <c r="B23" s="33"/>
      <c r="C23" s="34"/>
      <c r="D23" s="20" t="s">
        <v>31</v>
      </c>
      <c r="E23" s="20" t="s">
        <v>37</v>
      </c>
      <c r="F23" s="20" t="s">
        <v>100</v>
      </c>
      <c r="G23" s="34">
        <f>'MC P3'!$A$28</f>
        <v>4009</v>
      </c>
      <c r="H23" s="76" t="str">
        <f>'MC P3'!$B$28</f>
        <v>Geotextil NT 3000 para subdrenes/filtros (incluye suministro e instalación)</v>
      </c>
      <c r="I23" s="31" t="str">
        <f>'MC P3'!$C$28</f>
        <v>m2</v>
      </c>
      <c r="J23" s="77">
        <f>'MC P3'!$D$28</f>
        <v>39.6</v>
      </c>
      <c r="K23" s="33"/>
      <c r="L23" s="20" t="s">
        <v>32</v>
      </c>
      <c r="N23" s="123"/>
    </row>
    <row r="24" spans="1:16" s="80" customFormat="1" ht="57" customHeight="1" x14ac:dyDescent="0.25">
      <c r="A24" s="31" t="s">
        <v>36</v>
      </c>
      <c r="B24" s="79"/>
      <c r="C24" s="54"/>
      <c r="D24" s="20" t="s">
        <v>31</v>
      </c>
      <c r="E24" s="20" t="s">
        <v>37</v>
      </c>
      <c r="F24" s="20" t="s">
        <v>101</v>
      </c>
      <c r="G24" s="54">
        <f>'MC P3'!$A$29</f>
        <v>5412</v>
      </c>
      <c r="H24" s="76" t="str">
        <f>'MC P3'!$B$29</f>
        <v>Relleno de triturado de 3/4" (incluye transporte, suministro, extendido manual y colocación)</v>
      </c>
      <c r="I24" s="31" t="str">
        <f>'MC P3'!$C$29</f>
        <v>m3</v>
      </c>
      <c r="J24" s="77">
        <f>'MC P3'!$D$29</f>
        <v>5.9</v>
      </c>
      <c r="K24" s="79"/>
      <c r="L24" s="20" t="s">
        <v>32</v>
      </c>
      <c r="N24" s="123"/>
    </row>
    <row r="25" spans="1:16" s="80" customFormat="1" ht="40.5" customHeight="1" x14ac:dyDescent="0.25">
      <c r="A25" s="31" t="s">
        <v>36</v>
      </c>
      <c r="B25" s="79"/>
      <c r="C25" s="54"/>
      <c r="D25" s="20" t="s">
        <v>31</v>
      </c>
      <c r="E25" s="20" t="s">
        <v>37</v>
      </c>
      <c r="F25" s="54" t="s">
        <v>102</v>
      </c>
      <c r="G25" s="54">
        <f>'MC P3'!$A$30</f>
        <v>3905</v>
      </c>
      <c r="H25" s="76" t="str">
        <f>'MC P3'!$B$30</f>
        <v>Tuberia de PVC para drenaje D= 6" con filtro (incluye suministro e instalación)</v>
      </c>
      <c r="I25" s="31" t="str">
        <f>'MC P3'!$C$30</f>
        <v>ml</v>
      </c>
      <c r="J25" s="77">
        <f>'MC P3'!$D$30</f>
        <v>23.8</v>
      </c>
      <c r="K25" s="79"/>
      <c r="L25" s="20" t="s">
        <v>32</v>
      </c>
      <c r="N25" s="123"/>
    </row>
    <row r="26" spans="1:16" s="80" customFormat="1" ht="42" customHeight="1" x14ac:dyDescent="0.25">
      <c r="A26" s="31" t="s">
        <v>36</v>
      </c>
      <c r="B26" s="79"/>
      <c r="C26" s="54"/>
      <c r="D26" s="20" t="s">
        <v>31</v>
      </c>
      <c r="E26" s="20" t="s">
        <v>37</v>
      </c>
      <c r="F26" s="20" t="s">
        <v>103</v>
      </c>
      <c r="G26" s="54">
        <f>'MC P3'!$A$31</f>
        <v>3904</v>
      </c>
      <c r="H26" s="76" t="str">
        <f>'MC P3'!$B$31</f>
        <v>Tuberia de PVC para drenaje de 4" sin filtro (incluye suministro e instalación)</v>
      </c>
      <c r="I26" s="31" t="str">
        <f>'MC P3'!$C$31</f>
        <v>ml</v>
      </c>
      <c r="J26" s="77">
        <f>'MC P3'!$D$31</f>
        <v>2.4</v>
      </c>
      <c r="K26" s="79"/>
      <c r="L26" s="20" t="s">
        <v>32</v>
      </c>
      <c r="N26" s="123"/>
    </row>
    <row r="27" spans="1:16" s="95" customFormat="1" x14ac:dyDescent="0.25">
      <c r="A27" s="89"/>
      <c r="B27" s="90"/>
      <c r="C27" s="91"/>
      <c r="D27" s="92"/>
      <c r="E27" s="92"/>
      <c r="F27" s="92"/>
      <c r="G27" s="91"/>
      <c r="H27" s="93"/>
      <c r="I27" s="91"/>
      <c r="J27" s="94"/>
      <c r="K27" s="90"/>
      <c r="L27" s="92"/>
      <c r="N27" s="80"/>
      <c r="O27" s="80"/>
      <c r="P27" s="80"/>
    </row>
    <row r="28" spans="1:16" ht="54.75" customHeight="1" x14ac:dyDescent="0.25">
      <c r="A28" s="31" t="s">
        <v>105</v>
      </c>
      <c r="B28" s="30"/>
      <c r="C28" s="20"/>
      <c r="D28" s="20" t="s">
        <v>31</v>
      </c>
      <c r="E28" s="20" t="s">
        <v>37</v>
      </c>
      <c r="F28" s="20" t="s">
        <v>44</v>
      </c>
      <c r="G28" s="31">
        <f>'MC P4'!$A$12</f>
        <v>6021</v>
      </c>
      <c r="H28" s="76" t="str">
        <f>'MC P4'!$B$12</f>
        <v>Concreto de nivelación 2000 psi grava común (140 kg/cm2) (premezclado. incluye suministro, fundida y nivelación y colocación. no incluye refuerzo, curado).</v>
      </c>
      <c r="I28" s="31" t="str">
        <f>'MC P4'!$C$12</f>
        <v>m3</v>
      </c>
      <c r="J28" s="77">
        <f>'MC P4'!$D$12</f>
        <v>3.4659499999999999</v>
      </c>
      <c r="K28" s="31"/>
      <c r="L28" s="20" t="s">
        <v>32</v>
      </c>
    </row>
    <row r="29" spans="1:16" ht="60.75" customHeight="1" x14ac:dyDescent="0.25">
      <c r="A29" s="31" t="s">
        <v>105</v>
      </c>
      <c r="B29" s="33"/>
      <c r="C29" s="34"/>
      <c r="D29" s="20" t="s">
        <v>31</v>
      </c>
      <c r="E29" s="20" t="s">
        <v>37</v>
      </c>
      <c r="F29" s="34" t="s">
        <v>45</v>
      </c>
      <c r="G29" s="31" t="str">
        <f>'MC P4'!$A$13</f>
        <v>KES003</v>
      </c>
      <c r="H29" s="76" t="str">
        <f>'MC P4'!$B$13</f>
        <v>Concreto 4000 PSI para muro estructural (Premezclado Incluye Sumin, Formaleteo y Colocación No incluye Refuerzo, Curado).</v>
      </c>
      <c r="I29" s="31" t="str">
        <f>'MC P4'!$C$13</f>
        <v>m3</v>
      </c>
      <c r="J29" s="77">
        <f>'MC P4'!$D$13</f>
        <v>44.794400000000003</v>
      </c>
      <c r="K29" s="33"/>
      <c r="L29" s="20" t="s">
        <v>32</v>
      </c>
    </row>
    <row r="30" spans="1:16" ht="117" customHeight="1" x14ac:dyDescent="0.25">
      <c r="A30" s="31" t="s">
        <v>105</v>
      </c>
      <c r="B30" s="33"/>
      <c r="C30" s="34"/>
      <c r="D30" s="20" t="s">
        <v>31</v>
      </c>
      <c r="E30" s="20" t="s">
        <v>37</v>
      </c>
      <c r="F30" s="20" t="s">
        <v>46</v>
      </c>
      <c r="G30" s="34">
        <f>'MC P4'!$A$18</f>
        <v>3708</v>
      </c>
      <c r="H30" s="76" t="str">
        <f>'MC P4'!$B$18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30" s="31" t="str">
        <f>'MC P4'!$C$18</f>
        <v>kg</v>
      </c>
      <c r="J30" s="78">
        <f>'MC P4'!$D$18</f>
        <v>7449.1886800000002</v>
      </c>
      <c r="K30" s="33"/>
      <c r="L30" s="20" t="s">
        <v>32</v>
      </c>
    </row>
    <row r="31" spans="1:16" ht="49.5" customHeight="1" x14ac:dyDescent="0.25">
      <c r="A31" s="31" t="s">
        <v>105</v>
      </c>
      <c r="B31" s="33"/>
      <c r="C31" s="34"/>
      <c r="D31" s="20" t="s">
        <v>31</v>
      </c>
      <c r="E31" s="20" t="s">
        <v>37</v>
      </c>
      <c r="F31" s="20" t="s">
        <v>47</v>
      </c>
      <c r="G31" s="34">
        <f>'MC P4'!$A$23</f>
        <v>3464</v>
      </c>
      <c r="H31" s="76" t="str">
        <f>'MC P4'!$B$23</f>
        <v>Excavación manual en material común. Incluye cargue</v>
      </c>
      <c r="I31" s="31" t="str">
        <f>'MC P4'!$C$23</f>
        <v>m3</v>
      </c>
      <c r="J31" s="77">
        <f>'MC P4'!$D$23</f>
        <v>91.521599999999992</v>
      </c>
      <c r="K31" s="33"/>
      <c r="L31" s="20" t="s">
        <v>32</v>
      </c>
    </row>
    <row r="32" spans="1:16" ht="75" customHeight="1" x14ac:dyDescent="0.25">
      <c r="A32" s="31" t="s">
        <v>105</v>
      </c>
      <c r="B32" s="33"/>
      <c r="C32" s="34"/>
      <c r="D32" s="20" t="s">
        <v>31</v>
      </c>
      <c r="E32" s="20" t="s">
        <v>37</v>
      </c>
      <c r="F32" s="34" t="s">
        <v>48</v>
      </c>
      <c r="G32" s="34">
        <f>'MC P4'!$A$24</f>
        <v>3017</v>
      </c>
      <c r="H32" s="76" t="str">
        <f>'MC P4'!$B$24</f>
        <v>Transporte y disposición final de escombros en sitio autorizado (distancia de transporte 21 km) a distancia mayor del acarreo libre (90m) en sitio autorizado por la entidad ambiental competente.</v>
      </c>
      <c r="I32" s="31" t="str">
        <f>'MC P4'!$C$24</f>
        <v>m3</v>
      </c>
      <c r="J32" s="77">
        <f>'MC P4'!$D$24</f>
        <v>91.521599999999992</v>
      </c>
      <c r="K32" s="33"/>
      <c r="L32" s="20" t="s">
        <v>32</v>
      </c>
    </row>
    <row r="33" spans="1:16" ht="60" customHeight="1" x14ac:dyDescent="0.25">
      <c r="A33" s="31" t="s">
        <v>105</v>
      </c>
      <c r="B33" s="33"/>
      <c r="C33" s="34"/>
      <c r="D33" s="20" t="s">
        <v>31</v>
      </c>
      <c r="E33" s="20" t="s">
        <v>37</v>
      </c>
      <c r="F33" s="20" t="s">
        <v>49</v>
      </c>
      <c r="G33" s="34">
        <f>'MC P4'!$A$25</f>
        <v>7364</v>
      </c>
      <c r="H33" s="76" t="str">
        <f>'MC P4'!$B$25</f>
        <v>Relleno en recebo común (suministro e instalación extendido mecánico, humedecimiento, compatación y transporte a 28 km)</v>
      </c>
      <c r="I33" s="31" t="str">
        <f>'MC P4'!$C$25</f>
        <v>m3</v>
      </c>
      <c r="J33" s="77">
        <f>'MC P4'!$D$25</f>
        <v>46.727199999999989</v>
      </c>
      <c r="K33" s="33"/>
      <c r="L33" s="20" t="s">
        <v>32</v>
      </c>
    </row>
    <row r="34" spans="1:16" ht="72.75" customHeight="1" x14ac:dyDescent="0.25">
      <c r="A34" s="31" t="s">
        <v>105</v>
      </c>
      <c r="B34" s="33"/>
      <c r="C34" s="34"/>
      <c r="D34" s="20" t="s">
        <v>31</v>
      </c>
      <c r="E34" s="20" t="s">
        <v>37</v>
      </c>
      <c r="F34" s="20" t="s">
        <v>98</v>
      </c>
      <c r="G34" s="62">
        <f>'MC P4'!$A$26</f>
        <v>0</v>
      </c>
      <c r="H34" s="76" t="str">
        <f>'MC P4'!$B$26</f>
        <v>Bloque estructural en concreto 39x14x6 tipo, color chocolate</v>
      </c>
      <c r="I34" s="31" t="str">
        <f>'MC P4'!$C$26</f>
        <v>m2</v>
      </c>
      <c r="J34" s="77">
        <f>'MC P4'!$D$26</f>
        <v>48.4</v>
      </c>
      <c r="K34" s="33"/>
      <c r="L34" s="20" t="s">
        <v>32</v>
      </c>
    </row>
    <row r="35" spans="1:16" ht="197.25" customHeight="1" x14ac:dyDescent="0.25">
      <c r="A35" s="31" t="s">
        <v>105</v>
      </c>
      <c r="B35" s="79"/>
      <c r="C35" s="54"/>
      <c r="D35" s="20" t="s">
        <v>31</v>
      </c>
      <c r="E35" s="20" t="s">
        <v>37</v>
      </c>
      <c r="F35" s="54" t="s">
        <v>99</v>
      </c>
      <c r="G35" s="62">
        <f>'MC P4'!$A$27</f>
        <v>0</v>
      </c>
      <c r="H35" s="76" t="str">
        <f>'MC P4'!$B$27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35" s="31" t="str">
        <f>'MC P4'!$C$27</f>
        <v>ml</v>
      </c>
      <c r="J35" s="77">
        <f>'MC P4'!$D$27</f>
        <v>44.1</v>
      </c>
      <c r="K35" s="79"/>
      <c r="L35" s="20" t="s">
        <v>32</v>
      </c>
    </row>
    <row r="36" spans="1:16" ht="46.5" customHeight="1" x14ac:dyDescent="0.25">
      <c r="A36" s="31" t="s">
        <v>105</v>
      </c>
      <c r="B36" s="33"/>
      <c r="C36" s="34"/>
      <c r="D36" s="20" t="s">
        <v>31</v>
      </c>
      <c r="E36" s="20" t="s">
        <v>37</v>
      </c>
      <c r="F36" s="20" t="s">
        <v>100</v>
      </c>
      <c r="G36" s="34">
        <f>'MC P4'!$A$28</f>
        <v>4009</v>
      </c>
      <c r="H36" s="76" t="str">
        <f>'MC P4'!$B$28</f>
        <v>Geotextil NT 3000 para subdrenes/filtros (incluye suministro e instalación)</v>
      </c>
      <c r="I36" s="31" t="str">
        <f>'MC P4'!$C$28</f>
        <v>m2</v>
      </c>
      <c r="J36" s="77">
        <f>'MC P4'!$D$28</f>
        <v>58.2</v>
      </c>
      <c r="K36" s="33"/>
      <c r="L36" s="20" t="s">
        <v>32</v>
      </c>
    </row>
    <row r="37" spans="1:16" s="80" customFormat="1" ht="62.25" customHeight="1" x14ac:dyDescent="0.25">
      <c r="A37" s="31" t="s">
        <v>105</v>
      </c>
      <c r="B37" s="79"/>
      <c r="C37" s="54"/>
      <c r="D37" s="20" t="s">
        <v>31</v>
      </c>
      <c r="E37" s="20" t="s">
        <v>37</v>
      </c>
      <c r="F37" s="20" t="s">
        <v>101</v>
      </c>
      <c r="G37" s="54">
        <f>'MC P4'!$A$29</f>
        <v>5412</v>
      </c>
      <c r="H37" s="76" t="str">
        <f>'MC P4'!$B$29</f>
        <v>Relleno de triturado de 3/4" (incluye transporte, suministro, extendido manual y colocación)</v>
      </c>
      <c r="I37" s="31" t="str">
        <f>'MC P4'!$C$29</f>
        <v>m3</v>
      </c>
      <c r="J37" s="77">
        <f>'MC P4'!$D$29</f>
        <v>8.3000000000000007</v>
      </c>
      <c r="K37" s="79"/>
      <c r="L37" s="20" t="s">
        <v>32</v>
      </c>
    </row>
    <row r="38" spans="1:16" s="80" customFormat="1" ht="43.5" customHeight="1" x14ac:dyDescent="0.25">
      <c r="A38" s="31" t="s">
        <v>105</v>
      </c>
      <c r="B38" s="79"/>
      <c r="C38" s="54"/>
      <c r="D38" s="20" t="s">
        <v>31</v>
      </c>
      <c r="E38" s="20" t="s">
        <v>37</v>
      </c>
      <c r="F38" s="54" t="s">
        <v>102</v>
      </c>
      <c r="G38" s="54">
        <f>'MC P4'!$A$30</f>
        <v>3905</v>
      </c>
      <c r="H38" s="76" t="str">
        <f>'MC P4'!$B$30</f>
        <v>Tuberia de PVC para drenaje D= 6" con filtro (incluye suministro e instalación)</v>
      </c>
      <c r="I38" s="31" t="str">
        <f>'MC P4'!$C$30</f>
        <v>ml</v>
      </c>
      <c r="J38" s="77">
        <f>'MC P4'!$D$30</f>
        <v>44.1</v>
      </c>
      <c r="K38" s="79"/>
      <c r="L38" s="20" t="s">
        <v>32</v>
      </c>
    </row>
    <row r="39" spans="1:16" s="80" customFormat="1" ht="42" customHeight="1" x14ac:dyDescent="0.25">
      <c r="A39" s="31" t="s">
        <v>105</v>
      </c>
      <c r="B39" s="79"/>
      <c r="C39" s="54"/>
      <c r="D39" s="20" t="s">
        <v>31</v>
      </c>
      <c r="E39" s="20" t="s">
        <v>37</v>
      </c>
      <c r="F39" s="20" t="s">
        <v>103</v>
      </c>
      <c r="G39" s="54">
        <f>'MC P4'!$A$31</f>
        <v>3904</v>
      </c>
      <c r="H39" s="76" t="str">
        <f>'MC P4'!$B$31</f>
        <v>Tuberia de PVC para drenaje de 4" sin filtro (incluye suministro e instalación)</v>
      </c>
      <c r="I39" s="31" t="str">
        <f>'MC P4'!$C$31</f>
        <v>ml</v>
      </c>
      <c r="J39" s="77">
        <f>'MC P4'!$D$31</f>
        <v>4.5</v>
      </c>
      <c r="K39" s="79"/>
      <c r="L39" s="20" t="s">
        <v>32</v>
      </c>
    </row>
    <row r="40" spans="1:16" s="95" customFormat="1" x14ac:dyDescent="0.25">
      <c r="C40" s="96"/>
      <c r="H40" s="97"/>
      <c r="J40" s="98"/>
      <c r="N40" s="80"/>
      <c r="O40" s="80"/>
      <c r="P40" s="80"/>
    </row>
    <row r="41" spans="1:16" ht="58.5" customHeight="1" x14ac:dyDescent="0.25">
      <c r="A41" s="31" t="s">
        <v>106</v>
      </c>
      <c r="B41" s="30"/>
      <c r="C41" s="20"/>
      <c r="D41" s="20" t="s">
        <v>31</v>
      </c>
      <c r="E41" s="20" t="s">
        <v>37</v>
      </c>
      <c r="F41" s="20" t="s">
        <v>44</v>
      </c>
      <c r="G41" s="31">
        <f>'MC P5'!$A$12</f>
        <v>6021</v>
      </c>
      <c r="H41" s="76" t="str">
        <f>'MC P5'!$B$12</f>
        <v>Concreto de nivelación 2000 psi grava común (140 kg/cm2) (premezclado. incluye suministro, fundida y nivelación y colocación. no incluye refuerzo, curado).</v>
      </c>
      <c r="I41" s="31" t="str">
        <f>'MC P5'!$C$12</f>
        <v>m3</v>
      </c>
      <c r="J41" s="77">
        <f>'MC P5'!$D$12</f>
        <v>3.996</v>
      </c>
      <c r="K41" s="31"/>
      <c r="L41" s="20" t="s">
        <v>32</v>
      </c>
    </row>
    <row r="42" spans="1:16" ht="52.5" customHeight="1" x14ac:dyDescent="0.25">
      <c r="A42" s="31" t="s">
        <v>106</v>
      </c>
      <c r="B42" s="33"/>
      <c r="C42" s="34"/>
      <c r="D42" s="20" t="s">
        <v>31</v>
      </c>
      <c r="E42" s="20" t="s">
        <v>37</v>
      </c>
      <c r="F42" s="34" t="s">
        <v>45</v>
      </c>
      <c r="G42" s="31" t="str">
        <f>'MC P5'!$A$13</f>
        <v>KES003</v>
      </c>
      <c r="H42" s="76" t="str">
        <f>'MC P5'!$B$13</f>
        <v>Concreto 4000 PSI para muro estructural (Premezclado Incluye Sumin, Formaleteo y Colocación No incluye Refuerzo, Curado).</v>
      </c>
      <c r="I42" s="31" t="str">
        <f>'MC P5'!$C$13</f>
        <v>m3</v>
      </c>
      <c r="J42" s="77">
        <f>'MC P5'!$D$13</f>
        <v>71.334579999999988</v>
      </c>
      <c r="K42" s="33"/>
      <c r="L42" s="20" t="s">
        <v>32</v>
      </c>
    </row>
    <row r="43" spans="1:16" ht="119.25" customHeight="1" x14ac:dyDescent="0.25">
      <c r="A43" s="31" t="s">
        <v>106</v>
      </c>
      <c r="B43" s="33"/>
      <c r="C43" s="34"/>
      <c r="D43" s="20" t="s">
        <v>31</v>
      </c>
      <c r="E43" s="20" t="s">
        <v>37</v>
      </c>
      <c r="F43" s="20" t="s">
        <v>46</v>
      </c>
      <c r="G43" s="34">
        <f>'MC P5'!$A$18</f>
        <v>3708</v>
      </c>
      <c r="H43" s="76" t="str">
        <f>'MC P5'!$B$18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43" s="31" t="str">
        <f>'MC P5'!$C$18</f>
        <v>kg</v>
      </c>
      <c r="J43" s="78">
        <f>'MC P5'!$D$18</f>
        <v>10973.465029999996</v>
      </c>
      <c r="K43" s="33"/>
      <c r="L43" s="20" t="s">
        <v>32</v>
      </c>
    </row>
    <row r="44" spans="1:16" ht="35.25" customHeight="1" x14ac:dyDescent="0.25">
      <c r="A44" s="31" t="s">
        <v>106</v>
      </c>
      <c r="B44" s="33"/>
      <c r="C44" s="34"/>
      <c r="D44" s="20" t="s">
        <v>31</v>
      </c>
      <c r="E44" s="20" t="s">
        <v>37</v>
      </c>
      <c r="F44" s="20" t="s">
        <v>47</v>
      </c>
      <c r="G44" s="34">
        <f>'MC P5'!$A$23</f>
        <v>3464</v>
      </c>
      <c r="H44" s="76" t="str">
        <f>'MC P5'!$B$23</f>
        <v>Excavación manual en material común. Incluye cargue</v>
      </c>
      <c r="I44" s="31" t="str">
        <f>'MC P5'!$C$23</f>
        <v>m3</v>
      </c>
      <c r="J44" s="77">
        <f>'MC P5'!$D$23</f>
        <v>185.96899999999999</v>
      </c>
      <c r="K44" s="33"/>
      <c r="L44" s="20" t="s">
        <v>32</v>
      </c>
    </row>
    <row r="45" spans="1:16" ht="71.25" customHeight="1" x14ac:dyDescent="0.25">
      <c r="A45" s="31" t="s">
        <v>106</v>
      </c>
      <c r="B45" s="33"/>
      <c r="C45" s="34"/>
      <c r="D45" s="20" t="s">
        <v>31</v>
      </c>
      <c r="E45" s="20" t="s">
        <v>37</v>
      </c>
      <c r="F45" s="34" t="s">
        <v>48</v>
      </c>
      <c r="G45" s="34">
        <f>'MC P5'!$A$24</f>
        <v>3017</v>
      </c>
      <c r="H45" s="76" t="str">
        <f>'MC P5'!$B$24</f>
        <v>Transporte y disposición final de escombros en sitio autorizado (distancia de transporte 21 km) a distancia mayor del acarreo libre (90m) en sitio autorizado por la entidad ambiental competente.</v>
      </c>
      <c r="I45" s="31" t="str">
        <f>'MC P5'!$C$24</f>
        <v>m3</v>
      </c>
      <c r="J45" s="77">
        <f>'MC P5'!$D$24</f>
        <v>185.96899999999999</v>
      </c>
      <c r="K45" s="33"/>
      <c r="L45" s="20" t="s">
        <v>32</v>
      </c>
    </row>
    <row r="46" spans="1:16" ht="31.5" x14ac:dyDescent="0.25">
      <c r="A46" s="31" t="s">
        <v>106</v>
      </c>
      <c r="B46" s="33"/>
      <c r="C46" s="34"/>
      <c r="D46" s="20" t="s">
        <v>31</v>
      </c>
      <c r="E46" s="20" t="s">
        <v>37</v>
      </c>
      <c r="F46" s="20" t="s">
        <v>49</v>
      </c>
      <c r="G46" s="34">
        <f>'MC P5'!$A$25</f>
        <v>7364</v>
      </c>
      <c r="H46" s="76" t="str">
        <f>'MC P5'!$B$25</f>
        <v>Relleno en recebo común (suministro e instalación extendido mecánico, humedecimiento, compatación y transporte a 28 km)</v>
      </c>
      <c r="I46" s="31" t="str">
        <f>'MC P5'!$C$25</f>
        <v>m3</v>
      </c>
      <c r="J46" s="77">
        <f>'MC P5'!$D$25</f>
        <v>114.63442000000001</v>
      </c>
      <c r="K46" s="33"/>
      <c r="L46" s="20" t="s">
        <v>32</v>
      </c>
    </row>
    <row r="47" spans="1:16" ht="75" customHeight="1" x14ac:dyDescent="0.25">
      <c r="A47" s="31" t="s">
        <v>106</v>
      </c>
      <c r="B47" s="33"/>
      <c r="C47" s="34"/>
      <c r="D47" s="20" t="s">
        <v>31</v>
      </c>
      <c r="E47" s="20" t="s">
        <v>37</v>
      </c>
      <c r="F47" s="20" t="s">
        <v>98</v>
      </c>
      <c r="G47" s="62">
        <f>'MC P5'!$A$26</f>
        <v>0</v>
      </c>
      <c r="H47" s="76" t="str">
        <f>'MC P5'!$B$26</f>
        <v>Bloque estructural en concreto 39x14x6 tipo, color chocolate</v>
      </c>
      <c r="I47" s="31" t="str">
        <f>'MC P5'!$C$26</f>
        <v>m2</v>
      </c>
      <c r="J47" s="77">
        <f>'MC P5'!$D$26</f>
        <v>58.5</v>
      </c>
      <c r="K47" s="33"/>
      <c r="L47" s="20" t="s">
        <v>32</v>
      </c>
    </row>
    <row r="48" spans="1:16" ht="211.5" customHeight="1" x14ac:dyDescent="0.25">
      <c r="A48" s="31" t="s">
        <v>106</v>
      </c>
      <c r="B48" s="79"/>
      <c r="C48" s="54"/>
      <c r="D48" s="20" t="s">
        <v>31</v>
      </c>
      <c r="E48" s="20" t="s">
        <v>37</v>
      </c>
      <c r="F48" s="54" t="s">
        <v>99</v>
      </c>
      <c r="G48" s="62">
        <f>'MC P5'!$A$27</f>
        <v>0</v>
      </c>
      <c r="H48" s="76" t="str">
        <f>'MC P5'!$B$27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48" s="31" t="str">
        <f>'MC P5'!$C$27</f>
        <v>ml</v>
      </c>
      <c r="J48" s="77">
        <f>'MC P5'!$D$27</f>
        <v>47.5</v>
      </c>
      <c r="K48" s="79"/>
      <c r="L48" s="20" t="s">
        <v>32</v>
      </c>
    </row>
    <row r="49" spans="1:16" ht="44.25" customHeight="1" x14ac:dyDescent="0.25">
      <c r="A49" s="31" t="s">
        <v>106</v>
      </c>
      <c r="B49" s="33"/>
      <c r="C49" s="34"/>
      <c r="D49" s="20" t="s">
        <v>31</v>
      </c>
      <c r="E49" s="20" t="s">
        <v>37</v>
      </c>
      <c r="F49" s="20" t="s">
        <v>100</v>
      </c>
      <c r="G49" s="34">
        <f>'MC P5'!$A$28</f>
        <v>4009</v>
      </c>
      <c r="H49" s="76" t="str">
        <f>'MC P5'!$B$28</f>
        <v>Geotextil NT 3000 para subdrenes/filtros (incluye suministro e instalación)</v>
      </c>
      <c r="I49" s="31" t="str">
        <f>'MC P5'!$C$28</f>
        <v>m2</v>
      </c>
      <c r="J49" s="77">
        <f>'MC P5'!$D$28</f>
        <v>56.9</v>
      </c>
      <c r="K49" s="33"/>
      <c r="L49" s="20" t="s">
        <v>32</v>
      </c>
    </row>
    <row r="50" spans="1:16" ht="62.25" customHeight="1" x14ac:dyDescent="0.25">
      <c r="A50" s="31" t="s">
        <v>106</v>
      </c>
      <c r="B50" s="79"/>
      <c r="C50" s="54"/>
      <c r="D50" s="20" t="s">
        <v>31</v>
      </c>
      <c r="E50" s="20" t="s">
        <v>37</v>
      </c>
      <c r="F50" s="20" t="s">
        <v>101</v>
      </c>
      <c r="G50" s="54">
        <f>'MC P5'!$A$29</f>
        <v>5412</v>
      </c>
      <c r="H50" s="76" t="str">
        <f>'MC P5'!$B$29</f>
        <v>Relleno de triturado de 3/4" (incluye transporte, suministro, extendido manual y colocación)</v>
      </c>
      <c r="I50" s="31" t="str">
        <f>'MC P5'!$C$29</f>
        <v>m3</v>
      </c>
      <c r="J50" s="77">
        <f>'MC P5'!$D$29</f>
        <v>15</v>
      </c>
      <c r="K50" s="79"/>
      <c r="L50" s="20" t="s">
        <v>32</v>
      </c>
    </row>
    <row r="51" spans="1:16" ht="40.5" customHeight="1" x14ac:dyDescent="0.25">
      <c r="A51" s="31" t="s">
        <v>106</v>
      </c>
      <c r="B51" s="79"/>
      <c r="C51" s="54"/>
      <c r="D51" s="20" t="s">
        <v>31</v>
      </c>
      <c r="E51" s="20" t="s">
        <v>37</v>
      </c>
      <c r="F51" s="54" t="s">
        <v>102</v>
      </c>
      <c r="G51" s="54">
        <f>'MC P5'!$A$30</f>
        <v>3905</v>
      </c>
      <c r="H51" s="76" t="str">
        <f>'MC P5'!$B$30</f>
        <v>Tuberia de PVC para drenaje D= 6" con filtro (incluye suministro e instalación)</v>
      </c>
      <c r="I51" s="31" t="str">
        <f>'MC P5'!$C$30</f>
        <v>ml</v>
      </c>
      <c r="J51" s="77">
        <f>'MC P5'!$D$30</f>
        <v>47.5</v>
      </c>
      <c r="K51" s="79"/>
      <c r="L51" s="20" t="s">
        <v>32</v>
      </c>
    </row>
    <row r="52" spans="1:16" ht="42.75" customHeight="1" x14ac:dyDescent="0.25">
      <c r="A52" s="31" t="s">
        <v>106</v>
      </c>
      <c r="B52" s="79"/>
      <c r="C52" s="54"/>
      <c r="D52" s="20" t="s">
        <v>31</v>
      </c>
      <c r="E52" s="20" t="s">
        <v>37</v>
      </c>
      <c r="F52" s="20" t="s">
        <v>103</v>
      </c>
      <c r="G52" s="54">
        <f>'MC P5'!$A$31</f>
        <v>3904</v>
      </c>
      <c r="H52" s="76" t="str">
        <f>'MC P5'!$B$31</f>
        <v>Tuberia de PVC para drenaje de 4" sin filtro (incluye suministro e instalación)</v>
      </c>
      <c r="I52" s="31" t="str">
        <f>'MC P5'!$C$31</f>
        <v>ml</v>
      </c>
      <c r="J52" s="77">
        <f>'MC P5'!$D$31</f>
        <v>6.3</v>
      </c>
      <c r="K52" s="79"/>
      <c r="L52" s="20" t="s">
        <v>32</v>
      </c>
    </row>
    <row r="53" spans="1:16" s="95" customFormat="1" x14ac:dyDescent="0.25">
      <c r="C53" s="96"/>
      <c r="H53" s="97"/>
      <c r="J53" s="98"/>
      <c r="N53" s="80"/>
      <c r="O53" s="80"/>
      <c r="P53" s="80"/>
    </row>
    <row r="54" spans="1:16" ht="66" customHeight="1" x14ac:dyDescent="0.25">
      <c r="A54" s="31" t="s">
        <v>107</v>
      </c>
      <c r="B54" s="30"/>
      <c r="C54" s="20"/>
      <c r="D54" s="20" t="s">
        <v>31</v>
      </c>
      <c r="E54" s="20" t="s">
        <v>37</v>
      </c>
      <c r="F54" s="20" t="s">
        <v>44</v>
      </c>
      <c r="G54" s="31">
        <f>'MC P6'!$A$12</f>
        <v>6021</v>
      </c>
      <c r="H54" s="76" t="str">
        <f>'MC P6'!$B$12</f>
        <v>Concreto de nivelación 2000 psi grava común (140 kg/cm2) (premezclado. incluye suministro, fundida y nivelación y colocación. no incluye refuerzo, curado).</v>
      </c>
      <c r="I54" s="31" t="str">
        <f>'MC P6'!$C$12</f>
        <v>m3</v>
      </c>
      <c r="J54" s="77">
        <f>'MC P6'!$D$12</f>
        <v>15.317200000000001</v>
      </c>
      <c r="K54" s="31"/>
      <c r="L54" s="20" t="s">
        <v>32</v>
      </c>
    </row>
    <row r="55" spans="1:16" ht="60.75" customHeight="1" x14ac:dyDescent="0.25">
      <c r="A55" s="31" t="s">
        <v>107</v>
      </c>
      <c r="B55" s="33"/>
      <c r="C55" s="34"/>
      <c r="D55" s="20" t="s">
        <v>31</v>
      </c>
      <c r="E55" s="20" t="s">
        <v>37</v>
      </c>
      <c r="F55" s="34" t="s">
        <v>45</v>
      </c>
      <c r="G55" s="31" t="str">
        <f>'MC P6'!$A$13</f>
        <v>KES003</v>
      </c>
      <c r="H55" s="76" t="str">
        <f>'MC P6'!$B$13</f>
        <v>Concreto 4000 PSI para muro estructural (Premezclado Incluye Sumin, Formaleteo y Colocación No incluye Refuerzo, Curado).</v>
      </c>
      <c r="I55" s="31" t="str">
        <f>'MC P6'!$C$13</f>
        <v>m3</v>
      </c>
      <c r="J55" s="77">
        <f>'MC P6'!$D$13</f>
        <v>279.90649999999999</v>
      </c>
      <c r="K55" s="33"/>
      <c r="L55" s="20" t="s">
        <v>32</v>
      </c>
    </row>
    <row r="56" spans="1:16" ht="121.5" customHeight="1" x14ac:dyDescent="0.25">
      <c r="A56" s="31" t="s">
        <v>107</v>
      </c>
      <c r="B56" s="33"/>
      <c r="C56" s="34"/>
      <c r="D56" s="20" t="s">
        <v>31</v>
      </c>
      <c r="E56" s="20" t="s">
        <v>37</v>
      </c>
      <c r="F56" s="20" t="s">
        <v>46</v>
      </c>
      <c r="G56" s="34">
        <f>'MC P6'!$A$18</f>
        <v>3708</v>
      </c>
      <c r="H56" s="76" t="str">
        <f>'MC P6'!$B$18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56" s="31" t="str">
        <f>'MC P6'!$C$18</f>
        <v>kg</v>
      </c>
      <c r="J56" s="78">
        <f>'MC P6'!$D$18</f>
        <v>47492.017930000002</v>
      </c>
      <c r="K56" s="33"/>
      <c r="L56" s="20" t="s">
        <v>32</v>
      </c>
    </row>
    <row r="57" spans="1:16" ht="36.75" customHeight="1" x14ac:dyDescent="0.25">
      <c r="A57" s="31" t="s">
        <v>107</v>
      </c>
      <c r="B57" s="33"/>
      <c r="C57" s="34"/>
      <c r="D57" s="20" t="s">
        <v>31</v>
      </c>
      <c r="E57" s="20" t="s">
        <v>37</v>
      </c>
      <c r="F57" s="20" t="s">
        <v>47</v>
      </c>
      <c r="G57" s="34">
        <f>'MC P6'!$A$23</f>
        <v>3464</v>
      </c>
      <c r="H57" s="76" t="str">
        <f>'MC P6'!$B$23</f>
        <v>Excavación manual en material común. Incluye cargue</v>
      </c>
      <c r="I57" s="31" t="str">
        <f>'MC P6'!$C$23</f>
        <v>m3</v>
      </c>
      <c r="J57" s="77">
        <f>'MC P6'!$D$23</f>
        <v>463.1026</v>
      </c>
      <c r="K57" s="33"/>
      <c r="L57" s="20" t="s">
        <v>32</v>
      </c>
    </row>
    <row r="58" spans="1:16" ht="63" x14ac:dyDescent="0.25">
      <c r="A58" s="31" t="s">
        <v>107</v>
      </c>
      <c r="B58" s="33"/>
      <c r="C58" s="34"/>
      <c r="D58" s="20" t="s">
        <v>31</v>
      </c>
      <c r="E58" s="20" t="s">
        <v>37</v>
      </c>
      <c r="F58" s="34" t="s">
        <v>48</v>
      </c>
      <c r="G58" s="34">
        <f>'MC P6'!$A$24</f>
        <v>3017</v>
      </c>
      <c r="H58" s="76" t="str">
        <f>'MC P6'!$B$24</f>
        <v>Transporte y disposición final de escombros en sitio autorizado (distancia de transporte 21 km) a distancia mayor del acarreo libre (90m) en sitio autorizado por la entidad ambiental competente.</v>
      </c>
      <c r="I58" s="31" t="str">
        <f>'MC P6'!$C$24</f>
        <v>m3</v>
      </c>
      <c r="J58" s="77">
        <f>'MC P6'!$D$24</f>
        <v>463.1026</v>
      </c>
      <c r="K58" s="33"/>
      <c r="L58" s="20" t="s">
        <v>32</v>
      </c>
    </row>
    <row r="59" spans="1:16" ht="31.5" x14ac:dyDescent="0.25">
      <c r="A59" s="31" t="s">
        <v>107</v>
      </c>
      <c r="B59" s="33"/>
      <c r="C59" s="34"/>
      <c r="D59" s="20" t="s">
        <v>31</v>
      </c>
      <c r="E59" s="20" t="s">
        <v>37</v>
      </c>
      <c r="F59" s="20" t="s">
        <v>49</v>
      </c>
      <c r="G59" s="34">
        <f>'MC P6'!$A$25</f>
        <v>7364</v>
      </c>
      <c r="H59" s="76" t="str">
        <f>'MC P6'!$B$25</f>
        <v>Relleno en recebo común (suministro e instalación extendido mecánico, humedecimiento, compatación y transporte a 28 km)</v>
      </c>
      <c r="I59" s="31" t="str">
        <f>'MC P6'!$C$25</f>
        <v>m3</v>
      </c>
      <c r="J59" s="77">
        <f>'MC P6'!$D$25</f>
        <v>183.1961</v>
      </c>
      <c r="K59" s="33"/>
      <c r="L59" s="20" t="s">
        <v>32</v>
      </c>
    </row>
    <row r="60" spans="1:16" ht="78.75" customHeight="1" x14ac:dyDescent="0.25">
      <c r="A60" s="31" t="s">
        <v>107</v>
      </c>
      <c r="B60" s="33"/>
      <c r="C60" s="34"/>
      <c r="D60" s="20" t="s">
        <v>31</v>
      </c>
      <c r="E60" s="20" t="s">
        <v>37</v>
      </c>
      <c r="F60" s="20" t="s">
        <v>98</v>
      </c>
      <c r="G60" s="62">
        <f>'MC P6'!$A$26</f>
        <v>0</v>
      </c>
      <c r="H60" s="76" t="str">
        <f>'MC P6'!$B$26</f>
        <v>Bloque estructural en concreto 39x14x6 tipo, color chocolate</v>
      </c>
      <c r="I60" s="31" t="str">
        <f>'MC P6'!$C$26</f>
        <v>m2</v>
      </c>
      <c r="J60" s="77">
        <f>'MC P6'!$D$26</f>
        <v>0</v>
      </c>
      <c r="K60" s="33"/>
      <c r="L60" s="20" t="s">
        <v>32</v>
      </c>
    </row>
    <row r="61" spans="1:16" ht="204" customHeight="1" x14ac:dyDescent="0.25">
      <c r="A61" s="31" t="s">
        <v>107</v>
      </c>
      <c r="B61" s="79"/>
      <c r="C61" s="54"/>
      <c r="D61" s="20" t="s">
        <v>31</v>
      </c>
      <c r="E61" s="20" t="s">
        <v>37</v>
      </c>
      <c r="F61" s="54" t="s">
        <v>99</v>
      </c>
      <c r="G61" s="62">
        <f>'MC P6'!$A$27</f>
        <v>0</v>
      </c>
      <c r="H61" s="76" t="str">
        <f>'MC P6'!$B$27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61" s="31" t="str">
        <f>'MC P6'!$C$27</f>
        <v>ml</v>
      </c>
      <c r="J61" s="77">
        <f>'MC P6'!$D$27</f>
        <v>119.5</v>
      </c>
      <c r="K61" s="79"/>
      <c r="L61" s="20" t="s">
        <v>32</v>
      </c>
    </row>
    <row r="62" spans="1:16" ht="31.5" x14ac:dyDescent="0.25">
      <c r="A62" s="31" t="s">
        <v>107</v>
      </c>
      <c r="B62" s="33"/>
      <c r="C62" s="34"/>
      <c r="D62" s="20" t="s">
        <v>31</v>
      </c>
      <c r="E62" s="20" t="s">
        <v>37</v>
      </c>
      <c r="F62" s="20" t="s">
        <v>100</v>
      </c>
      <c r="G62" s="34">
        <f>'MC P6'!$A$28</f>
        <v>4009</v>
      </c>
      <c r="H62" s="76" t="str">
        <f>'MC P6'!$B$28</f>
        <v>Geotextil NT 3000 para subdrenes/filtros (incluye suministro e instalación)</v>
      </c>
      <c r="I62" s="31" t="str">
        <f>'MC P6'!$C$28</f>
        <v>m2</v>
      </c>
      <c r="J62" s="77">
        <f>'MC P6'!$D$28</f>
        <v>249.3</v>
      </c>
      <c r="K62" s="33"/>
      <c r="L62" s="20" t="s">
        <v>32</v>
      </c>
    </row>
    <row r="63" spans="1:16" ht="31.5" x14ac:dyDescent="0.25">
      <c r="A63" s="31" t="s">
        <v>107</v>
      </c>
      <c r="B63" s="79"/>
      <c r="C63" s="54"/>
      <c r="D63" s="20" t="s">
        <v>31</v>
      </c>
      <c r="E63" s="20" t="s">
        <v>37</v>
      </c>
      <c r="F63" s="20" t="s">
        <v>101</v>
      </c>
      <c r="G63" s="54">
        <f>'MC P6'!$A$29</f>
        <v>5412</v>
      </c>
      <c r="H63" s="76" t="str">
        <f>'MC P6'!$B$29</f>
        <v>Relleno de triturado de 3/4" (incluye transporte, suministro, extendido manual y colocación)</v>
      </c>
      <c r="I63" s="31" t="str">
        <f>'MC P6'!$C$29</f>
        <v>m3</v>
      </c>
      <c r="J63" s="77">
        <f>'MC P6'!$D$29</f>
        <v>43.5</v>
      </c>
      <c r="K63" s="79"/>
      <c r="L63" s="20" t="s">
        <v>32</v>
      </c>
    </row>
    <row r="64" spans="1:16" ht="31.5" x14ac:dyDescent="0.25">
      <c r="A64" s="31" t="s">
        <v>107</v>
      </c>
      <c r="B64" s="79"/>
      <c r="C64" s="54"/>
      <c r="D64" s="20" t="s">
        <v>31</v>
      </c>
      <c r="E64" s="20" t="s">
        <v>37</v>
      </c>
      <c r="F64" s="54" t="s">
        <v>102</v>
      </c>
      <c r="G64" s="54">
        <f>'MC P6'!$A$30</f>
        <v>3905</v>
      </c>
      <c r="H64" s="76" t="str">
        <f>'MC P6'!$B$30</f>
        <v>Tuberia de PVC para drenaje D= 6" con filtro (incluye suministro e instalación)</v>
      </c>
      <c r="I64" s="31" t="str">
        <f>'MC P6'!$C$30</f>
        <v>ml</v>
      </c>
      <c r="J64" s="77">
        <f>'MC P6'!$D$30</f>
        <v>119.5</v>
      </c>
      <c r="K64" s="79"/>
      <c r="L64" s="20" t="s">
        <v>32</v>
      </c>
    </row>
    <row r="65" spans="1:16" ht="31.5" x14ac:dyDescent="0.25">
      <c r="A65" s="31" t="s">
        <v>107</v>
      </c>
      <c r="B65" s="79"/>
      <c r="C65" s="54"/>
      <c r="D65" s="20" t="s">
        <v>31</v>
      </c>
      <c r="E65" s="20" t="s">
        <v>37</v>
      </c>
      <c r="F65" s="20" t="s">
        <v>103</v>
      </c>
      <c r="G65" s="54">
        <f>'MC P6'!$A$31</f>
        <v>3904</v>
      </c>
      <c r="H65" s="76" t="str">
        <f>'MC P6'!$B$31</f>
        <v>Tuberia de PVC para drenaje de 4" sin filtro (incluye suministro e instalación)</v>
      </c>
      <c r="I65" s="31" t="str">
        <f>'MC P6'!$C$31</f>
        <v>ml</v>
      </c>
      <c r="J65" s="77">
        <f>'MC P6'!$D$31</f>
        <v>13.5</v>
      </c>
      <c r="K65" s="79"/>
      <c r="L65" s="20" t="s">
        <v>32</v>
      </c>
    </row>
    <row r="66" spans="1:16" s="95" customFormat="1" x14ac:dyDescent="0.25">
      <c r="A66" s="99"/>
      <c r="C66" s="96"/>
      <c r="H66" s="97"/>
      <c r="J66" s="98"/>
      <c r="N66" s="80"/>
      <c r="O66" s="80"/>
      <c r="P66" s="80"/>
    </row>
    <row r="67" spans="1:16" ht="54" customHeight="1" x14ac:dyDescent="0.25">
      <c r="A67" s="31" t="s">
        <v>108</v>
      </c>
      <c r="B67" s="30"/>
      <c r="C67" s="20"/>
      <c r="D67" s="20" t="s">
        <v>31</v>
      </c>
      <c r="E67" s="20" t="s">
        <v>37</v>
      </c>
      <c r="F67" s="20" t="s">
        <v>44</v>
      </c>
      <c r="G67" s="31">
        <f>'MC P8'!$A$12</f>
        <v>6021</v>
      </c>
      <c r="H67" s="76" t="str">
        <f>'MC P8'!$B$12</f>
        <v>Concreto de nivelación 2000 psi grava común (140 kg/cm2) (premezclado. incluye suministro, fundida y nivelación y colocación. no incluye refuerzo, curado).</v>
      </c>
      <c r="I67" s="31" t="str">
        <f>'MC P8'!$C$12</f>
        <v>m3</v>
      </c>
      <c r="J67" s="77">
        <f>'MC P8'!$D$12</f>
        <v>7.0408500000000007</v>
      </c>
      <c r="K67" s="31"/>
      <c r="L67" s="20" t="s">
        <v>32</v>
      </c>
    </row>
    <row r="68" spans="1:16" ht="47.25" x14ac:dyDescent="0.25">
      <c r="A68" s="31" t="s">
        <v>108</v>
      </c>
      <c r="B68" s="33"/>
      <c r="C68" s="34"/>
      <c r="D68" s="20" t="s">
        <v>31</v>
      </c>
      <c r="E68" s="20" t="s">
        <v>37</v>
      </c>
      <c r="F68" s="34" t="s">
        <v>45</v>
      </c>
      <c r="G68" s="31" t="str">
        <f>'MC P8'!$A$13</f>
        <v>KES003</v>
      </c>
      <c r="H68" s="76" t="str">
        <f>'MC P8'!$B$13</f>
        <v>Concreto 4000 PSI para muro estructural (Premezclado Incluye Sumin, Formaleteo y Colocación No incluye Refuerzo, Curado).</v>
      </c>
      <c r="I68" s="31" t="str">
        <f>'MC P8'!$C$13</f>
        <v>m3</v>
      </c>
      <c r="J68" s="77">
        <f>'MC P8'!$D$13</f>
        <v>178.28384999999997</v>
      </c>
      <c r="K68" s="33"/>
      <c r="L68" s="20" t="s">
        <v>32</v>
      </c>
    </row>
    <row r="69" spans="1:16" ht="114.75" customHeight="1" x14ac:dyDescent="0.25">
      <c r="A69" s="31" t="s">
        <v>108</v>
      </c>
      <c r="B69" s="33"/>
      <c r="C69" s="34"/>
      <c r="D69" s="20" t="s">
        <v>31</v>
      </c>
      <c r="E69" s="20" t="s">
        <v>37</v>
      </c>
      <c r="F69" s="20" t="s">
        <v>46</v>
      </c>
      <c r="G69" s="34">
        <f>'MC P8'!$A$18</f>
        <v>3708</v>
      </c>
      <c r="H69" s="76" t="str">
        <f>'MC P8'!$B$18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69" s="31" t="str">
        <f>'MC P8'!$C$18</f>
        <v>kg</v>
      </c>
      <c r="J69" s="78">
        <f>'MC P8'!$D$18</f>
        <v>24952.410779999991</v>
      </c>
      <c r="K69" s="33"/>
      <c r="L69" s="20" t="s">
        <v>32</v>
      </c>
    </row>
    <row r="70" spans="1:16" ht="33" customHeight="1" x14ac:dyDescent="0.25">
      <c r="A70" s="31" t="s">
        <v>108</v>
      </c>
      <c r="B70" s="33"/>
      <c r="C70" s="34"/>
      <c r="D70" s="20" t="s">
        <v>31</v>
      </c>
      <c r="E70" s="20" t="s">
        <v>37</v>
      </c>
      <c r="F70" s="20" t="s">
        <v>47</v>
      </c>
      <c r="G70" s="34">
        <f>'MC P8'!$A$23</f>
        <v>3464</v>
      </c>
      <c r="H70" s="76" t="str">
        <f>'MC P8'!$B$23</f>
        <v>Excavación manual en material común. Incluye cargue</v>
      </c>
      <c r="I70" s="31" t="str">
        <f>'MC P8'!$C$23</f>
        <v>m3</v>
      </c>
      <c r="J70" s="77">
        <f>'MC P8'!$D$23</f>
        <v>274.72949999999997</v>
      </c>
      <c r="K70" s="33"/>
      <c r="L70" s="20" t="s">
        <v>32</v>
      </c>
    </row>
    <row r="71" spans="1:16" ht="63" x14ac:dyDescent="0.25">
      <c r="A71" s="31" t="s">
        <v>108</v>
      </c>
      <c r="B71" s="33"/>
      <c r="C71" s="34"/>
      <c r="D71" s="20" t="s">
        <v>31</v>
      </c>
      <c r="E71" s="20" t="s">
        <v>37</v>
      </c>
      <c r="F71" s="34" t="s">
        <v>48</v>
      </c>
      <c r="G71" s="34">
        <f>'MC P8'!$A$24</f>
        <v>3017</v>
      </c>
      <c r="H71" s="76" t="str">
        <f>'MC P8'!$B$24</f>
        <v>Transporte y disposición final de escombros en sitio autorizado (distancia de transporte 21 km) a distancia mayor del acarreo libre (90m) en sitio autorizado por la entidad ambiental competente.</v>
      </c>
      <c r="I71" s="31" t="str">
        <f>'MC P8'!$C$24</f>
        <v>m3</v>
      </c>
      <c r="J71" s="77">
        <f>'MC P8'!$D$24</f>
        <v>274.72949999999997</v>
      </c>
      <c r="K71" s="33"/>
      <c r="L71" s="20" t="s">
        <v>32</v>
      </c>
    </row>
    <row r="72" spans="1:16" ht="31.5" x14ac:dyDescent="0.25">
      <c r="A72" s="31" t="s">
        <v>108</v>
      </c>
      <c r="B72" s="33"/>
      <c r="C72" s="34"/>
      <c r="D72" s="20" t="s">
        <v>31</v>
      </c>
      <c r="E72" s="20" t="s">
        <v>37</v>
      </c>
      <c r="F72" s="20" t="s">
        <v>49</v>
      </c>
      <c r="G72" s="34">
        <f>'MC P8'!$A$25</f>
        <v>7364</v>
      </c>
      <c r="H72" s="76" t="str">
        <f>'MC P8'!$B$25</f>
        <v>Relleno en recebo común (suministro e instalación extendido mecánico, humedecimiento, compatación y transporte a 28 km)</v>
      </c>
      <c r="I72" s="31" t="str">
        <f>'MC P8'!$C$25</f>
        <v>m3</v>
      </c>
      <c r="J72" s="77">
        <f>'MC P8'!$D$25</f>
        <v>96.445650000000001</v>
      </c>
      <c r="K72" s="33"/>
      <c r="L72" s="20" t="s">
        <v>32</v>
      </c>
    </row>
    <row r="73" spans="1:16" ht="75" customHeight="1" x14ac:dyDescent="0.25">
      <c r="A73" s="31" t="s">
        <v>108</v>
      </c>
      <c r="B73" s="33"/>
      <c r="C73" s="34"/>
      <c r="D73" s="20" t="s">
        <v>31</v>
      </c>
      <c r="E73" s="20" t="s">
        <v>37</v>
      </c>
      <c r="F73" s="20" t="s">
        <v>98</v>
      </c>
      <c r="G73" s="62">
        <f>'MC P8'!$A$26</f>
        <v>0</v>
      </c>
      <c r="H73" s="76" t="str">
        <f>'MC P8'!$B$26</f>
        <v>Bloque estructural en concreto 39x14x6 tipo, color chocolate</v>
      </c>
      <c r="I73" s="31" t="str">
        <f>'MC P8'!$C$26</f>
        <v>m2</v>
      </c>
      <c r="J73" s="77">
        <f>'MC P8'!$D$26</f>
        <v>85.889999999999986</v>
      </c>
      <c r="K73" s="33"/>
      <c r="L73" s="20" t="s">
        <v>32</v>
      </c>
    </row>
    <row r="74" spans="1:16" ht="199.5" customHeight="1" x14ac:dyDescent="0.25">
      <c r="A74" s="31" t="s">
        <v>108</v>
      </c>
      <c r="B74" s="79"/>
      <c r="C74" s="54"/>
      <c r="D74" s="20" t="s">
        <v>31</v>
      </c>
      <c r="E74" s="20" t="s">
        <v>37</v>
      </c>
      <c r="F74" s="54" t="s">
        <v>99</v>
      </c>
      <c r="G74" s="62">
        <f>'MC P8'!$A$27</f>
        <v>0</v>
      </c>
      <c r="H74" s="76" t="str">
        <f>'MC P8'!$B$27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74" s="31" t="str">
        <f>'MC P8'!$C$27</f>
        <v>ml</v>
      </c>
      <c r="J74" s="77">
        <f>'MC P8'!$D$27</f>
        <v>81.2</v>
      </c>
      <c r="K74" s="79"/>
      <c r="L74" s="20" t="s">
        <v>32</v>
      </c>
    </row>
    <row r="75" spans="1:16" ht="31.5" x14ac:dyDescent="0.25">
      <c r="A75" s="31" t="s">
        <v>108</v>
      </c>
      <c r="B75" s="33"/>
      <c r="C75" s="34"/>
      <c r="D75" s="20" t="s">
        <v>31</v>
      </c>
      <c r="E75" s="20" t="s">
        <v>37</v>
      </c>
      <c r="F75" s="20" t="s">
        <v>100</v>
      </c>
      <c r="G75" s="34">
        <f>'MC P8'!$A$28</f>
        <v>4009</v>
      </c>
      <c r="H75" s="76" t="str">
        <f>'MC P8'!$B$28</f>
        <v>Geotextil NT 3000 para subdrenes/filtros (incluye suministro e instalación)</v>
      </c>
      <c r="I75" s="31" t="str">
        <f>'MC P8'!$C$28</f>
        <v>m2</v>
      </c>
      <c r="J75" s="77">
        <f>'MC P8'!$D$28</f>
        <v>55.9</v>
      </c>
      <c r="K75" s="33"/>
      <c r="L75" s="20" t="s">
        <v>32</v>
      </c>
    </row>
    <row r="76" spans="1:16" ht="31.5" x14ac:dyDescent="0.25">
      <c r="A76" s="31" t="s">
        <v>108</v>
      </c>
      <c r="B76" s="79"/>
      <c r="C76" s="54"/>
      <c r="D76" s="20" t="s">
        <v>31</v>
      </c>
      <c r="E76" s="20" t="s">
        <v>37</v>
      </c>
      <c r="F76" s="20" t="s">
        <v>101</v>
      </c>
      <c r="G76" s="54">
        <f>'MC P8'!$A$29</f>
        <v>5412</v>
      </c>
      <c r="H76" s="76" t="str">
        <f>'MC P8'!$B$29</f>
        <v>Relleno de triturado de 3/4" (incluye transporte, suministro, extendido manual y colocación)</v>
      </c>
      <c r="I76" s="31" t="str">
        <f>'MC P8'!$C$29</f>
        <v>m3</v>
      </c>
      <c r="J76" s="77">
        <f>'MC P8'!$D$29</f>
        <v>25.8</v>
      </c>
      <c r="K76" s="79"/>
      <c r="L76" s="20" t="s">
        <v>32</v>
      </c>
    </row>
    <row r="77" spans="1:16" ht="31.5" x14ac:dyDescent="0.25">
      <c r="A77" s="31" t="s">
        <v>108</v>
      </c>
      <c r="B77" s="79"/>
      <c r="C77" s="54"/>
      <c r="D77" s="20" t="s">
        <v>31</v>
      </c>
      <c r="E77" s="20" t="s">
        <v>37</v>
      </c>
      <c r="F77" s="54" t="s">
        <v>102</v>
      </c>
      <c r="G77" s="54">
        <f>'MC P8'!$A$30</f>
        <v>3905</v>
      </c>
      <c r="H77" s="76" t="str">
        <f>'MC P8'!$B$30</f>
        <v>Tuberia de PVC para drenaje D= 6" con filtro (incluye suministro e instalación)</v>
      </c>
      <c r="I77" s="31" t="str">
        <f>'MC P8'!$C$30</f>
        <v>ml</v>
      </c>
      <c r="J77" s="77">
        <f>'MC P8'!$D$30</f>
        <v>81.2</v>
      </c>
      <c r="K77" s="79"/>
      <c r="L77" s="20" t="s">
        <v>32</v>
      </c>
    </row>
    <row r="78" spans="1:16" ht="31.5" x14ac:dyDescent="0.25">
      <c r="A78" s="31" t="s">
        <v>108</v>
      </c>
      <c r="B78" s="79"/>
      <c r="C78" s="54"/>
      <c r="D78" s="20" t="s">
        <v>31</v>
      </c>
      <c r="E78" s="20" t="s">
        <v>37</v>
      </c>
      <c r="F78" s="20" t="s">
        <v>103</v>
      </c>
      <c r="G78" s="54">
        <f>'MC P8'!$A$31</f>
        <v>3904</v>
      </c>
      <c r="H78" s="76" t="str">
        <f>'MC P8'!$B$31</f>
        <v>Tuberia de PVC para drenaje de 4" sin filtro (incluye suministro e instalación)</v>
      </c>
      <c r="I78" s="31" t="str">
        <f>'MC P8'!$C$31</f>
        <v>ml</v>
      </c>
      <c r="J78" s="77">
        <f>'MC P8'!$D$31</f>
        <v>8.1</v>
      </c>
      <c r="K78" s="79"/>
      <c r="L78" s="20" t="s">
        <v>32</v>
      </c>
    </row>
    <row r="79" spans="1:16" s="95" customFormat="1" x14ac:dyDescent="0.25">
      <c r="C79" s="96"/>
      <c r="H79" s="97"/>
      <c r="J79" s="98"/>
      <c r="N79" s="80"/>
      <c r="O79" s="80"/>
      <c r="P79" s="80"/>
    </row>
    <row r="80" spans="1:16" ht="47.25" x14ac:dyDescent="0.25">
      <c r="A80" s="31" t="s">
        <v>109</v>
      </c>
      <c r="B80" s="30"/>
      <c r="C80" s="20"/>
      <c r="D80" s="20" t="s">
        <v>31</v>
      </c>
      <c r="E80" s="20" t="s">
        <v>37</v>
      </c>
      <c r="F80" s="20" t="s">
        <v>44</v>
      </c>
      <c r="G80" s="31">
        <f>'MC P9'!$A$12</f>
        <v>6021</v>
      </c>
      <c r="H80" s="76" t="str">
        <f>'MC P9'!$B$12</f>
        <v>Concreto de nivelación 2000 psi grava común (140 kg/cm2) (premezclado. incluye suministro, fundida y nivelación y colocación. no incluye refuerzo, curado).</v>
      </c>
      <c r="I80" s="31" t="str">
        <f>'MC P9'!$C$12</f>
        <v>m3</v>
      </c>
      <c r="J80" s="77">
        <f>'MC P9'!$D$12</f>
        <v>6.9261000000000008</v>
      </c>
      <c r="K80" s="31"/>
      <c r="L80" s="20" t="s">
        <v>32</v>
      </c>
    </row>
    <row r="81" spans="1:16" ht="47.25" x14ac:dyDescent="0.25">
      <c r="A81" s="31" t="s">
        <v>109</v>
      </c>
      <c r="B81" s="33"/>
      <c r="C81" s="34"/>
      <c r="D81" s="20" t="s">
        <v>31</v>
      </c>
      <c r="E81" s="20" t="s">
        <v>37</v>
      </c>
      <c r="F81" s="34" t="s">
        <v>45</v>
      </c>
      <c r="G81" s="31" t="str">
        <f>'MC P9'!$A$13</f>
        <v>KES003</v>
      </c>
      <c r="H81" s="76" t="str">
        <f>'MC P9'!$B$13</f>
        <v>Concreto 4000 PSI para muro estructural (Premezclado Incluye Sumin, Formaleteo y Colocación No incluye Refuerzo, Curado).</v>
      </c>
      <c r="I81" s="31" t="str">
        <f>'MC P9'!$C$13</f>
        <v>m3</v>
      </c>
      <c r="J81" s="77">
        <f>'MC P9'!$D$13</f>
        <v>126.46809999999999</v>
      </c>
      <c r="K81" s="33"/>
      <c r="L81" s="20" t="s">
        <v>32</v>
      </c>
    </row>
    <row r="82" spans="1:16" ht="94.5" x14ac:dyDescent="0.25">
      <c r="A82" s="31" t="s">
        <v>109</v>
      </c>
      <c r="B82" s="33"/>
      <c r="C82" s="34"/>
      <c r="D82" s="20" t="s">
        <v>31</v>
      </c>
      <c r="E82" s="20" t="s">
        <v>37</v>
      </c>
      <c r="F82" s="20" t="s">
        <v>46</v>
      </c>
      <c r="G82" s="34">
        <f>'MC P9'!$A$18</f>
        <v>3708</v>
      </c>
      <c r="H82" s="76" t="str">
        <f>'MC P9'!$B$18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82" s="31" t="str">
        <f>'MC P9'!$C$18</f>
        <v>kg</v>
      </c>
      <c r="J82" s="78">
        <f>'MC P9'!$D$18</f>
        <v>19408.230459999999</v>
      </c>
      <c r="K82" s="33"/>
      <c r="L82" s="20" t="s">
        <v>32</v>
      </c>
    </row>
    <row r="83" spans="1:16" x14ac:dyDescent="0.25">
      <c r="A83" s="31" t="s">
        <v>109</v>
      </c>
      <c r="B83" s="33"/>
      <c r="C83" s="34"/>
      <c r="D83" s="20" t="s">
        <v>31</v>
      </c>
      <c r="E83" s="20" t="s">
        <v>37</v>
      </c>
      <c r="F83" s="20" t="s">
        <v>47</v>
      </c>
      <c r="G83" s="34">
        <f>'MC P9'!$A$23</f>
        <v>3464</v>
      </c>
      <c r="H83" s="76" t="str">
        <f>'MC P9'!$B$23</f>
        <v>Excavación manual en material común. Incluye cargue</v>
      </c>
      <c r="I83" s="31" t="str">
        <f>'MC P9'!$C$23</f>
        <v>m3</v>
      </c>
      <c r="J83" s="77">
        <f>'MC P9'!$D$23</f>
        <v>195.29639999999998</v>
      </c>
      <c r="K83" s="33"/>
      <c r="L83" s="20" t="s">
        <v>32</v>
      </c>
    </row>
    <row r="84" spans="1:16" ht="63" x14ac:dyDescent="0.25">
      <c r="A84" s="31" t="s">
        <v>109</v>
      </c>
      <c r="B84" s="33"/>
      <c r="C84" s="34"/>
      <c r="D84" s="20" t="s">
        <v>31</v>
      </c>
      <c r="E84" s="20" t="s">
        <v>37</v>
      </c>
      <c r="F84" s="34" t="s">
        <v>48</v>
      </c>
      <c r="G84" s="34">
        <f>'MC P9'!$A$24</f>
        <v>3017</v>
      </c>
      <c r="H84" s="76" t="str">
        <f>'MC P9'!$B$24</f>
        <v>Transporte y disposición final de escombros en sitio autorizado (distancia de transporte 21 km) a distancia mayor del acarreo libre (90m) en sitio autorizado por la entidad ambiental competente.</v>
      </c>
      <c r="I84" s="31" t="str">
        <f>'MC P9'!$C$24</f>
        <v>m3</v>
      </c>
      <c r="J84" s="77">
        <f>'MC P9'!$D$24</f>
        <v>195.29639999999998</v>
      </c>
      <c r="K84" s="33"/>
      <c r="L84" s="20" t="s">
        <v>32</v>
      </c>
    </row>
    <row r="85" spans="1:16" ht="31.5" x14ac:dyDescent="0.25">
      <c r="A85" s="31" t="s">
        <v>109</v>
      </c>
      <c r="B85" s="33"/>
      <c r="C85" s="34"/>
      <c r="D85" s="20" t="s">
        <v>31</v>
      </c>
      <c r="E85" s="20" t="s">
        <v>37</v>
      </c>
      <c r="F85" s="20" t="s">
        <v>49</v>
      </c>
      <c r="G85" s="34">
        <f>'MC P9'!$A$25</f>
        <v>7364</v>
      </c>
      <c r="H85" s="76" t="str">
        <f>'MC P9'!$B$25</f>
        <v>Relleno en recebo común (suministro e instalación extendido mecánico, humedecimiento, compatación y transporte a 28 km)</v>
      </c>
      <c r="I85" s="31" t="str">
        <f>'MC P9'!$C$25</f>
        <v>m3</v>
      </c>
      <c r="J85" s="77">
        <f>'MC P9'!$D$25</f>
        <v>68.828299999999984</v>
      </c>
      <c r="K85" s="33"/>
      <c r="L85" s="20" t="s">
        <v>32</v>
      </c>
    </row>
    <row r="86" spans="1:16" x14ac:dyDescent="0.25">
      <c r="A86" s="31" t="s">
        <v>109</v>
      </c>
      <c r="B86" s="33"/>
      <c r="C86" s="34"/>
      <c r="D86" s="20" t="s">
        <v>31</v>
      </c>
      <c r="E86" s="20" t="s">
        <v>37</v>
      </c>
      <c r="F86" s="20" t="s">
        <v>98</v>
      </c>
      <c r="G86" s="62">
        <f>'MC P9'!$A$26</f>
        <v>0</v>
      </c>
      <c r="H86" s="76" t="str">
        <f>'MC P9'!$B$26</f>
        <v>Bloque estructural en concreto 39x14x6 tipo, color chocolate</v>
      </c>
      <c r="I86" s="31" t="str">
        <f>'MC P9'!$C$26</f>
        <v>m2</v>
      </c>
      <c r="J86" s="77">
        <f>'MC P9'!$D$26</f>
        <v>44.64</v>
      </c>
      <c r="K86" s="33"/>
      <c r="L86" s="20" t="s">
        <v>32</v>
      </c>
    </row>
    <row r="87" spans="1:16" ht="189" x14ac:dyDescent="0.25">
      <c r="A87" s="31" t="s">
        <v>109</v>
      </c>
      <c r="B87" s="79"/>
      <c r="C87" s="54"/>
      <c r="D87" s="20" t="s">
        <v>31</v>
      </c>
      <c r="E87" s="20" t="s">
        <v>37</v>
      </c>
      <c r="F87" s="54" t="s">
        <v>99</v>
      </c>
      <c r="G87" s="62">
        <f>'MC P9'!$A$27</f>
        <v>0</v>
      </c>
      <c r="H87" s="76" t="str">
        <f>'MC P9'!$B$27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87" s="31" t="str">
        <f>'MC P9'!$C$27</f>
        <v>ml</v>
      </c>
      <c r="J87" s="77">
        <f>'MC P9'!$D$27</f>
        <v>75.3</v>
      </c>
      <c r="K87" s="79"/>
      <c r="L87" s="20" t="s">
        <v>32</v>
      </c>
    </row>
    <row r="88" spans="1:16" ht="31.5" x14ac:dyDescent="0.25">
      <c r="A88" s="31" t="s">
        <v>109</v>
      </c>
      <c r="B88" s="33"/>
      <c r="C88" s="34"/>
      <c r="D88" s="20" t="s">
        <v>31</v>
      </c>
      <c r="E88" s="20" t="s">
        <v>37</v>
      </c>
      <c r="F88" s="20" t="s">
        <v>100</v>
      </c>
      <c r="G88" s="34">
        <f>'MC P9'!$A$28</f>
        <v>4009</v>
      </c>
      <c r="H88" s="76" t="str">
        <f>'MC P9'!$B$28</f>
        <v>Geotextil NT 3000 para subdrenes/filtros (incluye suministro e instalación)</v>
      </c>
      <c r="I88" s="31" t="str">
        <f>'MC P9'!$C$28</f>
        <v>m2</v>
      </c>
      <c r="J88" s="77">
        <f>'MC P9'!$D$28</f>
        <v>161.94</v>
      </c>
      <c r="K88" s="33"/>
      <c r="L88" s="20" t="s">
        <v>32</v>
      </c>
    </row>
    <row r="89" spans="1:16" ht="31.5" x14ac:dyDescent="0.25">
      <c r="A89" s="31" t="s">
        <v>109</v>
      </c>
      <c r="B89" s="79"/>
      <c r="C89" s="54"/>
      <c r="D89" s="20" t="s">
        <v>31</v>
      </c>
      <c r="E89" s="20" t="s">
        <v>37</v>
      </c>
      <c r="F89" s="20" t="s">
        <v>101</v>
      </c>
      <c r="G89" s="54">
        <f>'MC P9'!$A$29</f>
        <v>5412</v>
      </c>
      <c r="H89" s="76" t="str">
        <f>'MC P9'!$B$29</f>
        <v>Relleno de triturado de 3/4" (incluye transporte, suministro, extendido manual y colocación)</v>
      </c>
      <c r="I89" s="31" t="str">
        <f>'MC P9'!$C$29</f>
        <v>m3</v>
      </c>
      <c r="J89" s="77">
        <f>'MC P9'!$D$29</f>
        <v>24.3</v>
      </c>
      <c r="K89" s="79"/>
      <c r="L89" s="20" t="s">
        <v>32</v>
      </c>
    </row>
    <row r="90" spans="1:16" ht="31.5" x14ac:dyDescent="0.25">
      <c r="A90" s="31" t="s">
        <v>109</v>
      </c>
      <c r="B90" s="79"/>
      <c r="C90" s="54"/>
      <c r="D90" s="20" t="s">
        <v>31</v>
      </c>
      <c r="E90" s="20" t="s">
        <v>37</v>
      </c>
      <c r="F90" s="54" t="s">
        <v>102</v>
      </c>
      <c r="G90" s="54">
        <f>'MC P9'!$A$30</f>
        <v>3905</v>
      </c>
      <c r="H90" s="76" t="str">
        <f>'MC P9'!$B$30</f>
        <v>Tuberia de PVC para drenaje D= 6" con filtro (incluye suministro e instalación)</v>
      </c>
      <c r="I90" s="31" t="str">
        <f>'MC P9'!$C$30</f>
        <v>ml</v>
      </c>
      <c r="J90" s="77">
        <f>'MC P9'!$D$30</f>
        <v>75.3</v>
      </c>
      <c r="K90" s="79"/>
      <c r="L90" s="20" t="s">
        <v>32</v>
      </c>
    </row>
    <row r="91" spans="1:16" ht="31.5" x14ac:dyDescent="0.25">
      <c r="A91" s="31" t="s">
        <v>109</v>
      </c>
      <c r="B91" s="79"/>
      <c r="C91" s="54"/>
      <c r="D91" s="20" t="s">
        <v>31</v>
      </c>
      <c r="E91" s="20" t="s">
        <v>37</v>
      </c>
      <c r="F91" s="20" t="s">
        <v>103</v>
      </c>
      <c r="G91" s="54">
        <f>'MC P9'!$A$31</f>
        <v>3904</v>
      </c>
      <c r="H91" s="76" t="str">
        <f>'MC P9'!$B$31</f>
        <v>Tuberia de PVC para drenaje de 4" sin filtro (incluye suministro e instalación)</v>
      </c>
      <c r="I91" s="31" t="str">
        <f>'MC P9'!$C$31</f>
        <v>ml</v>
      </c>
      <c r="J91" s="77">
        <f>'MC P9'!$D$31</f>
        <v>7.5</v>
      </c>
      <c r="K91" s="79"/>
      <c r="L91" s="20" t="s">
        <v>32</v>
      </c>
    </row>
    <row r="92" spans="1:16" s="95" customFormat="1" x14ac:dyDescent="0.25">
      <c r="C92" s="96"/>
      <c r="H92" s="97"/>
      <c r="J92" s="98"/>
      <c r="N92" s="80"/>
      <c r="O92" s="80"/>
      <c r="P92" s="80"/>
    </row>
    <row r="93" spans="1:16" ht="52.5" customHeight="1" x14ac:dyDescent="0.25">
      <c r="A93" s="31" t="s">
        <v>110</v>
      </c>
      <c r="B93" s="30"/>
      <c r="C93" s="20"/>
      <c r="D93" s="20" t="s">
        <v>31</v>
      </c>
      <c r="E93" s="20" t="s">
        <v>37</v>
      </c>
      <c r="F93" s="20" t="s">
        <v>44</v>
      </c>
      <c r="G93" s="31">
        <f>'MC P14'!$A$12</f>
        <v>6021</v>
      </c>
      <c r="H93" s="76" t="str">
        <f>'MC P14'!$B$12</f>
        <v>Concreto de nivelación 2000 psi grava común (140 kg/cm2) (premezclado. incluye suministro, fundida y nivelación y colocación. no incluye refuerzo, curado).</v>
      </c>
      <c r="I93" s="31" t="str">
        <f>'MC P14'!$C$12</f>
        <v>m3</v>
      </c>
      <c r="J93" s="77">
        <f>'MC P14'!$D$12</f>
        <v>1.9215</v>
      </c>
      <c r="K93" s="31"/>
      <c r="L93" s="20" t="s">
        <v>32</v>
      </c>
    </row>
    <row r="94" spans="1:16" ht="47.25" x14ac:dyDescent="0.25">
      <c r="A94" s="31" t="s">
        <v>110</v>
      </c>
      <c r="B94" s="33"/>
      <c r="C94" s="34"/>
      <c r="D94" s="20" t="s">
        <v>31</v>
      </c>
      <c r="E94" s="20" t="s">
        <v>37</v>
      </c>
      <c r="F94" s="34" t="s">
        <v>45</v>
      </c>
      <c r="G94" s="31" t="str">
        <f>'MC P14'!$A$13</f>
        <v>KES003</v>
      </c>
      <c r="H94" s="76" t="str">
        <f>'MC P14'!$B$13</f>
        <v>Concreto 4000 PSI para muro estructural (Premezclado Incluye Sumin, Formaleteo y Colocación No incluye Refuerzo, Curado).</v>
      </c>
      <c r="I94" s="31" t="str">
        <f>'MC P14'!$C$13</f>
        <v>m3</v>
      </c>
      <c r="J94" s="77">
        <f>'MC P14'!$D$13</f>
        <v>22.673000000000002</v>
      </c>
      <c r="K94" s="33"/>
      <c r="L94" s="20" t="s">
        <v>32</v>
      </c>
    </row>
    <row r="95" spans="1:16" ht="123" customHeight="1" x14ac:dyDescent="0.25">
      <c r="A95" s="31" t="s">
        <v>110</v>
      </c>
      <c r="B95" s="33"/>
      <c r="C95" s="34"/>
      <c r="D95" s="20" t="s">
        <v>31</v>
      </c>
      <c r="E95" s="20" t="s">
        <v>37</v>
      </c>
      <c r="F95" s="20" t="s">
        <v>46</v>
      </c>
      <c r="G95" s="34">
        <f>'MC P14'!$A$18</f>
        <v>3708</v>
      </c>
      <c r="H95" s="76" t="str">
        <f>'MC P14'!$B$18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95" s="31" t="str">
        <f>'MC P14'!$C$18</f>
        <v>kg</v>
      </c>
      <c r="J95" s="78">
        <f>'MC P14'!$D$18</f>
        <v>3442.2401599999998</v>
      </c>
      <c r="K95" s="33"/>
      <c r="L95" s="20" t="s">
        <v>32</v>
      </c>
    </row>
    <row r="96" spans="1:16" ht="38.25" customHeight="1" x14ac:dyDescent="0.25">
      <c r="A96" s="31" t="s">
        <v>110</v>
      </c>
      <c r="B96" s="33"/>
      <c r="C96" s="34"/>
      <c r="D96" s="20" t="s">
        <v>31</v>
      </c>
      <c r="E96" s="20" t="s">
        <v>37</v>
      </c>
      <c r="F96" s="20" t="s">
        <v>47</v>
      </c>
      <c r="G96" s="34">
        <f>'MC P14'!$A$23</f>
        <v>3464</v>
      </c>
      <c r="H96" s="76" t="str">
        <f>'MC P14'!$B$23</f>
        <v>Excavación manual en material común. Incluye cargue</v>
      </c>
      <c r="I96" s="31" t="str">
        <f>'MC P14'!$C$23</f>
        <v>m3</v>
      </c>
      <c r="J96" s="77">
        <f>'MC P14'!$D$23</f>
        <v>92.231999999999999</v>
      </c>
      <c r="K96" s="33"/>
      <c r="L96" s="20" t="s">
        <v>32</v>
      </c>
    </row>
    <row r="97" spans="1:16" ht="63" x14ac:dyDescent="0.25">
      <c r="A97" s="31" t="s">
        <v>110</v>
      </c>
      <c r="B97" s="33"/>
      <c r="C97" s="34"/>
      <c r="D97" s="20" t="s">
        <v>31</v>
      </c>
      <c r="E97" s="20" t="s">
        <v>37</v>
      </c>
      <c r="F97" s="34" t="s">
        <v>48</v>
      </c>
      <c r="G97" s="34">
        <f>'MC P14'!$A$24</f>
        <v>3017</v>
      </c>
      <c r="H97" s="76" t="str">
        <f>'MC P14'!$B$24</f>
        <v>Transporte y disposición final de escombros en sitio autorizado (distancia de transporte 21 km) a distancia mayor del acarreo libre (90m) en sitio autorizado por la entidad ambiental competente.</v>
      </c>
      <c r="I97" s="31" t="str">
        <f>'MC P14'!$C$24</f>
        <v>m3</v>
      </c>
      <c r="J97" s="77">
        <f>'MC P14'!$D$24</f>
        <v>92.231999999999999</v>
      </c>
      <c r="K97" s="33"/>
      <c r="L97" s="20" t="s">
        <v>32</v>
      </c>
    </row>
    <row r="98" spans="1:16" ht="31.5" x14ac:dyDescent="0.25">
      <c r="A98" s="31" t="s">
        <v>110</v>
      </c>
      <c r="B98" s="33"/>
      <c r="C98" s="34"/>
      <c r="D98" s="20" t="s">
        <v>31</v>
      </c>
      <c r="E98" s="20" t="s">
        <v>37</v>
      </c>
      <c r="F98" s="20" t="s">
        <v>49</v>
      </c>
      <c r="G98" s="34">
        <f>'MC P14'!$A$25</f>
        <v>7364</v>
      </c>
      <c r="H98" s="76" t="str">
        <f>'MC P14'!$B$25</f>
        <v>Relleno en recebo común (suministro e instalación extendido mecánico, humedecimiento, compatación y transporte a 28 km)</v>
      </c>
      <c r="I98" s="31" t="str">
        <f>'MC P14'!$C$25</f>
        <v>m3</v>
      </c>
      <c r="J98" s="77">
        <f>'MC P14'!$D$25</f>
        <v>69.558999999999997</v>
      </c>
      <c r="K98" s="33"/>
      <c r="L98" s="20" t="s">
        <v>32</v>
      </c>
    </row>
    <row r="99" spans="1:16" ht="81" customHeight="1" x14ac:dyDescent="0.25">
      <c r="A99" s="31" t="s">
        <v>110</v>
      </c>
      <c r="B99" s="33"/>
      <c r="C99" s="34"/>
      <c r="D99" s="20" t="s">
        <v>31</v>
      </c>
      <c r="E99" s="20" t="s">
        <v>37</v>
      </c>
      <c r="F99" s="20" t="s">
        <v>98</v>
      </c>
      <c r="G99" s="62">
        <f>'MC P14'!$A$26</f>
        <v>0</v>
      </c>
      <c r="H99" s="76" t="str">
        <f>'MC P14'!$B$26</f>
        <v>Bloque estructural en concreto 39x14x6 tipo, color chocolate</v>
      </c>
      <c r="I99" s="31" t="str">
        <f>'MC P14'!$C$26</f>
        <v>m2</v>
      </c>
      <c r="J99" s="77">
        <f>'MC P14'!$D$26</f>
        <v>44.64</v>
      </c>
      <c r="K99" s="33"/>
      <c r="L99" s="20" t="s">
        <v>32</v>
      </c>
    </row>
    <row r="100" spans="1:16" ht="189" x14ac:dyDescent="0.25">
      <c r="A100" s="31" t="s">
        <v>110</v>
      </c>
      <c r="B100" s="79"/>
      <c r="C100" s="54"/>
      <c r="D100" s="20" t="s">
        <v>31</v>
      </c>
      <c r="E100" s="20" t="s">
        <v>37</v>
      </c>
      <c r="F100" s="54" t="s">
        <v>99</v>
      </c>
      <c r="G100" s="62">
        <f>'MC P14'!$A$27</f>
        <v>0</v>
      </c>
      <c r="H100" s="76" t="str">
        <f>'MC P14'!$B$27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100" s="31" t="str">
        <f>'MC P14'!$C$27</f>
        <v>ml</v>
      </c>
      <c r="J100" s="77">
        <f>'MC P14'!$D$27</f>
        <v>38.799999999999997</v>
      </c>
      <c r="K100" s="79"/>
      <c r="L100" s="20" t="s">
        <v>32</v>
      </c>
    </row>
    <row r="101" spans="1:16" ht="31.5" x14ac:dyDescent="0.25">
      <c r="A101" s="31" t="s">
        <v>110</v>
      </c>
      <c r="B101" s="33"/>
      <c r="C101" s="34"/>
      <c r="D101" s="20" t="s">
        <v>31</v>
      </c>
      <c r="E101" s="20" t="s">
        <v>37</v>
      </c>
      <c r="F101" s="20" t="s">
        <v>100</v>
      </c>
      <c r="G101" s="34">
        <f>'MC P14'!$A$28</f>
        <v>4009</v>
      </c>
      <c r="H101" s="76" t="str">
        <f>'MC P14'!$B$28</f>
        <v>Geotextil NT 3000 para subdrenes/filtros (incluye suministro e instalación)</v>
      </c>
      <c r="I101" s="31" t="str">
        <f>'MC P14'!$C$28</f>
        <v>m2</v>
      </c>
      <c r="J101" s="77">
        <f>'MC P14'!$D$28</f>
        <v>34.9</v>
      </c>
      <c r="K101" s="33"/>
      <c r="L101" s="20" t="s">
        <v>32</v>
      </c>
    </row>
    <row r="102" spans="1:16" ht="31.5" x14ac:dyDescent="0.25">
      <c r="A102" s="31" t="s">
        <v>110</v>
      </c>
      <c r="B102" s="79"/>
      <c r="C102" s="54"/>
      <c r="D102" s="20" t="s">
        <v>31</v>
      </c>
      <c r="E102" s="20" t="s">
        <v>37</v>
      </c>
      <c r="F102" s="20" t="s">
        <v>101</v>
      </c>
      <c r="G102" s="54">
        <f>'MC P14'!$A$29</f>
        <v>5412</v>
      </c>
      <c r="H102" s="76" t="str">
        <f>'MC P14'!$B$29</f>
        <v>Relleno de triturado de 3/4" (incluye transporte, suministro, extendido manual y colocación)</v>
      </c>
      <c r="I102" s="31" t="str">
        <f>'MC P14'!$C$29</f>
        <v>m3</v>
      </c>
      <c r="J102" s="77">
        <f>'MC P14'!$D$29</f>
        <v>5.2</v>
      </c>
      <c r="K102" s="79"/>
      <c r="L102" s="20" t="s">
        <v>32</v>
      </c>
    </row>
    <row r="103" spans="1:16" ht="31.5" x14ac:dyDescent="0.25">
      <c r="A103" s="31" t="s">
        <v>110</v>
      </c>
      <c r="B103" s="79"/>
      <c r="C103" s="54"/>
      <c r="D103" s="20" t="s">
        <v>31</v>
      </c>
      <c r="E103" s="20" t="s">
        <v>37</v>
      </c>
      <c r="F103" s="54" t="s">
        <v>102</v>
      </c>
      <c r="G103" s="54">
        <f>'MC P14'!$A$30</f>
        <v>3905</v>
      </c>
      <c r="H103" s="76" t="str">
        <f>'MC P14'!$B$30</f>
        <v>Tuberia de PVC para drenaje D= 6" con filtro (incluye suministro e instalación)</v>
      </c>
      <c r="I103" s="31" t="str">
        <f>'MC P14'!$C$30</f>
        <v>ml</v>
      </c>
      <c r="J103" s="77">
        <f>'MC P14'!$D$30</f>
        <v>38.799999999999997</v>
      </c>
      <c r="K103" s="79"/>
      <c r="L103" s="20" t="s">
        <v>32</v>
      </c>
    </row>
    <row r="104" spans="1:16" ht="31.5" x14ac:dyDescent="0.25">
      <c r="A104" s="31" t="s">
        <v>110</v>
      </c>
      <c r="B104" s="79"/>
      <c r="C104" s="54"/>
      <c r="D104" s="20" t="s">
        <v>31</v>
      </c>
      <c r="E104" s="20" t="s">
        <v>37</v>
      </c>
      <c r="F104" s="20" t="s">
        <v>103</v>
      </c>
      <c r="G104" s="54">
        <f>'MC P14'!$A$31</f>
        <v>3904</v>
      </c>
      <c r="H104" s="76" t="str">
        <f>'MC P14'!$B$31</f>
        <v>Tuberia de PVC para drenaje de 4" sin filtro (incluye suministro e instalación)</v>
      </c>
      <c r="I104" s="31" t="str">
        <f>'MC P14'!$C$31</f>
        <v>ml</v>
      </c>
      <c r="J104" s="77">
        <f>'MC P14'!$D$31</f>
        <v>3.9</v>
      </c>
      <c r="K104" s="79"/>
      <c r="L104" s="20" t="s">
        <v>32</v>
      </c>
    </row>
    <row r="105" spans="1:16" s="95" customFormat="1" x14ac:dyDescent="0.25">
      <c r="C105" s="96"/>
      <c r="H105" s="97"/>
      <c r="J105" s="98"/>
      <c r="N105" s="80"/>
      <c r="O105" s="80"/>
      <c r="P105" s="80"/>
    </row>
    <row r="106" spans="1:16" ht="47.25" x14ac:dyDescent="0.25">
      <c r="A106" s="31" t="s">
        <v>111</v>
      </c>
      <c r="B106" s="30"/>
      <c r="C106" s="20"/>
      <c r="D106" s="20" t="s">
        <v>31</v>
      </c>
      <c r="E106" s="20" t="s">
        <v>37</v>
      </c>
      <c r="F106" s="20" t="s">
        <v>44</v>
      </c>
      <c r="G106" s="31">
        <f>'MC P15'!$A$12</f>
        <v>6021</v>
      </c>
      <c r="H106" s="76" t="str">
        <f>'MC P15'!$B$12</f>
        <v>Concreto de nivelación 2000 psi grava común (140 kg/cm2) (premezclado. incluye suministro, fundida y nivelación y colocación. no incluye refuerzo, curado).</v>
      </c>
      <c r="I106" s="31" t="str">
        <f>'MC P15'!$C$12</f>
        <v>m3</v>
      </c>
      <c r="J106" s="77">
        <f>'MC P15'!$D$12</f>
        <v>4.8917999999999999</v>
      </c>
      <c r="K106" s="31"/>
      <c r="L106" s="20" t="s">
        <v>32</v>
      </c>
    </row>
    <row r="107" spans="1:16" ht="47.25" x14ac:dyDescent="0.25">
      <c r="A107" s="31" t="s">
        <v>111</v>
      </c>
      <c r="B107" s="33"/>
      <c r="C107" s="34"/>
      <c r="D107" s="20" t="s">
        <v>31</v>
      </c>
      <c r="E107" s="20" t="s">
        <v>37</v>
      </c>
      <c r="F107" s="34" t="s">
        <v>45</v>
      </c>
      <c r="G107" s="31" t="str">
        <f>'MC P15'!$A$13</f>
        <v>KES003</v>
      </c>
      <c r="H107" s="76" t="str">
        <f>'MC P15'!$B$13</f>
        <v>Concreto 4000 PSI para muro estructural (Premezclado Incluye Sumin, Formaleteo y Colocación No incluye Refuerzo, Curado).</v>
      </c>
      <c r="I107" s="31" t="str">
        <f>'MC P15'!$C$13</f>
        <v>m3</v>
      </c>
      <c r="J107" s="77">
        <f>'MC P15'!$D$13</f>
        <v>69.663359999999983</v>
      </c>
      <c r="K107" s="33"/>
      <c r="L107" s="20" t="s">
        <v>32</v>
      </c>
    </row>
    <row r="108" spans="1:16" ht="114.75" customHeight="1" x14ac:dyDescent="0.25">
      <c r="A108" s="31" t="s">
        <v>111</v>
      </c>
      <c r="B108" s="33"/>
      <c r="C108" s="34"/>
      <c r="D108" s="20" t="s">
        <v>31</v>
      </c>
      <c r="E108" s="20" t="s">
        <v>37</v>
      </c>
      <c r="F108" s="20" t="s">
        <v>46</v>
      </c>
      <c r="G108" s="34">
        <f>'MC P15'!$A$18</f>
        <v>3708</v>
      </c>
      <c r="H108" s="76" t="str">
        <f>'MC P15'!$B$18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108" s="31" t="str">
        <f>'MC P15'!$C$18</f>
        <v>kg</v>
      </c>
      <c r="J108" s="78">
        <f>'MC P15'!$D$18</f>
        <v>15859.94772</v>
      </c>
      <c r="K108" s="33"/>
      <c r="L108" s="20" t="s">
        <v>32</v>
      </c>
    </row>
    <row r="109" spans="1:16" ht="38.25" customHeight="1" x14ac:dyDescent="0.25">
      <c r="A109" s="31" t="s">
        <v>111</v>
      </c>
      <c r="B109" s="33"/>
      <c r="C109" s="34"/>
      <c r="D109" s="20" t="s">
        <v>31</v>
      </c>
      <c r="E109" s="20" t="s">
        <v>37</v>
      </c>
      <c r="F109" s="20" t="s">
        <v>47</v>
      </c>
      <c r="G109" s="34">
        <f>'MC P15'!$A$23</f>
        <v>3464</v>
      </c>
      <c r="H109" s="76" t="str">
        <f>'MC P15'!$B$23</f>
        <v>Excavación manual en material común. Incluye cargue</v>
      </c>
      <c r="I109" s="31" t="str">
        <f>'MC P15'!$C$23</f>
        <v>m3</v>
      </c>
      <c r="J109" s="77">
        <f>'MC P15'!$D$23</f>
        <v>123.08560000000001</v>
      </c>
      <c r="K109" s="33"/>
      <c r="L109" s="20" t="s">
        <v>32</v>
      </c>
    </row>
    <row r="110" spans="1:16" ht="63" x14ac:dyDescent="0.25">
      <c r="A110" s="31" t="s">
        <v>111</v>
      </c>
      <c r="B110" s="33"/>
      <c r="C110" s="34"/>
      <c r="D110" s="20" t="s">
        <v>31</v>
      </c>
      <c r="E110" s="20" t="s">
        <v>37</v>
      </c>
      <c r="F110" s="34" t="s">
        <v>48</v>
      </c>
      <c r="G110" s="34">
        <f>'MC P15'!$A$24</f>
        <v>3017</v>
      </c>
      <c r="H110" s="76" t="str">
        <f>'MC P15'!$B$24</f>
        <v>Transporte y disposición final de escombros en sitio autorizado (distancia de transporte 21 km) a distancia mayor del acarreo libre (90m) en sitio autorizado por la entidad ambiental competente.</v>
      </c>
      <c r="I110" s="31" t="str">
        <f>'MC P15'!$C$24</f>
        <v>m3</v>
      </c>
      <c r="J110" s="77">
        <f>'MC P15'!$D$24</f>
        <v>123.08560000000001</v>
      </c>
      <c r="K110" s="33"/>
      <c r="L110" s="20" t="s">
        <v>32</v>
      </c>
    </row>
    <row r="111" spans="1:16" ht="31.5" x14ac:dyDescent="0.25">
      <c r="A111" s="31" t="s">
        <v>111</v>
      </c>
      <c r="B111" s="33"/>
      <c r="C111" s="34"/>
      <c r="D111" s="20" t="s">
        <v>31</v>
      </c>
      <c r="E111" s="20" t="s">
        <v>37</v>
      </c>
      <c r="F111" s="20" t="s">
        <v>49</v>
      </c>
      <c r="G111" s="34">
        <f>'MC P15'!$A$25</f>
        <v>7364</v>
      </c>
      <c r="H111" s="76" t="str">
        <f>'MC P15'!$B$25</f>
        <v>Relleno en recebo común (suministro e instalación extendido mecánico, humedecimiento, compatación y transporte a 28 km)</v>
      </c>
      <c r="I111" s="31" t="str">
        <f>'MC P15'!$C$25</f>
        <v>m3</v>
      </c>
      <c r="J111" s="77">
        <f>'MC P15'!$D$25</f>
        <v>53.422240000000031</v>
      </c>
      <c r="K111" s="33"/>
      <c r="L111" s="20" t="s">
        <v>32</v>
      </c>
    </row>
    <row r="112" spans="1:16" ht="68.25" customHeight="1" x14ac:dyDescent="0.25">
      <c r="A112" s="31" t="s">
        <v>111</v>
      </c>
      <c r="B112" s="33"/>
      <c r="C112" s="34"/>
      <c r="D112" s="20" t="s">
        <v>31</v>
      </c>
      <c r="E112" s="20" t="s">
        <v>37</v>
      </c>
      <c r="F112" s="20" t="s">
        <v>98</v>
      </c>
      <c r="G112" s="62">
        <f>'MC P15'!$A$26</f>
        <v>0</v>
      </c>
      <c r="H112" s="76" t="str">
        <f>'MC P15'!$B$26</f>
        <v>Bloque estructural en concreto 39x14x6 tipo, color chocolate</v>
      </c>
      <c r="I112" s="31" t="str">
        <f>'MC P15'!$C$26</f>
        <v>m2</v>
      </c>
      <c r="J112" s="77">
        <f>'MC P15'!$D$26</f>
        <v>87.73</v>
      </c>
      <c r="K112" s="33"/>
      <c r="L112" s="20" t="s">
        <v>32</v>
      </c>
    </row>
    <row r="113" spans="1:16" ht="189" x14ac:dyDescent="0.25">
      <c r="A113" s="31" t="s">
        <v>111</v>
      </c>
      <c r="B113" s="79"/>
      <c r="C113" s="54"/>
      <c r="D113" s="20" t="s">
        <v>31</v>
      </c>
      <c r="E113" s="20" t="s">
        <v>37</v>
      </c>
      <c r="F113" s="54" t="s">
        <v>99</v>
      </c>
      <c r="G113" s="62">
        <f>'MC P15'!$A$27</f>
        <v>0</v>
      </c>
      <c r="H113" s="76" t="str">
        <f>'MC P15'!$B$27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113" s="31" t="str">
        <f>'MC P15'!$C$27</f>
        <v>ml</v>
      </c>
      <c r="J113" s="77">
        <f>'MC P15'!$D$27</f>
        <v>70.7</v>
      </c>
      <c r="K113" s="79"/>
      <c r="L113" s="20" t="s">
        <v>32</v>
      </c>
    </row>
    <row r="114" spans="1:16" ht="31.5" x14ac:dyDescent="0.25">
      <c r="A114" s="31" t="s">
        <v>111</v>
      </c>
      <c r="B114" s="33"/>
      <c r="C114" s="34"/>
      <c r="D114" s="20" t="s">
        <v>31</v>
      </c>
      <c r="E114" s="20" t="s">
        <v>37</v>
      </c>
      <c r="F114" s="20" t="s">
        <v>100</v>
      </c>
      <c r="G114" s="34">
        <f>'MC P15'!$A$28</f>
        <v>4009</v>
      </c>
      <c r="H114" s="76" t="str">
        <f>'MC P15'!$B$28</f>
        <v>Geotextil NT 3000 para subdrenes/filtros (incluye suministro e instalación)</v>
      </c>
      <c r="I114" s="31" t="str">
        <f>'MC P15'!$C$28</f>
        <v>m2</v>
      </c>
      <c r="J114" s="77">
        <f>'MC P15'!$D$28</f>
        <v>118.9</v>
      </c>
      <c r="K114" s="33"/>
      <c r="L114" s="20" t="s">
        <v>32</v>
      </c>
    </row>
    <row r="115" spans="1:16" ht="31.5" x14ac:dyDescent="0.25">
      <c r="A115" s="31" t="s">
        <v>111</v>
      </c>
      <c r="B115" s="79"/>
      <c r="C115" s="54"/>
      <c r="D115" s="20" t="s">
        <v>31</v>
      </c>
      <c r="E115" s="20" t="s">
        <v>37</v>
      </c>
      <c r="F115" s="20" t="s">
        <v>101</v>
      </c>
      <c r="G115" s="54">
        <f>'MC P15'!$A$29</f>
        <v>5412</v>
      </c>
      <c r="H115" s="76" t="str">
        <f>'MC P15'!$B$29</f>
        <v>Relleno de triturado de 3/4" (incluye transporte, suministro, extendido manual y colocación)</v>
      </c>
      <c r="I115" s="31" t="str">
        <f>'MC P15'!$C$29</f>
        <v>m3</v>
      </c>
      <c r="J115" s="77">
        <f>'MC P15'!$D$29</f>
        <v>17.8</v>
      </c>
      <c r="K115" s="79"/>
      <c r="L115" s="20" t="s">
        <v>32</v>
      </c>
    </row>
    <row r="116" spans="1:16" ht="31.5" x14ac:dyDescent="0.25">
      <c r="A116" s="31" t="s">
        <v>111</v>
      </c>
      <c r="B116" s="79"/>
      <c r="C116" s="54"/>
      <c r="D116" s="20" t="s">
        <v>31</v>
      </c>
      <c r="E116" s="20" t="s">
        <v>37</v>
      </c>
      <c r="F116" s="54" t="s">
        <v>102</v>
      </c>
      <c r="G116" s="54">
        <f>'MC P15'!$A$30</f>
        <v>3905</v>
      </c>
      <c r="H116" s="76" t="str">
        <f>'MC P15'!$B$30</f>
        <v>Tuberia de PVC para drenaje D= 6" con filtro (incluye suministro e instalación)</v>
      </c>
      <c r="I116" s="31" t="str">
        <f>'MC P15'!$C$30</f>
        <v>ml</v>
      </c>
      <c r="J116" s="77">
        <f>'MC P15'!$D$30</f>
        <v>70.7</v>
      </c>
      <c r="K116" s="79"/>
      <c r="L116" s="20" t="s">
        <v>32</v>
      </c>
    </row>
    <row r="117" spans="1:16" ht="31.5" x14ac:dyDescent="0.25">
      <c r="A117" s="31" t="s">
        <v>111</v>
      </c>
      <c r="B117" s="79"/>
      <c r="C117" s="54"/>
      <c r="D117" s="20" t="s">
        <v>31</v>
      </c>
      <c r="E117" s="20" t="s">
        <v>37</v>
      </c>
      <c r="F117" s="20" t="s">
        <v>103</v>
      </c>
      <c r="G117" s="54">
        <f>'MC P15'!$A$31</f>
        <v>3904</v>
      </c>
      <c r="H117" s="76" t="str">
        <f>'MC P15'!$B$31</f>
        <v>Tuberia de PVC para drenaje de 4" sin filtro (incluye suministro e instalación)</v>
      </c>
      <c r="I117" s="31" t="str">
        <f>'MC P15'!$C$31</f>
        <v>ml</v>
      </c>
      <c r="J117" s="77">
        <f>'MC P15'!$D$31</f>
        <v>7.1999999999999993</v>
      </c>
      <c r="K117" s="79"/>
      <c r="L117" s="20" t="s">
        <v>32</v>
      </c>
    </row>
    <row r="118" spans="1:16" s="95" customFormat="1" x14ac:dyDescent="0.25">
      <c r="C118" s="96"/>
      <c r="H118" s="97"/>
      <c r="J118" s="98"/>
      <c r="N118" s="80"/>
      <c r="O118" s="80"/>
      <c r="P118" s="80"/>
    </row>
    <row r="119" spans="1:16" ht="47.25" x14ac:dyDescent="0.25">
      <c r="A119" s="31" t="s">
        <v>112</v>
      </c>
      <c r="B119" s="30"/>
      <c r="C119" s="20"/>
      <c r="D119" s="20" t="s">
        <v>31</v>
      </c>
      <c r="E119" s="20" t="s">
        <v>37</v>
      </c>
      <c r="F119" s="20" t="s">
        <v>44</v>
      </c>
      <c r="G119" s="31">
        <f>'MC P17'!$A$12</f>
        <v>6021</v>
      </c>
      <c r="H119" s="76" t="str">
        <f>'MC P17'!$B$12</f>
        <v>Concreto de nivelación 2000 psi grava común (140 kg/cm2) (premezclado. incluye suministro, fundida y nivelación y colocación. no incluye refuerzo, curado).</v>
      </c>
      <c r="I119" s="31" t="str">
        <f>'MC P17'!$C$12</f>
        <v>m3</v>
      </c>
      <c r="J119" s="77">
        <f>'MC P17'!$D$12</f>
        <v>2.7458999999999998</v>
      </c>
      <c r="K119" s="31"/>
      <c r="L119" s="20" t="s">
        <v>32</v>
      </c>
    </row>
    <row r="120" spans="1:16" ht="47.25" x14ac:dyDescent="0.25">
      <c r="A120" s="31" t="s">
        <v>112</v>
      </c>
      <c r="B120" s="33"/>
      <c r="C120" s="34"/>
      <c r="D120" s="20" t="s">
        <v>31</v>
      </c>
      <c r="E120" s="20" t="s">
        <v>37</v>
      </c>
      <c r="F120" s="34" t="s">
        <v>45</v>
      </c>
      <c r="G120" s="31" t="str">
        <f>'MC P17'!$A$13</f>
        <v>KES003</v>
      </c>
      <c r="H120" s="76" t="str">
        <f>'MC P17'!$B$13</f>
        <v>Concreto 4000 PSI para muro estructural (Premezclado Incluye Sumin, Formaleteo y Colocación No incluye Refuerzo, Curado).</v>
      </c>
      <c r="I120" s="31" t="str">
        <f>'MC P17'!$C$13</f>
        <v>m3</v>
      </c>
      <c r="J120" s="77">
        <f>'MC P17'!$D$13</f>
        <v>56.6233</v>
      </c>
      <c r="K120" s="33"/>
      <c r="L120" s="20" t="s">
        <v>32</v>
      </c>
    </row>
    <row r="121" spans="1:16" ht="121.5" customHeight="1" x14ac:dyDescent="0.25">
      <c r="A121" s="31" t="s">
        <v>112</v>
      </c>
      <c r="B121" s="33"/>
      <c r="C121" s="34"/>
      <c r="D121" s="20" t="s">
        <v>31</v>
      </c>
      <c r="E121" s="20" t="s">
        <v>37</v>
      </c>
      <c r="F121" s="20" t="s">
        <v>46</v>
      </c>
      <c r="G121" s="34">
        <f>'MC P17'!$A$18</f>
        <v>3708</v>
      </c>
      <c r="H121" s="76" t="str">
        <f>'MC P17'!$B$18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121" s="31" t="str">
        <f>'MC P17'!$C$18</f>
        <v>kg</v>
      </c>
      <c r="J121" s="78">
        <f>'MC P17'!$D$18</f>
        <v>8120.0345499999994</v>
      </c>
      <c r="K121" s="33"/>
      <c r="L121" s="20" t="s">
        <v>32</v>
      </c>
    </row>
    <row r="122" spans="1:16" ht="45.75" customHeight="1" x14ac:dyDescent="0.25">
      <c r="A122" s="31" t="s">
        <v>112</v>
      </c>
      <c r="B122" s="33"/>
      <c r="C122" s="34"/>
      <c r="D122" s="20" t="s">
        <v>31</v>
      </c>
      <c r="E122" s="20" t="s">
        <v>37</v>
      </c>
      <c r="F122" s="20" t="s">
        <v>47</v>
      </c>
      <c r="G122" s="34">
        <f>'MC P17'!$A$23</f>
        <v>3464</v>
      </c>
      <c r="H122" s="76" t="str">
        <f>'MC P17'!$B$23</f>
        <v>Excavación manual en material común. Incluye cargue</v>
      </c>
      <c r="I122" s="31" t="str">
        <f>'MC P17'!$C$23</f>
        <v>m3</v>
      </c>
      <c r="J122" s="77">
        <f>'MC P17'!$D$23</f>
        <v>115.42779999999999</v>
      </c>
      <c r="K122" s="33"/>
      <c r="L122" s="20" t="s">
        <v>32</v>
      </c>
    </row>
    <row r="123" spans="1:16" ht="63" x14ac:dyDescent="0.25">
      <c r="A123" s="31" t="s">
        <v>112</v>
      </c>
      <c r="B123" s="33"/>
      <c r="C123" s="34"/>
      <c r="D123" s="20" t="s">
        <v>31</v>
      </c>
      <c r="E123" s="20" t="s">
        <v>37</v>
      </c>
      <c r="F123" s="34" t="s">
        <v>48</v>
      </c>
      <c r="G123" s="34">
        <f>'MC P17'!$A$24</f>
        <v>3017</v>
      </c>
      <c r="H123" s="76" t="str">
        <f>'MC P17'!$B$24</f>
        <v>Transporte y disposición final de escombros en sitio autorizado (distancia de transporte 21 km) a distancia mayor del acarreo libre (90m) en sitio autorizado por la entidad ambiental competente.</v>
      </c>
      <c r="I123" s="31" t="str">
        <f>'MC P17'!$C$24</f>
        <v>m3</v>
      </c>
      <c r="J123" s="77">
        <f>'MC P17'!$D$24</f>
        <v>115.42779999999999</v>
      </c>
      <c r="K123" s="33"/>
      <c r="L123" s="20" t="s">
        <v>32</v>
      </c>
    </row>
    <row r="124" spans="1:16" ht="31.5" x14ac:dyDescent="0.25">
      <c r="A124" s="31" t="s">
        <v>112</v>
      </c>
      <c r="B124" s="33"/>
      <c r="C124" s="34"/>
      <c r="D124" s="20" t="s">
        <v>31</v>
      </c>
      <c r="E124" s="20" t="s">
        <v>37</v>
      </c>
      <c r="F124" s="20" t="s">
        <v>49</v>
      </c>
      <c r="G124" s="34">
        <f>'MC P17'!$A$25</f>
        <v>7364</v>
      </c>
      <c r="H124" s="76" t="str">
        <f>'MC P17'!$B$25</f>
        <v>Relleno en recebo común (suministro e instalación extendido mecánico, humedecimiento, compatación y transporte a 28 km)</v>
      </c>
      <c r="I124" s="31" t="str">
        <f>'MC P17'!$C$25</f>
        <v>m3</v>
      </c>
      <c r="J124" s="77">
        <f>'MC P17'!$D$25</f>
        <v>58.80449999999999</v>
      </c>
      <c r="K124" s="33"/>
      <c r="L124" s="20" t="s">
        <v>32</v>
      </c>
    </row>
    <row r="125" spans="1:16" ht="77.25" customHeight="1" x14ac:dyDescent="0.25">
      <c r="A125" s="31" t="s">
        <v>112</v>
      </c>
      <c r="B125" s="33"/>
      <c r="C125" s="34"/>
      <c r="D125" s="20" t="s">
        <v>31</v>
      </c>
      <c r="E125" s="20" t="s">
        <v>37</v>
      </c>
      <c r="F125" s="20" t="s">
        <v>98</v>
      </c>
      <c r="G125" s="62">
        <f>'MC P17'!$A$26</f>
        <v>0</v>
      </c>
      <c r="H125" s="76" t="str">
        <f>'MC P17'!$B$26</f>
        <v>Bloque estructural en concreto 39x14x6 tipo, color chocolate</v>
      </c>
      <c r="I125" s="31" t="str">
        <f>'MC P17'!$C$26</f>
        <v>m2</v>
      </c>
      <c r="J125" s="77">
        <f>'MC P17'!$D$26</f>
        <v>77.5</v>
      </c>
      <c r="K125" s="33"/>
      <c r="L125" s="20" t="s">
        <v>32</v>
      </c>
    </row>
    <row r="126" spans="1:16" ht="189" x14ac:dyDescent="0.25">
      <c r="A126" s="31" t="s">
        <v>112</v>
      </c>
      <c r="B126" s="79"/>
      <c r="C126" s="54"/>
      <c r="D126" s="20" t="s">
        <v>31</v>
      </c>
      <c r="E126" s="20" t="s">
        <v>37</v>
      </c>
      <c r="F126" s="54" t="s">
        <v>99</v>
      </c>
      <c r="G126" s="62">
        <f>'MC P17'!$A$27</f>
        <v>0</v>
      </c>
      <c r="H126" s="76" t="str">
        <f>'MC P17'!$B$27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126" s="31" t="str">
        <f>'MC P17'!$C$27</f>
        <v>ml</v>
      </c>
      <c r="J126" s="77">
        <f>'MC P17'!$D$27</f>
        <v>55.6</v>
      </c>
      <c r="K126" s="79"/>
      <c r="L126" s="20" t="s">
        <v>32</v>
      </c>
    </row>
    <row r="127" spans="1:16" ht="31.5" x14ac:dyDescent="0.25">
      <c r="A127" s="31" t="s">
        <v>112</v>
      </c>
      <c r="B127" s="33"/>
      <c r="C127" s="34"/>
      <c r="D127" s="20" t="s">
        <v>31</v>
      </c>
      <c r="E127" s="20" t="s">
        <v>37</v>
      </c>
      <c r="F127" s="20" t="s">
        <v>100</v>
      </c>
      <c r="G127" s="34">
        <f>'MC P17'!$A$28</f>
        <v>4009</v>
      </c>
      <c r="H127" s="76" t="str">
        <f>'MC P17'!$B$28</f>
        <v>Geotextil NT 3000 para subdrenes/filtros (incluye suministro e instalación)</v>
      </c>
      <c r="I127" s="31" t="str">
        <f>'MC P17'!$C$28</f>
        <v>m2</v>
      </c>
      <c r="J127" s="77">
        <f>'MC P17'!$D$28</f>
        <v>76.900000000000006</v>
      </c>
      <c r="K127" s="33"/>
      <c r="L127" s="20" t="s">
        <v>32</v>
      </c>
    </row>
    <row r="128" spans="1:16" ht="31.5" x14ac:dyDescent="0.25">
      <c r="A128" s="31" t="s">
        <v>112</v>
      </c>
      <c r="B128" s="79"/>
      <c r="C128" s="54"/>
      <c r="D128" s="20" t="s">
        <v>31</v>
      </c>
      <c r="E128" s="20" t="s">
        <v>37</v>
      </c>
      <c r="F128" s="20" t="s">
        <v>101</v>
      </c>
      <c r="G128" s="54">
        <f>'MC P17'!$A$29</f>
        <v>5412</v>
      </c>
      <c r="H128" s="76" t="str">
        <f>'MC P17'!$B$29</f>
        <v>Relleno de triturado de 3/4" (incluye transporte, suministro, extendido manual y colocación)</v>
      </c>
      <c r="I128" s="31" t="str">
        <f>'MC P17'!$C$29</f>
        <v>m3</v>
      </c>
      <c r="J128" s="77">
        <f>'MC P17'!$D$29</f>
        <v>11.5</v>
      </c>
      <c r="K128" s="79"/>
      <c r="L128" s="20" t="s">
        <v>32</v>
      </c>
    </row>
    <row r="129" spans="1:16" ht="31.5" x14ac:dyDescent="0.25">
      <c r="A129" s="31" t="s">
        <v>112</v>
      </c>
      <c r="B129" s="79"/>
      <c r="C129" s="54"/>
      <c r="D129" s="20" t="s">
        <v>31</v>
      </c>
      <c r="E129" s="20" t="s">
        <v>37</v>
      </c>
      <c r="F129" s="54" t="s">
        <v>102</v>
      </c>
      <c r="G129" s="54">
        <f>'MC P17'!$A$30</f>
        <v>3905</v>
      </c>
      <c r="H129" s="76" t="str">
        <f>'MC P17'!$B$30</f>
        <v>Tuberia de PVC para drenaje D= 6" con filtro (incluye suministro e instalación)</v>
      </c>
      <c r="I129" s="31" t="str">
        <f>'MC P17'!$C$30</f>
        <v>ml</v>
      </c>
      <c r="J129" s="77">
        <f>'MC P17'!$D$30</f>
        <v>55.6</v>
      </c>
      <c r="K129" s="79"/>
      <c r="L129" s="20" t="s">
        <v>32</v>
      </c>
    </row>
    <row r="130" spans="1:16" ht="31.5" x14ac:dyDescent="0.25">
      <c r="A130" s="31" t="s">
        <v>112</v>
      </c>
      <c r="B130" s="79"/>
      <c r="C130" s="54"/>
      <c r="D130" s="20" t="s">
        <v>31</v>
      </c>
      <c r="E130" s="20" t="s">
        <v>37</v>
      </c>
      <c r="F130" s="20" t="s">
        <v>103</v>
      </c>
      <c r="G130" s="54">
        <f>'MC P17'!$A$31</f>
        <v>3904</v>
      </c>
      <c r="H130" s="76" t="str">
        <f>'MC P17'!$B$31</f>
        <v>Tuberia de PVC para drenaje de 4" sin filtro (incluye suministro e instalación)</v>
      </c>
      <c r="I130" s="31" t="str">
        <f>'MC P17'!$C$31</f>
        <v>ml</v>
      </c>
      <c r="J130" s="77">
        <f>'MC P17'!$D$31</f>
        <v>5.7</v>
      </c>
      <c r="K130" s="79"/>
      <c r="L130" s="20" t="s">
        <v>32</v>
      </c>
    </row>
    <row r="131" spans="1:16" s="95" customFormat="1" x14ac:dyDescent="0.25">
      <c r="C131" s="96"/>
      <c r="H131" s="97"/>
      <c r="J131" s="98"/>
      <c r="N131" s="80"/>
      <c r="O131" s="80"/>
      <c r="P131" s="80"/>
    </row>
    <row r="132" spans="1:16" ht="47.25" x14ac:dyDescent="0.25">
      <c r="A132" s="31" t="s">
        <v>113</v>
      </c>
      <c r="B132" s="30"/>
      <c r="C132" s="20"/>
      <c r="D132" s="20" t="s">
        <v>31</v>
      </c>
      <c r="E132" s="20" t="s">
        <v>37</v>
      </c>
      <c r="F132" s="20" t="s">
        <v>44</v>
      </c>
      <c r="G132" s="31">
        <f>'MC P18'!$A$12</f>
        <v>6021</v>
      </c>
      <c r="H132" s="76" t="str">
        <f>'MC P18'!$B$12</f>
        <v>Concreto de nivelación 2000 psi grava común (140 kg/cm2) (premezclado. incluye suministro, fundida y nivelación y colocación. no incluye refuerzo, curado).</v>
      </c>
      <c r="I132" s="31" t="str">
        <f>'MC P18'!$C$12</f>
        <v>m3</v>
      </c>
      <c r="J132" s="77">
        <f>'MC P18'!$D$12</f>
        <v>3.3939000000000004</v>
      </c>
      <c r="K132" s="31"/>
      <c r="L132" s="20" t="s">
        <v>32</v>
      </c>
    </row>
    <row r="133" spans="1:16" ht="47.25" x14ac:dyDescent="0.25">
      <c r="A133" s="31" t="s">
        <v>113</v>
      </c>
      <c r="B133" s="33"/>
      <c r="C133" s="34"/>
      <c r="D133" s="20" t="s">
        <v>31</v>
      </c>
      <c r="E133" s="20" t="s">
        <v>37</v>
      </c>
      <c r="F133" s="34" t="s">
        <v>45</v>
      </c>
      <c r="G133" s="31" t="str">
        <f>'MC P18'!$A$13</f>
        <v>KES003</v>
      </c>
      <c r="H133" s="76" t="str">
        <f>'MC P18'!$B$13</f>
        <v>Concreto 4000 PSI para muro estructural (Premezclado Incluye Sumin, Formaleteo y Colocación No incluye Refuerzo, Curado).</v>
      </c>
      <c r="I133" s="31" t="str">
        <f>'MC P18'!$C$13</f>
        <v>m3</v>
      </c>
      <c r="J133" s="77">
        <f>'MC P18'!$D$13</f>
        <v>75.226200000000006</v>
      </c>
      <c r="K133" s="33"/>
      <c r="L133" s="20" t="s">
        <v>32</v>
      </c>
    </row>
    <row r="134" spans="1:16" ht="117.75" customHeight="1" x14ac:dyDescent="0.25">
      <c r="A134" s="31" t="s">
        <v>113</v>
      </c>
      <c r="B134" s="33"/>
      <c r="C134" s="34"/>
      <c r="D134" s="20" t="s">
        <v>31</v>
      </c>
      <c r="E134" s="20" t="s">
        <v>37</v>
      </c>
      <c r="F134" s="20" t="s">
        <v>46</v>
      </c>
      <c r="G134" s="34">
        <f>'MC P18'!$A$18</f>
        <v>3708</v>
      </c>
      <c r="H134" s="76" t="str">
        <f>'MC P18'!$B$18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134" s="31" t="str">
        <f>'MC P18'!$C$18</f>
        <v>kg</v>
      </c>
      <c r="J134" s="78">
        <f>'MC P18'!$D$18</f>
        <v>11558.190059999999</v>
      </c>
      <c r="K134" s="33"/>
      <c r="L134" s="20" t="s">
        <v>32</v>
      </c>
    </row>
    <row r="135" spans="1:16" ht="43.5" customHeight="1" x14ac:dyDescent="0.25">
      <c r="A135" s="31" t="s">
        <v>113</v>
      </c>
      <c r="B135" s="33"/>
      <c r="C135" s="34"/>
      <c r="D135" s="20" t="s">
        <v>31</v>
      </c>
      <c r="E135" s="20" t="s">
        <v>37</v>
      </c>
      <c r="F135" s="20" t="s">
        <v>47</v>
      </c>
      <c r="G135" s="34">
        <f>'MC P18'!$A$23</f>
        <v>3464</v>
      </c>
      <c r="H135" s="76" t="str">
        <f>'MC P18'!$B$23</f>
        <v>Excavación manual en material común. Incluye cargue</v>
      </c>
      <c r="I135" s="31" t="str">
        <f>'MC P18'!$C$23</f>
        <v>m3</v>
      </c>
      <c r="J135" s="77">
        <f>'MC P18'!$D$23</f>
        <v>71.38</v>
      </c>
      <c r="K135" s="33"/>
      <c r="L135" s="20" t="s">
        <v>32</v>
      </c>
    </row>
    <row r="136" spans="1:16" ht="63" x14ac:dyDescent="0.25">
      <c r="A136" s="31" t="s">
        <v>113</v>
      </c>
      <c r="B136" s="33"/>
      <c r="C136" s="34"/>
      <c r="D136" s="20" t="s">
        <v>31</v>
      </c>
      <c r="E136" s="20" t="s">
        <v>37</v>
      </c>
      <c r="F136" s="34" t="s">
        <v>48</v>
      </c>
      <c r="G136" s="34">
        <f>'MC P18'!$A$24</f>
        <v>3017</v>
      </c>
      <c r="H136" s="76" t="str">
        <f>'MC P18'!$B$24</f>
        <v>Transporte y disposición final de escombros en sitio autorizado (distancia de transporte 21 km) a distancia mayor del acarreo libre (90m) en sitio autorizado por la entidad ambiental competente.</v>
      </c>
      <c r="I136" s="31" t="str">
        <f>'MC P18'!$C$24</f>
        <v>m3</v>
      </c>
      <c r="J136" s="77">
        <f>'MC P18'!$D$24</f>
        <v>71.38</v>
      </c>
      <c r="K136" s="33"/>
      <c r="L136" s="20" t="s">
        <v>32</v>
      </c>
    </row>
    <row r="137" spans="1:16" ht="31.5" x14ac:dyDescent="0.25">
      <c r="A137" s="31" t="s">
        <v>113</v>
      </c>
      <c r="B137" s="33"/>
      <c r="C137" s="34"/>
      <c r="D137" s="20" t="s">
        <v>31</v>
      </c>
      <c r="E137" s="20" t="s">
        <v>37</v>
      </c>
      <c r="F137" s="20" t="s">
        <v>49</v>
      </c>
      <c r="G137" s="34">
        <f>'MC P18'!$A$25</f>
        <v>7364</v>
      </c>
      <c r="H137" s="76" t="str">
        <f>'MC P18'!$B$25</f>
        <v>Relleno en recebo común (suministro e instalación extendido mecánico, humedecimiento, compatación y transporte a 28 km)</v>
      </c>
      <c r="I137" s="31" t="str">
        <f>'MC P18'!$C$25</f>
        <v>m3</v>
      </c>
      <c r="J137" s="77">
        <f>'MC P18'!$D$25</f>
        <v>-3.8462000000000103</v>
      </c>
      <c r="K137" s="33"/>
      <c r="L137" s="20" t="s">
        <v>32</v>
      </c>
    </row>
    <row r="138" spans="1:16" ht="69.75" customHeight="1" x14ac:dyDescent="0.25">
      <c r="A138" s="31" t="s">
        <v>113</v>
      </c>
      <c r="B138" s="33"/>
      <c r="C138" s="34"/>
      <c r="D138" s="20" t="s">
        <v>31</v>
      </c>
      <c r="E138" s="20" t="s">
        <v>37</v>
      </c>
      <c r="F138" s="20" t="s">
        <v>98</v>
      </c>
      <c r="G138" s="62">
        <f>'MC P18'!$A$26</f>
        <v>0</v>
      </c>
      <c r="H138" s="76" t="str">
        <f>'MC P18'!$B$26</f>
        <v>Bloque estructural en concreto 39x14x6 tipo, color chocolate</v>
      </c>
      <c r="I138" s="31" t="str">
        <f>'MC P18'!$C$26</f>
        <v>m2</v>
      </c>
      <c r="J138" s="77">
        <f>'MC P18'!$D$26</f>
        <v>130.20000000000002</v>
      </c>
      <c r="K138" s="33"/>
      <c r="L138" s="20" t="s">
        <v>32</v>
      </c>
    </row>
    <row r="139" spans="1:16" ht="189" x14ac:dyDescent="0.25">
      <c r="A139" s="31" t="s">
        <v>113</v>
      </c>
      <c r="B139" s="79"/>
      <c r="C139" s="54"/>
      <c r="D139" s="20" t="s">
        <v>31</v>
      </c>
      <c r="E139" s="20" t="s">
        <v>37</v>
      </c>
      <c r="F139" s="54" t="s">
        <v>99</v>
      </c>
      <c r="G139" s="62">
        <f>'MC P18'!$A$27</f>
        <v>0</v>
      </c>
      <c r="H139" s="76" t="str">
        <f>'MC P18'!$B$27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139" s="31" t="str">
        <f>'MC P18'!$C$27</f>
        <v>ml</v>
      </c>
      <c r="J139" s="77">
        <f>'MC P18'!$D$27</f>
        <v>46.6</v>
      </c>
      <c r="K139" s="79"/>
      <c r="L139" s="20" t="s">
        <v>32</v>
      </c>
    </row>
    <row r="140" spans="1:16" ht="31.5" x14ac:dyDescent="0.25">
      <c r="A140" s="31" t="s">
        <v>113</v>
      </c>
      <c r="B140" s="33"/>
      <c r="C140" s="34"/>
      <c r="D140" s="20" t="s">
        <v>31</v>
      </c>
      <c r="E140" s="20" t="s">
        <v>37</v>
      </c>
      <c r="F140" s="20" t="s">
        <v>100</v>
      </c>
      <c r="G140" s="34">
        <f>'MC P18'!$A$28</f>
        <v>4009</v>
      </c>
      <c r="H140" s="76" t="str">
        <f>'MC P18'!$B$28</f>
        <v>Geotextil NT 3000 para subdrenes/filtros (incluye suministro e instalación)</v>
      </c>
      <c r="I140" s="31" t="str">
        <f>'MC P18'!$C$28</f>
        <v>m2</v>
      </c>
      <c r="J140" s="77">
        <f>'MC P18'!$D$28</f>
        <v>77.2</v>
      </c>
      <c r="K140" s="33"/>
      <c r="L140" s="20" t="s">
        <v>32</v>
      </c>
    </row>
    <row r="141" spans="1:16" ht="31.5" x14ac:dyDescent="0.25">
      <c r="A141" s="31" t="s">
        <v>113</v>
      </c>
      <c r="B141" s="79"/>
      <c r="C141" s="54"/>
      <c r="D141" s="20" t="s">
        <v>31</v>
      </c>
      <c r="E141" s="20" t="s">
        <v>37</v>
      </c>
      <c r="F141" s="20" t="s">
        <v>101</v>
      </c>
      <c r="G141" s="54">
        <f>'MC P18'!$A$29</f>
        <v>5412</v>
      </c>
      <c r="H141" s="76" t="str">
        <f>'MC P18'!$B$29</f>
        <v>Relleno de triturado de 3/4" (incluye transporte, suministro, extendido manual y colocación)</v>
      </c>
      <c r="I141" s="31" t="str">
        <f>'MC P18'!$C$29</f>
        <v>m3</v>
      </c>
      <c r="J141" s="77">
        <f>'MC P18'!$D$29</f>
        <v>11.6</v>
      </c>
      <c r="K141" s="79"/>
      <c r="L141" s="20" t="s">
        <v>32</v>
      </c>
    </row>
    <row r="142" spans="1:16" ht="31.5" x14ac:dyDescent="0.25">
      <c r="A142" s="31" t="s">
        <v>113</v>
      </c>
      <c r="B142" s="79"/>
      <c r="C142" s="54"/>
      <c r="D142" s="20" t="s">
        <v>31</v>
      </c>
      <c r="E142" s="20" t="s">
        <v>37</v>
      </c>
      <c r="F142" s="54" t="s">
        <v>102</v>
      </c>
      <c r="G142" s="54">
        <f>'MC P18'!$A$30</f>
        <v>3905</v>
      </c>
      <c r="H142" s="76" t="str">
        <f>'MC P18'!$B$30</f>
        <v>Tuberia de PVC para drenaje D= 6" con filtro (incluye suministro e instalación)</v>
      </c>
      <c r="I142" s="31" t="str">
        <f>'MC P18'!$C$30</f>
        <v>ml</v>
      </c>
      <c r="J142" s="77">
        <f>'MC P18'!$D$30</f>
        <v>46.6</v>
      </c>
      <c r="K142" s="79"/>
      <c r="L142" s="20" t="s">
        <v>32</v>
      </c>
    </row>
    <row r="143" spans="1:16" ht="31.5" x14ac:dyDescent="0.25">
      <c r="A143" s="31" t="s">
        <v>113</v>
      </c>
      <c r="B143" s="79"/>
      <c r="C143" s="54"/>
      <c r="D143" s="20" t="s">
        <v>31</v>
      </c>
      <c r="E143" s="20" t="s">
        <v>37</v>
      </c>
      <c r="F143" s="20" t="s">
        <v>103</v>
      </c>
      <c r="G143" s="54">
        <f>'MC P18'!$A$31</f>
        <v>3904</v>
      </c>
      <c r="H143" s="76" t="str">
        <f>'MC P18'!$B$31</f>
        <v>Tuberia de PVC para drenaje de 4" sin filtro (incluye suministro e instalación)</v>
      </c>
      <c r="I143" s="31" t="str">
        <f>'MC P18'!$C$31</f>
        <v>ml</v>
      </c>
      <c r="J143" s="77">
        <f>'MC P18'!$D$31</f>
        <v>4.8</v>
      </c>
      <c r="K143" s="79"/>
      <c r="L143" s="20" t="s">
        <v>32</v>
      </c>
    </row>
    <row r="144" spans="1:16" s="95" customFormat="1" x14ac:dyDescent="0.25">
      <c r="C144" s="96"/>
      <c r="H144" s="97"/>
      <c r="J144" s="98"/>
      <c r="N144" s="80"/>
      <c r="O144" s="80"/>
      <c r="P144" s="80"/>
    </row>
    <row r="145" spans="1:16" ht="47.25" x14ac:dyDescent="0.25">
      <c r="A145" s="31" t="s">
        <v>114</v>
      </c>
      <c r="B145" s="30"/>
      <c r="C145" s="20"/>
      <c r="D145" s="20" t="s">
        <v>31</v>
      </c>
      <c r="E145" s="20" t="s">
        <v>37</v>
      </c>
      <c r="F145" s="20" t="s">
        <v>44</v>
      </c>
      <c r="G145" s="31">
        <f>'MC P19'!$A$12</f>
        <v>6021</v>
      </c>
      <c r="H145" s="76" t="str">
        <f>'MC P19'!$B$12</f>
        <v>Concreto de nivelación 2000 psi grava común (140 kg/cm2) (premezclado. incluye suministro, fundida y nivelación y colocación. no incluye refuerzo, curado).</v>
      </c>
      <c r="I145" s="31" t="str">
        <f>'MC P19'!$C$12</f>
        <v>m3</v>
      </c>
      <c r="J145" s="77">
        <f>'MC P19'!$D$12</f>
        <v>6.3717000000000006</v>
      </c>
      <c r="K145" s="31"/>
      <c r="L145" s="20" t="s">
        <v>32</v>
      </c>
    </row>
    <row r="146" spans="1:16" ht="47.25" x14ac:dyDescent="0.25">
      <c r="A146" s="31" t="s">
        <v>114</v>
      </c>
      <c r="B146" s="33"/>
      <c r="C146" s="34"/>
      <c r="D146" s="20" t="s">
        <v>31</v>
      </c>
      <c r="E146" s="20" t="s">
        <v>37</v>
      </c>
      <c r="F146" s="34" t="s">
        <v>45</v>
      </c>
      <c r="G146" s="31" t="str">
        <f>'MC P19'!$A$13</f>
        <v>KES003</v>
      </c>
      <c r="H146" s="76" t="str">
        <f>'MC P19'!$B$13</f>
        <v>Concreto 4000 PSI para muro estructural (Premezclado Incluye Sumin, Formaleteo y Colocación No incluye Refuerzo, Curado).</v>
      </c>
      <c r="I146" s="31" t="str">
        <f>'MC P19'!$C$13</f>
        <v>m3</v>
      </c>
      <c r="J146" s="77">
        <f>'MC P19'!$D$13</f>
        <v>117.06239999999997</v>
      </c>
      <c r="K146" s="33"/>
      <c r="L146" s="20" t="s">
        <v>32</v>
      </c>
    </row>
    <row r="147" spans="1:16" ht="117.75" customHeight="1" x14ac:dyDescent="0.25">
      <c r="A147" s="31" t="s">
        <v>114</v>
      </c>
      <c r="B147" s="33"/>
      <c r="C147" s="34"/>
      <c r="D147" s="20" t="s">
        <v>31</v>
      </c>
      <c r="E147" s="20" t="s">
        <v>37</v>
      </c>
      <c r="F147" s="20" t="s">
        <v>46</v>
      </c>
      <c r="G147" s="34">
        <f>'MC P19'!$A$18</f>
        <v>3708</v>
      </c>
      <c r="H147" s="76" t="str">
        <f>'MC P19'!$B$18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147" s="31" t="str">
        <f>'MC P19'!$C$18</f>
        <v>kg</v>
      </c>
      <c r="J147" s="78">
        <f>'MC P19'!$D$18</f>
        <v>20162.124370000001</v>
      </c>
      <c r="K147" s="33"/>
      <c r="L147" s="20" t="s">
        <v>32</v>
      </c>
    </row>
    <row r="148" spans="1:16" ht="32.25" customHeight="1" x14ac:dyDescent="0.25">
      <c r="A148" s="31" t="s">
        <v>114</v>
      </c>
      <c r="B148" s="33"/>
      <c r="C148" s="34"/>
      <c r="D148" s="20" t="s">
        <v>31</v>
      </c>
      <c r="E148" s="20" t="s">
        <v>37</v>
      </c>
      <c r="F148" s="20" t="s">
        <v>47</v>
      </c>
      <c r="G148" s="34">
        <f>'MC P19'!$A$23</f>
        <v>3464</v>
      </c>
      <c r="H148" s="76" t="str">
        <f>'MC P19'!$B$23</f>
        <v>Excavación manual en material común. Incluye cargue</v>
      </c>
      <c r="I148" s="31" t="str">
        <f>'MC P19'!$C$23</f>
        <v>m3</v>
      </c>
      <c r="J148" s="77">
        <f>'MC P19'!$D$23</f>
        <v>215.16720000000004</v>
      </c>
      <c r="K148" s="33"/>
      <c r="L148" s="20" t="s">
        <v>32</v>
      </c>
    </row>
    <row r="149" spans="1:16" ht="72" customHeight="1" x14ac:dyDescent="0.25">
      <c r="A149" s="31" t="s">
        <v>114</v>
      </c>
      <c r="B149" s="33"/>
      <c r="C149" s="34"/>
      <c r="D149" s="20" t="s">
        <v>31</v>
      </c>
      <c r="E149" s="20" t="s">
        <v>37</v>
      </c>
      <c r="F149" s="34" t="s">
        <v>48</v>
      </c>
      <c r="G149" s="34">
        <f>'MC P19'!$A$24</f>
        <v>3017</v>
      </c>
      <c r="H149" s="76" t="str">
        <f>'MC P19'!$B$24</f>
        <v>Transporte y disposición final de escombros en sitio autorizado (distancia de transporte 21 km) a distancia mayor del acarreo libre (90m) en sitio autorizado por la entidad ambiental competente.</v>
      </c>
      <c r="I149" s="31" t="str">
        <f>'MC P19'!$C$24</f>
        <v>m3</v>
      </c>
      <c r="J149" s="77">
        <f>'MC P19'!$D$24</f>
        <v>215.16720000000004</v>
      </c>
      <c r="K149" s="33"/>
      <c r="L149" s="20" t="s">
        <v>32</v>
      </c>
    </row>
    <row r="150" spans="1:16" ht="31.5" x14ac:dyDescent="0.25">
      <c r="A150" s="31" t="s">
        <v>114</v>
      </c>
      <c r="B150" s="33"/>
      <c r="C150" s="34"/>
      <c r="D150" s="20" t="s">
        <v>31</v>
      </c>
      <c r="E150" s="20" t="s">
        <v>37</v>
      </c>
      <c r="F150" s="20" t="s">
        <v>49</v>
      </c>
      <c r="G150" s="34">
        <f>'MC P19'!$A$25</f>
        <v>7364</v>
      </c>
      <c r="H150" s="76" t="str">
        <f>'MC P19'!$B$25</f>
        <v>Relleno en recebo común (suministro e instalación extendido mecánico, humedecimiento, compatación y transporte a 28 km)</v>
      </c>
      <c r="I150" s="31" t="str">
        <f>'MC P19'!$C$25</f>
        <v>m3</v>
      </c>
      <c r="J150" s="77">
        <f>'MC P19'!$D$25</f>
        <v>98.104800000000068</v>
      </c>
      <c r="K150" s="33"/>
      <c r="L150" s="20" t="s">
        <v>32</v>
      </c>
    </row>
    <row r="151" spans="1:16" ht="68.25" customHeight="1" x14ac:dyDescent="0.25">
      <c r="A151" s="31" t="s">
        <v>114</v>
      </c>
      <c r="B151" s="33"/>
      <c r="C151" s="34"/>
      <c r="D151" s="20" t="s">
        <v>31</v>
      </c>
      <c r="E151" s="20" t="s">
        <v>37</v>
      </c>
      <c r="F151" s="20" t="s">
        <v>98</v>
      </c>
      <c r="G151" s="62">
        <f>'MC P19'!$A$26</f>
        <v>0</v>
      </c>
      <c r="H151" s="76" t="str">
        <f>'MC P19'!$B$26</f>
        <v>Bloque estructural en concreto 39x14x6 tipo, color chocolate</v>
      </c>
      <c r="I151" s="31" t="str">
        <f>'MC P19'!$C$26</f>
        <v>m2</v>
      </c>
      <c r="J151" s="77">
        <f>'MC P19'!$D$26</f>
        <v>124.62</v>
      </c>
      <c r="K151" s="33"/>
      <c r="L151" s="20" t="s">
        <v>32</v>
      </c>
    </row>
    <row r="152" spans="1:16" ht="189" x14ac:dyDescent="0.25">
      <c r="A152" s="31" t="s">
        <v>114</v>
      </c>
      <c r="B152" s="79"/>
      <c r="C152" s="54"/>
      <c r="D152" s="20" t="s">
        <v>31</v>
      </c>
      <c r="E152" s="20" t="s">
        <v>37</v>
      </c>
      <c r="F152" s="54" t="s">
        <v>99</v>
      </c>
      <c r="G152" s="62">
        <f>'MC P19'!$A$27</f>
        <v>0</v>
      </c>
      <c r="H152" s="76" t="str">
        <f>'MC P19'!$B$27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152" s="31" t="str">
        <f>'MC P19'!$C$27</f>
        <v>ml</v>
      </c>
      <c r="J152" s="77">
        <f>'MC P19'!$D$27</f>
        <v>120.8</v>
      </c>
      <c r="K152" s="79"/>
      <c r="L152" s="20" t="s">
        <v>32</v>
      </c>
    </row>
    <row r="153" spans="1:16" ht="31.5" x14ac:dyDescent="0.25">
      <c r="A153" s="31" t="s">
        <v>114</v>
      </c>
      <c r="B153" s="33"/>
      <c r="C153" s="34"/>
      <c r="D153" s="20" t="s">
        <v>31</v>
      </c>
      <c r="E153" s="20" t="s">
        <v>37</v>
      </c>
      <c r="F153" s="20" t="s">
        <v>100</v>
      </c>
      <c r="G153" s="34">
        <f>'MC P19'!$A$28</f>
        <v>4009</v>
      </c>
      <c r="H153" s="76" t="str">
        <f>'MC P19'!$B$28</f>
        <v>Geotextil NT 3000 para subdrenes/filtros (incluye suministro e instalación)</v>
      </c>
      <c r="I153" s="31" t="str">
        <f>'MC P19'!$C$28</f>
        <v>m2</v>
      </c>
      <c r="J153" s="77">
        <f>'MC P19'!$D$28</f>
        <v>113</v>
      </c>
      <c r="K153" s="33"/>
      <c r="L153" s="20" t="s">
        <v>32</v>
      </c>
    </row>
    <row r="154" spans="1:16" ht="31.5" x14ac:dyDescent="0.25">
      <c r="A154" s="31" t="s">
        <v>114</v>
      </c>
      <c r="B154" s="79"/>
      <c r="C154" s="54"/>
      <c r="D154" s="20" t="s">
        <v>31</v>
      </c>
      <c r="E154" s="20" t="s">
        <v>37</v>
      </c>
      <c r="F154" s="20" t="s">
        <v>101</v>
      </c>
      <c r="G154" s="54">
        <f>'MC P19'!$A$29</f>
        <v>5412</v>
      </c>
      <c r="H154" s="76" t="str">
        <f>'MC P19'!$B$29</f>
        <v>Relleno de triturado de 3/4" (incluye transporte, suministro, extendido manual y colocación)</v>
      </c>
      <c r="I154" s="31" t="str">
        <f>'MC P19'!$C$29</f>
        <v>m3</v>
      </c>
      <c r="J154" s="77">
        <f>'MC P19'!$D$29</f>
        <v>25.7</v>
      </c>
      <c r="K154" s="79"/>
      <c r="L154" s="20" t="s">
        <v>32</v>
      </c>
    </row>
    <row r="155" spans="1:16" ht="31.5" x14ac:dyDescent="0.25">
      <c r="A155" s="31" t="s">
        <v>114</v>
      </c>
      <c r="B155" s="79"/>
      <c r="C155" s="54"/>
      <c r="D155" s="20" t="s">
        <v>31</v>
      </c>
      <c r="E155" s="20" t="s">
        <v>37</v>
      </c>
      <c r="F155" s="54" t="s">
        <v>102</v>
      </c>
      <c r="G155" s="54">
        <f>'MC P19'!$A$30</f>
        <v>3905</v>
      </c>
      <c r="H155" s="76" t="str">
        <f>'MC P19'!$B$30</f>
        <v>Tuberia de PVC para drenaje D= 6" con filtro (incluye suministro e instalación)</v>
      </c>
      <c r="I155" s="31" t="str">
        <f>'MC P19'!$C$30</f>
        <v>ml</v>
      </c>
      <c r="J155" s="77">
        <f>'MC P19'!$D$30</f>
        <v>120.8</v>
      </c>
      <c r="K155" s="79"/>
      <c r="L155" s="20" t="s">
        <v>32</v>
      </c>
    </row>
    <row r="156" spans="1:16" ht="31.5" x14ac:dyDescent="0.25">
      <c r="A156" s="31" t="s">
        <v>114</v>
      </c>
      <c r="B156" s="79"/>
      <c r="C156" s="54"/>
      <c r="D156" s="20" t="s">
        <v>31</v>
      </c>
      <c r="E156" s="20" t="s">
        <v>37</v>
      </c>
      <c r="F156" s="20" t="s">
        <v>103</v>
      </c>
      <c r="G156" s="54">
        <f>'MC P19'!$A$31</f>
        <v>3904</v>
      </c>
      <c r="H156" s="76" t="str">
        <f>'MC P19'!$B$31</f>
        <v>Tuberia de PVC para drenaje de 4" sin filtro (incluye suministro e instalación)</v>
      </c>
      <c r="I156" s="31" t="str">
        <f>'MC P19'!$C$31</f>
        <v>ml</v>
      </c>
      <c r="J156" s="77">
        <f>'MC P19'!$D$31</f>
        <v>12</v>
      </c>
      <c r="K156" s="79"/>
      <c r="L156" s="20" t="s">
        <v>32</v>
      </c>
    </row>
    <row r="157" spans="1:16" s="95" customFormat="1" x14ac:dyDescent="0.25">
      <c r="C157" s="96"/>
      <c r="H157" s="97"/>
      <c r="J157" s="98"/>
      <c r="N157" s="80"/>
      <c r="O157" s="80"/>
      <c r="P157" s="80"/>
    </row>
    <row r="158" spans="1:16" ht="47.25" x14ac:dyDescent="0.25">
      <c r="A158" s="31" t="s">
        <v>115</v>
      </c>
      <c r="B158" s="30"/>
      <c r="C158" s="20"/>
      <c r="D158" s="20" t="s">
        <v>31</v>
      </c>
      <c r="E158" s="20" t="s">
        <v>37</v>
      </c>
      <c r="F158" s="20" t="s">
        <v>44</v>
      </c>
      <c r="G158" s="31">
        <f>'MC P20'!$A$12</f>
        <v>6021</v>
      </c>
      <c r="H158" s="76" t="str">
        <f>'MC P20'!$B$12</f>
        <v>Concreto de nivelación 2000 psi grava común (140 kg/cm2) (premezclado. incluye suministro, fundida y nivelación y colocación. no incluye refuerzo, curado).</v>
      </c>
      <c r="I158" s="31" t="str">
        <f>'MC P20'!$C$12</f>
        <v>m3</v>
      </c>
      <c r="J158" s="77">
        <f>'MC P20'!$D$12</f>
        <v>3.4545000000000003</v>
      </c>
      <c r="K158" s="31"/>
      <c r="L158" s="20" t="s">
        <v>32</v>
      </c>
    </row>
    <row r="159" spans="1:16" ht="47.25" x14ac:dyDescent="0.25">
      <c r="A159" s="31" t="s">
        <v>115</v>
      </c>
      <c r="B159" s="33"/>
      <c r="C159" s="34"/>
      <c r="D159" s="20" t="s">
        <v>31</v>
      </c>
      <c r="E159" s="20" t="s">
        <v>37</v>
      </c>
      <c r="F159" s="34" t="s">
        <v>45</v>
      </c>
      <c r="G159" s="31" t="str">
        <f>'MC P20'!$A$13</f>
        <v>KES003</v>
      </c>
      <c r="H159" s="76" t="str">
        <f>'MC P20'!$B$13</f>
        <v>Concreto 4000 PSI para muro estructural (Premezclado Incluye Sumin, Formaleteo y Colocación No incluye Refuerzo, Curado).</v>
      </c>
      <c r="I159" s="31" t="str">
        <f>'MC P20'!$C$13</f>
        <v>m3</v>
      </c>
      <c r="J159" s="77">
        <f>'MC P20'!$D$13</f>
        <v>73.56</v>
      </c>
      <c r="K159" s="33"/>
      <c r="L159" s="20" t="s">
        <v>32</v>
      </c>
    </row>
    <row r="160" spans="1:16" ht="119.25" customHeight="1" x14ac:dyDescent="0.25">
      <c r="A160" s="31" t="s">
        <v>115</v>
      </c>
      <c r="B160" s="33"/>
      <c r="C160" s="34"/>
      <c r="D160" s="20" t="s">
        <v>31</v>
      </c>
      <c r="E160" s="20" t="s">
        <v>37</v>
      </c>
      <c r="F160" s="20" t="s">
        <v>46</v>
      </c>
      <c r="G160" s="34">
        <f>'MC P20'!$A$18</f>
        <v>3708</v>
      </c>
      <c r="H160" s="76" t="str">
        <f>'MC P20'!$B$18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160" s="31" t="str">
        <f>'MC P20'!$C$18</f>
        <v>kg</v>
      </c>
      <c r="J160" s="78">
        <f>'MC P20'!$D$18</f>
        <v>14312.584569999999</v>
      </c>
      <c r="K160" s="33"/>
      <c r="L160" s="20" t="s">
        <v>32</v>
      </c>
    </row>
    <row r="161" spans="1:16" ht="33.75" customHeight="1" x14ac:dyDescent="0.25">
      <c r="A161" s="31" t="s">
        <v>115</v>
      </c>
      <c r="B161" s="33"/>
      <c r="C161" s="34"/>
      <c r="D161" s="20" t="s">
        <v>31</v>
      </c>
      <c r="E161" s="20" t="s">
        <v>37</v>
      </c>
      <c r="F161" s="20" t="s">
        <v>47</v>
      </c>
      <c r="G161" s="34">
        <f>'MC P20'!$A$23</f>
        <v>3464</v>
      </c>
      <c r="H161" s="76" t="str">
        <f>'MC P20'!$B$23</f>
        <v>Excavación manual en material común. Incluye cargue</v>
      </c>
      <c r="I161" s="31" t="str">
        <f>'MC P20'!$C$23</f>
        <v>m3</v>
      </c>
      <c r="J161" s="77">
        <f>'MC P20'!$D$23</f>
        <v>114.42400000000001</v>
      </c>
      <c r="K161" s="33"/>
      <c r="L161" s="20" t="s">
        <v>32</v>
      </c>
    </row>
    <row r="162" spans="1:16" ht="63" x14ac:dyDescent="0.25">
      <c r="A162" s="31" t="s">
        <v>115</v>
      </c>
      <c r="B162" s="33"/>
      <c r="C162" s="34"/>
      <c r="D162" s="20" t="s">
        <v>31</v>
      </c>
      <c r="E162" s="20" t="s">
        <v>37</v>
      </c>
      <c r="F162" s="34" t="s">
        <v>48</v>
      </c>
      <c r="G162" s="34">
        <f>'MC P20'!$A$24</f>
        <v>3017</v>
      </c>
      <c r="H162" s="76" t="str">
        <f>'MC P20'!$B$24</f>
        <v>Transporte y disposición final de escombros en sitio autorizado (distancia de transporte 21 km) a distancia mayor del acarreo libre (90m) en sitio autorizado por la entidad ambiental competente.</v>
      </c>
      <c r="I162" s="31" t="str">
        <f>'MC P20'!$C$24</f>
        <v>m3</v>
      </c>
      <c r="J162" s="77">
        <f>'MC P20'!$D$24</f>
        <v>114.42400000000001</v>
      </c>
      <c r="K162" s="33"/>
      <c r="L162" s="20" t="s">
        <v>32</v>
      </c>
    </row>
    <row r="163" spans="1:16" ht="31.5" x14ac:dyDescent="0.25">
      <c r="A163" s="31" t="s">
        <v>115</v>
      </c>
      <c r="B163" s="33"/>
      <c r="C163" s="34"/>
      <c r="D163" s="20" t="s">
        <v>31</v>
      </c>
      <c r="E163" s="20" t="s">
        <v>37</v>
      </c>
      <c r="F163" s="20" t="s">
        <v>49</v>
      </c>
      <c r="G163" s="34">
        <f>'MC P20'!$A$25</f>
        <v>7364</v>
      </c>
      <c r="H163" s="76" t="str">
        <f>'MC P20'!$B$25</f>
        <v>Relleno en recebo común (suministro e instalación extendido mecánico, humedecimiento, compatación y transporte a 28 km)</v>
      </c>
      <c r="I163" s="31" t="str">
        <f>'MC P20'!$C$25</f>
        <v>m3</v>
      </c>
      <c r="J163" s="77">
        <f>'MC P20'!$D$25</f>
        <v>40.864000000000004</v>
      </c>
      <c r="K163" s="33"/>
      <c r="L163" s="20" t="s">
        <v>32</v>
      </c>
    </row>
    <row r="164" spans="1:16" ht="72" customHeight="1" x14ac:dyDescent="0.25">
      <c r="A164" s="31" t="s">
        <v>115</v>
      </c>
      <c r="B164" s="33"/>
      <c r="C164" s="34"/>
      <c r="D164" s="20" t="s">
        <v>31</v>
      </c>
      <c r="E164" s="20" t="s">
        <v>37</v>
      </c>
      <c r="F164" s="20" t="s">
        <v>98</v>
      </c>
      <c r="G164" s="62">
        <f>'MC P20'!$A$26</f>
        <v>0</v>
      </c>
      <c r="H164" s="76" t="str">
        <f>'MC P20'!$B$26</f>
        <v>Bloque estructural en concreto 39x14x6 tipo, color chocolate</v>
      </c>
      <c r="I164" s="31" t="str">
        <f>'MC P20'!$C$26</f>
        <v>m2</v>
      </c>
      <c r="J164" s="77">
        <f>'MC P20'!$D$26</f>
        <v>81.7</v>
      </c>
      <c r="K164" s="33"/>
      <c r="L164" s="20" t="s">
        <v>32</v>
      </c>
    </row>
    <row r="165" spans="1:16" ht="189" x14ac:dyDescent="0.25">
      <c r="A165" s="31" t="s">
        <v>115</v>
      </c>
      <c r="B165" s="79"/>
      <c r="C165" s="54"/>
      <c r="D165" s="20" t="s">
        <v>31</v>
      </c>
      <c r="E165" s="20" t="s">
        <v>37</v>
      </c>
      <c r="F165" s="54" t="s">
        <v>99</v>
      </c>
      <c r="G165" s="62">
        <f>'MC P20'!$A$27</f>
        <v>0</v>
      </c>
      <c r="H165" s="76" t="str">
        <f>'MC P20'!$B$27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165" s="31" t="str">
        <f>'MC P20'!$C$27</f>
        <v>ml</v>
      </c>
      <c r="J165" s="77">
        <f>'MC P20'!$D$27</f>
        <v>50.6</v>
      </c>
      <c r="K165" s="79"/>
      <c r="L165" s="20" t="s">
        <v>32</v>
      </c>
    </row>
    <row r="166" spans="1:16" ht="31.5" x14ac:dyDescent="0.25">
      <c r="A166" s="31" t="s">
        <v>115</v>
      </c>
      <c r="B166" s="33"/>
      <c r="C166" s="34"/>
      <c r="D166" s="20" t="s">
        <v>31</v>
      </c>
      <c r="E166" s="20" t="s">
        <v>37</v>
      </c>
      <c r="F166" s="20" t="s">
        <v>100</v>
      </c>
      <c r="G166" s="34">
        <f>'MC P20'!$A$28</f>
        <v>4009</v>
      </c>
      <c r="H166" s="76" t="str">
        <f>'MC P20'!$B$28</f>
        <v>Geotextil NT 3000 para subdrenes/filtros (incluye suministro e instalación)</v>
      </c>
      <c r="I166" s="31" t="str">
        <f>'MC P20'!$C$28</f>
        <v>m2</v>
      </c>
      <c r="J166" s="77">
        <f>'MC P20'!$D$28</f>
        <v>64.5</v>
      </c>
      <c r="K166" s="33"/>
      <c r="L166" s="20" t="s">
        <v>32</v>
      </c>
    </row>
    <row r="167" spans="1:16" ht="31.5" x14ac:dyDescent="0.25">
      <c r="A167" s="31" t="s">
        <v>115</v>
      </c>
      <c r="B167" s="79"/>
      <c r="C167" s="54"/>
      <c r="D167" s="20" t="s">
        <v>31</v>
      </c>
      <c r="E167" s="20" t="s">
        <v>37</v>
      </c>
      <c r="F167" s="20" t="s">
        <v>101</v>
      </c>
      <c r="G167" s="54">
        <f>'MC P20'!$A$29</f>
        <v>5412</v>
      </c>
      <c r="H167" s="76" t="str">
        <f>'MC P20'!$B$29</f>
        <v>Relleno de triturado de 3/4" (incluye transporte, suministro, extendido manual y colocación)</v>
      </c>
      <c r="I167" s="31" t="str">
        <f>'MC P20'!$C$29</f>
        <v>m3</v>
      </c>
      <c r="J167" s="77">
        <f>'MC P20'!$D$29</f>
        <v>10.3</v>
      </c>
      <c r="K167" s="79"/>
      <c r="L167" s="20" t="s">
        <v>32</v>
      </c>
    </row>
    <row r="168" spans="1:16" ht="31.5" x14ac:dyDescent="0.25">
      <c r="A168" s="31" t="s">
        <v>115</v>
      </c>
      <c r="B168" s="79"/>
      <c r="C168" s="54"/>
      <c r="D168" s="20" t="s">
        <v>31</v>
      </c>
      <c r="E168" s="20" t="s">
        <v>37</v>
      </c>
      <c r="F168" s="54" t="s">
        <v>102</v>
      </c>
      <c r="G168" s="54">
        <f>'MC P20'!$A$30</f>
        <v>3905</v>
      </c>
      <c r="H168" s="76" t="str">
        <f>'MC P20'!$B$30</f>
        <v>Tuberia de PVC para drenaje D= 6" con filtro (incluye suministro e instalación)</v>
      </c>
      <c r="I168" s="31" t="str">
        <f>'MC P20'!$C$30</f>
        <v>ml</v>
      </c>
      <c r="J168" s="77">
        <f>'MC P20'!$D$30</f>
        <v>50.6</v>
      </c>
      <c r="K168" s="79"/>
      <c r="L168" s="20" t="s">
        <v>32</v>
      </c>
    </row>
    <row r="169" spans="1:16" ht="31.5" x14ac:dyDescent="0.25">
      <c r="A169" s="31" t="s">
        <v>115</v>
      </c>
      <c r="B169" s="79"/>
      <c r="C169" s="54"/>
      <c r="D169" s="20" t="s">
        <v>31</v>
      </c>
      <c r="E169" s="20" t="s">
        <v>37</v>
      </c>
      <c r="F169" s="20" t="s">
        <v>103</v>
      </c>
      <c r="G169" s="54">
        <f>'MC P20'!$A$31</f>
        <v>3904</v>
      </c>
      <c r="H169" s="76" t="str">
        <f>'MC P20'!$B$31</f>
        <v>Tuberia de PVC para drenaje de 4" sin filtro (incluye suministro e instalación)</v>
      </c>
      <c r="I169" s="31" t="str">
        <f>'MC P20'!$C$31</f>
        <v>ml</v>
      </c>
      <c r="J169" s="77">
        <f>'MC P20'!$D$31</f>
        <v>5.0999999999999996</v>
      </c>
      <c r="K169" s="79"/>
      <c r="L169" s="20" t="s">
        <v>32</v>
      </c>
    </row>
    <row r="170" spans="1:16" s="95" customFormat="1" x14ac:dyDescent="0.25">
      <c r="C170" s="96"/>
      <c r="H170" s="97"/>
      <c r="J170" s="98"/>
      <c r="N170" s="80"/>
      <c r="O170" s="80"/>
      <c r="P170" s="80"/>
    </row>
    <row r="171" spans="1:16" ht="47.25" x14ac:dyDescent="0.25">
      <c r="A171" s="31" t="s">
        <v>116</v>
      </c>
      <c r="B171" s="30"/>
      <c r="C171" s="20"/>
      <c r="D171" s="20" t="s">
        <v>31</v>
      </c>
      <c r="E171" s="20" t="s">
        <v>37</v>
      </c>
      <c r="F171" s="20" t="s">
        <v>44</v>
      </c>
      <c r="G171" s="31">
        <f>'MC P21-P22'!$A$12</f>
        <v>6021</v>
      </c>
      <c r="H171" s="76" t="str">
        <f>'MC P21-P22'!$B$12</f>
        <v>Concreto de nivelación 2000 psi grava común (140 kg/cm2) (premezclado. incluye suministro, fundida y nivelación y colocación. no incluye refuerzo, curado).</v>
      </c>
      <c r="I171" s="31" t="str">
        <f>'MC P21-P22'!$C$12</f>
        <v>m3</v>
      </c>
      <c r="J171" s="77">
        <f>'MC P21-P22'!$D$12</f>
        <v>6.7080000000000011</v>
      </c>
      <c r="K171" s="31"/>
      <c r="L171" s="20" t="s">
        <v>32</v>
      </c>
    </row>
    <row r="172" spans="1:16" ht="47.25" x14ac:dyDescent="0.25">
      <c r="A172" s="31" t="s">
        <v>116</v>
      </c>
      <c r="B172" s="33"/>
      <c r="C172" s="34"/>
      <c r="D172" s="20" t="s">
        <v>31</v>
      </c>
      <c r="E172" s="20" t="s">
        <v>37</v>
      </c>
      <c r="F172" s="34" t="s">
        <v>45</v>
      </c>
      <c r="G172" s="31" t="str">
        <f>'MC P21-P22'!$A$13</f>
        <v>KES003</v>
      </c>
      <c r="H172" s="76" t="str">
        <f>'MC P21-P22'!$B$13</f>
        <v>Concreto 4000 PSI para muro estructural (Premezclado Incluye Sumin, Formaleteo y Colocación No incluye Refuerzo, Curado).</v>
      </c>
      <c r="I172" s="31" t="str">
        <f>'MC P21-P22'!$C$13</f>
        <v>m3</v>
      </c>
      <c r="J172" s="77">
        <f>'MC P21-P22'!$D$13</f>
        <v>169.88660000000004</v>
      </c>
      <c r="K172" s="33"/>
      <c r="L172" s="20" t="s">
        <v>32</v>
      </c>
    </row>
    <row r="173" spans="1:16" ht="120" customHeight="1" x14ac:dyDescent="0.25">
      <c r="A173" s="31" t="s">
        <v>116</v>
      </c>
      <c r="B173" s="33"/>
      <c r="C173" s="34"/>
      <c r="D173" s="20" t="s">
        <v>31</v>
      </c>
      <c r="E173" s="20" t="s">
        <v>37</v>
      </c>
      <c r="F173" s="20" t="s">
        <v>46</v>
      </c>
      <c r="G173" s="34">
        <f>'MC P21-P22'!$A$18</f>
        <v>3708</v>
      </c>
      <c r="H173" s="76" t="str">
        <f>'MC P21-P22'!$B$18</f>
        <v>Acero de refuerzo fy=60000 PSI. Suministro e instalación.  De acuerdo a lo estipulado por la NSR-10, norma astm A-706, icontec 2289 para el acero pdr-60. Incluye todos los costos de suministro de materiales (refuerzo (g60) figurado, corrugado, incluye el alambre de amarre), equipos, transportes, manejo, almacenamiento, desperdicios y mano de obra.</v>
      </c>
      <c r="I173" s="31" t="str">
        <f>'MC P21-P22'!$C$18</f>
        <v>kg</v>
      </c>
      <c r="J173" s="78">
        <f>'MC P21-P22'!$D$18</f>
        <v>23506.817179999998</v>
      </c>
      <c r="K173" s="33"/>
      <c r="L173" s="20" t="s">
        <v>32</v>
      </c>
    </row>
    <row r="174" spans="1:16" ht="36" customHeight="1" x14ac:dyDescent="0.25">
      <c r="A174" s="31" t="s">
        <v>116</v>
      </c>
      <c r="B174" s="33"/>
      <c r="C174" s="34"/>
      <c r="D174" s="20" t="s">
        <v>31</v>
      </c>
      <c r="E174" s="20" t="s">
        <v>37</v>
      </c>
      <c r="F174" s="20" t="s">
        <v>47</v>
      </c>
      <c r="G174" s="34">
        <f>'MC P21-P22'!$A$23</f>
        <v>3464</v>
      </c>
      <c r="H174" s="76" t="str">
        <f>'MC P21-P22'!$B$23</f>
        <v>Excavación manual en material común. Incluye cargue</v>
      </c>
      <c r="I174" s="31" t="str">
        <f>'MC P21-P22'!$C$23</f>
        <v>m3</v>
      </c>
      <c r="J174" s="77">
        <f>'MC P21-P22'!$D$23</f>
        <v>238.512</v>
      </c>
      <c r="K174" s="33"/>
      <c r="L174" s="20" t="s">
        <v>32</v>
      </c>
    </row>
    <row r="175" spans="1:16" ht="63" x14ac:dyDescent="0.25">
      <c r="A175" s="31" t="s">
        <v>116</v>
      </c>
      <c r="B175" s="33"/>
      <c r="C175" s="34"/>
      <c r="D175" s="20" t="s">
        <v>31</v>
      </c>
      <c r="E175" s="20" t="s">
        <v>37</v>
      </c>
      <c r="F175" s="34" t="s">
        <v>48</v>
      </c>
      <c r="G175" s="34">
        <f>'MC P21-P22'!$A$24</f>
        <v>3017</v>
      </c>
      <c r="H175" s="76" t="str">
        <f>'MC P21-P22'!$B$24</f>
        <v>Transporte y disposición final de escombros en sitio autorizado (distancia de transporte 21 km) a distancia mayor del acarreo libre (90m) en sitio autorizado por la entidad ambiental competente.</v>
      </c>
      <c r="I175" s="31" t="str">
        <f>'MC P21-P22'!$C$24</f>
        <v>m3</v>
      </c>
      <c r="J175" s="77">
        <f>'MC P21-P22'!$D$24</f>
        <v>238.512</v>
      </c>
      <c r="K175" s="33"/>
      <c r="L175" s="20" t="s">
        <v>32</v>
      </c>
    </row>
    <row r="176" spans="1:16" ht="31.5" x14ac:dyDescent="0.25">
      <c r="A176" s="31" t="s">
        <v>116</v>
      </c>
      <c r="B176" s="33"/>
      <c r="C176" s="34"/>
      <c r="D176" s="20" t="s">
        <v>31</v>
      </c>
      <c r="E176" s="20" t="s">
        <v>37</v>
      </c>
      <c r="F176" s="20" t="s">
        <v>49</v>
      </c>
      <c r="G176" s="34">
        <f>'MC P21-P22'!$A$25</f>
        <v>7364</v>
      </c>
      <c r="H176" s="76" t="str">
        <f>'MC P21-P22'!$B$25</f>
        <v>Relleno en recebo común (suministro e instalación extendido mecánico, humedecimiento, compatación y transporte a 28 km)</v>
      </c>
      <c r="I176" s="31" t="str">
        <f>'MC P21-P22'!$C$25</f>
        <v>m3</v>
      </c>
      <c r="J176" s="77">
        <f>'MC P21-P22'!$D$25</f>
        <v>68.625399999999956</v>
      </c>
      <c r="K176" s="33"/>
      <c r="L176" s="20" t="s">
        <v>32</v>
      </c>
    </row>
    <row r="177" spans="1:12" ht="75.75" customHeight="1" x14ac:dyDescent="0.25">
      <c r="A177" s="31" t="s">
        <v>116</v>
      </c>
      <c r="B177" s="33"/>
      <c r="C177" s="34"/>
      <c r="D177" s="20" t="s">
        <v>31</v>
      </c>
      <c r="E177" s="20" t="s">
        <v>37</v>
      </c>
      <c r="F177" s="20" t="s">
        <v>98</v>
      </c>
      <c r="G177" s="62">
        <f>'MC P21-P22'!$A$26</f>
        <v>0</v>
      </c>
      <c r="H177" s="76" t="str">
        <f>'MC P21-P22'!$B$26</f>
        <v>Bloque estructural en concreto 39x14x6 tipo, color chocolate</v>
      </c>
      <c r="I177" s="31" t="str">
        <f>'MC P21-P22'!$C$26</f>
        <v>m2</v>
      </c>
      <c r="J177" s="77">
        <f>'MC P21-P22'!$D$26</f>
        <v>282</v>
      </c>
      <c r="K177" s="33"/>
      <c r="L177" s="20" t="s">
        <v>32</v>
      </c>
    </row>
    <row r="178" spans="1:12" ht="189" x14ac:dyDescent="0.25">
      <c r="A178" s="31" t="s">
        <v>116</v>
      </c>
      <c r="B178" s="79"/>
      <c r="C178" s="54"/>
      <c r="D178" s="20" t="s">
        <v>31</v>
      </c>
      <c r="E178" s="20" t="s">
        <v>37</v>
      </c>
      <c r="F178" s="54" t="s">
        <v>99</v>
      </c>
      <c r="G178" s="62">
        <f>'MC P21-P22'!$A$27</f>
        <v>0</v>
      </c>
      <c r="H178" s="76" t="str">
        <f>'MC P21-P22'!$B$27</f>
        <v xml:space="preserve">Alfajía en concreto a la vista 30 x 10, color gris basalto, similar o equivalente, pieza prefabricada y/o fundida en sitio, en concreto de 28 MPa de resistencia a la compresión a 28 días, con acabado liso. Se instala como remate superior de los muros estructurales que separan las nuevas áreas de espacio publico contra las culatas de las construcciones existentes, las dimensiones pueden variar respecto del alineamiento previsto en los planos, incluye anclaje con perno, clavo o grafil, cada 50 cm con adhesivo epóxico para pega de concreto tipo Epotoc, similar o equivalente. El refuerzo es 0.32 m2 por cada metro lineal de alfajia, con malla electrosoldada 6x6-6/6 de fy=5000kg/cm2 </v>
      </c>
      <c r="I178" s="31" t="str">
        <f>'MC P21-P22'!$C$27</f>
        <v>ml</v>
      </c>
      <c r="J178" s="77">
        <f>'MC P21-P22'!$D$27</f>
        <v>120.4</v>
      </c>
      <c r="K178" s="79"/>
      <c r="L178" s="20" t="s">
        <v>32</v>
      </c>
    </row>
    <row r="179" spans="1:12" ht="31.5" x14ac:dyDescent="0.25">
      <c r="A179" s="31" t="s">
        <v>116</v>
      </c>
      <c r="B179" s="33"/>
      <c r="C179" s="34"/>
      <c r="D179" s="20" t="s">
        <v>31</v>
      </c>
      <c r="E179" s="20" t="s">
        <v>37</v>
      </c>
      <c r="F179" s="20" t="s">
        <v>100</v>
      </c>
      <c r="G179" s="34">
        <f>'MC P21-P22'!$A$28</f>
        <v>4009</v>
      </c>
      <c r="H179" s="76" t="str">
        <f>'MC P21-P22'!$B$28</f>
        <v>Geotextil NT 3000 para subdrenes/filtros (incluye suministro e instalación)</v>
      </c>
      <c r="I179" s="31" t="str">
        <f>'MC P21-P22'!$C$28</f>
        <v>m2</v>
      </c>
      <c r="J179" s="77">
        <f>'MC P21-P22'!$D$28</f>
        <v>152.4</v>
      </c>
      <c r="K179" s="33"/>
      <c r="L179" s="20" t="s">
        <v>32</v>
      </c>
    </row>
    <row r="180" spans="1:12" ht="31.5" x14ac:dyDescent="0.25">
      <c r="A180" s="31" t="s">
        <v>116</v>
      </c>
      <c r="B180" s="79"/>
      <c r="C180" s="54"/>
      <c r="D180" s="20" t="s">
        <v>31</v>
      </c>
      <c r="E180" s="20" t="s">
        <v>37</v>
      </c>
      <c r="F180" s="20" t="s">
        <v>101</v>
      </c>
      <c r="G180" s="54">
        <f>'MC P21-P22'!$A$29</f>
        <v>5412</v>
      </c>
      <c r="H180" s="76" t="str">
        <f>'MC P21-P22'!$B$29</f>
        <v>Relleno de triturado de 3/4" (incluye transporte, suministro, extendido manual y colocación)</v>
      </c>
      <c r="I180" s="31" t="str">
        <f>'MC P21-P22'!$C$29</f>
        <v>m3</v>
      </c>
      <c r="J180" s="77">
        <f>'MC P21-P22'!$D$29</f>
        <v>22.9</v>
      </c>
      <c r="K180" s="79"/>
      <c r="L180" s="20" t="s">
        <v>32</v>
      </c>
    </row>
    <row r="181" spans="1:12" ht="31.5" x14ac:dyDescent="0.25">
      <c r="A181" s="31" t="s">
        <v>116</v>
      </c>
      <c r="B181" s="79"/>
      <c r="C181" s="54"/>
      <c r="D181" s="20" t="s">
        <v>31</v>
      </c>
      <c r="E181" s="20" t="s">
        <v>37</v>
      </c>
      <c r="F181" s="54" t="s">
        <v>102</v>
      </c>
      <c r="G181" s="54">
        <f>'MC P21-P22'!$A$30</f>
        <v>3905</v>
      </c>
      <c r="H181" s="76" t="str">
        <f>'MC P21-P22'!$B$30</f>
        <v>Tuberia de PVC para drenaje D= 6" con filtro (incluye suministro e instalación)</v>
      </c>
      <c r="I181" s="31" t="str">
        <f>'MC P21-P22'!$C$30</f>
        <v>ml</v>
      </c>
      <c r="J181" s="77">
        <f>'MC P21-P22'!$D$30</f>
        <v>120.4</v>
      </c>
      <c r="K181" s="79"/>
      <c r="L181" s="20" t="s">
        <v>32</v>
      </c>
    </row>
    <row r="182" spans="1:12" ht="31.5" x14ac:dyDescent="0.25">
      <c r="A182" s="31" t="s">
        <v>116</v>
      </c>
      <c r="B182" s="79"/>
      <c r="C182" s="54"/>
      <c r="D182" s="20" t="s">
        <v>31</v>
      </c>
      <c r="E182" s="20" t="s">
        <v>37</v>
      </c>
      <c r="F182" s="20" t="s">
        <v>103</v>
      </c>
      <c r="G182" s="54">
        <f>'MC P21-P22'!$A$31</f>
        <v>3904</v>
      </c>
      <c r="H182" s="76" t="str">
        <f>'MC P21-P22'!$B$31</f>
        <v>Tuberia de PVC para drenaje de 4" sin filtro (incluye suministro e instalación)</v>
      </c>
      <c r="I182" s="31" t="str">
        <f>'MC P21-P22'!$C$31</f>
        <v>ml</v>
      </c>
      <c r="J182" s="77">
        <f>'MC P21-P22'!$D$31</f>
        <v>12</v>
      </c>
      <c r="K182" s="79"/>
      <c r="L182" s="20" t="s">
        <v>32</v>
      </c>
    </row>
  </sheetData>
  <autoFilter ref="G1:G182" xr:uid="{00000000-0001-0000-0000-000000000000}"/>
  <mergeCells count="7">
    <mergeCell ref="L1:L3"/>
    <mergeCell ref="A1:K1"/>
    <mergeCell ref="B2:J3"/>
    <mergeCell ref="A5:L5"/>
    <mergeCell ref="A6:C6"/>
    <mergeCell ref="D6:F6"/>
    <mergeCell ref="H6:I6"/>
  </mergeCells>
  <phoneticPr fontId="17" type="noConversion"/>
  <conditionalFormatting sqref="A6 K6:K7">
    <cfRule type="cellIs" dxfId="1" priority="2" operator="equal">
      <formula>"CREAR ESPECIFICACIÓN"</formula>
    </cfRule>
  </conditionalFormatting>
  <conditionalFormatting sqref="K8:K14">
    <cfRule type="cellIs" dxfId="0" priority="1" operator="equal">
      <formula>"CREAR ESPECIFICACIÓN"</formula>
    </cfRule>
  </conditionalFormatting>
  <printOptions horizontalCentered="1"/>
  <pageMargins left="0.39370078740157483" right="0.19685039370078741" top="0.39370078740157483" bottom="0.39370078740157483" header="0.31496062992125984" footer="0.31496062992125984"/>
  <pageSetup scale="60" orientation="landscape" r:id="rId1"/>
  <headerFooter>
    <oddFooter>&amp;CPágina &amp;P de &amp;N&amp;R&amp;A / &amp;F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13C1F-E58E-44A6-BF83-5E2B63FAD601}">
  <sheetPr>
    <tabColor rgb="FFFFFF00"/>
  </sheetPr>
  <dimension ref="A2:U117"/>
  <sheetViews>
    <sheetView view="pageBreakPreview" topLeftCell="A49" zoomScale="70" zoomScaleNormal="85" zoomScaleSheetLayoutView="70" workbookViewId="0">
      <selection activeCell="E62" sqref="E62"/>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83</v>
      </c>
      <c r="F7" s="150"/>
      <c r="G7" s="150"/>
      <c r="H7" s="150"/>
      <c r="I7" s="150"/>
    </row>
    <row r="10" spans="1:9" ht="38.25" x14ac:dyDescent="0.2">
      <c r="A10" s="28" t="s">
        <v>26</v>
      </c>
      <c r="B10" s="32" t="s">
        <v>27</v>
      </c>
      <c r="C10" s="29" t="s">
        <v>28</v>
      </c>
      <c r="D10" s="37" t="s">
        <v>82</v>
      </c>
    </row>
    <row r="11" spans="1:9" x14ac:dyDescent="0.2">
      <c r="A11" s="151" t="s">
        <v>57</v>
      </c>
      <c r="B11" s="152"/>
      <c r="C11" s="152"/>
      <c r="D11" s="153"/>
    </row>
    <row r="12" spans="1:9" ht="63" x14ac:dyDescent="0.2">
      <c r="A12" s="31">
        <v>6021</v>
      </c>
      <c r="B12" s="30" t="s">
        <v>58</v>
      </c>
      <c r="C12" s="40" t="s">
        <v>29</v>
      </c>
      <c r="D12" s="43">
        <f>(2.3*E40*0.05)+(0.6*G40*0.05)+(1.8*H40*0.05)+(1*J40*0.05)+(3*D40*0.05)+(2*I40*0.05)+(0.8*K40*0.05)</f>
        <v>4.8917999999999999</v>
      </c>
    </row>
    <row r="13" spans="1:9" ht="47.25" x14ac:dyDescent="0.2">
      <c r="A13" s="31" t="s">
        <v>38</v>
      </c>
      <c r="B13" s="30" t="s">
        <v>59</v>
      </c>
      <c r="C13" s="31" t="s">
        <v>29</v>
      </c>
      <c r="D13" s="56">
        <f>SUM(D14:D17)</f>
        <v>69.663359999999983</v>
      </c>
      <c r="E13" s="47"/>
    </row>
    <row r="14" spans="1:9" ht="15.75" x14ac:dyDescent="0.2">
      <c r="A14" s="31"/>
      <c r="B14" s="65" t="s">
        <v>63</v>
      </c>
      <c r="C14" s="31"/>
      <c r="D14" s="67">
        <f>SUM(I55:U55)</f>
        <v>47.555359999999993</v>
      </c>
      <c r="E14" s="47"/>
    </row>
    <row r="15" spans="1:9" ht="15.75" x14ac:dyDescent="0.2">
      <c r="A15" s="31"/>
      <c r="B15" s="65" t="s">
        <v>64</v>
      </c>
      <c r="C15" s="31"/>
      <c r="D15" s="72">
        <f>(0.01*52*2.2*2)</f>
        <v>2.2880000000000003</v>
      </c>
      <c r="E15" s="47"/>
    </row>
    <row r="16" spans="1:9" ht="15.75" x14ac:dyDescent="0.2">
      <c r="A16" s="31"/>
      <c r="B16" s="65" t="s">
        <v>66</v>
      </c>
      <c r="C16" s="31"/>
      <c r="D16" s="70">
        <v>3.32</v>
      </c>
      <c r="E16" s="47"/>
    </row>
    <row r="17" spans="1:7" ht="15.75" x14ac:dyDescent="0.2">
      <c r="A17" s="31"/>
      <c r="B17" s="65" t="s">
        <v>65</v>
      </c>
      <c r="C17" s="31"/>
      <c r="D17" s="70">
        <v>16.5</v>
      </c>
      <c r="E17" s="47"/>
    </row>
    <row r="18" spans="1:7" ht="126" x14ac:dyDescent="0.2">
      <c r="A18" s="31">
        <v>3708</v>
      </c>
      <c r="B18" s="53" t="s">
        <v>39</v>
      </c>
      <c r="C18" s="31" t="s">
        <v>30</v>
      </c>
      <c r="D18" s="68">
        <f>SUM(D19:D22)</f>
        <v>15859.94772</v>
      </c>
    </row>
    <row r="19" spans="1:7" ht="15.75" x14ac:dyDescent="0.2">
      <c r="A19" s="31"/>
      <c r="B19" s="65" t="s">
        <v>63</v>
      </c>
      <c r="C19" s="31"/>
      <c r="D19" s="69">
        <f>G117</f>
        <v>10654.94772</v>
      </c>
    </row>
    <row r="20" spans="1:7" ht="15.75" x14ac:dyDescent="0.2">
      <c r="A20" s="31"/>
      <c r="B20" s="65" t="s">
        <v>64</v>
      </c>
      <c r="C20" s="31"/>
      <c r="D20" s="73">
        <f>(52*2.5*0.25*2)+240</f>
        <v>305</v>
      </c>
    </row>
    <row r="21" spans="1:7" ht="15.75" x14ac:dyDescent="0.2">
      <c r="A21" s="31"/>
      <c r="B21" s="65" t="s">
        <v>66</v>
      </c>
      <c r="C21" s="31"/>
      <c r="D21" s="71">
        <v>475</v>
      </c>
    </row>
    <row r="22" spans="1:7" ht="15.75" x14ac:dyDescent="0.2">
      <c r="A22" s="31"/>
      <c r="B22" s="65" t="s">
        <v>65</v>
      </c>
      <c r="C22" s="31"/>
      <c r="D22" s="71">
        <f>978.3+269.6+1220.1+749.6+576.2+631.2</f>
        <v>4425</v>
      </c>
    </row>
    <row r="23" spans="1:7" ht="31.5" x14ac:dyDescent="0.2">
      <c r="A23" s="34">
        <v>3464</v>
      </c>
      <c r="B23" s="53" t="s">
        <v>117</v>
      </c>
      <c r="C23" s="31" t="s">
        <v>29</v>
      </c>
      <c r="D23" s="67">
        <f>(1.6*1*G40)+(2.8*0.6*H40)+(2*1.2*J40)+(4*1.7*D40)+(3.3*1.5*E40)+(1*2*I40)+(1.6*0.8*K40)</f>
        <v>123.08560000000001</v>
      </c>
    </row>
    <row r="24" spans="1:7" ht="84" customHeight="1" x14ac:dyDescent="0.2">
      <c r="A24" s="54">
        <v>3017</v>
      </c>
      <c r="B24" s="53" t="s">
        <v>33</v>
      </c>
      <c r="C24" s="31" t="s">
        <v>29</v>
      </c>
      <c r="D24" s="67">
        <f>D23</f>
        <v>123.08560000000001</v>
      </c>
    </row>
    <row r="25" spans="1:7" ht="69.75" customHeight="1" x14ac:dyDescent="0.2">
      <c r="A25" s="100">
        <v>7364</v>
      </c>
      <c r="B25" s="101" t="s">
        <v>118</v>
      </c>
      <c r="C25" s="31" t="s">
        <v>29</v>
      </c>
      <c r="D25" s="67">
        <f>D23-D13</f>
        <v>53.422240000000031</v>
      </c>
    </row>
    <row r="26" spans="1:7" ht="31.5" x14ac:dyDescent="0.2">
      <c r="A26" s="102"/>
      <c r="B26" s="53" t="s">
        <v>119</v>
      </c>
      <c r="C26" s="54" t="s">
        <v>34</v>
      </c>
      <c r="D26" s="67">
        <v>87.73</v>
      </c>
    </row>
    <row r="27" spans="1:7" ht="255.75" customHeight="1" x14ac:dyDescent="0.2">
      <c r="A27" s="52"/>
      <c r="B27" s="53" t="s">
        <v>104</v>
      </c>
      <c r="C27" s="83" t="s">
        <v>75</v>
      </c>
      <c r="D27" s="67">
        <v>70.7</v>
      </c>
      <c r="E27" s="2"/>
      <c r="F27" s="2"/>
      <c r="G27" s="2"/>
    </row>
    <row r="28" spans="1:7" ht="31.5" x14ac:dyDescent="0.2">
      <c r="A28" s="54">
        <v>4009</v>
      </c>
      <c r="B28" s="53" t="s">
        <v>74</v>
      </c>
      <c r="C28" s="54" t="s">
        <v>34</v>
      </c>
      <c r="D28" s="67">
        <v>118.9</v>
      </c>
      <c r="E28" s="2"/>
      <c r="F28" s="2"/>
      <c r="G28" s="2"/>
    </row>
    <row r="29" spans="1:7" ht="31.5" x14ac:dyDescent="0.2">
      <c r="A29" s="54">
        <v>5412</v>
      </c>
      <c r="B29" s="53" t="s">
        <v>230</v>
      </c>
      <c r="C29" s="83" t="s">
        <v>29</v>
      </c>
      <c r="D29" s="67">
        <v>17.8</v>
      </c>
      <c r="E29" s="2"/>
      <c r="F29" s="2"/>
      <c r="G29" s="2"/>
    </row>
    <row r="30" spans="1:7" ht="31.5" x14ac:dyDescent="0.2">
      <c r="A30" s="54">
        <v>3905</v>
      </c>
      <c r="B30" s="53" t="s">
        <v>73</v>
      </c>
      <c r="C30" s="54" t="s">
        <v>75</v>
      </c>
      <c r="D30" s="67">
        <v>70.7</v>
      </c>
      <c r="E30" s="2"/>
      <c r="F30" s="2"/>
      <c r="G30" s="2"/>
    </row>
    <row r="31" spans="1:7" ht="31.5" x14ac:dyDescent="0.2">
      <c r="A31" s="54">
        <v>3904</v>
      </c>
      <c r="B31" s="53" t="s">
        <v>229</v>
      </c>
      <c r="C31" s="84" t="s">
        <v>75</v>
      </c>
      <c r="D31" s="67">
        <f>24*0.3</f>
        <v>7.1999999999999993</v>
      </c>
      <c r="E31" s="2"/>
      <c r="F31" s="2"/>
      <c r="G31" s="2"/>
    </row>
    <row r="32" spans="1:7" ht="15.75" x14ac:dyDescent="0.2">
      <c r="A32" s="50"/>
      <c r="B32" s="41"/>
      <c r="C32" s="42"/>
      <c r="D32" s="51"/>
      <c r="E32" s="2"/>
      <c r="F32" s="2"/>
      <c r="G32" s="2"/>
    </row>
    <row r="33" spans="1:11" ht="15.75" x14ac:dyDescent="0.2">
      <c r="A33" s="50"/>
      <c r="B33" s="41"/>
      <c r="C33" s="42"/>
      <c r="D33" s="51"/>
      <c r="E33" s="2"/>
      <c r="F33" s="2"/>
      <c r="G33" s="2"/>
    </row>
    <row r="34" spans="1:11" ht="15.75" x14ac:dyDescent="0.2">
      <c r="D34" s="19" t="s">
        <v>70</v>
      </c>
      <c r="E34" s="19" t="s">
        <v>43</v>
      </c>
      <c r="F34" s="19" t="s">
        <v>41</v>
      </c>
      <c r="G34" s="19" t="s">
        <v>42</v>
      </c>
      <c r="H34" s="25" t="s">
        <v>55</v>
      </c>
      <c r="I34" s="25" t="s">
        <v>56</v>
      </c>
      <c r="J34" s="25" t="s">
        <v>54</v>
      </c>
      <c r="K34" s="25" t="s">
        <v>84</v>
      </c>
    </row>
    <row r="35" spans="1:11" ht="15.75" x14ac:dyDescent="0.2">
      <c r="D35" s="19"/>
      <c r="E35" s="19"/>
      <c r="F35" s="19"/>
      <c r="G35" s="19"/>
    </row>
    <row r="36" spans="1:11" ht="15.75" x14ac:dyDescent="0.2">
      <c r="D36" s="19"/>
      <c r="E36" s="19"/>
      <c r="F36" s="19"/>
      <c r="G36" s="19"/>
      <c r="K36" s="25">
        <v>2.75</v>
      </c>
    </row>
    <row r="37" spans="1:11" ht="15.75" x14ac:dyDescent="0.2">
      <c r="D37" s="19"/>
      <c r="E37" s="19"/>
      <c r="F37" s="19"/>
      <c r="G37" s="19"/>
      <c r="I37" s="25">
        <v>19.21</v>
      </c>
      <c r="J37" s="25">
        <v>1.9</v>
      </c>
      <c r="K37" s="25">
        <f>7.6+7.9+3.22</f>
        <v>18.72</v>
      </c>
    </row>
    <row r="38" spans="1:11" ht="15.75" x14ac:dyDescent="0.2">
      <c r="D38" s="19"/>
      <c r="E38" s="19"/>
      <c r="F38" s="19"/>
      <c r="G38" s="19"/>
      <c r="I38" s="25">
        <v>4</v>
      </c>
      <c r="J38" s="25">
        <v>3.4</v>
      </c>
      <c r="K38" s="25">
        <v>3.8</v>
      </c>
    </row>
    <row r="39" spans="1:11" ht="15.75" x14ac:dyDescent="0.2">
      <c r="D39" s="19"/>
      <c r="E39" s="19"/>
      <c r="F39" s="19"/>
      <c r="G39" s="19"/>
      <c r="I39" s="25">
        <v>10</v>
      </c>
      <c r="J39" s="25">
        <v>2.7</v>
      </c>
      <c r="K39" s="25">
        <v>4</v>
      </c>
    </row>
    <row r="40" spans="1:11" ht="28.5" x14ac:dyDescent="0.2">
      <c r="C40" s="38" t="s">
        <v>51</v>
      </c>
      <c r="D40" s="36">
        <f t="shared" ref="D40:K40" si="0">SUM(D35:D39)</f>
        <v>0</v>
      </c>
      <c r="E40" s="36">
        <f t="shared" si="0"/>
        <v>0</v>
      </c>
      <c r="F40" s="36">
        <f t="shared" si="0"/>
        <v>0</v>
      </c>
      <c r="G40" s="36">
        <f t="shared" si="0"/>
        <v>0</v>
      </c>
      <c r="H40" s="36">
        <f t="shared" si="0"/>
        <v>0</v>
      </c>
      <c r="I40" s="36">
        <f t="shared" si="0"/>
        <v>33.21</v>
      </c>
      <c r="J40" s="36">
        <f t="shared" si="0"/>
        <v>8</v>
      </c>
      <c r="K40" s="36">
        <f t="shared" si="0"/>
        <v>29.27</v>
      </c>
    </row>
    <row r="42" spans="1:11" x14ac:dyDescent="0.2">
      <c r="C42" s="25" t="s">
        <v>52</v>
      </c>
      <c r="D42" s="39">
        <f>1.78*D40</f>
        <v>0</v>
      </c>
      <c r="E42" s="39">
        <f>1.08*E40</f>
        <v>0</v>
      </c>
      <c r="F42" s="39">
        <v>0</v>
      </c>
      <c r="G42" s="39">
        <f>0.12*G40</f>
        <v>0</v>
      </c>
      <c r="H42" s="39">
        <f>0.63*H40</f>
        <v>0</v>
      </c>
      <c r="I42" s="39">
        <f>0.92*I40</f>
        <v>30.5532</v>
      </c>
      <c r="J42" s="59">
        <f>0.3*J40</f>
        <v>2.4</v>
      </c>
      <c r="K42" s="39">
        <f>0.2*K40</f>
        <v>5.8540000000000001</v>
      </c>
    </row>
    <row r="43" spans="1:11" x14ac:dyDescent="0.2">
      <c r="C43" s="25" t="s">
        <v>53</v>
      </c>
      <c r="D43" s="59">
        <f>1.5*D40</f>
        <v>0</v>
      </c>
      <c r="E43" s="59">
        <f>1.17*E40</f>
        <v>0</v>
      </c>
      <c r="F43" s="59">
        <f>4*0.3*F40</f>
        <v>0</v>
      </c>
      <c r="G43" s="59">
        <f>1.4*0.2*G40</f>
        <v>0</v>
      </c>
      <c r="H43" s="39">
        <f>2.65*0.3*H40</f>
        <v>0</v>
      </c>
      <c r="I43" s="25">
        <v>0</v>
      </c>
      <c r="J43" s="60">
        <f>0.9*0.2*J40</f>
        <v>1.4400000000000002</v>
      </c>
      <c r="K43" s="39">
        <f>2.05*0.25*K40</f>
        <v>15.000874999999999</v>
      </c>
    </row>
    <row r="44" spans="1:11" ht="15" x14ac:dyDescent="0.25">
      <c r="D44" s="44">
        <f t="shared" ref="D44:K44" si="1">D42+D43</f>
        <v>0</v>
      </c>
      <c r="E44" s="44">
        <f t="shared" si="1"/>
        <v>0</v>
      </c>
      <c r="F44" s="44">
        <f t="shared" si="1"/>
        <v>0</v>
      </c>
      <c r="G44" s="44">
        <f t="shared" si="1"/>
        <v>0</v>
      </c>
      <c r="H44" s="44">
        <f t="shared" si="1"/>
        <v>0</v>
      </c>
      <c r="I44" s="44">
        <f t="shared" si="1"/>
        <v>30.5532</v>
      </c>
      <c r="J44" s="44">
        <f t="shared" si="1"/>
        <v>3.84</v>
      </c>
      <c r="K44" s="44">
        <f t="shared" si="1"/>
        <v>20.854875</v>
      </c>
    </row>
    <row r="47" spans="1:11" x14ac:dyDescent="0.2">
      <c r="C47" s="25" t="s">
        <v>60</v>
      </c>
      <c r="D47" s="47">
        <f>269*D40</f>
        <v>0</v>
      </c>
      <c r="E47" s="47">
        <f>128*E40</f>
        <v>0</v>
      </c>
      <c r="G47" s="47">
        <f>14*G40</f>
        <v>0</v>
      </c>
      <c r="H47" s="47">
        <f>55*H40</f>
        <v>0</v>
      </c>
      <c r="J47" s="47">
        <f>43*J40</f>
        <v>344</v>
      </c>
      <c r="K47" s="47">
        <f>14*K40</f>
        <v>409.78</v>
      </c>
    </row>
    <row r="48" spans="1:11" x14ac:dyDescent="0.2">
      <c r="C48" s="25" t="s">
        <v>61</v>
      </c>
      <c r="D48" s="47">
        <f>314*D40</f>
        <v>0</v>
      </c>
      <c r="E48" s="47">
        <f>149*E40</f>
        <v>0</v>
      </c>
      <c r="F48" s="47">
        <f>234*F40</f>
        <v>0</v>
      </c>
      <c r="G48" s="47">
        <f>23*G40</f>
        <v>0</v>
      </c>
      <c r="H48" s="47">
        <f>132*H40</f>
        <v>0</v>
      </c>
      <c r="I48" s="47">
        <f>255*I40</f>
        <v>8468.5500000000011</v>
      </c>
      <c r="J48" s="47">
        <f>38*J40</f>
        <v>304</v>
      </c>
      <c r="K48" s="47">
        <f>30*K40</f>
        <v>878.1</v>
      </c>
    </row>
    <row r="49" spans="3:21" ht="15" x14ac:dyDescent="0.25">
      <c r="D49" s="48">
        <f t="shared" ref="D49:J49" si="2">SUM(D47:D48)</f>
        <v>0</v>
      </c>
      <c r="E49" s="48">
        <f t="shared" si="2"/>
        <v>0</v>
      </c>
      <c r="F49" s="48">
        <f t="shared" si="2"/>
        <v>0</v>
      </c>
      <c r="G49" s="48">
        <f t="shared" si="2"/>
        <v>0</v>
      </c>
      <c r="H49" s="48">
        <f t="shared" si="2"/>
        <v>0</v>
      </c>
      <c r="I49" s="48">
        <f t="shared" si="2"/>
        <v>8468.5500000000011</v>
      </c>
      <c r="J49" s="48">
        <f t="shared" si="2"/>
        <v>648</v>
      </c>
      <c r="K49" s="48">
        <f>SUM(K47:K48)</f>
        <v>1287.8800000000001</v>
      </c>
    </row>
    <row r="54" spans="3:21" ht="15.75" x14ac:dyDescent="0.2">
      <c r="C54" s="25" t="s">
        <v>122</v>
      </c>
      <c r="D54" s="19" t="s">
        <v>145</v>
      </c>
      <c r="E54" s="19" t="s">
        <v>146</v>
      </c>
      <c r="F54" s="19" t="s">
        <v>147</v>
      </c>
      <c r="G54" s="19" t="s">
        <v>148</v>
      </c>
      <c r="I54" s="25" t="s">
        <v>200</v>
      </c>
      <c r="J54" s="25" t="s">
        <v>201</v>
      </c>
      <c r="K54" s="25" t="s">
        <v>202</v>
      </c>
      <c r="L54" s="22" t="s">
        <v>203</v>
      </c>
      <c r="M54" s="25" t="s">
        <v>172</v>
      </c>
      <c r="N54" s="22" t="s">
        <v>204</v>
      </c>
      <c r="O54" s="25" t="s">
        <v>171</v>
      </c>
      <c r="P54" s="22" t="s">
        <v>205</v>
      </c>
      <c r="Q54" s="22" t="s">
        <v>195</v>
      </c>
      <c r="R54" s="22" t="s">
        <v>194</v>
      </c>
      <c r="S54" s="22" t="s">
        <v>198</v>
      </c>
      <c r="T54" s="22" t="s">
        <v>197</v>
      </c>
      <c r="U54" s="22" t="s">
        <v>196</v>
      </c>
    </row>
    <row r="55" spans="3:21" ht="15.75" x14ac:dyDescent="0.2">
      <c r="C55" s="25">
        <v>5</v>
      </c>
      <c r="D55" s="19">
        <f>LOOKUP(C55,Hoja2!$B$8:$B$20,Hoja2!$E$8:$E$20)</f>
        <v>1.552</v>
      </c>
      <c r="E55" s="19">
        <v>2.65</v>
      </c>
      <c r="F55" s="19">
        <v>14</v>
      </c>
      <c r="G55" s="110">
        <f>F55*E55*D55</f>
        <v>57.579200000000007</v>
      </c>
      <c r="I55" s="25">
        <f>0.74*5.58</f>
        <v>4.1292</v>
      </c>
      <c r="J55" s="25">
        <f>0.764*13.59</f>
        <v>10.382759999999999</v>
      </c>
      <c r="K55" s="25">
        <f>0.48*1.87</f>
        <v>0.89760000000000006</v>
      </c>
      <c r="L55" s="22">
        <f>0.984*4</f>
        <v>3.9359999999999999</v>
      </c>
      <c r="M55" s="25">
        <f>0.48*1.6</f>
        <v>0.76800000000000002</v>
      </c>
      <c r="N55" s="22">
        <f>0.84*10</f>
        <v>8.4</v>
      </c>
      <c r="O55" s="22">
        <f>0.48*2.71</f>
        <v>1.3008</v>
      </c>
      <c r="P55" s="22">
        <f>(5.32*0.3)+(4*1.5*0.3)</f>
        <v>3.3959999999999999</v>
      </c>
      <c r="Q55" s="22">
        <f>(2.2*0.3)+(2.74*1.5*0.3)</f>
        <v>1.8930000000000002</v>
      </c>
      <c r="R55" s="22">
        <f>(5.73*0.3)+(4.55*1.5*0.3)</f>
        <v>3.7664999999999997</v>
      </c>
      <c r="S55" s="22">
        <f>(5.15*0.3)+(4.49*1.5*0.3)</f>
        <v>3.5655000000000001</v>
      </c>
      <c r="T55" s="22">
        <f>0.8*2.6</f>
        <v>2.08</v>
      </c>
      <c r="U55" s="22">
        <f>0.8*3.8</f>
        <v>3.04</v>
      </c>
    </row>
    <row r="56" spans="3:21" ht="15.75" x14ac:dyDescent="0.2">
      <c r="C56" s="25">
        <v>5</v>
      </c>
      <c r="D56" s="19">
        <f>LOOKUP(C56,Hoja2!$B$8:$B$20,Hoja2!$E$8:$E$20)</f>
        <v>1.552</v>
      </c>
      <c r="E56" s="25">
        <v>2.65</v>
      </c>
      <c r="F56" s="25">
        <v>12</v>
      </c>
      <c r="G56" s="110">
        <f t="shared" ref="G56:G116" si="3">F56*E56*D56</f>
        <v>49.3536</v>
      </c>
    </row>
    <row r="57" spans="3:21" ht="15.75" x14ac:dyDescent="0.2">
      <c r="C57" s="25">
        <v>5</v>
      </c>
      <c r="D57" s="19">
        <f>LOOKUP(C57,Hoja2!$B$8:$B$20,Hoja2!$E$8:$E$20)</f>
        <v>1.552</v>
      </c>
      <c r="E57" s="25">
        <v>2.85</v>
      </c>
      <c r="F57" s="25">
        <v>14</v>
      </c>
      <c r="G57" s="110">
        <f t="shared" si="3"/>
        <v>61.924799999999998</v>
      </c>
    </row>
    <row r="58" spans="3:21" ht="15.75" x14ac:dyDescent="0.2">
      <c r="C58" s="25">
        <v>5</v>
      </c>
      <c r="D58" s="19">
        <f>LOOKUP(C58,Hoja2!$B$8:$B$20,Hoja2!$E$8:$E$20)</f>
        <v>1.552</v>
      </c>
      <c r="E58" s="25">
        <v>2.65</v>
      </c>
      <c r="F58" s="25">
        <v>8</v>
      </c>
      <c r="G58" s="110">
        <f t="shared" si="3"/>
        <v>32.9024</v>
      </c>
    </row>
    <row r="59" spans="3:21" ht="15.75" x14ac:dyDescent="0.2">
      <c r="C59" s="25">
        <v>6</v>
      </c>
      <c r="D59" s="19">
        <f>LOOKUP(C59,Hoja2!$B$8:$B$20,Hoja2!$E$8:$E$20)</f>
        <v>2.2349999999999999</v>
      </c>
      <c r="E59" s="25">
        <v>4.3499999999999996</v>
      </c>
      <c r="F59" s="25">
        <v>50</v>
      </c>
      <c r="G59" s="110">
        <f t="shared" si="3"/>
        <v>486.1124999999999</v>
      </c>
    </row>
    <row r="60" spans="3:21" ht="15.75" x14ac:dyDescent="0.2">
      <c r="C60" s="25">
        <v>6</v>
      </c>
      <c r="D60" s="19">
        <f>LOOKUP(C60,Hoja2!$B$8:$B$20,Hoja2!$E$8:$E$20)</f>
        <v>2.2349999999999999</v>
      </c>
      <c r="E60" s="25">
        <v>9.94</v>
      </c>
      <c r="F60" s="25">
        <v>15</v>
      </c>
      <c r="G60" s="110">
        <f t="shared" si="3"/>
        <v>333.23849999999999</v>
      </c>
    </row>
    <row r="61" spans="3:21" ht="15.75" x14ac:dyDescent="0.2">
      <c r="C61" s="25">
        <v>6</v>
      </c>
      <c r="D61" s="19">
        <f>LOOKUP(C61,Hoja2!$B$8:$B$20,Hoja2!$E$8:$E$20)</f>
        <v>2.2349999999999999</v>
      </c>
      <c r="E61" s="25">
        <f>(3.95+1.89)/2</f>
        <v>2.92</v>
      </c>
      <c r="F61" s="25">
        <v>100</v>
      </c>
      <c r="G61" s="110">
        <f t="shared" si="3"/>
        <v>652.62</v>
      </c>
    </row>
    <row r="62" spans="3:21" ht="15.75" x14ac:dyDescent="0.2">
      <c r="C62" s="25">
        <v>6</v>
      </c>
      <c r="D62" s="19">
        <f>LOOKUP(C62,Hoja2!$B$8:$B$20,Hoja2!$E$8:$E$20)</f>
        <v>2.2349999999999999</v>
      </c>
      <c r="E62" s="25">
        <v>9.94</v>
      </c>
      <c r="F62" s="25">
        <v>4</v>
      </c>
      <c r="G62" s="110">
        <f t="shared" si="3"/>
        <v>88.863599999999991</v>
      </c>
    </row>
    <row r="63" spans="3:21" ht="15.75" x14ac:dyDescent="0.2">
      <c r="C63" s="25">
        <v>5</v>
      </c>
      <c r="D63" s="19">
        <f>LOOKUP(C63,Hoja2!$B$8:$B$20,Hoja2!$E$8:$E$20)</f>
        <v>1.552</v>
      </c>
      <c r="E63" s="25">
        <v>9.94</v>
      </c>
      <c r="F63" s="25">
        <v>20</v>
      </c>
      <c r="G63" s="110">
        <f t="shared" si="3"/>
        <v>308.5376</v>
      </c>
    </row>
    <row r="64" spans="3:21" ht="15.75" x14ac:dyDescent="0.2">
      <c r="C64" s="25">
        <v>5</v>
      </c>
      <c r="D64" s="19">
        <f>LOOKUP(C64,Hoja2!$B$8:$B$20,Hoja2!$E$8:$E$20)</f>
        <v>1.552</v>
      </c>
      <c r="E64" s="25">
        <v>2.65</v>
      </c>
      <c r="F64" s="25">
        <v>8</v>
      </c>
      <c r="G64" s="110">
        <f t="shared" si="3"/>
        <v>32.9024</v>
      </c>
    </row>
    <row r="65" spans="3:7" ht="15.75" x14ac:dyDescent="0.2">
      <c r="C65" s="25">
        <v>5</v>
      </c>
      <c r="D65" s="19">
        <f>LOOKUP(C65,Hoja2!$B$8:$B$20,Hoja2!$E$8:$E$20)</f>
        <v>1.552</v>
      </c>
      <c r="E65" s="25">
        <v>1.54</v>
      </c>
      <c r="F65" s="25">
        <v>12</v>
      </c>
      <c r="G65" s="110">
        <f t="shared" si="3"/>
        <v>28.680960000000002</v>
      </c>
    </row>
    <row r="66" spans="3:7" ht="15.75" x14ac:dyDescent="0.2">
      <c r="C66" s="25">
        <v>5</v>
      </c>
      <c r="D66" s="19">
        <f>LOOKUP(C66,Hoja2!$B$8:$B$20,Hoja2!$E$8:$E$20)</f>
        <v>1.552</v>
      </c>
      <c r="E66" s="25">
        <v>2.85</v>
      </c>
      <c r="F66" s="25">
        <v>8</v>
      </c>
      <c r="G66" s="110">
        <f t="shared" si="3"/>
        <v>35.385600000000004</v>
      </c>
    </row>
    <row r="67" spans="3:7" ht="15.75" x14ac:dyDescent="0.2">
      <c r="C67" s="25">
        <v>5</v>
      </c>
      <c r="D67" s="19">
        <f>LOOKUP(C67,Hoja2!$B$8:$B$20,Hoja2!$E$8:$E$20)</f>
        <v>1.552</v>
      </c>
      <c r="E67" s="25">
        <v>1.54</v>
      </c>
      <c r="F67" s="25">
        <v>8</v>
      </c>
      <c r="G67" s="110">
        <f t="shared" si="3"/>
        <v>19.120640000000002</v>
      </c>
    </row>
    <row r="68" spans="3:7" ht="15.75" x14ac:dyDescent="0.2">
      <c r="C68" s="25">
        <v>6</v>
      </c>
      <c r="D68" s="19">
        <f>LOOKUP(C68,Hoja2!$B$8:$B$20,Hoja2!$E$8:$E$20)</f>
        <v>2.2349999999999999</v>
      </c>
      <c r="E68" s="25">
        <v>4.3499999999999996</v>
      </c>
      <c r="F68" s="25">
        <v>21</v>
      </c>
      <c r="G68" s="110">
        <f t="shared" si="3"/>
        <v>204.16724999999997</v>
      </c>
    </row>
    <row r="69" spans="3:7" ht="15.75" x14ac:dyDescent="0.2">
      <c r="C69" s="25">
        <v>6</v>
      </c>
      <c r="D69" s="19">
        <f>LOOKUP(C69,Hoja2!$B$8:$B$20,Hoja2!$E$8:$E$20)</f>
        <v>2.2349999999999999</v>
      </c>
      <c r="E69" s="25">
        <v>3.94</v>
      </c>
      <c r="F69" s="25">
        <v>15</v>
      </c>
      <c r="G69" s="110">
        <f t="shared" si="3"/>
        <v>132.08849999999998</v>
      </c>
    </row>
    <row r="70" spans="3:7" ht="15.75" x14ac:dyDescent="0.2">
      <c r="C70" s="25">
        <v>6</v>
      </c>
      <c r="D70" s="19">
        <f>LOOKUP(C70,Hoja2!$B$8:$B$20,Hoja2!$E$8:$E$20)</f>
        <v>2.2349999999999999</v>
      </c>
      <c r="E70" s="25">
        <f>(4.61+3.61)/2</f>
        <v>4.1100000000000003</v>
      </c>
      <c r="F70" s="25">
        <v>42</v>
      </c>
      <c r="G70" s="110">
        <f t="shared" si="3"/>
        <v>385.8057</v>
      </c>
    </row>
    <row r="71" spans="3:7" ht="15.75" x14ac:dyDescent="0.2">
      <c r="C71" s="25">
        <v>6</v>
      </c>
      <c r="D71" s="19">
        <f>LOOKUP(C71,Hoja2!$B$8:$B$20,Hoja2!$E$8:$E$20)</f>
        <v>2.2349999999999999</v>
      </c>
      <c r="E71" s="25">
        <v>3.94</v>
      </c>
      <c r="F71" s="25">
        <v>4</v>
      </c>
      <c r="G71" s="110">
        <f t="shared" si="3"/>
        <v>35.223599999999998</v>
      </c>
    </row>
    <row r="72" spans="3:7" ht="15.75" x14ac:dyDescent="0.2">
      <c r="C72" s="25">
        <v>5</v>
      </c>
      <c r="D72" s="19">
        <f>LOOKUP(C72,Hoja2!$B$8:$B$20,Hoja2!$E$8:$E$20)</f>
        <v>1.552</v>
      </c>
      <c r="E72" s="25">
        <v>3.94</v>
      </c>
      <c r="F72" s="25">
        <v>24</v>
      </c>
      <c r="G72" s="110">
        <f t="shared" si="3"/>
        <v>146.75712000000001</v>
      </c>
    </row>
    <row r="73" spans="3:7" ht="15.75" x14ac:dyDescent="0.2">
      <c r="C73" s="25">
        <v>5</v>
      </c>
      <c r="D73" s="19">
        <f>LOOKUP(C73,Hoja2!$B$8:$B$20,Hoja2!$E$8:$E$20)</f>
        <v>1.552</v>
      </c>
      <c r="E73" s="25">
        <v>2.65</v>
      </c>
      <c r="F73" s="25">
        <v>10</v>
      </c>
      <c r="G73" s="110">
        <f t="shared" si="3"/>
        <v>41.128</v>
      </c>
    </row>
    <row r="74" spans="3:7" ht="15.75" x14ac:dyDescent="0.2">
      <c r="C74" s="25">
        <v>5</v>
      </c>
      <c r="D74" s="19">
        <f>LOOKUP(C74,Hoja2!$B$8:$B$20,Hoja2!$E$8:$E$20)</f>
        <v>1.552</v>
      </c>
      <c r="E74" s="25">
        <v>1.81</v>
      </c>
      <c r="F74" s="25">
        <v>12</v>
      </c>
      <c r="G74" s="110">
        <f t="shared" si="3"/>
        <v>33.709440000000001</v>
      </c>
    </row>
    <row r="75" spans="3:7" ht="15.75" x14ac:dyDescent="0.2">
      <c r="C75" s="25">
        <v>5</v>
      </c>
      <c r="D75" s="19">
        <f>LOOKUP(C75,Hoja2!$B$8:$B$20,Hoja2!$E$8:$E$20)</f>
        <v>1.552</v>
      </c>
      <c r="E75" s="25">
        <v>2.85</v>
      </c>
      <c r="F75" s="25">
        <v>10</v>
      </c>
      <c r="G75" s="110">
        <f t="shared" si="3"/>
        <v>44.231999999999999</v>
      </c>
    </row>
    <row r="76" spans="3:7" ht="15.75" x14ac:dyDescent="0.2">
      <c r="C76" s="25">
        <v>5</v>
      </c>
      <c r="D76" s="19">
        <f>LOOKUP(C76,Hoja2!$B$8:$B$20,Hoja2!$E$8:$E$20)</f>
        <v>1.552</v>
      </c>
      <c r="E76" s="25">
        <v>1.81</v>
      </c>
      <c r="F76" s="25">
        <v>8</v>
      </c>
      <c r="G76" s="110">
        <f t="shared" si="3"/>
        <v>22.47296</v>
      </c>
    </row>
    <row r="77" spans="3:7" ht="15.75" x14ac:dyDescent="0.2">
      <c r="C77" s="25">
        <v>6</v>
      </c>
      <c r="D77" s="19">
        <f>LOOKUP(C77,Hoja2!$B$8:$B$20,Hoja2!$E$8:$E$20)</f>
        <v>2.2349999999999999</v>
      </c>
      <c r="E77" s="25">
        <v>3.15</v>
      </c>
      <c r="F77" s="25">
        <v>68</v>
      </c>
      <c r="G77" s="110">
        <f t="shared" si="3"/>
        <v>478.73699999999997</v>
      </c>
    </row>
    <row r="78" spans="3:7" ht="15.75" x14ac:dyDescent="0.2">
      <c r="C78" s="25">
        <v>6</v>
      </c>
      <c r="D78" s="19">
        <f>LOOKUP(C78,Hoja2!$B$8:$B$20,Hoja2!$E$8:$E$20)</f>
        <v>2.2349999999999999</v>
      </c>
      <c r="E78" s="25">
        <v>13.53</v>
      </c>
      <c r="F78" s="25">
        <v>13</v>
      </c>
      <c r="G78" s="110">
        <f t="shared" si="3"/>
        <v>393.11414999999994</v>
      </c>
    </row>
    <row r="79" spans="3:7" ht="15.75" x14ac:dyDescent="0.2">
      <c r="C79" s="25">
        <v>6</v>
      </c>
      <c r="D79" s="19">
        <f>LOOKUP(C79,Hoja2!$B$8:$B$20,Hoja2!$E$8:$E$20)</f>
        <v>2.2349999999999999</v>
      </c>
      <c r="E79" s="25">
        <f>(4.09+3.19)/2</f>
        <v>3.6399999999999997</v>
      </c>
      <c r="F79" s="25">
        <v>136</v>
      </c>
      <c r="G79" s="110">
        <f t="shared" si="3"/>
        <v>1106.4143999999999</v>
      </c>
    </row>
    <row r="80" spans="3:7" ht="15.75" x14ac:dyDescent="0.2">
      <c r="C80" s="25">
        <v>6</v>
      </c>
      <c r="D80" s="19">
        <f>LOOKUP(C80,Hoja2!$B$8:$B$20,Hoja2!$E$8:$E$20)</f>
        <v>2.2349999999999999</v>
      </c>
      <c r="E80" s="25">
        <v>13.53</v>
      </c>
      <c r="F80" s="25">
        <v>4</v>
      </c>
      <c r="G80" s="110">
        <f t="shared" si="3"/>
        <v>120.95819999999999</v>
      </c>
    </row>
    <row r="81" spans="3:7" ht="15.75" x14ac:dyDescent="0.2">
      <c r="C81" s="25">
        <v>5</v>
      </c>
      <c r="D81" s="19">
        <f>LOOKUP(C81,Hoja2!$B$8:$B$20,Hoja2!$E$8:$E$20)</f>
        <v>1.552</v>
      </c>
      <c r="E81" s="25">
        <v>13.53</v>
      </c>
      <c r="F81" s="25">
        <v>20</v>
      </c>
      <c r="G81" s="110">
        <f t="shared" si="3"/>
        <v>419.97119999999995</v>
      </c>
    </row>
    <row r="82" spans="3:7" ht="15.75" x14ac:dyDescent="0.2">
      <c r="C82" s="25">
        <v>6</v>
      </c>
      <c r="D82" s="19">
        <f>LOOKUP(C82,Hoja2!$B$8:$B$20,Hoja2!$E$8:$E$20)</f>
        <v>2.2349999999999999</v>
      </c>
      <c r="E82" s="25">
        <v>3.15</v>
      </c>
      <c r="F82" s="25">
        <v>28</v>
      </c>
      <c r="G82" s="110">
        <f t="shared" si="3"/>
        <v>197.12700000000001</v>
      </c>
    </row>
    <row r="83" spans="3:7" ht="15.75" x14ac:dyDescent="0.2">
      <c r="C83" s="25">
        <v>6</v>
      </c>
      <c r="D83" s="19">
        <f>LOOKUP(C83,Hoja2!$B$8:$B$20,Hoja2!$E$8:$E$20)</f>
        <v>2.2349999999999999</v>
      </c>
      <c r="E83" s="25">
        <v>5.52</v>
      </c>
      <c r="F83" s="25">
        <v>13</v>
      </c>
      <c r="G83" s="110">
        <f t="shared" si="3"/>
        <v>160.38359999999997</v>
      </c>
    </row>
    <row r="84" spans="3:7" ht="15.75" x14ac:dyDescent="0.2">
      <c r="C84" s="25">
        <v>6</v>
      </c>
      <c r="D84" s="19">
        <f>LOOKUP(C84,Hoja2!$B$8:$B$20,Hoja2!$E$8:$E$20)</f>
        <v>2.2349999999999999</v>
      </c>
      <c r="E84" s="25">
        <f>(5.15+2.29)/2</f>
        <v>3.72</v>
      </c>
      <c r="F84" s="25">
        <v>56</v>
      </c>
      <c r="G84" s="110">
        <f t="shared" si="3"/>
        <v>465.59520000000003</v>
      </c>
    </row>
    <row r="85" spans="3:7" ht="15.75" x14ac:dyDescent="0.2">
      <c r="C85" s="25">
        <v>6</v>
      </c>
      <c r="D85" s="19">
        <f>LOOKUP(C85,Hoja2!$B$8:$B$20,Hoja2!$E$8:$E$20)</f>
        <v>2.2349999999999999</v>
      </c>
      <c r="E85" s="25">
        <v>5.52</v>
      </c>
      <c r="F85" s="25">
        <v>4</v>
      </c>
      <c r="G85" s="110">
        <f t="shared" si="3"/>
        <v>49.34879999999999</v>
      </c>
    </row>
    <row r="86" spans="3:7" ht="15.75" x14ac:dyDescent="0.2">
      <c r="C86" s="25">
        <v>5</v>
      </c>
      <c r="D86" s="19">
        <f>LOOKUP(C86,Hoja2!$B$8:$B$20,Hoja2!$E$8:$E$20)</f>
        <v>1.552</v>
      </c>
      <c r="E86" s="25">
        <v>5.52</v>
      </c>
      <c r="F86" s="25">
        <v>20</v>
      </c>
      <c r="G86" s="110">
        <f t="shared" si="3"/>
        <v>171.3408</v>
      </c>
    </row>
    <row r="87" spans="3:7" ht="15.75" x14ac:dyDescent="0.2">
      <c r="C87" s="25">
        <v>18</v>
      </c>
      <c r="D87" s="19">
        <f>LOOKUP(C87,Hoja2!$B$8:$B$20,Hoja2!$E$8:$E$20)</f>
        <v>1.996</v>
      </c>
      <c r="E87" s="25">
        <v>3.55</v>
      </c>
      <c r="F87" s="25">
        <v>26</v>
      </c>
      <c r="G87" s="110">
        <f t="shared" si="3"/>
        <v>184.23079999999999</v>
      </c>
    </row>
    <row r="88" spans="3:7" ht="15.75" x14ac:dyDescent="0.2">
      <c r="C88" s="25">
        <v>4</v>
      </c>
      <c r="D88" s="19">
        <f>LOOKUP(C88,Hoja2!$B$8:$B$20,Hoja2!$E$8:$E$20)</f>
        <v>0.99399999999999999</v>
      </c>
      <c r="E88" s="25">
        <v>3.74</v>
      </c>
      <c r="F88" s="25">
        <v>10</v>
      </c>
      <c r="G88" s="110">
        <f t="shared" si="3"/>
        <v>37.175600000000003</v>
      </c>
    </row>
    <row r="89" spans="3:7" ht="15.75" x14ac:dyDescent="0.2">
      <c r="C89" s="25">
        <v>18</v>
      </c>
      <c r="D89" s="19">
        <f>LOOKUP(C89,Hoja2!$B$8:$B$20,Hoja2!$E$8:$E$20)</f>
        <v>1.996</v>
      </c>
      <c r="E89" s="25">
        <f>(5.15+2.29)/2</f>
        <v>3.72</v>
      </c>
      <c r="F89" s="25">
        <v>26</v>
      </c>
      <c r="G89" s="110">
        <f t="shared" si="3"/>
        <v>193.05312000000001</v>
      </c>
    </row>
    <row r="90" spans="3:7" ht="15.75" x14ac:dyDescent="0.2">
      <c r="C90" s="25">
        <v>4</v>
      </c>
      <c r="D90" s="19">
        <f>LOOKUP(C90,Hoja2!$B$8:$B$20,Hoja2!$E$8:$E$20)</f>
        <v>0.99399999999999999</v>
      </c>
      <c r="E90" s="25">
        <v>3.74</v>
      </c>
      <c r="F90" s="25">
        <v>12</v>
      </c>
      <c r="G90" s="110">
        <f t="shared" si="3"/>
        <v>44.610720000000001</v>
      </c>
    </row>
    <row r="91" spans="3:7" ht="15.75" x14ac:dyDescent="0.2">
      <c r="C91" s="25">
        <v>18</v>
      </c>
      <c r="D91" s="19">
        <f>LOOKUP(C91,Hoja2!$B$8:$B$20,Hoja2!$E$8:$E$20)</f>
        <v>1.996</v>
      </c>
      <c r="E91" s="25">
        <v>3.74</v>
      </c>
      <c r="F91" s="25">
        <v>2</v>
      </c>
      <c r="G91" s="110">
        <f t="shared" si="3"/>
        <v>14.93008</v>
      </c>
    </row>
    <row r="92" spans="3:7" ht="15.75" x14ac:dyDescent="0.2">
      <c r="C92" s="25">
        <v>18</v>
      </c>
      <c r="D92" s="19">
        <f>LOOKUP(C92,Hoja2!$B$8:$B$20,Hoja2!$E$8:$E$20)</f>
        <v>1.996</v>
      </c>
      <c r="E92" s="25">
        <v>3.55</v>
      </c>
      <c r="F92" s="25">
        <v>18</v>
      </c>
      <c r="G92" s="110">
        <f t="shared" si="3"/>
        <v>127.5444</v>
      </c>
    </row>
    <row r="93" spans="3:7" ht="15.75" x14ac:dyDescent="0.2">
      <c r="C93" s="25">
        <v>4</v>
      </c>
      <c r="D93" s="19">
        <f>LOOKUP(C93,Hoja2!$B$8:$B$20,Hoja2!$E$8:$E$20)</f>
        <v>0.99399999999999999</v>
      </c>
      <c r="E93" s="25">
        <v>2.54</v>
      </c>
      <c r="F93" s="25">
        <v>10</v>
      </c>
      <c r="G93" s="110">
        <f t="shared" si="3"/>
        <v>25.247599999999998</v>
      </c>
    </row>
    <row r="94" spans="3:7" ht="15.75" x14ac:dyDescent="0.2">
      <c r="C94" s="25">
        <v>18</v>
      </c>
      <c r="D94" s="19">
        <f>LOOKUP(C94,Hoja2!$B$8:$B$20,Hoja2!$E$8:$E$20)</f>
        <v>1.996</v>
      </c>
      <c r="E94" s="25">
        <f>(5.15+2.29)/2</f>
        <v>3.72</v>
      </c>
      <c r="F94" s="25">
        <v>18</v>
      </c>
      <c r="G94" s="110">
        <f t="shared" si="3"/>
        <v>133.65216000000001</v>
      </c>
    </row>
    <row r="95" spans="3:7" ht="15.75" x14ac:dyDescent="0.2">
      <c r="C95" s="25">
        <v>4</v>
      </c>
      <c r="D95" s="19">
        <f>LOOKUP(C95,Hoja2!$B$8:$B$20,Hoja2!$E$8:$E$20)</f>
        <v>0.99399999999999999</v>
      </c>
      <c r="E95" s="25">
        <v>2.54</v>
      </c>
      <c r="F95" s="25">
        <v>10</v>
      </c>
      <c r="G95" s="110">
        <f t="shared" si="3"/>
        <v>25.247599999999998</v>
      </c>
    </row>
    <row r="96" spans="3:7" ht="15.75" x14ac:dyDescent="0.2">
      <c r="C96" s="25">
        <v>18</v>
      </c>
      <c r="D96" s="19">
        <f>LOOKUP(C96,Hoja2!$B$8:$B$20,Hoja2!$E$8:$E$20)</f>
        <v>1.996</v>
      </c>
      <c r="E96" s="25">
        <v>2.54</v>
      </c>
      <c r="F96" s="25">
        <v>2</v>
      </c>
      <c r="G96" s="110">
        <f t="shared" si="3"/>
        <v>10.13968</v>
      </c>
    </row>
    <row r="97" spans="3:8" ht="15.75" x14ac:dyDescent="0.2">
      <c r="C97" s="25">
        <v>18</v>
      </c>
      <c r="D97" s="19">
        <f>LOOKUP(C97,Hoja2!$B$8:$B$20,Hoja2!$E$8:$E$20)</f>
        <v>1.996</v>
      </c>
      <c r="E97" s="25">
        <v>3.55</v>
      </c>
      <c r="F97" s="25">
        <v>31</v>
      </c>
      <c r="G97" s="110">
        <f t="shared" si="3"/>
        <v>219.65979999999999</v>
      </c>
      <c r="H97" s="154">
        <f>SUM(G97:G101)</f>
        <v>588.52996000000007</v>
      </c>
    </row>
    <row r="98" spans="3:8" ht="15.75" x14ac:dyDescent="0.2">
      <c r="C98" s="25">
        <v>4</v>
      </c>
      <c r="D98" s="19">
        <f>LOOKUP(C98,Hoja2!$B$8:$B$20,Hoja2!$E$8:$E$20)</f>
        <v>0.99399999999999999</v>
      </c>
      <c r="E98" s="25">
        <v>4.43</v>
      </c>
      <c r="F98" s="25">
        <v>10</v>
      </c>
      <c r="G98" s="110">
        <f t="shared" si="3"/>
        <v>44.034199999999998</v>
      </c>
      <c r="H98" s="155"/>
    </row>
    <row r="99" spans="3:8" ht="15.75" x14ac:dyDescent="0.2">
      <c r="C99" s="25">
        <v>18</v>
      </c>
      <c r="D99" s="19">
        <f>LOOKUP(C99,Hoja2!$B$8:$B$20,Hoja2!$E$8:$E$20)</f>
        <v>1.996</v>
      </c>
      <c r="E99" s="25">
        <f>(5.33+2.89)/2</f>
        <v>4.1100000000000003</v>
      </c>
      <c r="F99" s="25">
        <v>31</v>
      </c>
      <c r="G99" s="110">
        <f t="shared" si="3"/>
        <v>254.31036000000003</v>
      </c>
      <c r="H99" s="155"/>
    </row>
    <row r="100" spans="3:8" ht="15.75" x14ac:dyDescent="0.2">
      <c r="C100" s="25">
        <v>4</v>
      </c>
      <c r="D100" s="19">
        <f>LOOKUP(C100,Hoja2!$B$8:$B$20,Hoja2!$E$8:$E$20)</f>
        <v>0.99399999999999999</v>
      </c>
      <c r="E100" s="25">
        <v>4.43</v>
      </c>
      <c r="F100" s="25">
        <v>12</v>
      </c>
      <c r="G100" s="110">
        <f t="shared" si="3"/>
        <v>52.84104</v>
      </c>
      <c r="H100" s="155"/>
    </row>
    <row r="101" spans="3:8" ht="15.75" x14ac:dyDescent="0.2">
      <c r="C101" s="25">
        <v>18</v>
      </c>
      <c r="D101" s="19">
        <f>LOOKUP(C101,Hoja2!$B$8:$B$20,Hoja2!$E$8:$E$20)</f>
        <v>1.996</v>
      </c>
      <c r="E101" s="25">
        <v>4.43</v>
      </c>
      <c r="F101" s="25">
        <v>2</v>
      </c>
      <c r="G101" s="110">
        <f t="shared" si="3"/>
        <v>17.684559999999998</v>
      </c>
      <c r="H101" s="155"/>
    </row>
    <row r="102" spans="3:8" ht="15.75" x14ac:dyDescent="0.2">
      <c r="C102" s="25">
        <v>18</v>
      </c>
      <c r="D102" s="19">
        <f>LOOKUP(C102,Hoja2!$B$8:$B$20,Hoja2!$E$8:$E$20)</f>
        <v>1.996</v>
      </c>
      <c r="E102" s="25">
        <v>3.55</v>
      </c>
      <c r="F102" s="25">
        <v>31</v>
      </c>
      <c r="G102" s="110">
        <f t="shared" si="3"/>
        <v>219.65979999999999</v>
      </c>
      <c r="H102" s="154">
        <f>SUM(G102:G106)</f>
        <v>551.45495999999991</v>
      </c>
    </row>
    <row r="103" spans="3:8" ht="15.75" x14ac:dyDescent="0.2">
      <c r="C103" s="25">
        <v>4</v>
      </c>
      <c r="D103" s="19">
        <f>LOOKUP(C103,Hoja2!$B$8:$B$20,Hoja2!$E$8:$E$20)</f>
        <v>0.99399999999999999</v>
      </c>
      <c r="E103" s="25">
        <v>4.49</v>
      </c>
      <c r="F103" s="25">
        <v>10</v>
      </c>
      <c r="G103" s="110">
        <f t="shared" si="3"/>
        <v>44.630600000000008</v>
      </c>
      <c r="H103" s="155"/>
    </row>
    <row r="104" spans="3:8" ht="15.75" x14ac:dyDescent="0.2">
      <c r="C104" s="25">
        <v>18</v>
      </c>
      <c r="D104" s="19">
        <f>LOOKUP(C104,Hoja2!$B$8:$B$20,Hoja2!$E$8:$E$20)</f>
        <v>1.996</v>
      </c>
      <c r="E104" s="25">
        <f>(4.93+2.33)/2</f>
        <v>3.63</v>
      </c>
      <c r="F104" s="25">
        <v>31</v>
      </c>
      <c r="G104" s="110">
        <f t="shared" si="3"/>
        <v>224.60988</v>
      </c>
      <c r="H104" s="155"/>
    </row>
    <row r="105" spans="3:8" ht="15.75" x14ac:dyDescent="0.2">
      <c r="C105" s="25">
        <v>4</v>
      </c>
      <c r="D105" s="19">
        <f>LOOKUP(C105,Hoja2!$B$8:$B$20,Hoja2!$E$8:$E$20)</f>
        <v>0.99399999999999999</v>
      </c>
      <c r="E105" s="25">
        <v>4.49</v>
      </c>
      <c r="F105" s="25">
        <v>10</v>
      </c>
      <c r="G105" s="110">
        <f t="shared" si="3"/>
        <v>44.630600000000008</v>
      </c>
      <c r="H105" s="155"/>
    </row>
    <row r="106" spans="3:8" ht="15.75" x14ac:dyDescent="0.2">
      <c r="C106" s="25">
        <v>18</v>
      </c>
      <c r="D106" s="19">
        <f>LOOKUP(C106,Hoja2!$B$8:$B$20,Hoja2!$E$8:$E$20)</f>
        <v>1.996</v>
      </c>
      <c r="E106" s="25">
        <v>4.49</v>
      </c>
      <c r="F106" s="25">
        <v>2</v>
      </c>
      <c r="G106" s="110">
        <f t="shared" si="3"/>
        <v>17.92408</v>
      </c>
      <c r="H106" s="155"/>
    </row>
    <row r="107" spans="3:8" ht="15.75" x14ac:dyDescent="0.2">
      <c r="C107" s="25">
        <v>18</v>
      </c>
      <c r="D107" s="19">
        <f>LOOKUP(C107,Hoja2!$B$8:$B$20,Hoja2!$E$8:$E$20)</f>
        <v>1.996</v>
      </c>
      <c r="E107" s="25">
        <v>3.55</v>
      </c>
      <c r="F107" s="25">
        <v>18</v>
      </c>
      <c r="G107" s="110">
        <f t="shared" si="3"/>
        <v>127.5444</v>
      </c>
    </row>
    <row r="108" spans="3:8" ht="15.75" x14ac:dyDescent="0.2">
      <c r="C108" s="25">
        <v>4</v>
      </c>
      <c r="D108" s="19">
        <f>LOOKUP(C108,Hoja2!$B$8:$B$20,Hoja2!$E$8:$E$20)</f>
        <v>0.99399999999999999</v>
      </c>
      <c r="E108" s="25">
        <v>2.68</v>
      </c>
      <c r="F108" s="25">
        <v>10</v>
      </c>
      <c r="G108" s="110">
        <f t="shared" si="3"/>
        <v>26.639199999999999</v>
      </c>
    </row>
    <row r="109" spans="3:8" ht="15.75" x14ac:dyDescent="0.2">
      <c r="C109" s="25">
        <v>18</v>
      </c>
      <c r="D109" s="19">
        <f>LOOKUP(C109,Hoja2!$B$8:$B$20,Hoja2!$E$8:$E$20)</f>
        <v>1.996</v>
      </c>
      <c r="E109" s="25">
        <f>(3.15+2.25)/2</f>
        <v>2.7</v>
      </c>
      <c r="F109" s="25">
        <v>18</v>
      </c>
      <c r="G109" s="110">
        <f t="shared" si="3"/>
        <v>97.005600000000001</v>
      </c>
    </row>
    <row r="110" spans="3:8" ht="15.75" x14ac:dyDescent="0.2">
      <c r="C110" s="25">
        <v>4</v>
      </c>
      <c r="D110" s="19">
        <f>LOOKUP(C110,Hoja2!$B$8:$B$20,Hoja2!$E$8:$E$20)</f>
        <v>0.99399999999999999</v>
      </c>
      <c r="E110" s="25">
        <v>2.68</v>
      </c>
      <c r="F110" s="25">
        <v>8</v>
      </c>
      <c r="G110" s="110">
        <f t="shared" si="3"/>
        <v>21.311360000000001</v>
      </c>
    </row>
    <row r="111" spans="3:8" ht="15.75" x14ac:dyDescent="0.2">
      <c r="C111" s="25">
        <v>18</v>
      </c>
      <c r="D111" s="19">
        <f>LOOKUP(C111,Hoja2!$B$8:$B$20,Hoja2!$E$8:$E$20)</f>
        <v>1.996</v>
      </c>
      <c r="E111" s="25">
        <v>2.68</v>
      </c>
      <c r="F111" s="25">
        <v>2</v>
      </c>
      <c r="G111" s="110">
        <f t="shared" si="3"/>
        <v>10.698560000000001</v>
      </c>
    </row>
    <row r="112" spans="3:8" ht="15.75" x14ac:dyDescent="0.2">
      <c r="C112" s="25">
        <v>18</v>
      </c>
      <c r="D112" s="19">
        <f>LOOKUP(C112,Hoja2!$B$8:$B$20,Hoja2!$E$8:$E$20)</f>
        <v>1.996</v>
      </c>
      <c r="E112" s="25">
        <v>3.55</v>
      </c>
      <c r="F112" s="25">
        <v>27</v>
      </c>
      <c r="G112" s="110">
        <f t="shared" si="3"/>
        <v>191.31659999999999</v>
      </c>
    </row>
    <row r="113" spans="3:7" ht="15.75" x14ac:dyDescent="0.2">
      <c r="C113" s="25">
        <v>4</v>
      </c>
      <c r="D113" s="19">
        <f>LOOKUP(C113,Hoja2!$B$8:$B$20,Hoja2!$E$8:$E$20)</f>
        <v>0.99399999999999999</v>
      </c>
      <c r="E113" s="25">
        <v>3.94</v>
      </c>
      <c r="F113" s="25">
        <v>10</v>
      </c>
      <c r="G113" s="110">
        <f t="shared" si="3"/>
        <v>39.163599999999995</v>
      </c>
    </row>
    <row r="114" spans="3:7" ht="15.75" x14ac:dyDescent="0.2">
      <c r="C114" s="25">
        <v>18</v>
      </c>
      <c r="D114" s="19">
        <f>LOOKUP(C114,Hoja2!$B$8:$B$20,Hoja2!$E$8:$E$20)</f>
        <v>1.996</v>
      </c>
      <c r="E114" s="25">
        <f>(4.89+2.79)/2</f>
        <v>3.84</v>
      </c>
      <c r="F114" s="25">
        <v>27</v>
      </c>
      <c r="G114" s="110">
        <f t="shared" si="3"/>
        <v>206.94528</v>
      </c>
    </row>
    <row r="115" spans="3:7" ht="15.75" x14ac:dyDescent="0.2">
      <c r="C115" s="25">
        <v>4</v>
      </c>
      <c r="D115" s="19">
        <f>LOOKUP(C115,Hoja2!$B$8:$B$20,Hoja2!$E$8:$E$20)</f>
        <v>0.99399999999999999</v>
      </c>
      <c r="E115" s="25">
        <v>3.94</v>
      </c>
      <c r="F115" s="25">
        <v>12</v>
      </c>
      <c r="G115" s="110">
        <f t="shared" si="3"/>
        <v>46.996320000000004</v>
      </c>
    </row>
    <row r="116" spans="3:7" ht="15.75" x14ac:dyDescent="0.2">
      <c r="C116" s="25">
        <v>18</v>
      </c>
      <c r="D116" s="19">
        <f>LOOKUP(C116,Hoja2!$B$8:$B$20,Hoja2!$E$8:$E$20)</f>
        <v>1.996</v>
      </c>
      <c r="E116" s="25">
        <v>3.94</v>
      </c>
      <c r="F116" s="25">
        <v>2</v>
      </c>
      <c r="G116" s="110">
        <f t="shared" si="3"/>
        <v>15.728479999999999</v>
      </c>
    </row>
    <row r="117" spans="3:7" ht="15" x14ac:dyDescent="0.25">
      <c r="G117" s="111">
        <f>SUM(G55:G116)+H97+H102</f>
        <v>10654.94772</v>
      </c>
    </row>
  </sheetData>
  <mergeCells count="4">
    <mergeCell ref="E7:I7"/>
    <mergeCell ref="A11:D11"/>
    <mergeCell ref="H97:H101"/>
    <mergeCell ref="H102:H106"/>
  </mergeCells>
  <pageMargins left="0.7" right="0.7" top="0.75" bottom="0.75" header="0.3" footer="0.3"/>
  <pageSetup scale="4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AF4F3-04C5-4692-AF2A-BCF9AC9FA3A5}">
  <sheetPr>
    <tabColor rgb="FFFFFF00"/>
  </sheetPr>
  <dimension ref="A2:P87"/>
  <sheetViews>
    <sheetView view="pageBreakPreview" topLeftCell="A27" zoomScale="85" zoomScaleNormal="85" zoomScaleSheetLayoutView="85" workbookViewId="0">
      <selection activeCell="D31" sqref="D31"/>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86</v>
      </c>
      <c r="F7" s="150"/>
      <c r="G7" s="150"/>
      <c r="H7" s="150"/>
      <c r="I7" s="150"/>
    </row>
    <row r="10" spans="1:9" ht="38.25" x14ac:dyDescent="0.2">
      <c r="A10" s="28" t="s">
        <v>26</v>
      </c>
      <c r="B10" s="32" t="s">
        <v>27</v>
      </c>
      <c r="C10" s="29" t="s">
        <v>28</v>
      </c>
      <c r="D10" s="37" t="s">
        <v>85</v>
      </c>
    </row>
    <row r="11" spans="1:9" x14ac:dyDescent="0.2">
      <c r="A11" s="151" t="s">
        <v>57</v>
      </c>
      <c r="B11" s="152"/>
      <c r="C11" s="152"/>
      <c r="D11" s="153"/>
    </row>
    <row r="12" spans="1:9" ht="63" x14ac:dyDescent="0.2">
      <c r="A12" s="31">
        <v>6021</v>
      </c>
      <c r="B12" s="30" t="s">
        <v>58</v>
      </c>
      <c r="C12" s="40" t="s">
        <v>29</v>
      </c>
      <c r="D12" s="43">
        <f>(2.3*E40*0.05)+(0.6*G40*0.05)+(1.8*H40*0.05)+(1*J40*0.05)+(3*D40*0.05)+(1.5*I40*0.05)+(0.8*K40*0.05)</f>
        <v>2.7458999999999998</v>
      </c>
    </row>
    <row r="13" spans="1:9" ht="47.25" x14ac:dyDescent="0.2">
      <c r="A13" s="31" t="s">
        <v>38</v>
      </c>
      <c r="B13" s="30" t="s">
        <v>59</v>
      </c>
      <c r="C13" s="31" t="s">
        <v>29</v>
      </c>
      <c r="D13" s="56">
        <f>SUM(D14:D17)</f>
        <v>56.6233</v>
      </c>
      <c r="E13" s="47"/>
    </row>
    <row r="14" spans="1:9" ht="15.75" x14ac:dyDescent="0.2">
      <c r="A14" s="31"/>
      <c r="B14" s="65" t="s">
        <v>63</v>
      </c>
      <c r="C14" s="31"/>
      <c r="D14" s="67">
        <f>SUM(I54:P54)</f>
        <v>38.213299999999997</v>
      </c>
      <c r="E14" s="47"/>
    </row>
    <row r="15" spans="1:9" ht="15.75" x14ac:dyDescent="0.2">
      <c r="A15" s="31"/>
      <c r="B15" s="65" t="s">
        <v>64</v>
      </c>
      <c r="C15" s="31"/>
      <c r="D15" s="72">
        <f>(0.01*40*2.5*2)</f>
        <v>2</v>
      </c>
      <c r="E15" s="47"/>
    </row>
    <row r="16" spans="1:9" ht="15.75" x14ac:dyDescent="0.2">
      <c r="A16" s="31"/>
      <c r="B16" s="65" t="s">
        <v>66</v>
      </c>
      <c r="C16" s="31"/>
      <c r="D16" s="67">
        <v>2.61</v>
      </c>
      <c r="E16" s="47"/>
    </row>
    <row r="17" spans="1:7" ht="15.75" x14ac:dyDescent="0.2">
      <c r="A17" s="31"/>
      <c r="B17" s="65" t="s">
        <v>65</v>
      </c>
      <c r="C17" s="31"/>
      <c r="D17" s="67">
        <v>13.8</v>
      </c>
      <c r="E17" s="47"/>
    </row>
    <row r="18" spans="1:7" ht="126" x14ac:dyDescent="0.2">
      <c r="A18" s="31">
        <v>3708</v>
      </c>
      <c r="B18" s="53" t="s">
        <v>39</v>
      </c>
      <c r="C18" s="31" t="s">
        <v>30</v>
      </c>
      <c r="D18" s="68">
        <f>SUM(D19:D22)</f>
        <v>8120.0345499999994</v>
      </c>
    </row>
    <row r="19" spans="1:7" ht="15.75" x14ac:dyDescent="0.2">
      <c r="A19" s="31"/>
      <c r="B19" s="65" t="s">
        <v>63</v>
      </c>
      <c r="C19" s="31"/>
      <c r="D19" s="69">
        <f>G87</f>
        <v>5520.0345499999994</v>
      </c>
    </row>
    <row r="20" spans="1:7" ht="15.75" x14ac:dyDescent="0.2">
      <c r="A20" s="31"/>
      <c r="B20" s="65" t="s">
        <v>64</v>
      </c>
      <c r="C20" s="31"/>
      <c r="D20" s="73">
        <f>(40*2.5*0.25*2)+202</f>
        <v>252</v>
      </c>
    </row>
    <row r="21" spans="1:7" ht="15.75" x14ac:dyDescent="0.2">
      <c r="A21" s="31"/>
      <c r="B21" s="65" t="s">
        <v>66</v>
      </c>
      <c r="C21" s="31"/>
      <c r="D21" s="69">
        <v>374</v>
      </c>
    </row>
    <row r="22" spans="1:7" ht="15.75" x14ac:dyDescent="0.2">
      <c r="A22" s="31"/>
      <c r="B22" s="65" t="s">
        <v>65</v>
      </c>
      <c r="C22" s="31"/>
      <c r="D22" s="69">
        <v>1974</v>
      </c>
    </row>
    <row r="23" spans="1:7" ht="31.5" x14ac:dyDescent="0.2">
      <c r="A23" s="34">
        <v>3464</v>
      </c>
      <c r="B23" s="53" t="s">
        <v>117</v>
      </c>
      <c r="C23" s="31" t="s">
        <v>29</v>
      </c>
      <c r="D23" s="61">
        <f>(1.6*1*G40)+(2.8*0.6*H40)+(2*1.2*J40)+(4*1.7*D40)+(3.3*1.5*E40)+(1.6*0.8*K40)</f>
        <v>115.42779999999999</v>
      </c>
    </row>
    <row r="24" spans="1:7" ht="84" customHeight="1" x14ac:dyDescent="0.2">
      <c r="A24" s="54">
        <v>3017</v>
      </c>
      <c r="B24" s="53" t="s">
        <v>33</v>
      </c>
      <c r="C24" s="31" t="s">
        <v>29</v>
      </c>
      <c r="D24" s="61">
        <f>D23</f>
        <v>115.42779999999999</v>
      </c>
    </row>
    <row r="25" spans="1:7" ht="70.5" customHeight="1" x14ac:dyDescent="0.2">
      <c r="A25" s="100">
        <v>7364</v>
      </c>
      <c r="B25" s="101" t="s">
        <v>118</v>
      </c>
      <c r="C25" s="31" t="s">
        <v>29</v>
      </c>
      <c r="D25" s="61">
        <f>D23-D13</f>
        <v>58.80449999999999</v>
      </c>
    </row>
    <row r="26" spans="1:7" ht="31.5" x14ac:dyDescent="0.2">
      <c r="A26" s="102"/>
      <c r="B26" s="53" t="s">
        <v>119</v>
      </c>
      <c r="C26" s="54" t="s">
        <v>34</v>
      </c>
      <c r="D26" s="74">
        <f>31*2.5</f>
        <v>77.5</v>
      </c>
    </row>
    <row r="27" spans="1:7" ht="260.25" customHeight="1" x14ac:dyDescent="0.2">
      <c r="A27" s="52"/>
      <c r="B27" s="53" t="s">
        <v>104</v>
      </c>
      <c r="C27" s="54" t="s">
        <v>75</v>
      </c>
      <c r="D27" s="66">
        <v>55.6</v>
      </c>
      <c r="E27" s="2"/>
      <c r="F27" s="2"/>
      <c r="G27" s="2"/>
    </row>
    <row r="28" spans="1:7" ht="31.5" x14ac:dyDescent="0.2">
      <c r="A28" s="54">
        <v>4009</v>
      </c>
      <c r="B28" s="53" t="s">
        <v>74</v>
      </c>
      <c r="C28" s="54" t="s">
        <v>34</v>
      </c>
      <c r="D28" s="66">
        <v>76.900000000000006</v>
      </c>
      <c r="E28" s="2"/>
      <c r="F28" s="2"/>
      <c r="G28" s="2"/>
    </row>
    <row r="29" spans="1:7" ht="31.5" x14ac:dyDescent="0.2">
      <c r="A29" s="54">
        <v>5412</v>
      </c>
      <c r="B29" s="53" t="s">
        <v>230</v>
      </c>
      <c r="C29" s="83" t="s">
        <v>29</v>
      </c>
      <c r="D29" s="85">
        <v>11.5</v>
      </c>
      <c r="E29" s="2"/>
      <c r="F29" s="2"/>
      <c r="G29" s="2"/>
    </row>
    <row r="30" spans="1:7" ht="31.5" x14ac:dyDescent="0.2">
      <c r="A30" s="54">
        <v>3905</v>
      </c>
      <c r="B30" s="53" t="s">
        <v>73</v>
      </c>
      <c r="C30" s="54" t="s">
        <v>75</v>
      </c>
      <c r="D30" s="66">
        <v>55.6</v>
      </c>
      <c r="E30" s="2"/>
      <c r="F30" s="2"/>
      <c r="G30" s="2"/>
    </row>
    <row r="31" spans="1:7" ht="31.5" x14ac:dyDescent="0.2">
      <c r="A31" s="54">
        <v>3904</v>
      </c>
      <c r="B31" s="53" t="s">
        <v>229</v>
      </c>
      <c r="C31" s="84" t="s">
        <v>75</v>
      </c>
      <c r="D31" s="66">
        <f>19*0.3</f>
        <v>5.7</v>
      </c>
      <c r="E31" s="2"/>
      <c r="F31" s="2"/>
      <c r="G31" s="2"/>
    </row>
    <row r="32" spans="1:7" ht="15.75" x14ac:dyDescent="0.2">
      <c r="A32" s="86"/>
      <c r="B32" s="75"/>
      <c r="C32" s="87"/>
      <c r="D32" s="88"/>
      <c r="E32" s="2"/>
      <c r="F32" s="2"/>
      <c r="G32" s="2"/>
    </row>
    <row r="33" spans="1:11" ht="15.75" x14ac:dyDescent="0.2">
      <c r="A33" s="50"/>
      <c r="B33" s="41"/>
      <c r="C33" s="42"/>
      <c r="D33" s="51"/>
      <c r="E33" s="2"/>
      <c r="F33" s="2"/>
      <c r="G33" s="2"/>
    </row>
    <row r="34" spans="1:11" ht="15.75" x14ac:dyDescent="0.2">
      <c r="D34" s="19" t="s">
        <v>70</v>
      </c>
      <c r="E34" s="19" t="s">
        <v>43</v>
      </c>
      <c r="F34" s="19" t="s">
        <v>41</v>
      </c>
      <c r="G34" s="19" t="s">
        <v>42</v>
      </c>
      <c r="H34" s="25" t="s">
        <v>55</v>
      </c>
      <c r="I34" s="25" t="s">
        <v>56</v>
      </c>
      <c r="J34" s="25" t="s">
        <v>54</v>
      </c>
      <c r="K34" s="25" t="s">
        <v>84</v>
      </c>
    </row>
    <row r="35" spans="1:11" ht="15.75" x14ac:dyDescent="0.2">
      <c r="D35" s="19"/>
      <c r="E35" s="19"/>
      <c r="F35" s="19"/>
      <c r="G35" s="19"/>
      <c r="K35" s="25">
        <f>1.4+4.36</f>
        <v>5.76</v>
      </c>
    </row>
    <row r="36" spans="1:11" ht="15.75" x14ac:dyDescent="0.2">
      <c r="D36" s="19"/>
      <c r="E36" s="19"/>
      <c r="F36" s="19"/>
      <c r="G36" s="19"/>
      <c r="K36" s="25">
        <v>1.05</v>
      </c>
    </row>
    <row r="37" spans="1:11" ht="15.75" x14ac:dyDescent="0.2">
      <c r="D37" s="19"/>
      <c r="E37" s="19"/>
      <c r="F37" s="19"/>
      <c r="G37" s="19"/>
      <c r="K37" s="25">
        <v>1.18</v>
      </c>
    </row>
    <row r="38" spans="1:11" ht="15.75" x14ac:dyDescent="0.2">
      <c r="D38" s="19"/>
      <c r="E38" s="19"/>
      <c r="F38" s="19"/>
      <c r="G38" s="19"/>
      <c r="K38" s="25">
        <v>9.84</v>
      </c>
    </row>
    <row r="39" spans="1:11" ht="15.75" x14ac:dyDescent="0.2">
      <c r="D39" s="19"/>
      <c r="E39" s="19">
        <v>5.7</v>
      </c>
      <c r="F39" s="19">
        <f>3.51+1.57+4.38</f>
        <v>9.4600000000000009</v>
      </c>
      <c r="G39" s="19"/>
      <c r="J39" s="25">
        <f>14+11.4</f>
        <v>25.4</v>
      </c>
      <c r="K39" s="25">
        <v>2.68</v>
      </c>
    </row>
    <row r="40" spans="1:11" ht="28.5" x14ac:dyDescent="0.2">
      <c r="C40" s="38" t="s">
        <v>51</v>
      </c>
      <c r="D40" s="36">
        <f t="shared" ref="D40:K40" si="0">SUM(D35:D39)</f>
        <v>0</v>
      </c>
      <c r="E40" s="36">
        <f t="shared" si="0"/>
        <v>5.7</v>
      </c>
      <c r="F40" s="36">
        <f t="shared" si="0"/>
        <v>9.4600000000000009</v>
      </c>
      <c r="G40" s="36">
        <f t="shared" si="0"/>
        <v>0</v>
      </c>
      <c r="H40" s="36">
        <f t="shared" si="0"/>
        <v>0</v>
      </c>
      <c r="I40" s="36">
        <f t="shared" si="0"/>
        <v>0</v>
      </c>
      <c r="J40" s="36">
        <f t="shared" si="0"/>
        <v>25.4</v>
      </c>
      <c r="K40" s="36">
        <f t="shared" si="0"/>
        <v>20.509999999999998</v>
      </c>
    </row>
    <row r="42" spans="1:11" x14ac:dyDescent="0.2">
      <c r="C42" s="25" t="s">
        <v>52</v>
      </c>
      <c r="D42" s="39">
        <f>1.78*D40</f>
        <v>0</v>
      </c>
      <c r="E42" s="39">
        <f>1.08*E40</f>
        <v>6.1560000000000006</v>
      </c>
      <c r="F42" s="39">
        <v>0</v>
      </c>
      <c r="G42" s="39">
        <f>0.12*G40</f>
        <v>0</v>
      </c>
      <c r="H42" s="39">
        <f>0.63*H40</f>
        <v>0</v>
      </c>
      <c r="I42" s="39">
        <f>0.64*I40</f>
        <v>0</v>
      </c>
      <c r="J42" s="59">
        <f>0.3*J40</f>
        <v>7.6199999999999992</v>
      </c>
      <c r="K42" s="59">
        <f>0.2*K40</f>
        <v>4.1019999999999994</v>
      </c>
    </row>
    <row r="43" spans="1:11" x14ac:dyDescent="0.2">
      <c r="C43" s="25" t="s">
        <v>53</v>
      </c>
      <c r="D43" s="59">
        <f>1.5*D40</f>
        <v>0</v>
      </c>
      <c r="E43" s="59">
        <f>1.17*E40</f>
        <v>6.6689999999999996</v>
      </c>
      <c r="F43" s="59">
        <f>1*0.3*F40</f>
        <v>2.8380000000000001</v>
      </c>
      <c r="G43" s="59">
        <f>1.4*0.2*G40</f>
        <v>0</v>
      </c>
      <c r="H43" s="39">
        <f>2.65*0.3*H40</f>
        <v>0</v>
      </c>
      <c r="I43" s="25">
        <v>0</v>
      </c>
      <c r="J43" s="60">
        <f>0.9*0.2*J40</f>
        <v>4.5720000000000001</v>
      </c>
      <c r="K43" s="59">
        <f>2.05*0.25*K40</f>
        <v>10.511374999999997</v>
      </c>
    </row>
    <row r="44" spans="1:11" ht="15" x14ac:dyDescent="0.25">
      <c r="D44" s="44">
        <f t="shared" ref="D44:K44" si="1">D42+D43</f>
        <v>0</v>
      </c>
      <c r="E44" s="44">
        <f t="shared" si="1"/>
        <v>12.824999999999999</v>
      </c>
      <c r="F44" s="44">
        <f t="shared" si="1"/>
        <v>2.8380000000000001</v>
      </c>
      <c r="G44" s="44">
        <f t="shared" si="1"/>
        <v>0</v>
      </c>
      <c r="H44" s="44">
        <f t="shared" si="1"/>
        <v>0</v>
      </c>
      <c r="I44" s="44">
        <f t="shared" si="1"/>
        <v>0</v>
      </c>
      <c r="J44" s="44">
        <f t="shared" si="1"/>
        <v>12.192</v>
      </c>
      <c r="K44" s="44">
        <f t="shared" si="1"/>
        <v>14.613374999999998</v>
      </c>
    </row>
    <row r="47" spans="1:11" x14ac:dyDescent="0.2">
      <c r="C47" s="25" t="s">
        <v>60</v>
      </c>
      <c r="D47" s="47">
        <f>269*D40</f>
        <v>0</v>
      </c>
      <c r="E47" s="47">
        <f>128*E40</f>
        <v>729.6</v>
      </c>
      <c r="G47" s="47">
        <f>14*G40</f>
        <v>0</v>
      </c>
      <c r="H47" s="47">
        <f>55*H40</f>
        <v>0</v>
      </c>
      <c r="J47" s="47">
        <f>43*J40</f>
        <v>1092.2</v>
      </c>
      <c r="K47" s="47">
        <f>14*K40</f>
        <v>287.14</v>
      </c>
    </row>
    <row r="48" spans="1:11" x14ac:dyDescent="0.2">
      <c r="C48" s="25" t="s">
        <v>61</v>
      </c>
      <c r="D48" s="47">
        <f>314*D40</f>
        <v>0</v>
      </c>
      <c r="E48" s="47">
        <f>149*E40</f>
        <v>849.30000000000007</v>
      </c>
      <c r="F48" s="47">
        <f>80*F40</f>
        <v>756.80000000000007</v>
      </c>
      <c r="G48" s="47">
        <f>23*G40</f>
        <v>0</v>
      </c>
      <c r="H48" s="47">
        <f>132*H40</f>
        <v>0</v>
      </c>
      <c r="I48" s="47">
        <f>47*I40</f>
        <v>0</v>
      </c>
      <c r="J48" s="47">
        <f>38*J40</f>
        <v>965.19999999999993</v>
      </c>
      <c r="K48" s="47">
        <f>30*K40</f>
        <v>615.29999999999995</v>
      </c>
    </row>
    <row r="49" spans="3:16" ht="15" x14ac:dyDescent="0.25">
      <c r="D49" s="48">
        <f t="shared" ref="D49:K49" si="2">SUM(D47:D48)</f>
        <v>0</v>
      </c>
      <c r="E49" s="48">
        <f t="shared" si="2"/>
        <v>1578.9</v>
      </c>
      <c r="F49" s="48">
        <f t="shared" si="2"/>
        <v>756.80000000000007</v>
      </c>
      <c r="G49" s="48">
        <f t="shared" si="2"/>
        <v>0</v>
      </c>
      <c r="H49" s="48">
        <f t="shared" si="2"/>
        <v>0</v>
      </c>
      <c r="I49" s="48">
        <f t="shared" si="2"/>
        <v>0</v>
      </c>
      <c r="J49" s="48">
        <f t="shared" si="2"/>
        <v>2057.4</v>
      </c>
      <c r="K49" s="48">
        <f t="shared" si="2"/>
        <v>902.43999999999994</v>
      </c>
    </row>
    <row r="53" spans="3:16" ht="15.75" x14ac:dyDescent="0.2">
      <c r="C53" s="25" t="s">
        <v>122</v>
      </c>
      <c r="D53" s="19" t="s">
        <v>145</v>
      </c>
      <c r="E53" s="19" t="s">
        <v>146</v>
      </c>
      <c r="F53" s="19" t="s">
        <v>147</v>
      </c>
      <c r="G53" s="19" t="s">
        <v>148</v>
      </c>
      <c r="I53" s="25" t="s">
        <v>206</v>
      </c>
      <c r="J53" s="25" t="s">
        <v>172</v>
      </c>
      <c r="K53" s="25" t="s">
        <v>171</v>
      </c>
      <c r="L53" s="22" t="s">
        <v>207</v>
      </c>
      <c r="M53" s="22" t="s">
        <v>208</v>
      </c>
      <c r="N53" s="22" t="s">
        <v>209</v>
      </c>
      <c r="O53" s="22" t="s">
        <v>193</v>
      </c>
      <c r="P53" s="22" t="s">
        <v>165</v>
      </c>
    </row>
    <row r="54" spans="3:16" ht="15.75" x14ac:dyDescent="0.2">
      <c r="C54" s="25">
        <v>5</v>
      </c>
      <c r="D54" s="19">
        <f>LOOKUP(C54,Hoja2!$B$8:$B$20,Hoja2!$E$8:$E$20)</f>
        <v>1.552</v>
      </c>
      <c r="E54" s="19">
        <v>2.65</v>
      </c>
      <c r="F54" s="19">
        <v>70</v>
      </c>
      <c r="G54" s="110">
        <f>F54*E54*D54</f>
        <v>287.89600000000002</v>
      </c>
      <c r="I54" s="25">
        <f>(11.8*0.3)+(6*3.1*0.45)</f>
        <v>11.91</v>
      </c>
      <c r="J54" s="25">
        <f>0.48*11.05</f>
        <v>5.3040000000000003</v>
      </c>
      <c r="K54" s="25">
        <f>0.48*13.96</f>
        <v>6.7008000000000001</v>
      </c>
      <c r="L54" s="22">
        <f>0.48*(1.51+2.68)</f>
        <v>2.0112000000000001</v>
      </c>
      <c r="M54" s="22">
        <f>0.48*(9.84)</f>
        <v>4.7231999999999994</v>
      </c>
      <c r="N54" s="22">
        <f>0.48*(1.17+1.4)</f>
        <v>1.2335999999999998</v>
      </c>
      <c r="O54" s="22">
        <f>(5.89*0.3)+(4.36*1.5*0.3)</f>
        <v>3.7290000000000001</v>
      </c>
      <c r="P54" s="22">
        <f>1.1*(3.51+1.57+4.38)*0.25</f>
        <v>2.6015000000000006</v>
      </c>
    </row>
    <row r="55" spans="3:16" ht="15.75" x14ac:dyDescent="0.2">
      <c r="C55" s="25">
        <v>5</v>
      </c>
      <c r="D55" s="19">
        <f>LOOKUP(C55,Hoja2!$B$8:$B$20,Hoja2!$E$8:$E$20)</f>
        <v>1.552</v>
      </c>
      <c r="E55" s="25">
        <v>13.92</v>
      </c>
      <c r="F55" s="25">
        <v>12</v>
      </c>
      <c r="G55" s="110">
        <f t="shared" ref="G55:G86" si="3">F55*E55*D55</f>
        <v>259.24608000000001</v>
      </c>
    </row>
    <row r="56" spans="3:16" ht="15.75" x14ac:dyDescent="0.2">
      <c r="C56" s="25">
        <v>5</v>
      </c>
      <c r="D56" s="19">
        <f>LOOKUP(C56,Hoja2!$B$8:$B$20,Hoja2!$E$8:$E$20)</f>
        <v>1.552</v>
      </c>
      <c r="E56" s="25">
        <v>2.85</v>
      </c>
      <c r="F56" s="25">
        <v>70</v>
      </c>
      <c r="G56" s="110">
        <f t="shared" si="3"/>
        <v>309.62400000000002</v>
      </c>
    </row>
    <row r="57" spans="3:16" ht="15.75" x14ac:dyDescent="0.2">
      <c r="C57" s="25">
        <v>5</v>
      </c>
      <c r="D57" s="19">
        <f>LOOKUP(C57,Hoja2!$B$8:$B$20,Hoja2!$E$8:$E$20)</f>
        <v>1.552</v>
      </c>
      <c r="E57" s="25">
        <v>13.92</v>
      </c>
      <c r="F57" s="25">
        <v>8</v>
      </c>
      <c r="G57" s="110">
        <f t="shared" si="3"/>
        <v>172.83072000000001</v>
      </c>
    </row>
    <row r="58" spans="3:16" ht="15.75" x14ac:dyDescent="0.2">
      <c r="C58" s="25">
        <v>5</v>
      </c>
      <c r="D58" s="19">
        <f>LOOKUP(C58,Hoja2!$B$8:$B$20,Hoja2!$E$8:$E$20)</f>
        <v>1.552</v>
      </c>
      <c r="E58" s="25">
        <v>2.65</v>
      </c>
      <c r="F58" s="25">
        <v>56</v>
      </c>
      <c r="G58" s="110">
        <f t="shared" si="3"/>
        <v>230.31680000000003</v>
      </c>
    </row>
    <row r="59" spans="3:16" ht="15.75" x14ac:dyDescent="0.2">
      <c r="C59" s="25">
        <v>5</v>
      </c>
      <c r="D59" s="19">
        <f>LOOKUP(C59,Hoja2!$B$8:$B$20,Hoja2!$E$8:$E$20)</f>
        <v>1.552</v>
      </c>
      <c r="E59" s="25">
        <v>10.99</v>
      </c>
      <c r="F59" s="25">
        <v>12</v>
      </c>
      <c r="G59" s="110">
        <f t="shared" si="3"/>
        <v>204.67776000000001</v>
      </c>
    </row>
    <row r="60" spans="3:16" ht="15.75" x14ac:dyDescent="0.2">
      <c r="C60" s="25">
        <v>5</v>
      </c>
      <c r="D60" s="19">
        <f>LOOKUP(C60,Hoja2!$B$8:$B$20,Hoja2!$E$8:$E$20)</f>
        <v>1.552</v>
      </c>
      <c r="E60" s="25">
        <v>2.85</v>
      </c>
      <c r="F60" s="25">
        <v>56</v>
      </c>
      <c r="G60" s="110">
        <f t="shared" si="3"/>
        <v>247.69919999999999</v>
      </c>
    </row>
    <row r="61" spans="3:16" ht="15.75" x14ac:dyDescent="0.2">
      <c r="C61" s="25">
        <v>5</v>
      </c>
      <c r="D61" s="19">
        <f>LOOKUP(C61,Hoja2!$B$8:$B$20,Hoja2!$E$8:$E$20)</f>
        <v>1.552</v>
      </c>
      <c r="E61" s="25">
        <v>10.99</v>
      </c>
      <c r="F61" s="25">
        <v>8</v>
      </c>
      <c r="G61" s="110">
        <f t="shared" si="3"/>
        <v>136.45184</v>
      </c>
    </row>
    <row r="62" spans="3:16" ht="15.75" x14ac:dyDescent="0.2">
      <c r="C62" s="25">
        <v>6</v>
      </c>
      <c r="D62" s="19">
        <f>LOOKUP(C62,Hoja2!$B$8:$B$20,Hoja2!$E$8:$E$20)</f>
        <v>2.2349999999999999</v>
      </c>
      <c r="E62" s="25">
        <v>7.05</v>
      </c>
      <c r="F62" s="25">
        <v>40</v>
      </c>
      <c r="G62" s="110">
        <f t="shared" si="3"/>
        <v>630.27</v>
      </c>
    </row>
    <row r="63" spans="3:16" ht="15.75" x14ac:dyDescent="0.2">
      <c r="C63" s="25">
        <v>6</v>
      </c>
      <c r="D63" s="19">
        <f>LOOKUP(C63,Hoja2!$B$8:$B$20,Hoja2!$E$8:$E$20)</f>
        <v>2.2349999999999999</v>
      </c>
      <c r="E63" s="25">
        <v>5.94</v>
      </c>
      <c r="F63" s="25">
        <v>32</v>
      </c>
      <c r="G63" s="110">
        <f t="shared" si="3"/>
        <v>424.8288</v>
      </c>
    </row>
    <row r="64" spans="3:16" ht="15.75" x14ac:dyDescent="0.2">
      <c r="C64" s="25">
        <v>6</v>
      </c>
      <c r="D64" s="19">
        <f>LOOKUP(C64,Hoja2!$B$8:$B$20,Hoja2!$E$8:$E$20)</f>
        <v>2.2349999999999999</v>
      </c>
      <c r="E64" s="25">
        <f>(7.55+2.45)/2</f>
        <v>5</v>
      </c>
      <c r="F64" s="25">
        <v>40</v>
      </c>
      <c r="G64" s="110">
        <f t="shared" si="3"/>
        <v>447</v>
      </c>
    </row>
    <row r="65" spans="3:7" ht="15.75" x14ac:dyDescent="0.2">
      <c r="C65" s="25">
        <v>5</v>
      </c>
      <c r="D65" s="19">
        <f>LOOKUP(C65,Hoja2!$B$8:$B$20,Hoja2!$E$8:$E$20)</f>
        <v>1.552</v>
      </c>
      <c r="E65" s="25">
        <v>5.94</v>
      </c>
      <c r="F65" s="25">
        <v>12</v>
      </c>
      <c r="G65" s="110">
        <f t="shared" si="3"/>
        <v>110.62656000000001</v>
      </c>
    </row>
    <row r="66" spans="3:7" ht="15.75" x14ac:dyDescent="0.2">
      <c r="C66" s="25">
        <v>6</v>
      </c>
      <c r="D66" s="19">
        <f>LOOKUP(C66,Hoja2!$B$8:$B$20,Hoja2!$E$8:$E$20)</f>
        <v>2.2349999999999999</v>
      </c>
      <c r="E66" s="25">
        <v>5.94</v>
      </c>
      <c r="F66" s="25">
        <v>2</v>
      </c>
      <c r="G66" s="110">
        <f t="shared" si="3"/>
        <v>26.5518</v>
      </c>
    </row>
    <row r="67" spans="3:7" ht="15.75" x14ac:dyDescent="0.2">
      <c r="C67" s="25">
        <v>18</v>
      </c>
      <c r="D67" s="19">
        <f>LOOKUP(C67,Hoja2!$B$8:$B$20,Hoja2!$E$8:$E$20)</f>
        <v>1.996</v>
      </c>
      <c r="E67" s="25">
        <v>3.55</v>
      </c>
      <c r="F67" s="25">
        <v>29</v>
      </c>
      <c r="G67" s="110">
        <f t="shared" si="3"/>
        <v>205.48819999999998</v>
      </c>
    </row>
    <row r="68" spans="3:7" ht="15.75" x14ac:dyDescent="0.2">
      <c r="C68" s="25">
        <v>4</v>
      </c>
      <c r="D68" s="19">
        <f>LOOKUP(C68,Hoja2!$B$8:$B$20,Hoja2!$E$8:$E$20)</f>
        <v>0.99399999999999999</v>
      </c>
      <c r="E68" s="25">
        <v>4.3</v>
      </c>
      <c r="F68" s="25">
        <v>10</v>
      </c>
      <c r="G68" s="110">
        <f t="shared" si="3"/>
        <v>42.741999999999997</v>
      </c>
    </row>
    <row r="69" spans="3:7" ht="15.75" x14ac:dyDescent="0.2">
      <c r="C69" s="25">
        <v>18</v>
      </c>
      <c r="D69" s="19">
        <f>LOOKUP(C69,Hoja2!$B$8:$B$20,Hoja2!$E$8:$E$20)</f>
        <v>1.996</v>
      </c>
      <c r="E69" s="25">
        <v>3.85</v>
      </c>
      <c r="F69" s="25">
        <v>29</v>
      </c>
      <c r="G69" s="110">
        <f t="shared" si="3"/>
        <v>222.85340000000002</v>
      </c>
    </row>
    <row r="70" spans="3:7" ht="15.75" x14ac:dyDescent="0.2">
      <c r="C70" s="25">
        <v>4</v>
      </c>
      <c r="D70" s="19">
        <f>LOOKUP(C70,Hoja2!$B$8:$B$20,Hoja2!$E$8:$E$20)</f>
        <v>0.99399999999999999</v>
      </c>
      <c r="E70" s="25">
        <v>4.3</v>
      </c>
      <c r="F70" s="25">
        <v>12</v>
      </c>
      <c r="G70" s="110">
        <f t="shared" si="3"/>
        <v>51.290399999999991</v>
      </c>
    </row>
    <row r="71" spans="3:7" ht="15.75" x14ac:dyDescent="0.2">
      <c r="C71" s="25">
        <v>18</v>
      </c>
      <c r="D71" s="19">
        <f>LOOKUP(C71,Hoja2!$B$8:$B$20,Hoja2!$E$8:$E$20)</f>
        <v>1.996</v>
      </c>
      <c r="E71" s="25">
        <v>4.3</v>
      </c>
      <c r="F71" s="25">
        <v>2</v>
      </c>
      <c r="G71" s="110">
        <f t="shared" si="3"/>
        <v>17.165599999999998</v>
      </c>
    </row>
    <row r="72" spans="3:7" ht="15.75" x14ac:dyDescent="0.2">
      <c r="C72" s="25">
        <v>4</v>
      </c>
      <c r="D72" s="19">
        <f>LOOKUP(C72,Hoja2!$B$8:$B$20,Hoja2!$E$8:$E$20)</f>
        <v>0.99399999999999999</v>
      </c>
      <c r="E72" s="25">
        <v>2.0499999999999998</v>
      </c>
      <c r="F72" s="25">
        <v>15</v>
      </c>
      <c r="G72" s="110">
        <f t="shared" si="3"/>
        <v>30.565499999999997</v>
      </c>
    </row>
    <row r="73" spans="3:7" ht="15.75" x14ac:dyDescent="0.2">
      <c r="C73" s="25">
        <v>4</v>
      </c>
      <c r="D73" s="19">
        <f>LOOKUP(C73,Hoja2!$B$8:$B$20,Hoja2!$E$8:$E$20)</f>
        <v>0.99399999999999999</v>
      </c>
      <c r="E73" s="25">
        <v>2.84</v>
      </c>
      <c r="F73" s="25">
        <v>8</v>
      </c>
      <c r="G73" s="110">
        <f t="shared" si="3"/>
        <v>22.583679999999998</v>
      </c>
    </row>
    <row r="74" spans="3:7" ht="15.75" x14ac:dyDescent="0.2">
      <c r="C74" s="25">
        <v>4</v>
      </c>
      <c r="D74" s="19">
        <f>LOOKUP(C74,Hoja2!$B$8:$B$20,Hoja2!$E$8:$E$20)</f>
        <v>0.99399999999999999</v>
      </c>
      <c r="E74" s="25">
        <v>2.73</v>
      </c>
      <c r="F74" s="25">
        <v>15</v>
      </c>
      <c r="G74" s="110">
        <f t="shared" si="3"/>
        <v>40.704300000000003</v>
      </c>
    </row>
    <row r="75" spans="3:7" ht="15.75" x14ac:dyDescent="0.2">
      <c r="C75" s="25">
        <v>4</v>
      </c>
      <c r="D75" s="19">
        <f>LOOKUP(C75,Hoja2!$B$8:$B$20,Hoja2!$E$8:$E$20)</f>
        <v>0.99399999999999999</v>
      </c>
      <c r="E75" s="25">
        <v>2.84</v>
      </c>
      <c r="F75" s="25">
        <v>14</v>
      </c>
      <c r="G75" s="110">
        <f t="shared" si="3"/>
        <v>39.521439999999998</v>
      </c>
    </row>
    <row r="76" spans="3:7" ht="15.75" x14ac:dyDescent="0.2">
      <c r="C76" s="25">
        <v>4</v>
      </c>
      <c r="D76" s="19">
        <f>LOOKUP(C76,Hoja2!$B$8:$B$20,Hoja2!$E$8:$E$20)</f>
        <v>0.99399999999999999</v>
      </c>
      <c r="E76" s="25">
        <v>2.0499999999999998</v>
      </c>
      <c r="F76" s="25">
        <v>50</v>
      </c>
      <c r="G76" s="110">
        <f t="shared" si="3"/>
        <v>101.88499999999999</v>
      </c>
    </row>
    <row r="77" spans="3:7" ht="15.75" x14ac:dyDescent="0.2">
      <c r="C77" s="25">
        <v>4</v>
      </c>
      <c r="D77" s="19">
        <f>LOOKUP(C77,Hoja2!$B$8:$B$20,Hoja2!$E$8:$E$20)</f>
        <v>0.99399999999999999</v>
      </c>
      <c r="E77" s="25">
        <v>9.7799999999999994</v>
      </c>
      <c r="F77" s="25">
        <v>8</v>
      </c>
      <c r="G77" s="110">
        <f t="shared" si="3"/>
        <v>77.770559999999989</v>
      </c>
    </row>
    <row r="78" spans="3:7" ht="15.75" x14ac:dyDescent="0.2">
      <c r="C78" s="25">
        <v>4</v>
      </c>
      <c r="D78" s="19">
        <f>LOOKUP(C78,Hoja2!$B$8:$B$20,Hoja2!$E$8:$E$20)</f>
        <v>0.99399999999999999</v>
      </c>
      <c r="E78" s="25">
        <v>2.73</v>
      </c>
      <c r="F78" s="25">
        <v>50</v>
      </c>
      <c r="G78" s="110">
        <f t="shared" si="3"/>
        <v>135.68100000000001</v>
      </c>
    </row>
    <row r="79" spans="3:7" ht="15.75" x14ac:dyDescent="0.2">
      <c r="C79" s="25">
        <v>4</v>
      </c>
      <c r="D79" s="19">
        <f>LOOKUP(C79,Hoja2!$B$8:$B$20,Hoja2!$E$8:$E$20)</f>
        <v>0.99399999999999999</v>
      </c>
      <c r="E79" s="25">
        <v>9.7799999999999994</v>
      </c>
      <c r="F79" s="25">
        <v>14</v>
      </c>
      <c r="G79" s="110">
        <f t="shared" si="3"/>
        <v>136.09848</v>
      </c>
    </row>
    <row r="80" spans="3:7" ht="15.75" x14ac:dyDescent="0.2">
      <c r="C80" s="25">
        <v>4</v>
      </c>
      <c r="D80" s="19">
        <f>LOOKUP(C80,Hoja2!$B$8:$B$20,Hoja2!$E$8:$E$20)</f>
        <v>0.99399999999999999</v>
      </c>
      <c r="E80" s="25">
        <v>2.0499999999999998</v>
      </c>
      <c r="F80" s="25">
        <v>22</v>
      </c>
      <c r="G80" s="110">
        <f t="shared" si="3"/>
        <v>44.829399999999993</v>
      </c>
    </row>
    <row r="81" spans="3:7" ht="15.75" x14ac:dyDescent="0.2">
      <c r="C81" s="25">
        <v>4</v>
      </c>
      <c r="D81" s="19">
        <f>LOOKUP(C81,Hoja2!$B$8:$B$20,Hoja2!$E$8:$E$20)</f>
        <v>0.99399999999999999</v>
      </c>
      <c r="E81" s="25">
        <v>4.13</v>
      </c>
      <c r="F81" s="25">
        <v>8</v>
      </c>
      <c r="G81" s="110">
        <f t="shared" si="3"/>
        <v>32.841760000000001</v>
      </c>
    </row>
    <row r="82" spans="3:7" ht="15.75" x14ac:dyDescent="0.2">
      <c r="C82" s="25">
        <v>4</v>
      </c>
      <c r="D82" s="19">
        <f>LOOKUP(C82,Hoja2!$B$8:$B$20,Hoja2!$E$8:$E$20)</f>
        <v>0.99399999999999999</v>
      </c>
      <c r="E82" s="25">
        <v>2.73</v>
      </c>
      <c r="F82" s="25">
        <v>22</v>
      </c>
      <c r="G82" s="110">
        <f t="shared" si="3"/>
        <v>59.699640000000002</v>
      </c>
    </row>
    <row r="83" spans="3:7" ht="15.75" x14ac:dyDescent="0.2">
      <c r="C83" s="25">
        <v>4</v>
      </c>
      <c r="D83" s="19">
        <f>LOOKUP(C83,Hoja2!$B$8:$B$20,Hoja2!$E$8:$E$20)</f>
        <v>0.99399999999999999</v>
      </c>
      <c r="E83" s="25">
        <v>4.13</v>
      </c>
      <c r="F83" s="25">
        <v>14</v>
      </c>
      <c r="G83" s="110">
        <f t="shared" si="3"/>
        <v>57.473080000000003</v>
      </c>
    </row>
    <row r="84" spans="3:7" ht="15.75" x14ac:dyDescent="0.2">
      <c r="C84" s="25">
        <v>6</v>
      </c>
      <c r="D84" s="19">
        <f>LOOKUP(C84,Hoja2!$B$8:$B$20,Hoja2!$E$8:$E$20)</f>
        <v>2.2349999999999999</v>
      </c>
      <c r="E84" s="25">
        <v>3.27</v>
      </c>
      <c r="F84" s="25">
        <v>79</v>
      </c>
      <c r="G84" s="110">
        <f t="shared" si="3"/>
        <v>577.36754999999994</v>
      </c>
    </row>
    <row r="85" spans="3:7" ht="15.75" x14ac:dyDescent="0.2">
      <c r="C85" s="25">
        <v>6</v>
      </c>
      <c r="D85" s="19">
        <f>LOOKUP(C85,Hoja2!$B$8:$B$20,Hoja2!$E$8:$E$20)</f>
        <v>2.2349999999999999</v>
      </c>
      <c r="E85" s="25">
        <v>9.4</v>
      </c>
      <c r="F85" s="25">
        <v>2</v>
      </c>
      <c r="G85" s="110">
        <f t="shared" si="3"/>
        <v>42.018000000000001</v>
      </c>
    </row>
    <row r="86" spans="3:7" ht="15.75" x14ac:dyDescent="0.2">
      <c r="C86" s="25">
        <v>4</v>
      </c>
      <c r="D86" s="19">
        <f>LOOKUP(C86,Hoja2!$B$8:$B$20,Hoja2!$E$8:$E$20)</f>
        <v>0.99399999999999999</v>
      </c>
      <c r="E86" s="25">
        <v>9.4</v>
      </c>
      <c r="F86" s="25">
        <v>10</v>
      </c>
      <c r="G86" s="110">
        <f t="shared" si="3"/>
        <v>93.435999999999993</v>
      </c>
    </row>
    <row r="87" spans="3:7" ht="15" x14ac:dyDescent="0.25">
      <c r="G87" s="111">
        <f>SUM(G54:G86)</f>
        <v>5520.0345499999994</v>
      </c>
    </row>
  </sheetData>
  <mergeCells count="2">
    <mergeCell ref="E7:I7"/>
    <mergeCell ref="A11:D11"/>
  </mergeCells>
  <pageMargins left="0.7" right="0.7" top="0.75" bottom="0.75" header="0.3" footer="0.3"/>
  <pageSetup scale="4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6A09-D573-4803-A431-71783FBE2459}">
  <sheetPr>
    <tabColor rgb="FFFFFF00"/>
  </sheetPr>
  <dimension ref="A2:Q91"/>
  <sheetViews>
    <sheetView view="pageBreakPreview" topLeftCell="A27" zoomScale="85" zoomScaleNormal="85" zoomScaleSheetLayoutView="85" workbookViewId="0">
      <selection activeCell="D31" sqref="D31"/>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88</v>
      </c>
      <c r="F7" s="150"/>
      <c r="G7" s="150"/>
      <c r="H7" s="150"/>
      <c r="I7" s="150"/>
    </row>
    <row r="10" spans="1:9" ht="38.25" x14ac:dyDescent="0.2">
      <c r="A10" s="28" t="s">
        <v>26</v>
      </c>
      <c r="B10" s="32" t="s">
        <v>27</v>
      </c>
      <c r="C10" s="29" t="s">
        <v>28</v>
      </c>
      <c r="D10" s="37" t="s">
        <v>87</v>
      </c>
    </row>
    <row r="11" spans="1:9" x14ac:dyDescent="0.2">
      <c r="A11" s="151" t="s">
        <v>57</v>
      </c>
      <c r="B11" s="152"/>
      <c r="C11" s="152"/>
      <c r="D11" s="153"/>
    </row>
    <row r="12" spans="1:9" ht="63" x14ac:dyDescent="0.2">
      <c r="A12" s="31">
        <v>6021</v>
      </c>
      <c r="B12" s="30" t="s">
        <v>58</v>
      </c>
      <c r="C12" s="81" t="s">
        <v>29</v>
      </c>
      <c r="D12" s="82">
        <f>(2.3*E40*0.05)+(0.6*G40*0.05)+(1.8*H40*0.05)+(1*J40*0.05)+(3*D40*0.05)+(1.5*I40*0.05)+(0.8*K40*0.05)</f>
        <v>3.3939000000000004</v>
      </c>
    </row>
    <row r="13" spans="1:9" ht="47.25" x14ac:dyDescent="0.2">
      <c r="A13" s="31" t="s">
        <v>38</v>
      </c>
      <c r="B13" s="30" t="s">
        <v>59</v>
      </c>
      <c r="C13" s="31" t="s">
        <v>29</v>
      </c>
      <c r="D13" s="61">
        <f>SUM(D14:D17)</f>
        <v>75.226200000000006</v>
      </c>
      <c r="E13" s="47"/>
    </row>
    <row r="14" spans="1:9" ht="15.75" x14ac:dyDescent="0.2">
      <c r="A14" s="31"/>
      <c r="B14" s="65" t="s">
        <v>63</v>
      </c>
      <c r="C14" s="31"/>
      <c r="D14" s="67">
        <f>SUM(J56:Q56)</f>
        <v>57.666200000000003</v>
      </c>
      <c r="E14" s="47"/>
    </row>
    <row r="15" spans="1:9" ht="15.75" x14ac:dyDescent="0.2">
      <c r="A15" s="31"/>
      <c r="B15" s="65" t="s">
        <v>64</v>
      </c>
      <c r="C15" s="31"/>
      <c r="D15" s="72">
        <f>(0.01*40*4.2*2)</f>
        <v>3.3600000000000003</v>
      </c>
      <c r="E15" s="47"/>
    </row>
    <row r="16" spans="1:9" ht="15.75" x14ac:dyDescent="0.2">
      <c r="A16" s="31"/>
      <c r="B16" s="65" t="s">
        <v>66</v>
      </c>
      <c r="C16" s="31"/>
      <c r="D16" s="67">
        <v>2.2000000000000002</v>
      </c>
      <c r="E16" s="47"/>
    </row>
    <row r="17" spans="1:7" ht="15.75" x14ac:dyDescent="0.2">
      <c r="A17" s="31"/>
      <c r="B17" s="65" t="s">
        <v>65</v>
      </c>
      <c r="C17" s="31"/>
      <c r="D17" s="67">
        <v>12</v>
      </c>
      <c r="E17" s="47"/>
    </row>
    <row r="18" spans="1:7" ht="126" x14ac:dyDescent="0.2">
      <c r="A18" s="31">
        <v>3708</v>
      </c>
      <c r="B18" s="53" t="s">
        <v>39</v>
      </c>
      <c r="C18" s="31" t="s">
        <v>30</v>
      </c>
      <c r="D18" s="68">
        <f>SUM(D19:D22)</f>
        <v>11558.190059999999</v>
      </c>
    </row>
    <row r="19" spans="1:7" ht="15.75" x14ac:dyDescent="0.2">
      <c r="A19" s="31"/>
      <c r="B19" s="65" t="s">
        <v>63</v>
      </c>
      <c r="C19" s="31"/>
      <c r="D19" s="69">
        <f>G91</f>
        <v>8740.190059999999</v>
      </c>
    </row>
    <row r="20" spans="1:7" ht="15.75" x14ac:dyDescent="0.2">
      <c r="A20" s="31"/>
      <c r="B20" s="65" t="s">
        <v>64</v>
      </c>
      <c r="C20" s="31"/>
      <c r="D20" s="73">
        <f>(40*4.2*0.25*2)+326</f>
        <v>410</v>
      </c>
    </row>
    <row r="21" spans="1:7" ht="15.75" x14ac:dyDescent="0.2">
      <c r="A21" s="31"/>
      <c r="B21" s="65" t="s">
        <v>66</v>
      </c>
      <c r="C21" s="31"/>
      <c r="D21" s="69">
        <v>315</v>
      </c>
    </row>
    <row r="22" spans="1:7" ht="15.75" x14ac:dyDescent="0.2">
      <c r="A22" s="31"/>
      <c r="B22" s="65" t="s">
        <v>65</v>
      </c>
      <c r="C22" s="31"/>
      <c r="D22" s="69">
        <v>2093</v>
      </c>
    </row>
    <row r="23" spans="1:7" ht="31.5" x14ac:dyDescent="0.2">
      <c r="A23" s="34">
        <v>3464</v>
      </c>
      <c r="B23" s="53" t="s">
        <v>117</v>
      </c>
      <c r="C23" s="31" t="s">
        <v>29</v>
      </c>
      <c r="D23" s="61">
        <f>(1.6*1*G40)+(2.8*0.6*H40)+(2*1.2*J40)+(4*1.7*D40)+(3.3*1.5*E40)+(1.6*0.8*K40)</f>
        <v>71.38</v>
      </c>
    </row>
    <row r="24" spans="1:7" ht="84" customHeight="1" x14ac:dyDescent="0.2">
      <c r="A24" s="54">
        <v>3017</v>
      </c>
      <c r="B24" s="53" t="s">
        <v>33</v>
      </c>
      <c r="C24" s="31" t="s">
        <v>29</v>
      </c>
      <c r="D24" s="61">
        <f>D23</f>
        <v>71.38</v>
      </c>
    </row>
    <row r="25" spans="1:7" ht="72.75" customHeight="1" x14ac:dyDescent="0.2">
      <c r="A25" s="100">
        <v>7364</v>
      </c>
      <c r="B25" s="101" t="s">
        <v>118</v>
      </c>
      <c r="C25" s="31" t="s">
        <v>29</v>
      </c>
      <c r="D25" s="61">
        <f>D23-D13</f>
        <v>-3.8462000000000103</v>
      </c>
    </row>
    <row r="26" spans="1:7" ht="31.5" x14ac:dyDescent="0.2">
      <c r="A26" s="102"/>
      <c r="B26" s="53" t="s">
        <v>119</v>
      </c>
      <c r="C26" s="54" t="s">
        <v>34</v>
      </c>
      <c r="D26" s="74">
        <f>31*4.2</f>
        <v>130.20000000000002</v>
      </c>
    </row>
    <row r="27" spans="1:7" ht="262.5" customHeight="1" x14ac:dyDescent="0.2">
      <c r="A27" s="52"/>
      <c r="B27" s="53" t="s">
        <v>104</v>
      </c>
      <c r="C27" s="54" t="s">
        <v>75</v>
      </c>
      <c r="D27" s="66">
        <v>46.6</v>
      </c>
      <c r="E27" s="2"/>
      <c r="F27" s="2"/>
      <c r="G27" s="2"/>
    </row>
    <row r="28" spans="1:7" ht="31.5" x14ac:dyDescent="0.2">
      <c r="A28" s="54">
        <v>4009</v>
      </c>
      <c r="B28" s="53" t="s">
        <v>74</v>
      </c>
      <c r="C28" s="54" t="s">
        <v>34</v>
      </c>
      <c r="D28" s="66">
        <v>77.2</v>
      </c>
      <c r="E28" s="2"/>
      <c r="F28" s="2"/>
      <c r="G28" s="2"/>
    </row>
    <row r="29" spans="1:7" ht="31.5" x14ac:dyDescent="0.2">
      <c r="A29" s="54">
        <v>5412</v>
      </c>
      <c r="B29" s="53" t="s">
        <v>230</v>
      </c>
      <c r="C29" s="83" t="s">
        <v>29</v>
      </c>
      <c r="D29" s="85">
        <v>11.6</v>
      </c>
      <c r="E29" s="2"/>
      <c r="F29" s="2"/>
      <c r="G29" s="2"/>
    </row>
    <row r="30" spans="1:7" ht="31.5" x14ac:dyDescent="0.2">
      <c r="A30" s="54">
        <v>3905</v>
      </c>
      <c r="B30" s="53" t="s">
        <v>73</v>
      </c>
      <c r="C30" s="54" t="s">
        <v>75</v>
      </c>
      <c r="D30" s="66">
        <v>46.6</v>
      </c>
      <c r="E30" s="2"/>
      <c r="F30" s="2"/>
      <c r="G30" s="2"/>
    </row>
    <row r="31" spans="1:7" ht="31.5" x14ac:dyDescent="0.2">
      <c r="A31" s="54">
        <v>3904</v>
      </c>
      <c r="B31" s="53" t="s">
        <v>229</v>
      </c>
      <c r="C31" s="84" t="s">
        <v>75</v>
      </c>
      <c r="D31" s="66">
        <f>16*0.3</f>
        <v>4.8</v>
      </c>
      <c r="E31" s="2"/>
      <c r="F31" s="2"/>
      <c r="G31" s="2"/>
    </row>
    <row r="32" spans="1:7" ht="15.75" x14ac:dyDescent="0.2">
      <c r="A32" s="50"/>
      <c r="B32" s="41"/>
      <c r="C32" s="42"/>
      <c r="D32" s="51"/>
      <c r="E32" s="2"/>
      <c r="F32" s="2"/>
      <c r="G32" s="2"/>
    </row>
    <row r="33" spans="1:11" ht="15.75" x14ac:dyDescent="0.2">
      <c r="A33" s="50"/>
      <c r="B33" s="41"/>
      <c r="C33" s="42"/>
      <c r="D33" s="51"/>
      <c r="E33" s="2"/>
      <c r="F33" s="2"/>
      <c r="G33" s="2"/>
    </row>
    <row r="34" spans="1:11" ht="15.75" x14ac:dyDescent="0.2">
      <c r="D34" s="19" t="s">
        <v>70</v>
      </c>
      <c r="E34" s="19" t="s">
        <v>43</v>
      </c>
      <c r="F34" s="19" t="s">
        <v>41</v>
      </c>
      <c r="G34" s="19" t="s">
        <v>42</v>
      </c>
      <c r="H34" s="25" t="s">
        <v>55</v>
      </c>
      <c r="I34" s="25" t="s">
        <v>56</v>
      </c>
      <c r="J34" s="25" t="s">
        <v>54</v>
      </c>
      <c r="K34" s="25" t="s">
        <v>84</v>
      </c>
    </row>
    <row r="35" spans="1:11" ht="15.75" x14ac:dyDescent="0.2">
      <c r="D35" s="19"/>
      <c r="E35" s="19"/>
      <c r="F35" s="19"/>
      <c r="G35" s="19"/>
    </row>
    <row r="36" spans="1:11" ht="15.75" x14ac:dyDescent="0.2">
      <c r="D36" s="19"/>
      <c r="E36" s="19"/>
      <c r="F36" s="19"/>
      <c r="G36" s="19"/>
    </row>
    <row r="37" spans="1:11" ht="15.75" x14ac:dyDescent="0.2">
      <c r="D37" s="19"/>
      <c r="E37" s="19"/>
      <c r="F37" s="19"/>
      <c r="G37" s="19"/>
    </row>
    <row r="38" spans="1:11" ht="15.75" x14ac:dyDescent="0.2">
      <c r="D38" s="19"/>
      <c r="E38" s="19"/>
      <c r="F38" s="19"/>
      <c r="G38" s="19">
        <v>3.95</v>
      </c>
    </row>
    <row r="39" spans="1:11" ht="15.75" x14ac:dyDescent="0.2">
      <c r="D39" s="19"/>
      <c r="E39" s="19"/>
      <c r="F39" s="19"/>
      <c r="G39" s="19">
        <f>4.7+3.78</f>
        <v>8.48</v>
      </c>
      <c r="H39" s="25">
        <f>5.38+4.92+4.92+7.43+8</f>
        <v>30.65</v>
      </c>
      <c r="I39" s="25">
        <v>3.5</v>
      </c>
    </row>
    <row r="40" spans="1:11" ht="28.5" x14ac:dyDescent="0.2">
      <c r="C40" s="38" t="s">
        <v>51</v>
      </c>
      <c r="D40" s="36">
        <f t="shared" ref="D40:K40" si="0">SUM(D35:D39)</f>
        <v>0</v>
      </c>
      <c r="E40" s="36">
        <f t="shared" si="0"/>
        <v>0</v>
      </c>
      <c r="F40" s="36">
        <f t="shared" si="0"/>
        <v>0</v>
      </c>
      <c r="G40" s="36">
        <f t="shared" si="0"/>
        <v>12.43</v>
      </c>
      <c r="H40" s="36">
        <f t="shared" si="0"/>
        <v>30.65</v>
      </c>
      <c r="I40" s="36">
        <f t="shared" si="0"/>
        <v>3.5</v>
      </c>
      <c r="J40" s="36">
        <f t="shared" si="0"/>
        <v>0</v>
      </c>
      <c r="K40" s="36">
        <f t="shared" si="0"/>
        <v>0</v>
      </c>
    </row>
    <row r="42" spans="1:11" x14ac:dyDescent="0.2">
      <c r="C42" s="25" t="s">
        <v>52</v>
      </c>
      <c r="D42" s="39">
        <f>1.78*D40</f>
        <v>0</v>
      </c>
      <c r="E42" s="39">
        <f>1.08*E40</f>
        <v>0</v>
      </c>
      <c r="F42" s="39">
        <v>0</v>
      </c>
      <c r="G42" s="39">
        <f>0.12*G40</f>
        <v>1.4915999999999998</v>
      </c>
      <c r="H42" s="39">
        <f>0.63*H40</f>
        <v>19.3095</v>
      </c>
      <c r="I42" s="39">
        <f>0.6*I40</f>
        <v>2.1</v>
      </c>
      <c r="J42" s="59">
        <f>0.3*J40</f>
        <v>0</v>
      </c>
      <c r="K42" s="59">
        <f>0.2*K40</f>
        <v>0</v>
      </c>
    </row>
    <row r="43" spans="1:11" x14ac:dyDescent="0.2">
      <c r="C43" s="25" t="s">
        <v>53</v>
      </c>
      <c r="D43" s="59">
        <f>1.5*D40</f>
        <v>0</v>
      </c>
      <c r="E43" s="59">
        <f>1.17*E40</f>
        <v>0</v>
      </c>
      <c r="F43" s="59">
        <f>1*0.3*F40</f>
        <v>0</v>
      </c>
      <c r="G43" s="59">
        <f>1.4*0.2*G40</f>
        <v>3.4803999999999995</v>
      </c>
      <c r="H43" s="39">
        <f>2.65*0.3*H40</f>
        <v>24.366749999999996</v>
      </c>
      <c r="I43" s="25">
        <v>0</v>
      </c>
      <c r="J43" s="60">
        <f>0.9*0.2*J40</f>
        <v>0</v>
      </c>
      <c r="K43" s="59">
        <f>2.05*0.25*K40</f>
        <v>0</v>
      </c>
    </row>
    <row r="44" spans="1:11" ht="15" x14ac:dyDescent="0.25">
      <c r="D44" s="44">
        <f t="shared" ref="D44:K44" si="1">D42+D43</f>
        <v>0</v>
      </c>
      <c r="E44" s="44">
        <f t="shared" si="1"/>
        <v>0</v>
      </c>
      <c r="F44" s="44">
        <f t="shared" si="1"/>
        <v>0</v>
      </c>
      <c r="G44" s="44">
        <f t="shared" si="1"/>
        <v>4.9719999999999995</v>
      </c>
      <c r="H44" s="44">
        <f t="shared" si="1"/>
        <v>43.676249999999996</v>
      </c>
      <c r="I44" s="44">
        <f t="shared" si="1"/>
        <v>2.1</v>
      </c>
      <c r="J44" s="44">
        <f t="shared" si="1"/>
        <v>0</v>
      </c>
      <c r="K44" s="44">
        <f t="shared" si="1"/>
        <v>0</v>
      </c>
    </row>
    <row r="47" spans="1:11" x14ac:dyDescent="0.2">
      <c r="C47" s="25" t="s">
        <v>60</v>
      </c>
      <c r="D47" s="47">
        <f>269*D40</f>
        <v>0</v>
      </c>
      <c r="E47" s="47">
        <f>128*E40</f>
        <v>0</v>
      </c>
      <c r="G47" s="47">
        <f>14*G40</f>
        <v>174.01999999999998</v>
      </c>
      <c r="H47" s="47">
        <f>55*H40</f>
        <v>1685.75</v>
      </c>
      <c r="J47" s="47">
        <f>43*J40</f>
        <v>0</v>
      </c>
      <c r="K47" s="47">
        <f>14*K40</f>
        <v>0</v>
      </c>
    </row>
    <row r="48" spans="1:11" x14ac:dyDescent="0.2">
      <c r="C48" s="25" t="s">
        <v>61</v>
      </c>
      <c r="D48" s="47">
        <f>314*D40</f>
        <v>0</v>
      </c>
      <c r="E48" s="47">
        <f>149*E40</f>
        <v>0</v>
      </c>
      <c r="F48" s="47">
        <f>80*F40</f>
        <v>0</v>
      </c>
      <c r="G48" s="47">
        <f>23*G40</f>
        <v>285.89</v>
      </c>
      <c r="H48" s="47">
        <f>132*H40</f>
        <v>4045.7999999999997</v>
      </c>
      <c r="I48" s="47">
        <f>47*I40</f>
        <v>164.5</v>
      </c>
      <c r="J48" s="47">
        <f>38*J40</f>
        <v>0</v>
      </c>
      <c r="K48" s="47">
        <f>30*K40</f>
        <v>0</v>
      </c>
    </row>
    <row r="49" spans="3:17" ht="15" x14ac:dyDescent="0.25">
      <c r="D49" s="48">
        <f t="shared" ref="D49:K49" si="2">SUM(D47:D48)</f>
        <v>0</v>
      </c>
      <c r="E49" s="48">
        <f t="shared" si="2"/>
        <v>0</v>
      </c>
      <c r="F49" s="48">
        <f t="shared" si="2"/>
        <v>0</v>
      </c>
      <c r="G49" s="48">
        <f t="shared" si="2"/>
        <v>459.90999999999997</v>
      </c>
      <c r="H49" s="48">
        <f t="shared" si="2"/>
        <v>5731.5499999999993</v>
      </c>
      <c r="I49" s="48">
        <f t="shared" si="2"/>
        <v>164.5</v>
      </c>
      <c r="J49" s="48">
        <f t="shared" si="2"/>
        <v>0</v>
      </c>
      <c r="K49" s="48">
        <f t="shared" si="2"/>
        <v>0</v>
      </c>
    </row>
    <row r="53" spans="3:17" ht="15.75" x14ac:dyDescent="0.2">
      <c r="C53" s="25" t="s">
        <v>122</v>
      </c>
      <c r="D53" s="19" t="s">
        <v>145</v>
      </c>
      <c r="E53" s="19" t="s">
        <v>146</v>
      </c>
      <c r="F53" s="19" t="s">
        <v>147</v>
      </c>
      <c r="G53" s="19" t="s">
        <v>148</v>
      </c>
      <c r="J53" s="25" t="s">
        <v>161</v>
      </c>
      <c r="K53" s="25" t="s">
        <v>164</v>
      </c>
      <c r="L53" s="25" t="s">
        <v>166</v>
      </c>
      <c r="M53" s="25" t="s">
        <v>173</v>
      </c>
      <c r="N53" s="22" t="s">
        <v>208</v>
      </c>
      <c r="O53" s="22" t="s">
        <v>209</v>
      </c>
      <c r="P53" s="22" t="s">
        <v>170</v>
      </c>
      <c r="Q53" s="22" t="s">
        <v>210</v>
      </c>
    </row>
    <row r="54" spans="3:17" ht="15.75" x14ac:dyDescent="0.2">
      <c r="C54" s="25">
        <v>6</v>
      </c>
      <c r="D54" s="19">
        <f>LOOKUP(C54,Hoja2!$B$8:$B$20,Hoja2!$E$8:$E$20)</f>
        <v>2.2349999999999999</v>
      </c>
      <c r="E54" s="19">
        <v>5.75</v>
      </c>
      <c r="F54" s="19">
        <v>28</v>
      </c>
      <c r="G54" s="110">
        <f>F54*E54*D54</f>
        <v>359.83499999999998</v>
      </c>
      <c r="J54" s="25">
        <f>(4.55*0.3)+(4.1*2.5*0.4)</f>
        <v>5.4650000000000007</v>
      </c>
      <c r="K54" s="25">
        <f>(9.39*0.3)+(4.92*2.5*0.4)</f>
        <v>7.737000000000001</v>
      </c>
      <c r="L54" s="25">
        <f>(17.1*0.3)+(7.25*2.5*0.4)</f>
        <v>12.379999999999999</v>
      </c>
      <c r="M54" s="25">
        <f>(18.9*0.3)+(8*2.5*0.4)</f>
        <v>13.669999999999998</v>
      </c>
      <c r="N54" s="22">
        <f>0.41*6.25</f>
        <v>2.5625</v>
      </c>
      <c r="O54" s="22">
        <f>0.41*3.78</f>
        <v>1.5497999999999998</v>
      </c>
      <c r="P54" s="22">
        <f>0.96*3.95</f>
        <v>3.7919999999999998</v>
      </c>
      <c r="Q54" s="22">
        <f>0.79*3.51</f>
        <v>2.7728999999999999</v>
      </c>
    </row>
    <row r="55" spans="3:17" ht="15.75" x14ac:dyDescent="0.2">
      <c r="C55" s="25">
        <v>6</v>
      </c>
      <c r="D55" s="19">
        <f>LOOKUP(C55,Hoja2!$B$8:$B$20,Hoja2!$E$8:$E$20)</f>
        <v>2.2349999999999999</v>
      </c>
      <c r="E55" s="25">
        <v>4.04</v>
      </c>
      <c r="F55" s="25">
        <v>28</v>
      </c>
      <c r="G55" s="110">
        <f t="shared" ref="G55:G90" si="3">F55*E55*D55</f>
        <v>252.82319999999999</v>
      </c>
      <c r="K55" s="25">
        <f>(9.39*0.3)+(4.92*2.5*0.4)</f>
        <v>7.737000000000001</v>
      </c>
    </row>
    <row r="56" spans="3:17" ht="15.75" x14ac:dyDescent="0.2">
      <c r="C56" s="25">
        <v>6</v>
      </c>
      <c r="D56" s="19">
        <f>LOOKUP(C56,Hoja2!$B$8:$B$20,Hoja2!$E$8:$E$20)</f>
        <v>2.2349999999999999</v>
      </c>
      <c r="E56" s="25">
        <f>(5.17+1.57)/2</f>
        <v>3.37</v>
      </c>
      <c r="F56" s="25">
        <v>28</v>
      </c>
      <c r="G56" s="110">
        <f t="shared" si="3"/>
        <v>210.8946</v>
      </c>
      <c r="J56" s="25">
        <f>SUM(J54:J55)</f>
        <v>5.4650000000000007</v>
      </c>
      <c r="K56" s="25">
        <f t="shared" ref="K56:Q56" si="4">SUM(K54:K55)</f>
        <v>15.474000000000002</v>
      </c>
      <c r="L56" s="25">
        <f t="shared" si="4"/>
        <v>12.379999999999999</v>
      </c>
      <c r="M56" s="25">
        <f t="shared" si="4"/>
        <v>13.669999999999998</v>
      </c>
      <c r="N56" s="25">
        <f t="shared" si="4"/>
        <v>2.5625</v>
      </c>
      <c r="O56" s="25">
        <f t="shared" si="4"/>
        <v>1.5497999999999998</v>
      </c>
      <c r="P56" s="25">
        <f t="shared" si="4"/>
        <v>3.7919999999999998</v>
      </c>
      <c r="Q56" s="25">
        <f t="shared" si="4"/>
        <v>2.7728999999999999</v>
      </c>
    </row>
    <row r="57" spans="3:17" ht="15.75" x14ac:dyDescent="0.2">
      <c r="C57" s="25">
        <v>5</v>
      </c>
      <c r="D57" s="19">
        <f>LOOKUP(C57,Hoja2!$B$8:$B$20,Hoja2!$E$8:$E$20)</f>
        <v>1.552</v>
      </c>
      <c r="E57" s="25">
        <v>4.04</v>
      </c>
      <c r="F57" s="25">
        <v>8</v>
      </c>
      <c r="G57" s="110">
        <f t="shared" si="3"/>
        <v>50.160640000000001</v>
      </c>
    </row>
    <row r="58" spans="3:17" ht="15.75" x14ac:dyDescent="0.2">
      <c r="C58" s="25">
        <v>6</v>
      </c>
      <c r="D58" s="19">
        <f>LOOKUP(C58,Hoja2!$B$8:$B$20,Hoja2!$E$8:$E$20)</f>
        <v>2.2349999999999999</v>
      </c>
      <c r="E58" s="25">
        <v>4.45</v>
      </c>
      <c r="F58" s="25">
        <v>2</v>
      </c>
      <c r="G58" s="110">
        <f t="shared" si="3"/>
        <v>19.891500000000001</v>
      </c>
    </row>
    <row r="59" spans="3:17" ht="15.75" x14ac:dyDescent="0.2">
      <c r="C59" s="25">
        <v>6</v>
      </c>
      <c r="D59" s="19">
        <f>LOOKUP(C59,Hoja2!$B$8:$B$20,Hoja2!$E$8:$E$20)</f>
        <v>2.2349999999999999</v>
      </c>
      <c r="E59" s="25">
        <v>5.75</v>
      </c>
      <c r="F59" s="25">
        <v>33</v>
      </c>
      <c r="G59" s="110">
        <f t="shared" si="3"/>
        <v>424.09125</v>
      </c>
      <c r="H59" s="154">
        <f>SUM(G59:G63)</f>
        <v>1236.8656800000001</v>
      </c>
    </row>
    <row r="60" spans="3:17" ht="15.75" x14ac:dyDescent="0.2">
      <c r="C60" s="25">
        <v>6</v>
      </c>
      <c r="D60" s="19">
        <f>LOOKUP(C60,Hoja2!$B$8:$B$20,Hoja2!$E$8:$E$20)</f>
        <v>2.2349999999999999</v>
      </c>
      <c r="E60" s="25">
        <v>4.8600000000000003</v>
      </c>
      <c r="F60" s="25">
        <v>28</v>
      </c>
      <c r="G60" s="110">
        <f t="shared" si="3"/>
        <v>304.1388</v>
      </c>
      <c r="H60" s="155"/>
    </row>
    <row r="61" spans="3:17" ht="15.75" x14ac:dyDescent="0.2">
      <c r="C61" s="25">
        <v>6</v>
      </c>
      <c r="D61" s="19">
        <f>LOOKUP(C61,Hoja2!$B$8:$B$20,Hoja2!$E$8:$E$20)</f>
        <v>2.2349999999999999</v>
      </c>
      <c r="E61" s="25">
        <v>5.17</v>
      </c>
      <c r="F61" s="25">
        <v>33</v>
      </c>
      <c r="G61" s="110">
        <f t="shared" si="3"/>
        <v>381.31334999999996</v>
      </c>
      <c r="H61" s="155"/>
    </row>
    <row r="62" spans="3:17" ht="15.75" x14ac:dyDescent="0.2">
      <c r="C62" s="25">
        <v>5</v>
      </c>
      <c r="D62" s="19">
        <f>LOOKUP(C62,Hoja2!$B$8:$B$20,Hoja2!$E$8:$E$20)</f>
        <v>1.552</v>
      </c>
      <c r="E62" s="25">
        <v>4.8600000000000003</v>
      </c>
      <c r="F62" s="25">
        <v>14</v>
      </c>
      <c r="G62" s="110">
        <f t="shared" si="3"/>
        <v>105.59808000000001</v>
      </c>
      <c r="H62" s="155"/>
    </row>
    <row r="63" spans="3:17" ht="15.75" x14ac:dyDescent="0.2">
      <c r="C63" s="25">
        <v>6</v>
      </c>
      <c r="D63" s="19">
        <f>LOOKUP(C63,Hoja2!$B$8:$B$20,Hoja2!$E$8:$E$20)</f>
        <v>2.2349999999999999</v>
      </c>
      <c r="E63" s="25">
        <v>4.8600000000000003</v>
      </c>
      <c r="F63" s="25">
        <v>2</v>
      </c>
      <c r="G63" s="110">
        <f t="shared" si="3"/>
        <v>21.7242</v>
      </c>
      <c r="H63" s="155"/>
    </row>
    <row r="64" spans="3:17" ht="15.75" x14ac:dyDescent="0.2">
      <c r="C64" s="25">
        <v>6</v>
      </c>
      <c r="D64" s="19">
        <f>LOOKUP(C64,Hoja2!$B$8:$B$20,Hoja2!$E$8:$E$20)</f>
        <v>2.2349999999999999</v>
      </c>
      <c r="E64" s="25">
        <v>5.75</v>
      </c>
      <c r="F64" s="25">
        <v>49</v>
      </c>
      <c r="G64" s="110">
        <f t="shared" si="3"/>
        <v>629.71124999999995</v>
      </c>
    </row>
    <row r="65" spans="3:7" ht="15.75" x14ac:dyDescent="0.2">
      <c r="C65" s="25">
        <v>6</v>
      </c>
      <c r="D65" s="19">
        <f>LOOKUP(C65,Hoja2!$B$8:$B$20,Hoja2!$E$8:$E$20)</f>
        <v>2.2349999999999999</v>
      </c>
      <c r="E65" s="25">
        <v>7.19</v>
      </c>
      <c r="F65" s="25">
        <v>28</v>
      </c>
      <c r="G65" s="110">
        <f t="shared" si="3"/>
        <v>449.9502</v>
      </c>
    </row>
    <row r="66" spans="3:7" ht="15.75" x14ac:dyDescent="0.2">
      <c r="C66" s="25">
        <v>6</v>
      </c>
      <c r="D66" s="19">
        <f>LOOKUP(C66,Hoja2!$B$8:$B$20,Hoja2!$E$8:$E$20)</f>
        <v>2.2349999999999999</v>
      </c>
      <c r="E66" s="25">
        <v>6.07</v>
      </c>
      <c r="F66" s="25">
        <v>49</v>
      </c>
      <c r="G66" s="110">
        <f t="shared" si="3"/>
        <v>664.75604999999996</v>
      </c>
    </row>
    <row r="67" spans="3:7" ht="15.75" x14ac:dyDescent="0.2">
      <c r="C67" s="25">
        <v>5</v>
      </c>
      <c r="D67" s="19">
        <f>LOOKUP(C67,Hoja2!$B$8:$B$20,Hoja2!$E$8:$E$20)</f>
        <v>1.552</v>
      </c>
      <c r="E67" s="25">
        <v>7.19</v>
      </c>
      <c r="F67" s="25">
        <v>16</v>
      </c>
      <c r="G67" s="110">
        <f t="shared" si="3"/>
        <v>178.54208000000003</v>
      </c>
    </row>
    <row r="68" spans="3:7" ht="15.75" x14ac:dyDescent="0.2">
      <c r="C68" s="25">
        <v>6</v>
      </c>
      <c r="D68" s="19">
        <f>LOOKUP(C68,Hoja2!$B$8:$B$20,Hoja2!$E$8:$E$20)</f>
        <v>2.2349999999999999</v>
      </c>
      <c r="E68" s="25">
        <v>7.19</v>
      </c>
      <c r="F68" s="25">
        <v>2</v>
      </c>
      <c r="G68" s="110">
        <f t="shared" si="3"/>
        <v>32.139299999999999</v>
      </c>
    </row>
    <row r="69" spans="3:7" ht="15.75" x14ac:dyDescent="0.2">
      <c r="C69" s="25">
        <v>6</v>
      </c>
      <c r="D69" s="19">
        <f>LOOKUP(C69,Hoja2!$B$8:$B$20,Hoja2!$E$8:$E$20)</f>
        <v>2.2349999999999999</v>
      </c>
      <c r="E69" s="25">
        <v>5.75</v>
      </c>
      <c r="F69" s="25">
        <v>54</v>
      </c>
      <c r="G69" s="110">
        <f t="shared" si="3"/>
        <v>693.96749999999997</v>
      </c>
    </row>
    <row r="70" spans="3:7" ht="15.75" x14ac:dyDescent="0.2">
      <c r="C70" s="25">
        <v>6</v>
      </c>
      <c r="D70" s="19">
        <f>LOOKUP(C70,Hoja2!$B$8:$B$20,Hoja2!$E$8:$E$20)</f>
        <v>2.2349999999999999</v>
      </c>
      <c r="E70" s="25">
        <v>7.94</v>
      </c>
      <c r="F70" s="25">
        <v>28</v>
      </c>
      <c r="G70" s="110">
        <f t="shared" si="3"/>
        <v>496.8852</v>
      </c>
    </row>
    <row r="71" spans="3:7" ht="15.75" x14ac:dyDescent="0.2">
      <c r="C71" s="25">
        <v>6</v>
      </c>
      <c r="D71" s="19">
        <f>LOOKUP(C71,Hoja2!$B$8:$B$20,Hoja2!$E$8:$E$20)</f>
        <v>2.2349999999999999</v>
      </c>
      <c r="E71" s="25">
        <v>6.07</v>
      </c>
      <c r="F71" s="25">
        <v>54</v>
      </c>
      <c r="G71" s="110">
        <f t="shared" si="3"/>
        <v>732.5883</v>
      </c>
    </row>
    <row r="72" spans="3:7" ht="15.75" x14ac:dyDescent="0.2">
      <c r="C72" s="25">
        <v>5</v>
      </c>
      <c r="D72" s="19">
        <f>LOOKUP(C72,Hoja2!$B$8:$B$20,Hoja2!$E$8:$E$20)</f>
        <v>1.552</v>
      </c>
      <c r="E72" s="25">
        <v>7.94</v>
      </c>
      <c r="F72" s="25">
        <v>16</v>
      </c>
      <c r="G72" s="110">
        <f t="shared" si="3"/>
        <v>197.16608000000002</v>
      </c>
    </row>
    <row r="73" spans="3:7" ht="15.75" x14ac:dyDescent="0.2">
      <c r="C73" s="25">
        <v>6</v>
      </c>
      <c r="D73" s="19">
        <f>LOOKUP(C73,Hoja2!$B$8:$B$20,Hoja2!$E$8:$E$20)</f>
        <v>2.2349999999999999</v>
      </c>
      <c r="E73" s="25">
        <v>7.94</v>
      </c>
      <c r="F73" s="25">
        <v>2</v>
      </c>
      <c r="G73" s="110">
        <f t="shared" si="3"/>
        <v>35.491799999999998</v>
      </c>
    </row>
    <row r="74" spans="3:7" ht="15.75" x14ac:dyDescent="0.2">
      <c r="C74" s="25">
        <v>4</v>
      </c>
      <c r="D74" s="19">
        <f>LOOKUP(C74,Hoja2!$B$8:$B$20,Hoja2!$E$8:$E$20)</f>
        <v>0.99399999999999999</v>
      </c>
      <c r="E74" s="25">
        <v>2.0499999999999998</v>
      </c>
      <c r="F74" s="25">
        <v>20</v>
      </c>
      <c r="G74" s="110">
        <f t="shared" si="3"/>
        <v>40.753999999999998</v>
      </c>
    </row>
    <row r="75" spans="3:7" ht="15.75" x14ac:dyDescent="0.2">
      <c r="C75" s="25">
        <v>4</v>
      </c>
      <c r="D75" s="19">
        <f>LOOKUP(C75,Hoja2!$B$8:$B$20,Hoja2!$E$8:$E$20)</f>
        <v>0.99399999999999999</v>
      </c>
      <c r="E75" s="25">
        <v>3.72</v>
      </c>
      <c r="F75" s="25">
        <v>8</v>
      </c>
      <c r="G75" s="110">
        <f t="shared" si="3"/>
        <v>29.581440000000001</v>
      </c>
    </row>
    <row r="76" spans="3:7" ht="15.75" x14ac:dyDescent="0.2">
      <c r="C76" s="25">
        <v>4</v>
      </c>
      <c r="D76" s="19">
        <f>LOOKUP(C76,Hoja2!$B$8:$B$20,Hoja2!$E$8:$E$20)</f>
        <v>0.99399999999999999</v>
      </c>
      <c r="E76" s="25">
        <f>(3.93+2.75)/2</f>
        <v>3.34</v>
      </c>
      <c r="F76" s="25">
        <v>20</v>
      </c>
      <c r="G76" s="110">
        <f t="shared" si="3"/>
        <v>66.399199999999993</v>
      </c>
    </row>
    <row r="77" spans="3:7" ht="15.75" x14ac:dyDescent="0.2">
      <c r="C77" s="25">
        <v>4</v>
      </c>
      <c r="D77" s="19">
        <f>LOOKUP(C77,Hoja2!$B$8:$B$20,Hoja2!$E$8:$E$20)</f>
        <v>0.99399999999999999</v>
      </c>
      <c r="E77" s="25">
        <v>3.72</v>
      </c>
      <c r="F77" s="25">
        <v>12</v>
      </c>
      <c r="G77" s="110">
        <f t="shared" si="3"/>
        <v>44.372160000000001</v>
      </c>
    </row>
    <row r="78" spans="3:7" ht="15.75" x14ac:dyDescent="0.2">
      <c r="C78" s="25">
        <v>4</v>
      </c>
      <c r="D78" s="19">
        <f>LOOKUP(C78,Hoja2!$B$8:$B$20,Hoja2!$E$8:$E$20)</f>
        <v>0.99399999999999999</v>
      </c>
      <c r="E78" s="25">
        <v>2.0499999999999998</v>
      </c>
      <c r="F78" s="25">
        <v>32</v>
      </c>
      <c r="G78" s="110">
        <f t="shared" si="3"/>
        <v>65.206399999999988</v>
      </c>
    </row>
    <row r="79" spans="3:7" ht="15.75" x14ac:dyDescent="0.2">
      <c r="C79" s="25">
        <v>4</v>
      </c>
      <c r="D79" s="19">
        <f>LOOKUP(C79,Hoja2!$B$8:$B$20,Hoja2!$E$8:$E$20)</f>
        <v>0.99399999999999999</v>
      </c>
      <c r="E79" s="25">
        <v>6.19</v>
      </c>
      <c r="F79" s="25">
        <v>8</v>
      </c>
      <c r="G79" s="110">
        <f t="shared" si="3"/>
        <v>49.222880000000004</v>
      </c>
    </row>
    <row r="80" spans="3:7" ht="15.75" x14ac:dyDescent="0.2">
      <c r="C80" s="25">
        <v>4</v>
      </c>
      <c r="D80" s="19">
        <f>LOOKUP(C80,Hoja2!$B$8:$B$20,Hoja2!$E$8:$E$20)</f>
        <v>0.99399999999999999</v>
      </c>
      <c r="E80" s="25">
        <f>(6.31+3.93)/2</f>
        <v>5.12</v>
      </c>
      <c r="F80" s="25">
        <v>32</v>
      </c>
      <c r="G80" s="110">
        <f t="shared" si="3"/>
        <v>162.85696000000002</v>
      </c>
    </row>
    <row r="81" spans="3:7" ht="15.75" x14ac:dyDescent="0.2">
      <c r="C81" s="25">
        <v>4</v>
      </c>
      <c r="D81" s="19">
        <f>LOOKUP(C81,Hoja2!$B$8:$B$20,Hoja2!$E$8:$E$20)</f>
        <v>0.99399999999999999</v>
      </c>
      <c r="E81" s="25">
        <v>6.19</v>
      </c>
      <c r="F81" s="25">
        <v>20</v>
      </c>
      <c r="G81" s="110">
        <f t="shared" si="3"/>
        <v>123.05720000000001</v>
      </c>
    </row>
    <row r="82" spans="3:7" ht="15.75" x14ac:dyDescent="0.2">
      <c r="C82" s="25">
        <v>18</v>
      </c>
      <c r="D82" s="19">
        <f>LOOKUP(C82,Hoja2!$B$8:$B$20,Hoja2!$E$8:$E$20)</f>
        <v>1.996</v>
      </c>
      <c r="E82" s="25">
        <v>3.55</v>
      </c>
      <c r="F82" s="25">
        <v>27</v>
      </c>
      <c r="G82" s="110">
        <f t="shared" si="3"/>
        <v>191.31659999999999</v>
      </c>
    </row>
    <row r="83" spans="3:7" ht="15.75" x14ac:dyDescent="0.2">
      <c r="C83" s="25">
        <v>4</v>
      </c>
      <c r="D83" s="19">
        <f>LOOKUP(C83,Hoja2!$B$8:$B$20,Hoja2!$E$8:$E$20)</f>
        <v>0.99399999999999999</v>
      </c>
      <c r="E83" s="25">
        <v>3.89</v>
      </c>
      <c r="F83" s="25">
        <v>10</v>
      </c>
      <c r="G83" s="110">
        <f t="shared" si="3"/>
        <v>38.666599999999995</v>
      </c>
    </row>
    <row r="84" spans="3:7" ht="15.75" x14ac:dyDescent="0.2">
      <c r="C84" s="25">
        <v>18</v>
      </c>
      <c r="D84" s="19">
        <f>LOOKUP(C84,Hoja2!$B$8:$B$20,Hoja2!$E$8:$E$20)</f>
        <v>1.996</v>
      </c>
      <c r="E84" s="25">
        <v>2.75</v>
      </c>
      <c r="F84" s="25">
        <v>27</v>
      </c>
      <c r="G84" s="110">
        <f t="shared" si="3"/>
        <v>148.203</v>
      </c>
    </row>
    <row r="85" spans="3:7" ht="15.75" x14ac:dyDescent="0.2">
      <c r="C85" s="25">
        <v>4</v>
      </c>
      <c r="D85" s="19">
        <f>LOOKUP(C85,Hoja2!$B$8:$B$20,Hoja2!$E$8:$E$20)</f>
        <v>0.99399999999999999</v>
      </c>
      <c r="E85" s="25">
        <v>3.89</v>
      </c>
      <c r="F85" s="25">
        <v>8</v>
      </c>
      <c r="G85" s="110">
        <f t="shared" si="3"/>
        <v>30.93328</v>
      </c>
    </row>
    <row r="86" spans="3:7" ht="15.75" x14ac:dyDescent="0.2">
      <c r="C86" s="25">
        <v>18</v>
      </c>
      <c r="D86" s="19">
        <f>LOOKUP(C86,Hoja2!$B$8:$B$20,Hoja2!$E$8:$E$20)</f>
        <v>1.996</v>
      </c>
      <c r="E86" s="25">
        <v>3.89</v>
      </c>
      <c r="F86" s="25">
        <v>2</v>
      </c>
      <c r="G86" s="110">
        <f t="shared" si="3"/>
        <v>15.528880000000001</v>
      </c>
    </row>
    <row r="87" spans="3:7" ht="15.75" x14ac:dyDescent="0.2">
      <c r="C87" s="25">
        <v>4</v>
      </c>
      <c r="D87" s="19">
        <f>LOOKUP(C87,Hoja2!$B$8:$B$20,Hoja2!$E$8:$E$20)</f>
        <v>0.99399999999999999</v>
      </c>
      <c r="E87" s="25">
        <v>3.15</v>
      </c>
      <c r="F87" s="25">
        <v>15</v>
      </c>
      <c r="G87" s="110">
        <f t="shared" si="3"/>
        <v>46.966499999999996</v>
      </c>
    </row>
    <row r="88" spans="3:7" ht="15.75" x14ac:dyDescent="0.2">
      <c r="C88" s="25">
        <v>4</v>
      </c>
      <c r="D88" s="19">
        <f>LOOKUP(C88,Hoja2!$B$8:$B$20,Hoja2!$E$8:$E$20)</f>
        <v>0.99399999999999999</v>
      </c>
      <c r="E88" s="25">
        <v>3.45</v>
      </c>
      <c r="F88" s="25">
        <v>13</v>
      </c>
      <c r="G88" s="110">
        <f t="shared" si="3"/>
        <v>44.5809</v>
      </c>
    </row>
    <row r="89" spans="3:7" ht="15.75" x14ac:dyDescent="0.2">
      <c r="C89" s="25">
        <v>4</v>
      </c>
      <c r="D89" s="19">
        <f>LOOKUP(C89,Hoja2!$B$8:$B$20,Hoja2!$E$8:$E$20)</f>
        <v>0.99399999999999999</v>
      </c>
      <c r="E89" s="25">
        <f>(3.85+2.55)/2</f>
        <v>3.2</v>
      </c>
      <c r="F89" s="25">
        <v>30</v>
      </c>
      <c r="G89" s="110">
        <f t="shared" si="3"/>
        <v>95.424000000000007</v>
      </c>
    </row>
    <row r="90" spans="3:7" ht="15.75" x14ac:dyDescent="0.2">
      <c r="C90" s="25">
        <v>4</v>
      </c>
      <c r="D90" s="19">
        <f>LOOKUP(C90,Hoja2!$B$8:$B$20,Hoja2!$E$8:$E$20)</f>
        <v>0.99399999999999999</v>
      </c>
      <c r="E90" s="25">
        <v>3.45</v>
      </c>
      <c r="F90" s="25">
        <v>20</v>
      </c>
      <c r="G90" s="110">
        <f t="shared" si="3"/>
        <v>68.585999999999999</v>
      </c>
    </row>
    <row r="91" spans="3:7" ht="15" x14ac:dyDescent="0.25">
      <c r="G91" s="111">
        <f>SUM(G54:G90)+H59</f>
        <v>8740.190059999999</v>
      </c>
    </row>
  </sheetData>
  <mergeCells count="3">
    <mergeCell ref="E7:I7"/>
    <mergeCell ref="A11:D11"/>
    <mergeCell ref="H59:H63"/>
  </mergeCells>
  <pageMargins left="0.7" right="0.7" top="0.75" bottom="0.75" header="0.3" footer="0.3"/>
  <pageSetup scale="4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2FAA-00D5-4E55-9EF4-B1DC362AD5DE}">
  <sheetPr>
    <tabColor rgb="FFFFFF00"/>
  </sheetPr>
  <dimension ref="A2:AD144"/>
  <sheetViews>
    <sheetView view="pageBreakPreview" topLeftCell="A27" zoomScale="85" zoomScaleNormal="85" zoomScaleSheetLayoutView="85" workbookViewId="0">
      <selection activeCell="D32" sqref="D32"/>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89</v>
      </c>
      <c r="F7" s="150"/>
      <c r="G7" s="150"/>
      <c r="H7" s="150"/>
      <c r="I7" s="150"/>
    </row>
    <row r="10" spans="1:9" ht="38.25" x14ac:dyDescent="0.2">
      <c r="A10" s="28" t="s">
        <v>26</v>
      </c>
      <c r="B10" s="32" t="s">
        <v>27</v>
      </c>
      <c r="C10" s="29" t="s">
        <v>28</v>
      </c>
      <c r="D10" s="37" t="s">
        <v>90</v>
      </c>
    </row>
    <row r="11" spans="1:9" x14ac:dyDescent="0.2">
      <c r="A11" s="151" t="s">
        <v>57</v>
      </c>
      <c r="B11" s="152"/>
      <c r="C11" s="152"/>
      <c r="D11" s="153"/>
    </row>
    <row r="12" spans="1:9" ht="63" x14ac:dyDescent="0.2">
      <c r="A12" s="31">
        <v>6021</v>
      </c>
      <c r="B12" s="30" t="s">
        <v>58</v>
      </c>
      <c r="C12" s="81" t="s">
        <v>29</v>
      </c>
      <c r="D12" s="82">
        <f>(2.3*E40*0.05)+(0.6*G40*0.05)+(1.8*H40*0.05)+(1*J40*0.05)+(3*D40*0.05)+(1.5*I40*0.05)+(0.8*K40*0.05)</f>
        <v>6.3717000000000006</v>
      </c>
    </row>
    <row r="13" spans="1:9" ht="47.25" x14ac:dyDescent="0.2">
      <c r="A13" s="31" t="s">
        <v>38</v>
      </c>
      <c r="B13" s="30" t="s">
        <v>59</v>
      </c>
      <c r="C13" s="31" t="s">
        <v>29</v>
      </c>
      <c r="D13" s="61">
        <f>SUM(D14:D17)</f>
        <v>117.06239999999997</v>
      </c>
      <c r="E13" s="47"/>
    </row>
    <row r="14" spans="1:9" ht="15.75" x14ac:dyDescent="0.2">
      <c r="A14" s="31"/>
      <c r="B14" s="65" t="s">
        <v>63</v>
      </c>
      <c r="C14" s="31"/>
      <c r="D14" s="67">
        <f>SUM(K56:AD56)</f>
        <v>80.968399999999974</v>
      </c>
      <c r="E14" s="47"/>
    </row>
    <row r="15" spans="1:9" ht="15.75" x14ac:dyDescent="0.2">
      <c r="A15" s="31"/>
      <c r="B15" s="65" t="s">
        <v>64</v>
      </c>
      <c r="C15" s="31"/>
      <c r="D15" s="72">
        <f>(0.01*25*2.1*2)+(34*0.01*3.3*2)</f>
        <v>3.2940000000000005</v>
      </c>
      <c r="E15" s="47"/>
    </row>
    <row r="16" spans="1:9" ht="15.75" x14ac:dyDescent="0.2">
      <c r="A16" s="31"/>
      <c r="B16" s="65" t="s">
        <v>66</v>
      </c>
      <c r="C16" s="31"/>
      <c r="D16" s="67">
        <v>5.7</v>
      </c>
      <c r="E16" s="47"/>
    </row>
    <row r="17" spans="1:7" ht="15.75" x14ac:dyDescent="0.2">
      <c r="A17" s="31"/>
      <c r="B17" s="65" t="s">
        <v>65</v>
      </c>
      <c r="C17" s="31"/>
      <c r="D17" s="67">
        <v>27.1</v>
      </c>
      <c r="E17" s="47"/>
    </row>
    <row r="18" spans="1:7" ht="126" x14ac:dyDescent="0.2">
      <c r="A18" s="31">
        <v>3708</v>
      </c>
      <c r="B18" s="53" t="s">
        <v>39</v>
      </c>
      <c r="C18" s="31" t="s">
        <v>30</v>
      </c>
      <c r="D18" s="68">
        <f>SUM(D19:D22)</f>
        <v>20162.124370000001</v>
      </c>
    </row>
    <row r="19" spans="1:7" ht="15.75" x14ac:dyDescent="0.2">
      <c r="A19" s="31"/>
      <c r="B19" s="65" t="s">
        <v>63</v>
      </c>
      <c r="C19" s="31"/>
      <c r="D19" s="69">
        <f>G144</f>
        <v>14165.124370000001</v>
      </c>
    </row>
    <row r="20" spans="1:7" ht="15.75" x14ac:dyDescent="0.2">
      <c r="A20" s="31"/>
      <c r="B20" s="65" t="s">
        <v>64</v>
      </c>
      <c r="C20" s="31"/>
      <c r="D20" s="73">
        <f>(25*2.1*0.25*2)+103+(35*3.3*0.25*2)+220</f>
        <v>407</v>
      </c>
    </row>
    <row r="21" spans="1:7" ht="15.75" x14ac:dyDescent="0.2">
      <c r="A21" s="31"/>
      <c r="B21" s="65" t="s">
        <v>66</v>
      </c>
      <c r="C21" s="31"/>
      <c r="D21" s="69">
        <v>811</v>
      </c>
    </row>
    <row r="22" spans="1:7" ht="15.75" x14ac:dyDescent="0.2">
      <c r="A22" s="31"/>
      <c r="B22" s="65" t="s">
        <v>65</v>
      </c>
      <c r="C22" s="31"/>
      <c r="D22" s="69">
        <v>4779</v>
      </c>
    </row>
    <row r="23" spans="1:7" ht="31.5" x14ac:dyDescent="0.2">
      <c r="A23" s="34">
        <v>3464</v>
      </c>
      <c r="B23" s="53" t="s">
        <v>117</v>
      </c>
      <c r="C23" s="31" t="s">
        <v>29</v>
      </c>
      <c r="D23" s="61">
        <f>(1.6*1*G40)+(2.8*0.6*H40)+(2*1.2*J40)+(4*1.7*D40)+(3.3*1.5*E40)+(1.6*0.8*K40)+(2.8*1*I40)</f>
        <v>215.16720000000004</v>
      </c>
    </row>
    <row r="24" spans="1:7" ht="84" customHeight="1" x14ac:dyDescent="0.2">
      <c r="A24" s="54">
        <v>3017</v>
      </c>
      <c r="B24" s="53" t="s">
        <v>33</v>
      </c>
      <c r="C24" s="31" t="s">
        <v>29</v>
      </c>
      <c r="D24" s="61">
        <f>D23</f>
        <v>215.16720000000004</v>
      </c>
    </row>
    <row r="25" spans="1:7" ht="65.25" customHeight="1" x14ac:dyDescent="0.2">
      <c r="A25" s="100">
        <v>7364</v>
      </c>
      <c r="B25" s="101" t="s">
        <v>118</v>
      </c>
      <c r="C25" s="31" t="s">
        <v>29</v>
      </c>
      <c r="D25" s="61">
        <f>D23-D13</f>
        <v>98.104800000000068</v>
      </c>
    </row>
    <row r="26" spans="1:7" ht="31.5" x14ac:dyDescent="0.2">
      <c r="A26" s="102"/>
      <c r="B26" s="53" t="s">
        <v>119</v>
      </c>
      <c r="C26" s="54" t="s">
        <v>34</v>
      </c>
      <c r="D26" s="74">
        <f>(2.1*18.8)+(25.8*3.3)</f>
        <v>124.62</v>
      </c>
    </row>
    <row r="27" spans="1:7" ht="263.25" customHeight="1" x14ac:dyDescent="0.2">
      <c r="A27" s="52"/>
      <c r="B27" s="53" t="s">
        <v>104</v>
      </c>
      <c r="C27" s="54" t="s">
        <v>75</v>
      </c>
      <c r="D27" s="66">
        <v>120.8</v>
      </c>
      <c r="E27" s="2"/>
      <c r="F27" s="2"/>
      <c r="G27" s="2"/>
    </row>
    <row r="28" spans="1:7" ht="31.5" x14ac:dyDescent="0.2">
      <c r="A28" s="54">
        <v>4009</v>
      </c>
      <c r="B28" s="53" t="s">
        <v>74</v>
      </c>
      <c r="C28" s="54" t="s">
        <v>34</v>
      </c>
      <c r="D28" s="66">
        <v>113</v>
      </c>
      <c r="E28" s="2"/>
      <c r="F28" s="2"/>
      <c r="G28" s="2"/>
    </row>
    <row r="29" spans="1:7" ht="31.5" x14ac:dyDescent="0.2">
      <c r="A29" s="54">
        <v>5412</v>
      </c>
      <c r="B29" s="53" t="s">
        <v>230</v>
      </c>
      <c r="C29" s="83" t="s">
        <v>29</v>
      </c>
      <c r="D29" s="85">
        <v>25.7</v>
      </c>
      <c r="E29" s="2"/>
      <c r="F29" s="2"/>
      <c r="G29" s="2"/>
    </row>
    <row r="30" spans="1:7" ht="31.5" x14ac:dyDescent="0.2">
      <c r="A30" s="54">
        <v>3905</v>
      </c>
      <c r="B30" s="53" t="s">
        <v>73</v>
      </c>
      <c r="C30" s="54" t="s">
        <v>75</v>
      </c>
      <c r="D30" s="66">
        <v>120.8</v>
      </c>
      <c r="E30" s="2"/>
      <c r="F30" s="2"/>
      <c r="G30" s="2"/>
    </row>
    <row r="31" spans="1:7" ht="31.5" x14ac:dyDescent="0.2">
      <c r="A31" s="54">
        <v>3904</v>
      </c>
      <c r="B31" s="53" t="s">
        <v>229</v>
      </c>
      <c r="C31" s="84" t="s">
        <v>75</v>
      </c>
      <c r="D31" s="66">
        <f>40*0.3</f>
        <v>12</v>
      </c>
      <c r="E31" s="2"/>
      <c r="F31" s="2"/>
      <c r="G31" s="2"/>
    </row>
    <row r="32" spans="1:7" ht="15.75" x14ac:dyDescent="0.2">
      <c r="A32" s="50"/>
      <c r="B32" s="41"/>
      <c r="C32" s="42"/>
      <c r="D32" s="51"/>
      <c r="E32" s="2"/>
      <c r="F32" s="2"/>
      <c r="G32" s="2"/>
    </row>
    <row r="33" spans="1:11" ht="15.75" x14ac:dyDescent="0.2">
      <c r="A33" s="50"/>
      <c r="B33" s="41"/>
      <c r="C33" s="42"/>
      <c r="D33" s="51"/>
      <c r="E33" s="2"/>
      <c r="F33" s="2"/>
      <c r="G33" s="2"/>
    </row>
    <row r="34" spans="1:11" ht="15.75" x14ac:dyDescent="0.2">
      <c r="D34" s="19" t="s">
        <v>70</v>
      </c>
      <c r="E34" s="19" t="s">
        <v>43</v>
      </c>
      <c r="F34" s="19" t="s">
        <v>41</v>
      </c>
      <c r="G34" s="19" t="s">
        <v>42</v>
      </c>
      <c r="H34" s="25" t="s">
        <v>55</v>
      </c>
      <c r="I34" s="25" t="s">
        <v>56</v>
      </c>
      <c r="J34" s="25" t="s">
        <v>54</v>
      </c>
      <c r="K34" s="25" t="s">
        <v>84</v>
      </c>
    </row>
    <row r="35" spans="1:11" ht="15.75" x14ac:dyDescent="0.2">
      <c r="D35" s="19"/>
      <c r="E35" s="19"/>
      <c r="F35" s="19"/>
      <c r="G35" s="19"/>
    </row>
    <row r="36" spans="1:11" ht="15.75" x14ac:dyDescent="0.2">
      <c r="D36" s="19"/>
      <c r="E36" s="19"/>
      <c r="F36" s="19"/>
      <c r="G36" s="19"/>
    </row>
    <row r="37" spans="1:11" ht="15.75" x14ac:dyDescent="0.2">
      <c r="D37" s="19"/>
      <c r="E37" s="19"/>
      <c r="F37" s="19"/>
      <c r="G37" s="19"/>
    </row>
    <row r="38" spans="1:11" ht="15.75" x14ac:dyDescent="0.2">
      <c r="D38" s="19"/>
      <c r="E38" s="19"/>
      <c r="F38" s="19"/>
      <c r="G38" s="19">
        <f>2.68+5.84+4.23+4.23+2.17+1.71+2.69+3.44+3.44+3.44</f>
        <v>33.870000000000005</v>
      </c>
    </row>
    <row r="39" spans="1:11" ht="15.75" x14ac:dyDescent="0.2">
      <c r="D39" s="19"/>
      <c r="E39" s="19"/>
      <c r="F39" s="19"/>
      <c r="G39" s="19">
        <f>3.6+3.33+3.44+3.44+3.44</f>
        <v>17.25</v>
      </c>
      <c r="H39" s="25">
        <f>2.92+3.89+3+3.5+4.82+4.62+4.62+4.62</f>
        <v>31.990000000000006</v>
      </c>
      <c r="I39" s="25">
        <v>18</v>
      </c>
      <c r="J39" s="25">
        <f>4.84+2.31+5.03</f>
        <v>12.18</v>
      </c>
    </row>
    <row r="40" spans="1:11" ht="28.5" x14ac:dyDescent="0.2">
      <c r="C40" s="38" t="s">
        <v>51</v>
      </c>
      <c r="D40" s="36">
        <f t="shared" ref="D40:K40" si="0">SUM(D35:D39)</f>
        <v>0</v>
      </c>
      <c r="E40" s="36">
        <f t="shared" si="0"/>
        <v>0</v>
      </c>
      <c r="F40" s="36">
        <f t="shared" si="0"/>
        <v>0</v>
      </c>
      <c r="G40" s="36">
        <f t="shared" si="0"/>
        <v>51.120000000000005</v>
      </c>
      <c r="H40" s="36">
        <f t="shared" si="0"/>
        <v>31.990000000000006</v>
      </c>
      <c r="I40" s="36">
        <f t="shared" si="0"/>
        <v>18</v>
      </c>
      <c r="J40" s="36">
        <f t="shared" si="0"/>
        <v>12.18</v>
      </c>
      <c r="K40" s="36">
        <f t="shared" si="0"/>
        <v>0</v>
      </c>
    </row>
    <row r="42" spans="1:11" x14ac:dyDescent="0.2">
      <c r="C42" s="25" t="s">
        <v>52</v>
      </c>
      <c r="D42" s="39">
        <f>1.78*D40</f>
        <v>0</v>
      </c>
      <c r="E42" s="39">
        <f>1.08*E40</f>
        <v>0</v>
      </c>
      <c r="F42" s="39">
        <v>0</v>
      </c>
      <c r="G42" s="39">
        <f>0.12*G40</f>
        <v>6.1344000000000003</v>
      </c>
      <c r="H42" s="39">
        <f>0.63*H40</f>
        <v>20.153700000000004</v>
      </c>
      <c r="I42" s="39">
        <f>1.16*I40</f>
        <v>20.88</v>
      </c>
      <c r="J42" s="59">
        <f>0.3*J40</f>
        <v>3.6539999999999999</v>
      </c>
      <c r="K42" s="59">
        <f>0.2*K40</f>
        <v>0</v>
      </c>
    </row>
    <row r="43" spans="1:11" x14ac:dyDescent="0.2">
      <c r="C43" s="25" t="s">
        <v>53</v>
      </c>
      <c r="D43" s="59">
        <f>1.5*D40</f>
        <v>0</v>
      </c>
      <c r="E43" s="59">
        <f>1.17*E40</f>
        <v>0</v>
      </c>
      <c r="F43" s="59">
        <f>1*0.3*F40</f>
        <v>0</v>
      </c>
      <c r="G43" s="59">
        <f>1.4*0.2*G40</f>
        <v>14.313599999999999</v>
      </c>
      <c r="H43" s="39">
        <f>2.65*0.3*H40</f>
        <v>25.432050000000004</v>
      </c>
      <c r="I43" s="25">
        <v>0</v>
      </c>
      <c r="J43" s="59">
        <f>0.9*0.2*J40</f>
        <v>2.1924000000000001</v>
      </c>
      <c r="K43" s="59">
        <f>2.05*0.25*K40</f>
        <v>0</v>
      </c>
    </row>
    <row r="44" spans="1:11" ht="15" x14ac:dyDescent="0.25">
      <c r="D44" s="44">
        <f t="shared" ref="D44:K44" si="1">D42+D43</f>
        <v>0</v>
      </c>
      <c r="E44" s="44">
        <f t="shared" si="1"/>
        <v>0</v>
      </c>
      <c r="F44" s="44">
        <f t="shared" si="1"/>
        <v>0</v>
      </c>
      <c r="G44" s="44">
        <f t="shared" si="1"/>
        <v>20.448</v>
      </c>
      <c r="H44" s="44">
        <f t="shared" si="1"/>
        <v>45.585750000000004</v>
      </c>
      <c r="I44" s="44">
        <f t="shared" si="1"/>
        <v>20.88</v>
      </c>
      <c r="J44" s="44">
        <f t="shared" si="1"/>
        <v>5.8464</v>
      </c>
      <c r="K44" s="44">
        <f t="shared" si="1"/>
        <v>0</v>
      </c>
    </row>
    <row r="47" spans="1:11" x14ac:dyDescent="0.2">
      <c r="C47" s="25" t="s">
        <v>60</v>
      </c>
      <c r="D47" s="47">
        <f>269*D40</f>
        <v>0</v>
      </c>
      <c r="E47" s="47">
        <f>128*E40</f>
        <v>0</v>
      </c>
      <c r="G47" s="47">
        <f>14*G40</f>
        <v>715.68000000000006</v>
      </c>
      <c r="H47" s="47">
        <f>55*H40</f>
        <v>1759.4500000000003</v>
      </c>
      <c r="J47" s="47">
        <f>43*J40</f>
        <v>523.74</v>
      </c>
      <c r="K47" s="47">
        <f>14*K40</f>
        <v>0</v>
      </c>
    </row>
    <row r="48" spans="1:11" x14ac:dyDescent="0.2">
      <c r="C48" s="25" t="s">
        <v>61</v>
      </c>
      <c r="D48" s="47">
        <f>314*D40</f>
        <v>0</v>
      </c>
      <c r="E48" s="47">
        <f>149*E40</f>
        <v>0</v>
      </c>
      <c r="F48" s="47">
        <f>80*F40</f>
        <v>0</v>
      </c>
      <c r="G48" s="47">
        <f>23*G40</f>
        <v>1175.7600000000002</v>
      </c>
      <c r="H48" s="47">
        <f>132*H40</f>
        <v>4222.68</v>
      </c>
      <c r="I48" s="47">
        <f>273*I40</f>
        <v>4914</v>
      </c>
      <c r="J48" s="47">
        <f>38*J40</f>
        <v>462.84</v>
      </c>
      <c r="K48" s="47">
        <f>30*K40</f>
        <v>0</v>
      </c>
    </row>
    <row r="49" spans="3:30" ht="15" x14ac:dyDescent="0.25">
      <c r="D49" s="48">
        <f t="shared" ref="D49:K49" si="2">SUM(D47:D48)</f>
        <v>0</v>
      </c>
      <c r="E49" s="48">
        <f t="shared" si="2"/>
        <v>0</v>
      </c>
      <c r="F49" s="48">
        <f t="shared" si="2"/>
        <v>0</v>
      </c>
      <c r="G49" s="48">
        <f t="shared" si="2"/>
        <v>1891.4400000000003</v>
      </c>
      <c r="H49" s="48">
        <f t="shared" si="2"/>
        <v>5982.130000000001</v>
      </c>
      <c r="I49" s="48">
        <f t="shared" si="2"/>
        <v>4914</v>
      </c>
      <c r="J49" s="48">
        <f t="shared" si="2"/>
        <v>986.57999999999993</v>
      </c>
      <c r="K49" s="48">
        <f t="shared" si="2"/>
        <v>0</v>
      </c>
    </row>
    <row r="53" spans="3:30" ht="15.75" x14ac:dyDescent="0.2">
      <c r="C53" s="25" t="s">
        <v>122</v>
      </c>
      <c r="D53" s="19" t="s">
        <v>145</v>
      </c>
      <c r="E53" s="19" t="s">
        <v>146</v>
      </c>
      <c r="F53" s="19" t="s">
        <v>147</v>
      </c>
      <c r="G53" s="19" t="s">
        <v>148</v>
      </c>
      <c r="K53" s="25" t="s">
        <v>211</v>
      </c>
      <c r="L53" s="25" t="s">
        <v>212</v>
      </c>
      <c r="M53" s="25" t="s">
        <v>213</v>
      </c>
      <c r="N53" s="25" t="s">
        <v>214</v>
      </c>
      <c r="O53" s="25" t="s">
        <v>215</v>
      </c>
      <c r="P53" s="25" t="s">
        <v>216</v>
      </c>
      <c r="Q53" s="25" t="s">
        <v>218</v>
      </c>
      <c r="R53" s="22" t="s">
        <v>174</v>
      </c>
      <c r="S53" s="22" t="s">
        <v>202</v>
      </c>
      <c r="T53" s="22" t="s">
        <v>173</v>
      </c>
      <c r="U53" s="22" t="s">
        <v>172</v>
      </c>
      <c r="V53" s="22" t="s">
        <v>166</v>
      </c>
      <c r="W53" s="22" t="s">
        <v>171</v>
      </c>
      <c r="X53" s="22" t="s">
        <v>164</v>
      </c>
      <c r="Y53" s="22" t="s">
        <v>161</v>
      </c>
      <c r="Z53" s="22" t="s">
        <v>204</v>
      </c>
      <c r="AA53" s="22" t="s">
        <v>203</v>
      </c>
      <c r="AB53" s="22" t="s">
        <v>201</v>
      </c>
      <c r="AC53" s="22" t="s">
        <v>200</v>
      </c>
      <c r="AD53" s="22" t="s">
        <v>217</v>
      </c>
    </row>
    <row r="54" spans="3:30" ht="15.75" x14ac:dyDescent="0.2">
      <c r="C54" s="25">
        <v>4</v>
      </c>
      <c r="D54" s="19">
        <f>LOOKUP(C54,Hoja2!$B$8:$B$20,Hoja2!$E$8:$E$20)</f>
        <v>0.99399999999999999</v>
      </c>
      <c r="E54" s="19">
        <v>1.55</v>
      </c>
      <c r="F54" s="19">
        <v>33</v>
      </c>
      <c r="G54" s="110">
        <f>F54*E54*D54</f>
        <v>50.8431</v>
      </c>
      <c r="K54" s="25">
        <f>0.26*2.68</f>
        <v>0.69680000000000009</v>
      </c>
      <c r="L54" s="25">
        <f>0.26*5.84</f>
        <v>1.5184</v>
      </c>
      <c r="M54" s="25">
        <f>0.26*4.23</f>
        <v>1.0998000000000001</v>
      </c>
      <c r="N54" s="25">
        <f>0.26*(2.17+1.71+2.74)</f>
        <v>1.7212000000000001</v>
      </c>
      <c r="O54" s="25">
        <f>0.26*(3.44*6)</f>
        <v>5.3664000000000005</v>
      </c>
      <c r="P54" s="25">
        <f>0.26*(3.33)</f>
        <v>0.86580000000000001</v>
      </c>
      <c r="Q54" s="25">
        <f>0.26*(3.59)</f>
        <v>0.93340000000000001</v>
      </c>
      <c r="R54" s="22">
        <f>(1.26*0.3)+(2.92*0.4*2.5)</f>
        <v>3.298</v>
      </c>
      <c r="S54" s="22">
        <f>0.43*4.84</f>
        <v>2.0811999999999999</v>
      </c>
      <c r="T54" s="22">
        <f>(5.84*0.3)+(3.89*0.4*2.5)</f>
        <v>5.6420000000000003</v>
      </c>
      <c r="U54" s="22">
        <f>0.43*2.31</f>
        <v>0.99329999999999996</v>
      </c>
      <c r="V54" s="22">
        <f>(3.7*0.3)+(3*0.4*2.5)</f>
        <v>4.1100000000000003</v>
      </c>
      <c r="W54" s="22">
        <f>0.43*5.03</f>
        <v>2.1629</v>
      </c>
      <c r="X54" s="22">
        <f>1.55*(3.5+4.82)</f>
        <v>12.896000000000001</v>
      </c>
      <c r="Y54" s="22">
        <f>1.55*(4.62)*3</f>
        <v>21.483000000000001</v>
      </c>
      <c r="Z54" s="22">
        <f>0.76*4.28</f>
        <v>3.2528000000000001</v>
      </c>
      <c r="AA54" s="22">
        <f>1.12*3.29</f>
        <v>3.6848000000000005</v>
      </c>
      <c r="AB54" s="22">
        <f>0.76*2.9</f>
        <v>2.2039999999999997</v>
      </c>
      <c r="AC54" s="22">
        <f>0.88*2.4</f>
        <v>2.1120000000000001</v>
      </c>
      <c r="AD54" s="22">
        <f>0.76*4.93</f>
        <v>3.7467999999999999</v>
      </c>
    </row>
    <row r="55" spans="3:30" ht="15.75" x14ac:dyDescent="0.2">
      <c r="C55" s="25">
        <v>4</v>
      </c>
      <c r="D55" s="19">
        <f>LOOKUP(C55,Hoja2!$B$8:$B$20,Hoja2!$E$8:$E$20)</f>
        <v>0.99399999999999999</v>
      </c>
      <c r="E55" s="25">
        <v>6.56</v>
      </c>
      <c r="F55" s="25">
        <v>8</v>
      </c>
      <c r="G55" s="110">
        <f t="shared" ref="G55:G118" si="3">F55*E55*D55</f>
        <v>52.165119999999995</v>
      </c>
      <c r="M55" s="25">
        <f>0.26*4.23</f>
        <v>1.0998000000000001</v>
      </c>
    </row>
    <row r="56" spans="3:30" ht="15.75" x14ac:dyDescent="0.2">
      <c r="C56" s="25">
        <v>4</v>
      </c>
      <c r="D56" s="19">
        <f>LOOKUP(C56,Hoja2!$B$8:$B$20,Hoja2!$E$8:$E$20)</f>
        <v>0.99399999999999999</v>
      </c>
      <c r="E56" s="25">
        <v>2.5499999999999998</v>
      </c>
      <c r="F56" s="25">
        <v>33</v>
      </c>
      <c r="G56" s="110">
        <f t="shared" si="3"/>
        <v>83.645099999999985</v>
      </c>
      <c r="K56" s="25">
        <f>SUM(K54:K55)</f>
        <v>0.69680000000000009</v>
      </c>
      <c r="L56" s="25">
        <f t="shared" ref="L56:AD56" si="4">SUM(L54:L55)</f>
        <v>1.5184</v>
      </c>
      <c r="M56" s="25">
        <f t="shared" si="4"/>
        <v>2.1996000000000002</v>
      </c>
      <c r="N56" s="25">
        <f t="shared" si="4"/>
        <v>1.7212000000000001</v>
      </c>
      <c r="O56" s="25">
        <f t="shared" si="4"/>
        <v>5.3664000000000005</v>
      </c>
      <c r="P56" s="25">
        <f t="shared" si="4"/>
        <v>0.86580000000000001</v>
      </c>
      <c r="Q56" s="25">
        <f t="shared" si="4"/>
        <v>0.93340000000000001</v>
      </c>
      <c r="R56" s="25">
        <f t="shared" si="4"/>
        <v>3.298</v>
      </c>
      <c r="S56" s="25">
        <f t="shared" si="4"/>
        <v>2.0811999999999999</v>
      </c>
      <c r="T56" s="25">
        <f t="shared" si="4"/>
        <v>5.6420000000000003</v>
      </c>
      <c r="U56" s="25">
        <f t="shared" si="4"/>
        <v>0.99329999999999996</v>
      </c>
      <c r="V56" s="25">
        <f t="shared" si="4"/>
        <v>4.1100000000000003</v>
      </c>
      <c r="W56" s="25">
        <f t="shared" si="4"/>
        <v>2.1629</v>
      </c>
      <c r="X56" s="25">
        <f t="shared" si="4"/>
        <v>12.896000000000001</v>
      </c>
      <c r="Y56" s="25">
        <f t="shared" si="4"/>
        <v>21.483000000000001</v>
      </c>
      <c r="Z56" s="25">
        <f t="shared" si="4"/>
        <v>3.2528000000000001</v>
      </c>
      <c r="AA56" s="25">
        <f t="shared" si="4"/>
        <v>3.6848000000000005</v>
      </c>
      <c r="AB56" s="25">
        <f t="shared" si="4"/>
        <v>2.2039999999999997</v>
      </c>
      <c r="AC56" s="25">
        <f t="shared" si="4"/>
        <v>2.1120000000000001</v>
      </c>
      <c r="AD56" s="25">
        <f t="shared" si="4"/>
        <v>3.7467999999999999</v>
      </c>
    </row>
    <row r="57" spans="3:30" ht="15.75" x14ac:dyDescent="0.2">
      <c r="C57" s="25">
        <v>4</v>
      </c>
      <c r="D57" s="19">
        <f>LOOKUP(C57,Hoja2!$B$8:$B$20,Hoja2!$E$8:$E$20)</f>
        <v>0.99399999999999999</v>
      </c>
      <c r="E57" s="25">
        <v>6.56</v>
      </c>
      <c r="F57" s="25">
        <v>10</v>
      </c>
      <c r="G57" s="110">
        <f t="shared" si="3"/>
        <v>65.206399999999988</v>
      </c>
    </row>
    <row r="58" spans="3:30" ht="15.75" x14ac:dyDescent="0.2">
      <c r="C58" s="25">
        <v>4</v>
      </c>
      <c r="D58" s="19">
        <f>LOOKUP(C58,Hoja2!$B$8:$B$20,Hoja2!$E$8:$E$20)</f>
        <v>0.99399999999999999</v>
      </c>
      <c r="E58" s="25">
        <v>1.55</v>
      </c>
      <c r="F58" s="25">
        <v>20</v>
      </c>
      <c r="G58" s="110">
        <f t="shared" si="3"/>
        <v>30.814</v>
      </c>
      <c r="H58" s="154">
        <f>SUM(G58:G61)</f>
        <v>156.11764000000002</v>
      </c>
    </row>
    <row r="59" spans="3:30" ht="15.75" x14ac:dyDescent="0.2">
      <c r="C59" s="25">
        <v>4</v>
      </c>
      <c r="D59" s="19">
        <f>LOOKUP(C59,Hoja2!$B$8:$B$20,Hoja2!$E$8:$E$20)</f>
        <v>0.99399999999999999</v>
      </c>
      <c r="E59" s="25">
        <v>4.17</v>
      </c>
      <c r="F59" s="25">
        <v>8</v>
      </c>
      <c r="G59" s="110">
        <f t="shared" si="3"/>
        <v>33.159840000000003</v>
      </c>
      <c r="H59" s="155"/>
      <c r="I59" s="25" t="s">
        <v>153</v>
      </c>
    </row>
    <row r="60" spans="3:30" ht="15.75" x14ac:dyDescent="0.2">
      <c r="C60" s="25">
        <v>4</v>
      </c>
      <c r="D60" s="19">
        <f>LOOKUP(C60,Hoja2!$B$8:$B$20,Hoja2!$E$8:$E$20)</f>
        <v>0.99399999999999999</v>
      </c>
      <c r="E60" s="25">
        <v>2.5499999999999998</v>
      </c>
      <c r="F60" s="25">
        <v>20</v>
      </c>
      <c r="G60" s="110">
        <f t="shared" si="3"/>
        <v>50.694000000000003</v>
      </c>
      <c r="H60" s="155"/>
    </row>
    <row r="61" spans="3:30" ht="15.75" x14ac:dyDescent="0.2">
      <c r="C61" s="25">
        <v>4</v>
      </c>
      <c r="D61" s="19">
        <f>LOOKUP(C61,Hoja2!$B$8:$B$20,Hoja2!$E$8:$E$20)</f>
        <v>0.99399999999999999</v>
      </c>
      <c r="E61" s="25">
        <v>4.17</v>
      </c>
      <c r="F61" s="25">
        <v>10</v>
      </c>
      <c r="G61" s="110">
        <f t="shared" si="3"/>
        <v>41.449800000000003</v>
      </c>
      <c r="H61" s="155"/>
    </row>
    <row r="62" spans="3:30" ht="15.75" x14ac:dyDescent="0.2">
      <c r="C62" s="25">
        <v>4</v>
      </c>
      <c r="D62" s="19">
        <f>LOOKUP(C62,Hoja2!$B$8:$B$20,Hoja2!$E$8:$E$20)</f>
        <v>0.99399999999999999</v>
      </c>
      <c r="E62" s="25">
        <v>1.55</v>
      </c>
      <c r="F62" s="25">
        <v>30</v>
      </c>
      <c r="G62" s="110">
        <f t="shared" si="3"/>
        <v>46.220999999999997</v>
      </c>
    </row>
    <row r="63" spans="3:30" ht="15.75" x14ac:dyDescent="0.2">
      <c r="C63" s="25">
        <v>4</v>
      </c>
      <c r="D63" s="19">
        <f>LOOKUP(C63,Hoja2!$B$8:$B$20,Hoja2!$E$8:$E$20)</f>
        <v>0.99399999999999999</v>
      </c>
      <c r="E63" s="25">
        <v>5.78</v>
      </c>
      <c r="F63" s="25">
        <v>8</v>
      </c>
      <c r="G63" s="110">
        <f t="shared" si="3"/>
        <v>45.962560000000003</v>
      </c>
    </row>
    <row r="64" spans="3:30" ht="15.75" x14ac:dyDescent="0.2">
      <c r="C64" s="25">
        <v>4</v>
      </c>
      <c r="D64" s="19">
        <f>LOOKUP(C64,Hoja2!$B$8:$B$20,Hoja2!$E$8:$E$20)</f>
        <v>0.99399999999999999</v>
      </c>
      <c r="E64" s="25">
        <v>2.5499999999999998</v>
      </c>
      <c r="F64" s="25">
        <v>30</v>
      </c>
      <c r="G64" s="110">
        <f t="shared" si="3"/>
        <v>76.040999999999997</v>
      </c>
    </row>
    <row r="65" spans="3:9" ht="15.75" x14ac:dyDescent="0.2">
      <c r="C65" s="25">
        <v>4</v>
      </c>
      <c r="D65" s="19">
        <f>LOOKUP(C65,Hoja2!$B$8:$B$20,Hoja2!$E$8:$E$20)</f>
        <v>0.99399999999999999</v>
      </c>
      <c r="E65" s="25">
        <v>5.78</v>
      </c>
      <c r="F65" s="25">
        <v>10</v>
      </c>
      <c r="G65" s="110">
        <f t="shared" si="3"/>
        <v>57.453200000000002</v>
      </c>
    </row>
    <row r="66" spans="3:9" ht="15.75" x14ac:dyDescent="0.2">
      <c r="C66" s="25">
        <v>4</v>
      </c>
      <c r="D66" s="19">
        <f>LOOKUP(C66,Hoja2!$B$8:$B$20,Hoja2!$E$8:$E$20)</f>
        <v>0.99399999999999999</v>
      </c>
      <c r="E66" s="25">
        <v>1.55</v>
      </c>
      <c r="F66" s="25">
        <v>14</v>
      </c>
      <c r="G66" s="110">
        <f t="shared" si="3"/>
        <v>21.569800000000001</v>
      </c>
    </row>
    <row r="67" spans="3:9" ht="15.75" x14ac:dyDescent="0.2">
      <c r="C67" s="25">
        <v>4</v>
      </c>
      <c r="D67" s="19">
        <f>LOOKUP(C67,Hoja2!$B$8:$B$20,Hoja2!$E$8:$E$20)</f>
        <v>0.99399999999999999</v>
      </c>
      <c r="E67" s="25">
        <v>2.62</v>
      </c>
      <c r="F67" s="25">
        <v>8</v>
      </c>
      <c r="G67" s="110">
        <f t="shared" si="3"/>
        <v>20.834240000000001</v>
      </c>
    </row>
    <row r="68" spans="3:9" ht="15.75" x14ac:dyDescent="0.2">
      <c r="C68" s="25">
        <v>4</v>
      </c>
      <c r="D68" s="19">
        <f>LOOKUP(C68,Hoja2!$B$8:$B$20,Hoja2!$E$8:$E$20)</f>
        <v>0.99399999999999999</v>
      </c>
      <c r="E68" s="25">
        <v>2.5499999999999998</v>
      </c>
      <c r="F68" s="25">
        <v>14</v>
      </c>
      <c r="G68" s="110">
        <f t="shared" si="3"/>
        <v>35.485799999999998</v>
      </c>
    </row>
    <row r="69" spans="3:9" ht="15.75" x14ac:dyDescent="0.2">
      <c r="C69" s="25">
        <v>4</v>
      </c>
      <c r="D69" s="19">
        <f>LOOKUP(C69,Hoja2!$B$8:$B$20,Hoja2!$E$8:$E$20)</f>
        <v>0.99399999999999999</v>
      </c>
      <c r="E69" s="25">
        <v>2.62</v>
      </c>
      <c r="F69" s="25">
        <v>10</v>
      </c>
      <c r="G69" s="110">
        <f t="shared" si="3"/>
        <v>26.042800000000003</v>
      </c>
    </row>
    <row r="70" spans="3:9" ht="15.75" x14ac:dyDescent="0.2">
      <c r="C70" s="25">
        <v>4</v>
      </c>
      <c r="D70" s="19">
        <f>LOOKUP(C70,Hoja2!$B$8:$B$20,Hoja2!$E$8:$E$20)</f>
        <v>0.99399999999999999</v>
      </c>
      <c r="E70" s="25">
        <v>1.55</v>
      </c>
      <c r="F70" s="25">
        <v>18</v>
      </c>
      <c r="G70" s="110">
        <f t="shared" si="3"/>
        <v>27.732600000000001</v>
      </c>
      <c r="H70" s="154">
        <f>SUM(G70:G73)</f>
        <v>133.83215999999999</v>
      </c>
    </row>
    <row r="71" spans="3:9" ht="15.75" x14ac:dyDescent="0.2">
      <c r="C71" s="25">
        <v>4</v>
      </c>
      <c r="D71" s="19">
        <f>LOOKUP(C71,Hoja2!$B$8:$B$20,Hoja2!$E$8:$E$20)</f>
        <v>0.99399999999999999</v>
      </c>
      <c r="E71" s="25">
        <v>3.38</v>
      </c>
      <c r="F71" s="25">
        <v>8</v>
      </c>
      <c r="G71" s="110">
        <f t="shared" si="3"/>
        <v>26.877759999999999</v>
      </c>
      <c r="H71" s="154"/>
      <c r="I71" s="25" t="s">
        <v>152</v>
      </c>
    </row>
    <row r="72" spans="3:9" ht="15.75" x14ac:dyDescent="0.2">
      <c r="C72" s="25">
        <v>4</v>
      </c>
      <c r="D72" s="19">
        <f>LOOKUP(C72,Hoja2!$B$8:$B$20,Hoja2!$E$8:$E$20)</f>
        <v>0.99399999999999999</v>
      </c>
      <c r="E72" s="25">
        <v>2.5499999999999998</v>
      </c>
      <c r="F72" s="25">
        <v>18</v>
      </c>
      <c r="G72" s="110">
        <f t="shared" si="3"/>
        <v>45.624600000000001</v>
      </c>
      <c r="H72" s="154"/>
    </row>
    <row r="73" spans="3:9" ht="15.75" x14ac:dyDescent="0.2">
      <c r="C73" s="25">
        <v>4</v>
      </c>
      <c r="D73" s="19">
        <f>LOOKUP(C73,Hoja2!$B$8:$B$20,Hoja2!$E$8:$E$20)</f>
        <v>0.99399999999999999</v>
      </c>
      <c r="E73" s="25">
        <v>3.38</v>
      </c>
      <c r="F73" s="25">
        <v>10</v>
      </c>
      <c r="G73" s="110">
        <f t="shared" si="3"/>
        <v>33.597199999999994</v>
      </c>
      <c r="H73" s="154"/>
    </row>
    <row r="74" spans="3:9" ht="15.75" x14ac:dyDescent="0.2">
      <c r="C74" s="25">
        <v>4</v>
      </c>
      <c r="D74" s="19">
        <f>LOOKUP(C74,Hoja2!$B$8:$B$20,Hoja2!$E$8:$E$20)</f>
        <v>0.99399999999999999</v>
      </c>
      <c r="E74" s="25">
        <v>1.55</v>
      </c>
      <c r="F74" s="25">
        <v>17</v>
      </c>
      <c r="G74" s="110">
        <f t="shared" si="3"/>
        <v>26.1919</v>
      </c>
      <c r="H74" s="23"/>
    </row>
    <row r="75" spans="3:9" ht="15.75" x14ac:dyDescent="0.2">
      <c r="C75" s="25">
        <v>4</v>
      </c>
      <c r="D75" s="19">
        <f>LOOKUP(C75,Hoja2!$B$8:$B$20,Hoja2!$E$8:$E$20)</f>
        <v>0.99399999999999999</v>
      </c>
      <c r="E75" s="25">
        <v>3.27</v>
      </c>
      <c r="F75" s="25">
        <v>8</v>
      </c>
      <c r="G75" s="110">
        <f t="shared" si="3"/>
        <v>26.003039999999999</v>
      </c>
    </row>
    <row r="76" spans="3:9" ht="15.75" x14ac:dyDescent="0.2">
      <c r="C76" s="25">
        <v>4</v>
      </c>
      <c r="D76" s="19">
        <f>LOOKUP(C76,Hoja2!$B$8:$B$20,Hoja2!$E$8:$E$20)</f>
        <v>0.99399999999999999</v>
      </c>
      <c r="E76" s="25">
        <v>2.5499999999999998</v>
      </c>
      <c r="F76" s="25">
        <v>17</v>
      </c>
      <c r="G76" s="110">
        <f t="shared" si="3"/>
        <v>43.089899999999993</v>
      </c>
    </row>
    <row r="77" spans="3:9" ht="15.75" x14ac:dyDescent="0.2">
      <c r="C77" s="25">
        <v>4</v>
      </c>
      <c r="D77" s="19">
        <f>LOOKUP(C77,Hoja2!$B$8:$B$20,Hoja2!$E$8:$E$20)</f>
        <v>0.99399999999999999</v>
      </c>
      <c r="E77" s="25">
        <v>3.27</v>
      </c>
      <c r="F77" s="25">
        <v>10</v>
      </c>
      <c r="G77" s="110">
        <f t="shared" si="3"/>
        <v>32.503800000000005</v>
      </c>
    </row>
    <row r="78" spans="3:9" ht="15.75" x14ac:dyDescent="0.2">
      <c r="C78" s="25">
        <v>4</v>
      </c>
      <c r="D78" s="19">
        <f>LOOKUP(C78,Hoja2!$B$8:$B$20,Hoja2!$E$8:$E$20)</f>
        <v>0.99399999999999999</v>
      </c>
      <c r="E78" s="25">
        <v>1.55</v>
      </c>
      <c r="F78" s="25">
        <v>19</v>
      </c>
      <c r="G78" s="110">
        <f t="shared" si="3"/>
        <v>29.273299999999999</v>
      </c>
    </row>
    <row r="79" spans="3:9" ht="15.75" x14ac:dyDescent="0.2">
      <c r="C79" s="25">
        <v>4</v>
      </c>
      <c r="D79" s="19">
        <f>LOOKUP(C79,Hoja2!$B$8:$B$20,Hoja2!$E$8:$E$20)</f>
        <v>0.99399999999999999</v>
      </c>
      <c r="E79" s="25">
        <v>3.59</v>
      </c>
      <c r="F79" s="25">
        <v>8</v>
      </c>
      <c r="G79" s="110">
        <f t="shared" si="3"/>
        <v>28.54768</v>
      </c>
    </row>
    <row r="80" spans="3:9" ht="15.75" x14ac:dyDescent="0.2">
      <c r="C80" s="25">
        <v>4</v>
      </c>
      <c r="D80" s="19">
        <f>LOOKUP(C80,Hoja2!$B$8:$B$20,Hoja2!$E$8:$E$20)</f>
        <v>0.99399999999999999</v>
      </c>
      <c r="E80" s="25">
        <v>2.5499999999999998</v>
      </c>
      <c r="F80" s="25">
        <v>19</v>
      </c>
      <c r="G80" s="110">
        <f t="shared" si="3"/>
        <v>48.159299999999995</v>
      </c>
    </row>
    <row r="81" spans="3:7" ht="15.75" x14ac:dyDescent="0.2">
      <c r="C81" s="25">
        <v>4</v>
      </c>
      <c r="D81" s="19">
        <f>LOOKUP(C81,Hoja2!$B$8:$B$20,Hoja2!$E$8:$E$20)</f>
        <v>0.99399999999999999</v>
      </c>
      <c r="E81" s="25">
        <v>3.59</v>
      </c>
      <c r="F81" s="25">
        <v>10</v>
      </c>
      <c r="G81" s="110">
        <f t="shared" si="3"/>
        <v>35.684599999999996</v>
      </c>
    </row>
    <row r="82" spans="3:7" ht="15.75" x14ac:dyDescent="0.2">
      <c r="C82" s="25">
        <v>6</v>
      </c>
      <c r="D82" s="19">
        <f>LOOKUP(C82,Hoja2!$B$8:$B$20,Hoja2!$E$8:$E$20)</f>
        <v>2.2349999999999999</v>
      </c>
      <c r="E82" s="25">
        <v>4.3499999999999996</v>
      </c>
      <c r="F82" s="25">
        <v>22</v>
      </c>
      <c r="G82" s="110">
        <f t="shared" si="3"/>
        <v>213.88949999999997</v>
      </c>
    </row>
    <row r="83" spans="3:7" ht="15.75" x14ac:dyDescent="0.2">
      <c r="C83" s="25">
        <v>6</v>
      </c>
      <c r="D83" s="19">
        <f>LOOKUP(C83,Hoja2!$B$8:$B$20,Hoja2!$E$8:$E$20)</f>
        <v>2.2349999999999999</v>
      </c>
      <c r="E83" s="25">
        <v>4.22</v>
      </c>
      <c r="F83" s="25">
        <v>15</v>
      </c>
      <c r="G83" s="110">
        <f t="shared" si="3"/>
        <v>141.47549999999998</v>
      </c>
    </row>
    <row r="84" spans="3:7" ht="15.75" x14ac:dyDescent="0.2">
      <c r="C84" s="25">
        <v>6</v>
      </c>
      <c r="D84" s="19">
        <f>LOOKUP(C84,Hoja2!$B$8:$B$20,Hoja2!$E$8:$E$20)</f>
        <v>2.2349999999999999</v>
      </c>
      <c r="E84" s="25">
        <v>2.95</v>
      </c>
      <c r="F84" s="25">
        <v>44</v>
      </c>
      <c r="G84" s="110">
        <f t="shared" si="3"/>
        <v>290.10300000000001</v>
      </c>
    </row>
    <row r="85" spans="3:7" ht="15.75" x14ac:dyDescent="0.2">
      <c r="C85" s="25">
        <v>6</v>
      </c>
      <c r="D85" s="19">
        <f>LOOKUP(C85,Hoja2!$B$8:$B$20,Hoja2!$E$8:$E$20)</f>
        <v>2.2349999999999999</v>
      </c>
      <c r="E85" s="25">
        <v>4.22</v>
      </c>
      <c r="F85" s="25">
        <v>4</v>
      </c>
      <c r="G85" s="110">
        <f t="shared" si="3"/>
        <v>37.726799999999997</v>
      </c>
    </row>
    <row r="86" spans="3:7" ht="15.75" x14ac:dyDescent="0.2">
      <c r="C86" s="25">
        <v>5</v>
      </c>
      <c r="D86" s="19">
        <f>LOOKUP(C86,Hoja2!$B$8:$B$20,Hoja2!$E$8:$E$20)</f>
        <v>1.552</v>
      </c>
      <c r="E86" s="25">
        <v>4.22</v>
      </c>
      <c r="F86" s="25">
        <v>16</v>
      </c>
      <c r="G86" s="110">
        <f t="shared" si="3"/>
        <v>104.79104</v>
      </c>
    </row>
    <row r="87" spans="3:7" ht="15.75" x14ac:dyDescent="0.2">
      <c r="C87" s="25">
        <v>6</v>
      </c>
      <c r="D87" s="19">
        <f>LOOKUP(C87,Hoja2!$B$8:$B$20,Hoja2!$E$8:$E$20)</f>
        <v>2.2349999999999999</v>
      </c>
      <c r="E87" s="25">
        <v>4.3499999999999996</v>
      </c>
      <c r="F87" s="25">
        <v>17</v>
      </c>
      <c r="G87" s="110">
        <f t="shared" si="3"/>
        <v>165.27824999999996</v>
      </c>
    </row>
    <row r="88" spans="3:7" ht="15.75" x14ac:dyDescent="0.2">
      <c r="C88" s="25">
        <v>6</v>
      </c>
      <c r="D88" s="19">
        <f>LOOKUP(C88,Hoja2!$B$8:$B$20,Hoja2!$E$8:$E$20)</f>
        <v>2.2349999999999999</v>
      </c>
      <c r="E88" s="25">
        <v>3.23</v>
      </c>
      <c r="F88" s="25">
        <v>15</v>
      </c>
      <c r="G88" s="110">
        <f t="shared" si="3"/>
        <v>108.28575000000001</v>
      </c>
    </row>
    <row r="89" spans="3:7" ht="15.75" x14ac:dyDescent="0.2">
      <c r="C89" s="25">
        <v>6</v>
      </c>
      <c r="D89" s="19">
        <f>LOOKUP(C89,Hoja2!$B$8:$B$20,Hoja2!$E$8:$E$20)</f>
        <v>2.2349999999999999</v>
      </c>
      <c r="E89" s="25">
        <f>(6.25+3.25)/2</f>
        <v>4.75</v>
      </c>
      <c r="F89" s="25">
        <v>34</v>
      </c>
      <c r="G89" s="110">
        <f t="shared" si="3"/>
        <v>360.95249999999999</v>
      </c>
    </row>
    <row r="90" spans="3:7" ht="15.75" x14ac:dyDescent="0.2">
      <c r="C90" s="25">
        <v>6</v>
      </c>
      <c r="D90" s="19">
        <f>LOOKUP(C90,Hoja2!$B$8:$B$20,Hoja2!$E$8:$E$20)</f>
        <v>2.2349999999999999</v>
      </c>
      <c r="E90" s="25">
        <v>3.6</v>
      </c>
      <c r="F90" s="25">
        <v>4</v>
      </c>
      <c r="G90" s="110">
        <f t="shared" si="3"/>
        <v>32.183999999999997</v>
      </c>
    </row>
    <row r="91" spans="3:7" ht="15.75" x14ac:dyDescent="0.2">
      <c r="C91" s="25">
        <v>5</v>
      </c>
      <c r="D91" s="19">
        <f>LOOKUP(C91,Hoja2!$B$8:$B$20,Hoja2!$E$8:$E$20)</f>
        <v>1.552</v>
      </c>
      <c r="E91" s="25">
        <v>3.23</v>
      </c>
      <c r="F91" s="25">
        <v>28</v>
      </c>
      <c r="G91" s="110">
        <f t="shared" si="3"/>
        <v>140.36287999999999</v>
      </c>
    </row>
    <row r="92" spans="3:7" ht="15.75" x14ac:dyDescent="0.2">
      <c r="C92" s="25">
        <v>6</v>
      </c>
      <c r="D92" s="19">
        <f>LOOKUP(C92,Hoja2!$B$8:$B$20,Hoja2!$E$8:$E$20)</f>
        <v>2.2349999999999999</v>
      </c>
      <c r="E92" s="25">
        <v>4.3499999999999996</v>
      </c>
      <c r="F92" s="25">
        <v>15</v>
      </c>
      <c r="G92" s="110">
        <f t="shared" si="3"/>
        <v>145.83374999999998</v>
      </c>
    </row>
    <row r="93" spans="3:7" ht="15.75" x14ac:dyDescent="0.2">
      <c r="C93" s="25">
        <v>6</v>
      </c>
      <c r="D93" s="19">
        <f>LOOKUP(C93,Hoja2!$B$8:$B$20,Hoja2!$E$8:$E$20)</f>
        <v>2.2349999999999999</v>
      </c>
      <c r="E93" s="25">
        <v>2.84</v>
      </c>
      <c r="F93" s="25">
        <v>15</v>
      </c>
      <c r="G93" s="110">
        <f t="shared" si="3"/>
        <v>95.210999999999984</v>
      </c>
    </row>
    <row r="94" spans="3:7" ht="15.75" x14ac:dyDescent="0.2">
      <c r="C94" s="25">
        <v>6</v>
      </c>
      <c r="D94" s="19">
        <f>LOOKUP(C94,Hoja2!$B$8:$B$20,Hoja2!$E$8:$E$20)</f>
        <v>2.2349999999999999</v>
      </c>
      <c r="E94" s="25">
        <v>2.95</v>
      </c>
      <c r="F94" s="25">
        <v>30</v>
      </c>
      <c r="G94" s="110">
        <f t="shared" si="3"/>
        <v>197.79749999999999</v>
      </c>
    </row>
    <row r="95" spans="3:7" ht="15.75" x14ac:dyDescent="0.2">
      <c r="C95" s="25">
        <v>6</v>
      </c>
      <c r="D95" s="19">
        <f>LOOKUP(C95,Hoja2!$B$8:$B$20,Hoja2!$E$8:$E$20)</f>
        <v>2.2349999999999999</v>
      </c>
      <c r="E95" s="25">
        <v>2.84</v>
      </c>
      <c r="F95" s="25">
        <v>4</v>
      </c>
      <c r="G95" s="110">
        <f t="shared" si="3"/>
        <v>25.389599999999998</v>
      </c>
    </row>
    <row r="96" spans="3:7" ht="15.75" x14ac:dyDescent="0.2">
      <c r="C96" s="25">
        <v>5</v>
      </c>
      <c r="D96" s="19">
        <f>LOOKUP(C96,Hoja2!$B$8:$B$20,Hoja2!$E$8:$E$20)</f>
        <v>1.552</v>
      </c>
      <c r="E96" s="25">
        <v>2.84</v>
      </c>
      <c r="F96" s="25">
        <v>8</v>
      </c>
      <c r="G96" s="110">
        <f t="shared" si="3"/>
        <v>35.26144</v>
      </c>
    </row>
    <row r="97" spans="3:9" ht="15.75" x14ac:dyDescent="0.2">
      <c r="C97" s="25">
        <v>6</v>
      </c>
      <c r="D97" s="19">
        <f>LOOKUP(C97,Hoja2!$B$8:$B$20,Hoja2!$E$8:$E$20)</f>
        <v>2.2349999999999999</v>
      </c>
      <c r="E97" s="25">
        <v>4.3499999999999996</v>
      </c>
      <c r="F97" s="25">
        <v>12</v>
      </c>
      <c r="G97" s="110">
        <f t="shared" si="3"/>
        <v>116.66699999999999</v>
      </c>
    </row>
    <row r="98" spans="3:9" ht="15.75" x14ac:dyDescent="0.2">
      <c r="C98" s="25">
        <v>6</v>
      </c>
      <c r="D98" s="19">
        <f>LOOKUP(C98,Hoja2!$B$8:$B$20,Hoja2!$E$8:$E$20)</f>
        <v>2.2349999999999999</v>
      </c>
      <c r="E98" s="25">
        <v>2.34</v>
      </c>
      <c r="F98" s="25">
        <v>15</v>
      </c>
      <c r="G98" s="110">
        <f t="shared" si="3"/>
        <v>78.448499999999981</v>
      </c>
    </row>
    <row r="99" spans="3:9" ht="15.75" x14ac:dyDescent="0.2">
      <c r="C99" s="25">
        <v>6</v>
      </c>
      <c r="D99" s="19">
        <f>LOOKUP(C99,Hoja2!$B$8:$B$20,Hoja2!$E$8:$E$20)</f>
        <v>2.2349999999999999</v>
      </c>
      <c r="E99" s="25">
        <f>(4.55+1.7)/2</f>
        <v>3.125</v>
      </c>
      <c r="F99" s="25">
        <v>24</v>
      </c>
      <c r="G99" s="110">
        <f t="shared" si="3"/>
        <v>167.625</v>
      </c>
    </row>
    <row r="100" spans="3:9" ht="15.75" x14ac:dyDescent="0.2">
      <c r="C100" s="25">
        <v>6</v>
      </c>
      <c r="D100" s="19">
        <f>LOOKUP(C100,Hoja2!$B$8:$B$20,Hoja2!$E$8:$E$20)</f>
        <v>2.2349999999999999</v>
      </c>
      <c r="E100" s="25">
        <v>2.59</v>
      </c>
      <c r="F100" s="25">
        <v>4</v>
      </c>
      <c r="G100" s="110">
        <f t="shared" si="3"/>
        <v>23.154599999999999</v>
      </c>
    </row>
    <row r="101" spans="3:9" ht="15.75" x14ac:dyDescent="0.2">
      <c r="C101" s="25">
        <v>5</v>
      </c>
      <c r="D101" s="19">
        <f>LOOKUP(C101,Hoja2!$B$8:$B$20,Hoja2!$E$8:$E$20)</f>
        <v>1.552</v>
      </c>
      <c r="E101" s="25">
        <v>2.34</v>
      </c>
      <c r="F101" s="25">
        <v>28</v>
      </c>
      <c r="G101" s="110">
        <f t="shared" si="3"/>
        <v>101.68704</v>
      </c>
    </row>
    <row r="102" spans="3:9" ht="15.75" x14ac:dyDescent="0.2">
      <c r="C102" s="25">
        <v>6</v>
      </c>
      <c r="D102" s="19">
        <f>LOOKUP(C102,Hoja2!$B$8:$B$20,Hoja2!$E$8:$E$20)</f>
        <v>2.2349999999999999</v>
      </c>
      <c r="E102" s="25">
        <v>4.3499999999999996</v>
      </c>
      <c r="F102" s="25">
        <v>25</v>
      </c>
      <c r="G102" s="110">
        <f t="shared" si="3"/>
        <v>243.05624999999995</v>
      </c>
    </row>
    <row r="103" spans="3:9" ht="15.75" x14ac:dyDescent="0.2">
      <c r="C103" s="25">
        <v>6</v>
      </c>
      <c r="D103" s="19">
        <f>LOOKUP(C103,Hoja2!$B$8:$B$20,Hoja2!$E$8:$E$20)</f>
        <v>2.2349999999999999</v>
      </c>
      <c r="E103" s="25">
        <v>4.87</v>
      </c>
      <c r="F103" s="25">
        <v>15</v>
      </c>
      <c r="G103" s="110">
        <f t="shared" si="3"/>
        <v>163.26674999999997</v>
      </c>
    </row>
    <row r="104" spans="3:9" ht="15.75" x14ac:dyDescent="0.2">
      <c r="C104" s="25">
        <v>6</v>
      </c>
      <c r="D104" s="19">
        <f>LOOKUP(C104,Hoja2!$B$8:$B$20,Hoja2!$E$8:$E$20)</f>
        <v>2.2349999999999999</v>
      </c>
      <c r="E104" s="25">
        <v>2.95</v>
      </c>
      <c r="F104" s="25">
        <v>50</v>
      </c>
      <c r="G104" s="110">
        <f t="shared" si="3"/>
        <v>329.66249999999997</v>
      </c>
    </row>
    <row r="105" spans="3:9" ht="15.75" x14ac:dyDescent="0.2">
      <c r="C105" s="25">
        <v>6</v>
      </c>
      <c r="D105" s="19">
        <f>LOOKUP(C105,Hoja2!$B$8:$B$20,Hoja2!$E$8:$E$20)</f>
        <v>2.2349999999999999</v>
      </c>
      <c r="E105" s="25">
        <v>4.87</v>
      </c>
      <c r="F105" s="25">
        <v>4</v>
      </c>
      <c r="G105" s="110">
        <f t="shared" si="3"/>
        <v>43.537799999999997</v>
      </c>
    </row>
    <row r="106" spans="3:9" ht="15.75" x14ac:dyDescent="0.2">
      <c r="C106" s="25">
        <v>5</v>
      </c>
      <c r="D106" s="19">
        <f>LOOKUP(C106,Hoja2!$B$8:$B$20,Hoja2!$E$8:$E$20)</f>
        <v>1.552</v>
      </c>
      <c r="E106" s="25">
        <v>4.87</v>
      </c>
      <c r="F106" s="25">
        <v>12</v>
      </c>
      <c r="G106" s="110">
        <f t="shared" si="3"/>
        <v>90.698880000000003</v>
      </c>
    </row>
    <row r="107" spans="3:9" ht="15.75" x14ac:dyDescent="0.2">
      <c r="C107" s="25">
        <v>6</v>
      </c>
      <c r="D107" s="19">
        <f>LOOKUP(C107,Hoja2!$B$8:$B$20,Hoja2!$E$8:$E$20)</f>
        <v>2.2349999999999999</v>
      </c>
      <c r="E107" s="25">
        <v>5.75</v>
      </c>
      <c r="F107" s="25">
        <v>31</v>
      </c>
      <c r="G107" s="110">
        <f t="shared" si="3"/>
        <v>398.38874999999996</v>
      </c>
      <c r="H107" s="154">
        <f>SUM(G107:G111)</f>
        <v>1150.33428</v>
      </c>
    </row>
    <row r="108" spans="3:9" ht="15.75" x14ac:dyDescent="0.2">
      <c r="C108" s="25">
        <v>6</v>
      </c>
      <c r="D108" s="19">
        <f>LOOKUP(C108,Hoja2!$B$8:$B$20,Hoja2!$E$8:$E$20)</f>
        <v>2.2349999999999999</v>
      </c>
      <c r="E108" s="25">
        <v>4.5599999999999996</v>
      </c>
      <c r="F108" s="25">
        <v>28</v>
      </c>
      <c r="G108" s="110">
        <f t="shared" si="3"/>
        <v>285.36479999999995</v>
      </c>
      <c r="H108" s="155"/>
    </row>
    <row r="109" spans="3:9" ht="15.75" x14ac:dyDescent="0.2">
      <c r="C109" s="25">
        <v>6</v>
      </c>
      <c r="D109" s="19">
        <f>LOOKUP(C109,Hoja2!$B$8:$B$20,Hoja2!$E$8:$E$20)</f>
        <v>2.2349999999999999</v>
      </c>
      <c r="E109" s="25">
        <v>5.01</v>
      </c>
      <c r="F109" s="25">
        <v>31</v>
      </c>
      <c r="G109" s="110">
        <f t="shared" si="3"/>
        <v>347.11784999999998</v>
      </c>
      <c r="H109" s="155"/>
      <c r="I109" s="25" t="s">
        <v>149</v>
      </c>
    </row>
    <row r="110" spans="3:9" ht="15.75" x14ac:dyDescent="0.2">
      <c r="C110" s="25">
        <v>5</v>
      </c>
      <c r="D110" s="19">
        <f>LOOKUP(C110,Hoja2!$B$8:$B$20,Hoja2!$E$8:$E$20)</f>
        <v>1.552</v>
      </c>
      <c r="E110" s="25">
        <v>4.5599999999999996</v>
      </c>
      <c r="F110" s="25">
        <v>14</v>
      </c>
      <c r="G110" s="110">
        <f t="shared" si="3"/>
        <v>99.079679999999996</v>
      </c>
      <c r="H110" s="155"/>
    </row>
    <row r="111" spans="3:9" ht="15.75" x14ac:dyDescent="0.2">
      <c r="C111" s="25">
        <v>6</v>
      </c>
      <c r="D111" s="19">
        <f>LOOKUP(C111,Hoja2!$B$8:$B$20,Hoja2!$E$8:$E$20)</f>
        <v>2.2349999999999999</v>
      </c>
      <c r="E111" s="25">
        <v>4.5599999999999996</v>
      </c>
      <c r="F111" s="25">
        <v>2</v>
      </c>
      <c r="G111" s="110">
        <f t="shared" si="3"/>
        <v>20.383199999999999</v>
      </c>
      <c r="H111" s="155"/>
    </row>
    <row r="112" spans="3:9" ht="15.75" x14ac:dyDescent="0.2">
      <c r="C112" s="25">
        <v>6</v>
      </c>
      <c r="D112" s="19">
        <f>LOOKUP(C112,Hoja2!$B$8:$B$20,Hoja2!$E$8:$E$20)</f>
        <v>2.2349999999999999</v>
      </c>
      <c r="E112" s="25">
        <v>5.75</v>
      </c>
      <c r="F112" s="25">
        <v>55</v>
      </c>
      <c r="G112" s="110">
        <f t="shared" si="3"/>
        <v>706.81874999999991</v>
      </c>
    </row>
    <row r="113" spans="3:7" ht="15.75" x14ac:dyDescent="0.2">
      <c r="C113" s="25">
        <v>6</v>
      </c>
      <c r="D113" s="19">
        <f>LOOKUP(C113,Hoja2!$B$8:$B$20,Hoja2!$E$8:$E$20)</f>
        <v>2.2349999999999999</v>
      </c>
      <c r="E113" s="25">
        <v>8.16</v>
      </c>
      <c r="F113" s="25">
        <v>28</v>
      </c>
      <c r="G113" s="110">
        <f t="shared" si="3"/>
        <v>510.65280000000001</v>
      </c>
    </row>
    <row r="114" spans="3:7" ht="15.75" x14ac:dyDescent="0.2">
      <c r="C114" s="25">
        <v>6</v>
      </c>
      <c r="D114" s="19">
        <f>LOOKUP(C114,Hoja2!$B$8:$B$20,Hoja2!$E$8:$E$20)</f>
        <v>2.2349999999999999</v>
      </c>
      <c r="E114" s="25">
        <v>5.01</v>
      </c>
      <c r="F114" s="25">
        <v>55</v>
      </c>
      <c r="G114" s="110">
        <f t="shared" si="3"/>
        <v>615.85424999999998</v>
      </c>
    </row>
    <row r="115" spans="3:7" ht="15.75" x14ac:dyDescent="0.2">
      <c r="C115" s="25">
        <v>5</v>
      </c>
      <c r="D115" s="19">
        <f>LOOKUP(C115,Hoja2!$B$8:$B$20,Hoja2!$E$8:$E$20)</f>
        <v>1.552</v>
      </c>
      <c r="E115" s="25">
        <v>8.16</v>
      </c>
      <c r="F115" s="25">
        <v>14</v>
      </c>
      <c r="G115" s="110">
        <f t="shared" si="3"/>
        <v>177.30048000000002</v>
      </c>
    </row>
    <row r="116" spans="3:7" ht="15.75" x14ac:dyDescent="0.2">
      <c r="C116" s="25">
        <v>6</v>
      </c>
      <c r="D116" s="19">
        <f>LOOKUP(C116,Hoja2!$B$8:$B$20,Hoja2!$E$8:$E$20)</f>
        <v>2.2349999999999999</v>
      </c>
      <c r="E116" s="25">
        <v>8.16</v>
      </c>
      <c r="F116" s="25">
        <v>2</v>
      </c>
      <c r="G116" s="110">
        <f t="shared" si="3"/>
        <v>36.475200000000001</v>
      </c>
    </row>
    <row r="117" spans="3:7" ht="15.75" x14ac:dyDescent="0.2">
      <c r="C117" s="25">
        <v>5</v>
      </c>
      <c r="D117" s="19">
        <f>LOOKUP(C117,Hoja2!$B$8:$B$20,Hoja2!$E$8:$E$20)</f>
        <v>1.552</v>
      </c>
      <c r="E117" s="25">
        <v>2.65</v>
      </c>
      <c r="F117" s="25">
        <v>25</v>
      </c>
      <c r="G117" s="110">
        <f t="shared" si="3"/>
        <v>102.82000000000001</v>
      </c>
    </row>
    <row r="118" spans="3:7" ht="15.75" x14ac:dyDescent="0.2">
      <c r="C118" s="25">
        <v>5</v>
      </c>
      <c r="D118" s="19">
        <f>LOOKUP(C118,Hoja2!$B$8:$B$20,Hoja2!$E$8:$E$20)</f>
        <v>1.552</v>
      </c>
      <c r="E118" s="25">
        <v>4.97</v>
      </c>
      <c r="F118" s="25">
        <v>12</v>
      </c>
      <c r="G118" s="110">
        <f t="shared" si="3"/>
        <v>92.561280000000011</v>
      </c>
    </row>
    <row r="119" spans="3:7" ht="15.75" x14ac:dyDescent="0.2">
      <c r="C119" s="25">
        <v>5</v>
      </c>
      <c r="D119" s="19">
        <f>LOOKUP(C119,Hoja2!$B$8:$B$20,Hoja2!$E$8:$E$20)</f>
        <v>1.552</v>
      </c>
      <c r="E119" s="25">
        <v>2.85</v>
      </c>
      <c r="F119" s="25">
        <v>25</v>
      </c>
      <c r="G119" s="110">
        <f t="shared" ref="G119:G143" si="5">F119*E119*D119</f>
        <v>110.58</v>
      </c>
    </row>
    <row r="120" spans="3:7" ht="15.75" x14ac:dyDescent="0.2">
      <c r="C120" s="25">
        <v>5</v>
      </c>
      <c r="D120" s="19">
        <f>LOOKUP(C120,Hoja2!$B$8:$B$20,Hoja2!$E$8:$E$20)</f>
        <v>1.552</v>
      </c>
      <c r="E120" s="25">
        <v>4.97</v>
      </c>
      <c r="F120" s="25">
        <v>8</v>
      </c>
      <c r="G120" s="110">
        <f t="shared" si="5"/>
        <v>61.707519999999995</v>
      </c>
    </row>
    <row r="121" spans="3:7" ht="15.75" x14ac:dyDescent="0.2">
      <c r="C121" s="25">
        <v>6</v>
      </c>
      <c r="D121" s="19">
        <f>LOOKUP(C121,Hoja2!$B$8:$B$20,Hoja2!$E$8:$E$20)</f>
        <v>2.2349999999999999</v>
      </c>
      <c r="E121" s="25">
        <v>5.75</v>
      </c>
      <c r="F121" s="25">
        <v>20</v>
      </c>
      <c r="G121" s="110">
        <f t="shared" si="5"/>
        <v>257.02499999999998</v>
      </c>
    </row>
    <row r="122" spans="3:7" ht="15.75" x14ac:dyDescent="0.2">
      <c r="C122" s="25">
        <v>6</v>
      </c>
      <c r="D122" s="19">
        <f>LOOKUP(C122,Hoja2!$B$8:$B$20,Hoja2!$E$8:$E$20)</f>
        <v>2.2349999999999999</v>
      </c>
      <c r="E122" s="25">
        <v>2.94</v>
      </c>
      <c r="F122" s="25">
        <v>20</v>
      </c>
      <c r="G122" s="110">
        <f t="shared" si="5"/>
        <v>131.41799999999998</v>
      </c>
    </row>
    <row r="123" spans="3:7" ht="15.75" x14ac:dyDescent="0.2">
      <c r="C123" s="25">
        <v>6</v>
      </c>
      <c r="D123" s="19">
        <f>LOOKUP(C123,Hoja2!$B$8:$B$20,Hoja2!$E$8:$E$20)</f>
        <v>2.2349999999999999</v>
      </c>
      <c r="E123" s="25">
        <f>(5.35+3.25)/2</f>
        <v>4.3</v>
      </c>
      <c r="F123" s="25">
        <v>20</v>
      </c>
      <c r="G123" s="110">
        <f t="shared" si="5"/>
        <v>192.20999999999998</v>
      </c>
    </row>
    <row r="124" spans="3:7" ht="15.75" x14ac:dyDescent="0.2">
      <c r="C124" s="25">
        <v>5</v>
      </c>
      <c r="D124" s="19">
        <f>LOOKUP(C124,Hoja2!$B$8:$B$20,Hoja2!$E$8:$E$20)</f>
        <v>1.552</v>
      </c>
      <c r="E124" s="25">
        <v>2.94</v>
      </c>
      <c r="F124" s="25">
        <v>10</v>
      </c>
      <c r="G124" s="110">
        <f t="shared" si="5"/>
        <v>45.628799999999998</v>
      </c>
    </row>
    <row r="125" spans="3:7" ht="15.75" x14ac:dyDescent="0.2">
      <c r="C125" s="25">
        <v>6</v>
      </c>
      <c r="D125" s="19">
        <f>LOOKUP(C125,Hoja2!$B$8:$B$20,Hoja2!$E$8:$E$20)</f>
        <v>2.2349999999999999</v>
      </c>
      <c r="E125" s="25">
        <v>3.14</v>
      </c>
      <c r="F125" s="25">
        <v>2</v>
      </c>
      <c r="G125" s="110">
        <f t="shared" si="5"/>
        <v>14.0358</v>
      </c>
    </row>
    <row r="126" spans="3:7" ht="15.75" x14ac:dyDescent="0.2">
      <c r="C126" s="25">
        <v>5</v>
      </c>
      <c r="D126" s="19">
        <f>LOOKUP(C126,Hoja2!$B$8:$B$20,Hoja2!$E$8:$E$20)</f>
        <v>1.552</v>
      </c>
      <c r="E126" s="25">
        <v>2.65</v>
      </c>
      <c r="F126" s="25">
        <v>12</v>
      </c>
      <c r="G126" s="110">
        <f t="shared" si="5"/>
        <v>49.3536</v>
      </c>
    </row>
    <row r="127" spans="3:7" ht="15.75" x14ac:dyDescent="0.2">
      <c r="C127" s="25">
        <v>5</v>
      </c>
      <c r="D127" s="19">
        <f>LOOKUP(C127,Hoja2!$B$8:$B$20,Hoja2!$E$8:$E$20)</f>
        <v>1.552</v>
      </c>
      <c r="E127" s="25">
        <v>2.25</v>
      </c>
      <c r="F127" s="25">
        <v>12</v>
      </c>
      <c r="G127" s="110">
        <f t="shared" si="5"/>
        <v>41.904000000000003</v>
      </c>
    </row>
    <row r="128" spans="3:7" ht="15.75" x14ac:dyDescent="0.2">
      <c r="C128" s="25">
        <v>5</v>
      </c>
      <c r="D128" s="19">
        <f>LOOKUP(C128,Hoja2!$B$8:$B$20,Hoja2!$E$8:$E$20)</f>
        <v>1.552</v>
      </c>
      <c r="E128" s="25">
        <v>2.85</v>
      </c>
      <c r="F128" s="25">
        <v>12</v>
      </c>
      <c r="G128" s="110">
        <f t="shared" si="5"/>
        <v>53.078400000000009</v>
      </c>
    </row>
    <row r="129" spans="3:7" ht="15.75" x14ac:dyDescent="0.2">
      <c r="C129" s="25">
        <v>5</v>
      </c>
      <c r="D129" s="19">
        <f>LOOKUP(C129,Hoja2!$B$8:$B$20,Hoja2!$E$8:$E$20)</f>
        <v>1.552</v>
      </c>
      <c r="E129" s="25">
        <v>2.25</v>
      </c>
      <c r="F129" s="25">
        <v>8</v>
      </c>
      <c r="G129" s="110">
        <f t="shared" si="5"/>
        <v>27.936</v>
      </c>
    </row>
    <row r="130" spans="3:7" ht="15.75" x14ac:dyDescent="0.2">
      <c r="C130" s="25">
        <v>6</v>
      </c>
      <c r="D130" s="19">
        <f>LOOKUP(C130,Hoja2!$B$8:$B$20,Hoja2!$E$8:$E$20)</f>
        <v>2.2349999999999999</v>
      </c>
      <c r="E130" s="25">
        <v>5.75</v>
      </c>
      <c r="F130" s="25">
        <v>27</v>
      </c>
      <c r="G130" s="110">
        <f t="shared" si="5"/>
        <v>346.98374999999999</v>
      </c>
    </row>
    <row r="131" spans="3:7" ht="15.75" x14ac:dyDescent="0.2">
      <c r="C131" s="25">
        <v>6</v>
      </c>
      <c r="D131" s="19">
        <f>LOOKUP(C131,Hoja2!$B$8:$B$20,Hoja2!$E$8:$E$20)</f>
        <v>2.2349999999999999</v>
      </c>
      <c r="E131" s="25">
        <v>3.83</v>
      </c>
      <c r="F131" s="25">
        <v>28</v>
      </c>
      <c r="G131" s="110">
        <f t="shared" si="5"/>
        <v>239.6814</v>
      </c>
    </row>
    <row r="132" spans="3:7" ht="15.75" x14ac:dyDescent="0.2">
      <c r="C132" s="25">
        <v>6</v>
      </c>
      <c r="D132" s="19">
        <f>LOOKUP(C132,Hoja2!$B$8:$B$20,Hoja2!$E$8:$E$20)</f>
        <v>2.2349999999999999</v>
      </c>
      <c r="E132" s="25">
        <f>(6.25+3.25)/2</f>
        <v>4.75</v>
      </c>
      <c r="F132" s="25">
        <v>27</v>
      </c>
      <c r="G132" s="110">
        <f t="shared" si="5"/>
        <v>286.63874999999996</v>
      </c>
    </row>
    <row r="133" spans="3:7" ht="15.75" x14ac:dyDescent="0.2">
      <c r="C133" s="25">
        <v>5</v>
      </c>
      <c r="D133" s="19">
        <f>LOOKUP(C133,Hoja2!$B$8:$B$20,Hoja2!$E$8:$E$20)</f>
        <v>1.552</v>
      </c>
      <c r="E133" s="25">
        <v>3.83</v>
      </c>
      <c r="F133" s="25">
        <v>12</v>
      </c>
      <c r="G133" s="110">
        <f t="shared" si="5"/>
        <v>71.329920000000001</v>
      </c>
    </row>
    <row r="134" spans="3:7" ht="15.75" x14ac:dyDescent="0.2">
      <c r="C134" s="25">
        <v>6</v>
      </c>
      <c r="D134" s="19">
        <f>LOOKUP(C134,Hoja2!$B$8:$B$20,Hoja2!$E$8:$E$20)</f>
        <v>2.2349999999999999</v>
      </c>
      <c r="E134" s="25">
        <v>4.13</v>
      </c>
      <c r="F134" s="25">
        <v>2</v>
      </c>
      <c r="G134" s="110">
        <f t="shared" si="5"/>
        <v>18.461099999999998</v>
      </c>
    </row>
    <row r="135" spans="3:7" ht="15.75" x14ac:dyDescent="0.2">
      <c r="C135" s="25">
        <v>5</v>
      </c>
      <c r="D135" s="19">
        <f>LOOKUP(C135,Hoja2!$B$8:$B$20,Hoja2!$E$8:$E$20)</f>
        <v>1.552</v>
      </c>
      <c r="E135" s="25">
        <v>2.65</v>
      </c>
      <c r="F135" s="25">
        <v>25</v>
      </c>
      <c r="G135" s="110">
        <f t="shared" si="5"/>
        <v>102.82000000000001</v>
      </c>
    </row>
    <row r="136" spans="3:7" ht="15.75" x14ac:dyDescent="0.2">
      <c r="C136" s="25">
        <v>5</v>
      </c>
      <c r="D136" s="19">
        <f>LOOKUP(C136,Hoja2!$B$8:$B$20,Hoja2!$E$8:$E$20)</f>
        <v>1.552</v>
      </c>
      <c r="E136" s="25">
        <v>4.78</v>
      </c>
      <c r="F136" s="25">
        <v>12</v>
      </c>
      <c r="G136" s="110">
        <f t="shared" si="5"/>
        <v>89.022720000000007</v>
      </c>
    </row>
    <row r="137" spans="3:7" ht="15.75" x14ac:dyDescent="0.2">
      <c r="C137" s="25">
        <v>5</v>
      </c>
      <c r="D137" s="19">
        <f>LOOKUP(C137,Hoja2!$B$8:$B$20,Hoja2!$E$8:$E$20)</f>
        <v>1.552</v>
      </c>
      <c r="E137" s="25">
        <v>2.85</v>
      </c>
      <c r="F137" s="25">
        <v>25</v>
      </c>
      <c r="G137" s="110">
        <f t="shared" si="5"/>
        <v>110.58</v>
      </c>
    </row>
    <row r="138" spans="3:7" ht="15.75" x14ac:dyDescent="0.2">
      <c r="C138" s="25">
        <v>5</v>
      </c>
      <c r="D138" s="19">
        <f>LOOKUP(C138,Hoja2!$B$8:$B$20,Hoja2!$E$8:$E$20)</f>
        <v>1.552</v>
      </c>
      <c r="E138" s="25">
        <v>4.78</v>
      </c>
      <c r="F138" s="25">
        <v>8</v>
      </c>
      <c r="G138" s="110">
        <f t="shared" si="5"/>
        <v>59.348480000000002</v>
      </c>
    </row>
    <row r="139" spans="3:7" ht="15.75" x14ac:dyDescent="0.2">
      <c r="C139" s="25">
        <v>6</v>
      </c>
      <c r="D139" s="19">
        <f>LOOKUP(C139,Hoja2!$B$8:$B$20,Hoja2!$E$8:$E$20)</f>
        <v>2.2349999999999999</v>
      </c>
      <c r="E139" s="25">
        <v>5.75</v>
      </c>
      <c r="F139" s="25">
        <v>27</v>
      </c>
      <c r="G139" s="110">
        <f t="shared" si="5"/>
        <v>346.98374999999999</v>
      </c>
    </row>
    <row r="140" spans="3:7" ht="15.75" x14ac:dyDescent="0.2">
      <c r="C140" s="25">
        <v>6</v>
      </c>
      <c r="D140" s="19">
        <f>LOOKUP(C140,Hoja2!$B$8:$B$20,Hoja2!$E$8:$E$20)</f>
        <v>2.2349999999999999</v>
      </c>
      <c r="E140" s="25">
        <v>2.86</v>
      </c>
      <c r="F140" s="25">
        <v>28</v>
      </c>
      <c r="G140" s="110">
        <f t="shared" si="5"/>
        <v>178.97879999999998</v>
      </c>
    </row>
    <row r="141" spans="3:7" ht="15.75" x14ac:dyDescent="0.2">
      <c r="C141" s="25">
        <v>6</v>
      </c>
      <c r="D141" s="19">
        <f>LOOKUP(C141,Hoja2!$B$8:$B$20,Hoja2!$E$8:$E$20)</f>
        <v>2.2349999999999999</v>
      </c>
      <c r="E141" s="25">
        <v>2.95</v>
      </c>
      <c r="F141" s="25">
        <v>27</v>
      </c>
      <c r="G141" s="110">
        <f t="shared" si="5"/>
        <v>178.01775000000001</v>
      </c>
    </row>
    <row r="142" spans="3:7" ht="15.75" x14ac:dyDescent="0.2">
      <c r="C142" s="25">
        <v>5</v>
      </c>
      <c r="D142" s="19">
        <f>LOOKUP(C142,Hoja2!$B$8:$B$20,Hoja2!$E$8:$E$20)</f>
        <v>1.552</v>
      </c>
      <c r="E142" s="25">
        <v>2.86</v>
      </c>
      <c r="F142" s="25">
        <v>6</v>
      </c>
      <c r="G142" s="110">
        <f t="shared" si="5"/>
        <v>26.63232</v>
      </c>
    </row>
    <row r="143" spans="3:7" ht="15.75" x14ac:dyDescent="0.2">
      <c r="C143" s="25">
        <v>6</v>
      </c>
      <c r="D143" s="19">
        <f>LOOKUP(C143,Hoja2!$B$8:$B$20,Hoja2!$E$8:$E$20)</f>
        <v>2.2349999999999999</v>
      </c>
      <c r="E143" s="25">
        <v>2.86</v>
      </c>
      <c r="F143" s="25">
        <v>2</v>
      </c>
      <c r="G143" s="110">
        <f t="shared" si="5"/>
        <v>12.784199999999998</v>
      </c>
    </row>
    <row r="144" spans="3:7" ht="15" x14ac:dyDescent="0.25">
      <c r="G144" s="111">
        <f>SUM(G54:G143)+H58+(H70*5)+(H107*2)</f>
        <v>14165.124370000001</v>
      </c>
    </row>
  </sheetData>
  <mergeCells count="5">
    <mergeCell ref="E7:I7"/>
    <mergeCell ref="A11:D11"/>
    <mergeCell ref="H70:H73"/>
    <mergeCell ref="H107:H111"/>
    <mergeCell ref="H58:H61"/>
  </mergeCells>
  <pageMargins left="0.7" right="0.7" top="0.75" bottom="0.75" header="0.3" footer="0.3"/>
  <pageSetup scale="4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AD923-326E-4862-9122-4A709E5C4CA9}">
  <sheetPr>
    <tabColor rgb="FFFFFF00"/>
  </sheetPr>
  <dimension ref="A2:S100"/>
  <sheetViews>
    <sheetView view="pageBreakPreview" topLeftCell="A25" zoomScale="85" zoomScaleNormal="85" zoomScaleSheetLayoutView="85" workbookViewId="0">
      <selection activeCell="D32" sqref="D32"/>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92</v>
      </c>
      <c r="F7" s="150"/>
      <c r="G7" s="150"/>
      <c r="H7" s="150"/>
      <c r="I7" s="150"/>
    </row>
    <row r="10" spans="1:9" ht="38.25" x14ac:dyDescent="0.2">
      <c r="A10" s="28" t="s">
        <v>26</v>
      </c>
      <c r="B10" s="32" t="s">
        <v>27</v>
      </c>
      <c r="C10" s="29" t="s">
        <v>28</v>
      </c>
      <c r="D10" s="37" t="s">
        <v>91</v>
      </c>
    </row>
    <row r="11" spans="1:9" x14ac:dyDescent="0.2">
      <c r="A11" s="151" t="s">
        <v>57</v>
      </c>
      <c r="B11" s="152"/>
      <c r="C11" s="152"/>
      <c r="D11" s="153"/>
    </row>
    <row r="12" spans="1:9" ht="63" x14ac:dyDescent="0.2">
      <c r="A12" s="31">
        <v>6021</v>
      </c>
      <c r="B12" s="30" t="s">
        <v>58</v>
      </c>
      <c r="C12" s="40" t="s">
        <v>29</v>
      </c>
      <c r="D12" s="43">
        <f>(2.3*E40*0.05)+(0.6*G40*0.05)+(1.8*H40*0.05)+(1*J40*0.05)+(3*D40*0.05)+(1.8*I40*0.05)+(0.8*K40*0.05)+(0.8*L40*0.05)</f>
        <v>3.4545000000000003</v>
      </c>
    </row>
    <row r="13" spans="1:9" ht="47.25" x14ac:dyDescent="0.2">
      <c r="A13" s="31" t="s">
        <v>38</v>
      </c>
      <c r="B13" s="30" t="s">
        <v>59</v>
      </c>
      <c r="C13" s="31" t="s">
        <v>29</v>
      </c>
      <c r="D13" s="61">
        <f>SUM(D14:D17)</f>
        <v>73.56</v>
      </c>
      <c r="E13" s="47"/>
    </row>
    <row r="14" spans="1:9" ht="15.75" x14ac:dyDescent="0.2">
      <c r="A14" s="31"/>
      <c r="B14" s="65" t="s">
        <v>63</v>
      </c>
      <c r="C14" s="31"/>
      <c r="D14" s="67">
        <f>SUM(J55:S55)</f>
        <v>48.459999999999994</v>
      </c>
      <c r="E14" s="47"/>
    </row>
    <row r="15" spans="1:9" ht="15.75" x14ac:dyDescent="0.2">
      <c r="A15" s="31"/>
      <c r="B15" s="65" t="s">
        <v>64</v>
      </c>
      <c r="C15" s="31"/>
      <c r="D15" s="72">
        <f>(0.01*44*2.5*2)</f>
        <v>2.2000000000000002</v>
      </c>
      <c r="E15" s="47"/>
    </row>
    <row r="16" spans="1:9" ht="15.75" x14ac:dyDescent="0.2">
      <c r="A16" s="31"/>
      <c r="B16" s="65" t="s">
        <v>66</v>
      </c>
      <c r="C16" s="31"/>
      <c r="D16" s="67">
        <v>2.4</v>
      </c>
      <c r="E16" s="47"/>
    </row>
    <row r="17" spans="1:7" ht="15.75" x14ac:dyDescent="0.2">
      <c r="A17" s="31"/>
      <c r="B17" s="65" t="s">
        <v>65</v>
      </c>
      <c r="C17" s="31"/>
      <c r="D17" s="67">
        <v>20.5</v>
      </c>
      <c r="E17" s="47"/>
    </row>
    <row r="18" spans="1:7" ht="126" x14ac:dyDescent="0.2">
      <c r="A18" s="31">
        <v>3708</v>
      </c>
      <c r="B18" s="53" t="s">
        <v>39</v>
      </c>
      <c r="C18" s="31" t="s">
        <v>30</v>
      </c>
      <c r="D18" s="68">
        <f>SUM(D19:D22)</f>
        <v>14312.584569999999</v>
      </c>
    </row>
    <row r="19" spans="1:7" ht="15.75" x14ac:dyDescent="0.2">
      <c r="A19" s="31"/>
      <c r="B19" s="65" t="s">
        <v>63</v>
      </c>
      <c r="C19" s="31"/>
      <c r="D19" s="69">
        <f>G100</f>
        <v>8674.5845699999991</v>
      </c>
    </row>
    <row r="20" spans="1:7" ht="15.75" x14ac:dyDescent="0.2">
      <c r="A20" s="31"/>
      <c r="B20" s="65" t="s">
        <v>64</v>
      </c>
      <c r="C20" s="31"/>
      <c r="D20" s="73">
        <f>(44*2.5*0.25*2)+286</f>
        <v>341</v>
      </c>
    </row>
    <row r="21" spans="1:7" ht="15.75" x14ac:dyDescent="0.2">
      <c r="A21" s="31"/>
      <c r="B21" s="65" t="s">
        <v>66</v>
      </c>
      <c r="C21" s="31"/>
      <c r="D21" s="69">
        <v>342</v>
      </c>
    </row>
    <row r="22" spans="1:7" ht="15.75" x14ac:dyDescent="0.2">
      <c r="A22" s="31"/>
      <c r="B22" s="65" t="s">
        <v>65</v>
      </c>
      <c r="C22" s="31"/>
      <c r="D22" s="69">
        <v>4955</v>
      </c>
    </row>
    <row r="23" spans="1:7" ht="31.5" x14ac:dyDescent="0.2">
      <c r="A23" s="34">
        <v>3464</v>
      </c>
      <c r="B23" s="53" t="s">
        <v>117</v>
      </c>
      <c r="C23" s="31" t="s">
        <v>29</v>
      </c>
      <c r="D23" s="61">
        <f>(1.6*1*G40)+(2.8*0.6*H40)+(2*1.2*J40)+(4*1.7*D40)+(3.3*1.5*E40)+(1.6*0.8*K40)+(2.8*1*I40)+(1.6*1*L40)</f>
        <v>114.42400000000001</v>
      </c>
    </row>
    <row r="24" spans="1:7" ht="84" customHeight="1" x14ac:dyDescent="0.2">
      <c r="A24" s="54">
        <v>3017</v>
      </c>
      <c r="B24" s="53" t="s">
        <v>33</v>
      </c>
      <c r="C24" s="31" t="s">
        <v>29</v>
      </c>
      <c r="D24" s="61">
        <f>D23</f>
        <v>114.42400000000001</v>
      </c>
    </row>
    <row r="25" spans="1:7" ht="66.75" customHeight="1" x14ac:dyDescent="0.2">
      <c r="A25" s="100">
        <v>7364</v>
      </c>
      <c r="B25" s="101" t="s">
        <v>118</v>
      </c>
      <c r="C25" s="31" t="s">
        <v>29</v>
      </c>
      <c r="D25" s="61">
        <f>D23-D13</f>
        <v>40.864000000000004</v>
      </c>
    </row>
    <row r="26" spans="1:7" ht="31.5" x14ac:dyDescent="0.2">
      <c r="A26" s="102"/>
      <c r="B26" s="53" t="s">
        <v>119</v>
      </c>
      <c r="C26" s="54" t="s">
        <v>34</v>
      </c>
      <c r="D26" s="74">
        <v>81.7</v>
      </c>
    </row>
    <row r="27" spans="1:7" ht="260.25" customHeight="1" x14ac:dyDescent="0.2">
      <c r="A27" s="52"/>
      <c r="B27" s="53" t="s">
        <v>104</v>
      </c>
      <c r="C27" s="54" t="s">
        <v>75</v>
      </c>
      <c r="D27" s="66">
        <v>50.6</v>
      </c>
      <c r="E27" s="2"/>
      <c r="F27" s="2"/>
      <c r="G27" s="2"/>
    </row>
    <row r="28" spans="1:7" ht="31.5" x14ac:dyDescent="0.2">
      <c r="A28" s="54">
        <v>4009</v>
      </c>
      <c r="B28" s="53" t="s">
        <v>74</v>
      </c>
      <c r="C28" s="54" t="s">
        <v>34</v>
      </c>
      <c r="D28" s="66">
        <v>64.5</v>
      </c>
      <c r="E28" s="2"/>
      <c r="F28" s="2"/>
      <c r="G28" s="2"/>
    </row>
    <row r="29" spans="1:7" ht="31.5" x14ac:dyDescent="0.2">
      <c r="A29" s="54">
        <v>5412</v>
      </c>
      <c r="B29" s="53" t="s">
        <v>230</v>
      </c>
      <c r="C29" s="83" t="s">
        <v>29</v>
      </c>
      <c r="D29" s="85">
        <v>10.3</v>
      </c>
      <c r="E29" s="2"/>
      <c r="F29" s="2"/>
      <c r="G29" s="2"/>
    </row>
    <row r="30" spans="1:7" ht="31.5" x14ac:dyDescent="0.2">
      <c r="A30" s="54">
        <v>3905</v>
      </c>
      <c r="B30" s="53" t="s">
        <v>73</v>
      </c>
      <c r="C30" s="54" t="s">
        <v>75</v>
      </c>
      <c r="D30" s="66">
        <v>50.6</v>
      </c>
      <c r="E30" s="2"/>
      <c r="F30" s="2"/>
      <c r="G30" s="2"/>
    </row>
    <row r="31" spans="1:7" ht="31.5" x14ac:dyDescent="0.2">
      <c r="A31" s="54">
        <v>3904</v>
      </c>
      <c r="B31" s="53" t="s">
        <v>229</v>
      </c>
      <c r="C31" s="84" t="s">
        <v>75</v>
      </c>
      <c r="D31" s="66">
        <f>17*0.3</f>
        <v>5.0999999999999996</v>
      </c>
      <c r="E31" s="2"/>
      <c r="F31" s="2"/>
      <c r="G31" s="2"/>
    </row>
    <row r="32" spans="1:7" ht="15.75" x14ac:dyDescent="0.2">
      <c r="A32" s="50"/>
      <c r="B32" s="41"/>
      <c r="C32" s="42"/>
      <c r="D32" s="51"/>
      <c r="E32" s="2"/>
      <c r="F32" s="2"/>
      <c r="G32" s="2"/>
    </row>
    <row r="33" spans="1:12" ht="15.75" x14ac:dyDescent="0.2">
      <c r="A33" s="50"/>
      <c r="B33" s="41"/>
      <c r="C33" s="42"/>
      <c r="D33" s="51"/>
      <c r="E33" s="2"/>
      <c r="F33" s="2"/>
      <c r="G33" s="2"/>
    </row>
    <row r="34" spans="1:12" ht="15.75" x14ac:dyDescent="0.2">
      <c r="D34" s="19" t="s">
        <v>70</v>
      </c>
      <c r="E34" s="19" t="s">
        <v>43</v>
      </c>
      <c r="F34" s="19" t="s">
        <v>41</v>
      </c>
      <c r="G34" s="19" t="s">
        <v>42</v>
      </c>
      <c r="H34" s="25" t="s">
        <v>55</v>
      </c>
      <c r="I34" s="25" t="s">
        <v>93</v>
      </c>
      <c r="J34" s="25" t="s">
        <v>54</v>
      </c>
      <c r="K34" s="25" t="s">
        <v>84</v>
      </c>
      <c r="L34" s="25" t="s">
        <v>94</v>
      </c>
    </row>
    <row r="35" spans="1:12" ht="15.75" x14ac:dyDescent="0.2">
      <c r="D35" s="19"/>
      <c r="E35" s="19"/>
      <c r="F35" s="19"/>
      <c r="G35" s="19"/>
      <c r="L35" s="25"/>
    </row>
    <row r="36" spans="1:12" ht="15.75" x14ac:dyDescent="0.2">
      <c r="D36" s="19"/>
      <c r="E36" s="19"/>
      <c r="F36" s="19"/>
      <c r="G36" s="19"/>
      <c r="L36" s="25"/>
    </row>
    <row r="37" spans="1:12" ht="15.75" x14ac:dyDescent="0.2">
      <c r="D37" s="19"/>
      <c r="E37" s="19"/>
      <c r="F37" s="19"/>
      <c r="G37" s="19"/>
      <c r="L37" s="25"/>
    </row>
    <row r="38" spans="1:12" ht="15.75" x14ac:dyDescent="0.2">
      <c r="D38" s="19"/>
      <c r="E38" s="19"/>
      <c r="F38" s="19"/>
      <c r="G38" s="19"/>
      <c r="J38" s="25">
        <f>4.74+3.6+3.44</f>
        <v>11.78</v>
      </c>
      <c r="L38" s="25"/>
    </row>
    <row r="39" spans="1:12" ht="15.75" x14ac:dyDescent="0.2">
      <c r="D39" s="19"/>
      <c r="E39" s="19"/>
      <c r="F39" s="19"/>
      <c r="G39" s="19"/>
      <c r="H39" s="25">
        <f>3+4.8+3.8</f>
        <v>11.6</v>
      </c>
      <c r="I39" s="25">
        <v>12.8</v>
      </c>
      <c r="J39" s="25">
        <f>3.37*3</f>
        <v>10.11</v>
      </c>
      <c r="L39" s="25">
        <v>4.0999999999999996</v>
      </c>
    </row>
    <row r="40" spans="1:12" ht="28.5" x14ac:dyDescent="0.2">
      <c r="C40" s="38" t="s">
        <v>51</v>
      </c>
      <c r="D40" s="36">
        <f t="shared" ref="D40:K40" si="0">SUM(D35:D39)</f>
        <v>0</v>
      </c>
      <c r="E40" s="36">
        <f t="shared" si="0"/>
        <v>0</v>
      </c>
      <c r="F40" s="36">
        <f t="shared" si="0"/>
        <v>0</v>
      </c>
      <c r="G40" s="36">
        <f t="shared" si="0"/>
        <v>0</v>
      </c>
      <c r="H40" s="36">
        <f t="shared" si="0"/>
        <v>11.6</v>
      </c>
      <c r="I40" s="36">
        <f t="shared" si="0"/>
        <v>12.8</v>
      </c>
      <c r="J40" s="36">
        <f t="shared" si="0"/>
        <v>21.89</v>
      </c>
      <c r="K40" s="36">
        <f t="shared" si="0"/>
        <v>0</v>
      </c>
      <c r="L40" s="36">
        <f t="shared" ref="L40" si="1">SUM(L35:L39)</f>
        <v>4.0999999999999996</v>
      </c>
    </row>
    <row r="41" spans="1:12" x14ac:dyDescent="0.2">
      <c r="L41" s="25"/>
    </row>
    <row r="42" spans="1:12" x14ac:dyDescent="0.2">
      <c r="C42" s="25" t="s">
        <v>52</v>
      </c>
      <c r="D42" s="39">
        <f>1.78*D40</f>
        <v>0</v>
      </c>
      <c r="E42" s="39">
        <f>1.08*E40</f>
        <v>0</v>
      </c>
      <c r="F42" s="39">
        <v>0</v>
      </c>
      <c r="G42" s="39">
        <f>0.12*G40</f>
        <v>0</v>
      </c>
      <c r="H42" s="39">
        <f>0.63*H40</f>
        <v>7.3079999999999998</v>
      </c>
      <c r="I42" s="39">
        <f>1.16*I40</f>
        <v>14.847999999999999</v>
      </c>
      <c r="J42" s="59">
        <f>0.3*J40</f>
        <v>6.5670000000000002</v>
      </c>
      <c r="K42" s="59">
        <f>0.2*K40</f>
        <v>0</v>
      </c>
      <c r="L42" s="39">
        <f>6*L40</f>
        <v>24.599999999999998</v>
      </c>
    </row>
    <row r="43" spans="1:12" x14ac:dyDescent="0.2">
      <c r="C43" s="25" t="s">
        <v>53</v>
      </c>
      <c r="D43" s="59">
        <f>1.5*D40</f>
        <v>0</v>
      </c>
      <c r="E43" s="59">
        <f>1.17*E40</f>
        <v>0</v>
      </c>
      <c r="F43" s="59">
        <f>1*0.3*F40</f>
        <v>0</v>
      </c>
      <c r="G43" s="59">
        <f>1.4*0.2*G40</f>
        <v>0</v>
      </c>
      <c r="H43" s="39">
        <f>2.65*0.3*H40</f>
        <v>9.2219999999999995</v>
      </c>
      <c r="I43" s="25">
        <v>0</v>
      </c>
      <c r="J43" s="59">
        <f>0.9*0.2*J40</f>
        <v>3.9402000000000004</v>
      </c>
      <c r="K43" s="59">
        <f>2.05*0.25*K40</f>
        <v>0</v>
      </c>
      <c r="L43" s="25">
        <v>0</v>
      </c>
    </row>
    <row r="44" spans="1:12" ht="15" x14ac:dyDescent="0.25">
      <c r="D44" s="44">
        <f t="shared" ref="D44:K44" si="2">D42+D43</f>
        <v>0</v>
      </c>
      <c r="E44" s="44">
        <f t="shared" si="2"/>
        <v>0</v>
      </c>
      <c r="F44" s="44">
        <f t="shared" si="2"/>
        <v>0</v>
      </c>
      <c r="G44" s="44">
        <f t="shared" si="2"/>
        <v>0</v>
      </c>
      <c r="H44" s="44">
        <f t="shared" si="2"/>
        <v>16.53</v>
      </c>
      <c r="I44" s="44">
        <f t="shared" si="2"/>
        <v>14.847999999999999</v>
      </c>
      <c r="J44" s="44">
        <f t="shared" si="2"/>
        <v>10.507200000000001</v>
      </c>
      <c r="K44" s="44">
        <f t="shared" si="2"/>
        <v>0</v>
      </c>
      <c r="L44" s="44">
        <f t="shared" ref="L44" si="3">L42+L43</f>
        <v>24.599999999999998</v>
      </c>
    </row>
    <row r="45" spans="1:12" x14ac:dyDescent="0.2">
      <c r="L45" s="25"/>
    </row>
    <row r="46" spans="1:12" x14ac:dyDescent="0.2">
      <c r="L46" s="25"/>
    </row>
    <row r="47" spans="1:12" x14ac:dyDescent="0.2">
      <c r="C47" s="25" t="s">
        <v>60</v>
      </c>
      <c r="D47" s="47">
        <f>269*D40</f>
        <v>0</v>
      </c>
      <c r="E47" s="47">
        <f>128*E40</f>
        <v>0</v>
      </c>
      <c r="G47" s="47">
        <f>14*G40</f>
        <v>0</v>
      </c>
      <c r="H47" s="47">
        <f>55*H40</f>
        <v>638</v>
      </c>
      <c r="J47" s="47">
        <f>43*J40</f>
        <v>941.27</v>
      </c>
      <c r="K47" s="47">
        <f>14*K40</f>
        <v>0</v>
      </c>
      <c r="L47" s="25"/>
    </row>
    <row r="48" spans="1:12" x14ac:dyDescent="0.2">
      <c r="C48" s="25" t="s">
        <v>61</v>
      </c>
      <c r="D48" s="47">
        <f>314*D40</f>
        <v>0</v>
      </c>
      <c r="E48" s="47">
        <f>149*E40</f>
        <v>0</v>
      </c>
      <c r="F48" s="47">
        <f>80*F40</f>
        <v>0</v>
      </c>
      <c r="G48" s="47">
        <f>23*G40</f>
        <v>0</v>
      </c>
      <c r="H48" s="47">
        <f>132*H40</f>
        <v>1531.2</v>
      </c>
      <c r="I48" s="47">
        <f>273*I40</f>
        <v>3494.4</v>
      </c>
      <c r="J48" s="47">
        <f>38*J40</f>
        <v>831.82</v>
      </c>
      <c r="K48" s="47">
        <f>30*K40</f>
        <v>0</v>
      </c>
      <c r="L48" s="47">
        <f>47*L40</f>
        <v>192.7</v>
      </c>
    </row>
    <row r="49" spans="3:19" ht="15" x14ac:dyDescent="0.25">
      <c r="D49" s="48">
        <f t="shared" ref="D49:K49" si="4">SUM(D47:D48)</f>
        <v>0</v>
      </c>
      <c r="E49" s="48">
        <f t="shared" si="4"/>
        <v>0</v>
      </c>
      <c r="F49" s="48">
        <f t="shared" si="4"/>
        <v>0</v>
      </c>
      <c r="G49" s="48">
        <f t="shared" si="4"/>
        <v>0</v>
      </c>
      <c r="H49" s="48">
        <f t="shared" si="4"/>
        <v>2169.1999999999998</v>
      </c>
      <c r="I49" s="48">
        <f t="shared" si="4"/>
        <v>3494.4</v>
      </c>
      <c r="J49" s="48">
        <f t="shared" si="4"/>
        <v>1773.0900000000001</v>
      </c>
      <c r="K49" s="48">
        <f t="shared" si="4"/>
        <v>0</v>
      </c>
      <c r="L49" s="48">
        <f t="shared" ref="L49" si="5">SUM(L47:L48)</f>
        <v>192.7</v>
      </c>
    </row>
    <row r="52" spans="3:19" ht="15.75" x14ac:dyDescent="0.2">
      <c r="C52" s="25" t="s">
        <v>122</v>
      </c>
      <c r="D52" s="19" t="s">
        <v>145</v>
      </c>
      <c r="E52" s="19" t="s">
        <v>146</v>
      </c>
      <c r="F52" s="19" t="s">
        <v>147</v>
      </c>
      <c r="G52" s="19" t="s">
        <v>148</v>
      </c>
    </row>
    <row r="53" spans="3:19" ht="15.75" x14ac:dyDescent="0.2">
      <c r="C53" s="25">
        <v>5</v>
      </c>
      <c r="D53" s="19">
        <f>LOOKUP(C53,Hoja2!$B$8:$B$20,Hoja2!$E$8:$E$20)</f>
        <v>1.552</v>
      </c>
      <c r="E53" s="19">
        <v>2.65</v>
      </c>
      <c r="F53" s="19">
        <v>17</v>
      </c>
      <c r="G53" s="110">
        <f>F53*E53*D53</f>
        <v>69.917599999999993</v>
      </c>
      <c r="H53" s="154">
        <f>SUM(G53:G56)</f>
        <v>247.8544</v>
      </c>
    </row>
    <row r="54" spans="3:19" ht="15.75" x14ac:dyDescent="0.2">
      <c r="C54" s="25">
        <v>5</v>
      </c>
      <c r="D54" s="19">
        <f>LOOKUP(C54,Hoja2!$B$8:$B$20,Hoja2!$E$8:$E$20)</f>
        <v>1.552</v>
      </c>
      <c r="E54" s="25">
        <v>3.31</v>
      </c>
      <c r="F54" s="25">
        <v>12</v>
      </c>
      <c r="G54" s="110">
        <f t="shared" ref="G54:G99" si="6">F54*E54*D54</f>
        <v>61.645440000000001</v>
      </c>
      <c r="H54" s="155"/>
      <c r="J54" s="25" t="s">
        <v>166</v>
      </c>
      <c r="K54" s="25" t="s">
        <v>219</v>
      </c>
      <c r="L54" s="22" t="s">
        <v>220</v>
      </c>
      <c r="M54" s="25" t="s">
        <v>202</v>
      </c>
      <c r="N54" s="22" t="s">
        <v>221</v>
      </c>
      <c r="O54" s="25" t="s">
        <v>172</v>
      </c>
      <c r="P54" s="25" t="s">
        <v>171</v>
      </c>
      <c r="Q54" s="22" t="s">
        <v>204</v>
      </c>
      <c r="R54" s="22" t="s">
        <v>203</v>
      </c>
      <c r="S54" s="22" t="s">
        <v>201</v>
      </c>
    </row>
    <row r="55" spans="3:19" ht="15.75" x14ac:dyDescent="0.2">
      <c r="C55" s="25">
        <v>5</v>
      </c>
      <c r="D55" s="19">
        <f>LOOKUP(C55,Hoja2!$B$8:$B$20,Hoja2!$E$8:$E$20)</f>
        <v>1.552</v>
      </c>
      <c r="E55" s="25">
        <v>2.85</v>
      </c>
      <c r="F55" s="25">
        <v>17</v>
      </c>
      <c r="G55" s="110">
        <f t="shared" si="6"/>
        <v>75.194400000000002</v>
      </c>
      <c r="H55" s="155"/>
      <c r="J55" s="25">
        <f>(6.2*0.3)+(4.33*2.5*0.4)</f>
        <v>6.1899999999999995</v>
      </c>
      <c r="K55" s="25">
        <f>0.48*(3.44)</f>
        <v>1.6512</v>
      </c>
      <c r="L55" s="25">
        <f>(7.9*0.3)+(4.8*2.5*0.4)</f>
        <v>7.1700000000000008</v>
      </c>
      <c r="M55" s="25">
        <f>0.48*(3.9)</f>
        <v>1.8719999999999999</v>
      </c>
      <c r="N55" s="25">
        <f>(4.37*0.3)+(2.7*2.5*0.4)</f>
        <v>4.0110000000000001</v>
      </c>
      <c r="O55" s="25">
        <f>0.48*(4.74+3.38)</f>
        <v>3.8976000000000002</v>
      </c>
      <c r="P55" s="25">
        <f>0.48*(3.37)*2</f>
        <v>3.2351999999999999</v>
      </c>
      <c r="Q55" s="25">
        <f>1.13*4.1</f>
        <v>4.6329999999999991</v>
      </c>
      <c r="R55" s="25">
        <f>1.3*5.8</f>
        <v>7.54</v>
      </c>
      <c r="S55" s="25">
        <f>1.18*7</f>
        <v>8.26</v>
      </c>
    </row>
    <row r="56" spans="3:19" ht="15.75" x14ac:dyDescent="0.2">
      <c r="C56" s="25">
        <v>5</v>
      </c>
      <c r="D56" s="19">
        <f>LOOKUP(C56,Hoja2!$B$8:$B$20,Hoja2!$E$8:$E$20)</f>
        <v>1.552</v>
      </c>
      <c r="E56" s="25">
        <v>3.31</v>
      </c>
      <c r="F56" s="25">
        <v>8</v>
      </c>
      <c r="G56" s="110">
        <f t="shared" si="6"/>
        <v>41.096960000000003</v>
      </c>
      <c r="H56" s="155"/>
    </row>
    <row r="57" spans="3:19" ht="15.75" x14ac:dyDescent="0.2">
      <c r="C57" s="25">
        <v>5</v>
      </c>
      <c r="D57" s="19">
        <f>LOOKUP(C57,Hoja2!$B$8:$B$20,Hoja2!$E$8:$E$20)</f>
        <v>1.552</v>
      </c>
      <c r="E57" s="25">
        <v>2.65</v>
      </c>
      <c r="F57" s="25">
        <v>24</v>
      </c>
      <c r="G57" s="110">
        <f t="shared" si="6"/>
        <v>98.7072</v>
      </c>
    </row>
    <row r="58" spans="3:19" ht="15.75" x14ac:dyDescent="0.2">
      <c r="C58" s="25">
        <v>5</v>
      </c>
      <c r="D58" s="19">
        <f>LOOKUP(C58,Hoja2!$B$8:$B$20,Hoja2!$E$8:$E$20)</f>
        <v>1.552</v>
      </c>
      <c r="E58" s="25">
        <v>4.68</v>
      </c>
      <c r="F58" s="25">
        <v>12</v>
      </c>
      <c r="G58" s="110">
        <f t="shared" si="6"/>
        <v>87.160319999999999</v>
      </c>
    </row>
    <row r="59" spans="3:19" ht="15.75" x14ac:dyDescent="0.2">
      <c r="C59" s="25">
        <v>5</v>
      </c>
      <c r="D59" s="19">
        <f>LOOKUP(C59,Hoja2!$B$8:$B$20,Hoja2!$E$8:$E$20)</f>
        <v>1.552</v>
      </c>
      <c r="E59" s="25">
        <v>2.85</v>
      </c>
      <c r="F59" s="25">
        <v>24</v>
      </c>
      <c r="G59" s="110">
        <f t="shared" si="6"/>
        <v>106.15680000000002</v>
      </c>
    </row>
    <row r="60" spans="3:19" ht="15.75" x14ac:dyDescent="0.2">
      <c r="C60" s="25">
        <v>5</v>
      </c>
      <c r="D60" s="19">
        <f>LOOKUP(C60,Hoja2!$B$8:$B$20,Hoja2!$E$8:$E$20)</f>
        <v>1.552</v>
      </c>
      <c r="E60" s="25">
        <v>4.68</v>
      </c>
      <c r="F60" s="25">
        <v>8</v>
      </c>
      <c r="G60" s="110">
        <f t="shared" si="6"/>
        <v>58.106879999999997</v>
      </c>
    </row>
    <row r="61" spans="3:19" ht="15.75" x14ac:dyDescent="0.2">
      <c r="C61" s="25">
        <v>6</v>
      </c>
      <c r="D61" s="19">
        <f>LOOKUP(C61,Hoja2!$B$8:$B$20,Hoja2!$E$8:$E$20)</f>
        <v>2.2349999999999999</v>
      </c>
      <c r="E61" s="25">
        <v>5.75</v>
      </c>
      <c r="F61" s="25">
        <v>18</v>
      </c>
      <c r="G61" s="110">
        <f t="shared" si="6"/>
        <v>231.32249999999999</v>
      </c>
    </row>
    <row r="62" spans="3:19" ht="15.75" x14ac:dyDescent="0.2">
      <c r="C62" s="25">
        <v>6</v>
      </c>
      <c r="D62" s="19">
        <f>LOOKUP(C62,Hoja2!$B$8:$B$20,Hoja2!$E$8:$E$20)</f>
        <v>2.2349999999999999</v>
      </c>
      <c r="E62" s="25">
        <v>2.62</v>
      </c>
      <c r="F62" s="25">
        <v>28</v>
      </c>
      <c r="G62" s="110">
        <f t="shared" si="6"/>
        <v>163.95959999999999</v>
      </c>
    </row>
    <row r="63" spans="3:19" ht="15.75" x14ac:dyDescent="0.2">
      <c r="C63" s="25">
        <v>6</v>
      </c>
      <c r="D63" s="19">
        <f>LOOKUP(C63,Hoja2!$B$8:$B$20,Hoja2!$E$8:$E$20)</f>
        <v>2.2349999999999999</v>
      </c>
      <c r="E63" s="25">
        <f>(5.65+3.25)/2</f>
        <v>4.45</v>
      </c>
      <c r="F63" s="25">
        <v>18</v>
      </c>
      <c r="G63" s="110">
        <f t="shared" si="6"/>
        <v>179.02350000000001</v>
      </c>
    </row>
    <row r="64" spans="3:19" ht="15.75" x14ac:dyDescent="0.2">
      <c r="C64" s="25">
        <v>5</v>
      </c>
      <c r="D64" s="19">
        <f>LOOKUP(C64,Hoja2!$B$8:$B$20,Hoja2!$E$8:$E$20)</f>
        <v>1.552</v>
      </c>
      <c r="E64" s="25">
        <v>2.62</v>
      </c>
      <c r="F64" s="25">
        <v>12</v>
      </c>
      <c r="G64" s="110">
        <f t="shared" si="6"/>
        <v>48.794880000000006</v>
      </c>
    </row>
    <row r="65" spans="3:7" ht="15.75" x14ac:dyDescent="0.2">
      <c r="C65" s="25">
        <v>6</v>
      </c>
      <c r="D65" s="19">
        <f>LOOKUP(C65,Hoja2!$B$8:$B$20,Hoja2!$E$8:$E$20)</f>
        <v>2.2349999999999999</v>
      </c>
      <c r="E65" s="25">
        <v>2.62</v>
      </c>
      <c r="F65" s="25">
        <v>2</v>
      </c>
      <c r="G65" s="110">
        <f t="shared" si="6"/>
        <v>11.711399999999999</v>
      </c>
    </row>
    <row r="66" spans="3:7" ht="15.75" x14ac:dyDescent="0.2">
      <c r="C66" s="25">
        <v>5</v>
      </c>
      <c r="D66" s="19">
        <f>LOOKUP(C66,Hoja2!$B$8:$B$20,Hoja2!$E$8:$E$20)</f>
        <v>1.552</v>
      </c>
      <c r="E66" s="25">
        <v>2.65</v>
      </c>
      <c r="F66" s="25">
        <v>20</v>
      </c>
      <c r="G66" s="110">
        <f t="shared" si="6"/>
        <v>82.256</v>
      </c>
    </row>
    <row r="67" spans="3:7" ht="15.75" x14ac:dyDescent="0.2">
      <c r="C67" s="25">
        <v>5</v>
      </c>
      <c r="D67" s="19">
        <f>LOOKUP(C67,Hoja2!$B$8:$B$20,Hoja2!$E$8:$E$20)</f>
        <v>1.552</v>
      </c>
      <c r="E67" s="25">
        <v>3.84</v>
      </c>
      <c r="F67" s="25">
        <v>12</v>
      </c>
      <c r="G67" s="110">
        <f t="shared" si="6"/>
        <v>71.516159999999999</v>
      </c>
    </row>
    <row r="68" spans="3:7" ht="15.75" x14ac:dyDescent="0.2">
      <c r="C68" s="25">
        <v>5</v>
      </c>
      <c r="D68" s="19">
        <f>LOOKUP(C68,Hoja2!$B$8:$B$20,Hoja2!$E$8:$E$20)</f>
        <v>1.552</v>
      </c>
      <c r="E68" s="25">
        <v>2.85</v>
      </c>
      <c r="F68" s="25">
        <v>20</v>
      </c>
      <c r="G68" s="110">
        <f t="shared" si="6"/>
        <v>88.463999999999999</v>
      </c>
    </row>
    <row r="69" spans="3:7" ht="15.75" x14ac:dyDescent="0.2">
      <c r="C69" s="25">
        <v>5</v>
      </c>
      <c r="D69" s="19">
        <f>LOOKUP(C69,Hoja2!$B$8:$B$20,Hoja2!$E$8:$E$20)</f>
        <v>1.552</v>
      </c>
      <c r="E69" s="25">
        <v>3.84</v>
      </c>
      <c r="F69" s="25">
        <v>8</v>
      </c>
      <c r="G69" s="110">
        <f t="shared" si="6"/>
        <v>47.677439999999997</v>
      </c>
    </row>
    <row r="70" spans="3:7" ht="15.75" x14ac:dyDescent="0.2">
      <c r="C70" s="25">
        <v>6</v>
      </c>
      <c r="D70" s="19">
        <f>LOOKUP(C70,Hoja2!$B$8:$B$20,Hoja2!$E$8:$E$20)</f>
        <v>2.2349999999999999</v>
      </c>
      <c r="E70" s="25">
        <v>5.75</v>
      </c>
      <c r="F70" s="25">
        <v>32</v>
      </c>
      <c r="G70" s="110">
        <f t="shared" si="6"/>
        <v>411.23999999999995</v>
      </c>
    </row>
    <row r="71" spans="3:7" ht="15.75" x14ac:dyDescent="0.2">
      <c r="C71" s="25">
        <v>6</v>
      </c>
      <c r="D71" s="19">
        <f>LOOKUP(C71,Hoja2!$B$8:$B$20,Hoja2!$E$8:$E$20)</f>
        <v>2.2349999999999999</v>
      </c>
      <c r="E71" s="25">
        <v>4.74</v>
      </c>
      <c r="F71" s="25">
        <v>28</v>
      </c>
      <c r="G71" s="110">
        <f t="shared" si="6"/>
        <v>296.62919999999997</v>
      </c>
    </row>
    <row r="72" spans="3:7" ht="15.75" x14ac:dyDescent="0.2">
      <c r="C72" s="25">
        <v>6</v>
      </c>
      <c r="D72" s="19">
        <f>LOOKUP(C72,Hoja2!$B$8:$B$20,Hoja2!$E$8:$E$20)</f>
        <v>2.2349999999999999</v>
      </c>
      <c r="E72" s="25">
        <f>(6.75+2.25)/2</f>
        <v>4.5</v>
      </c>
      <c r="F72" s="25">
        <v>32</v>
      </c>
      <c r="G72" s="110">
        <f t="shared" si="6"/>
        <v>321.83999999999997</v>
      </c>
    </row>
    <row r="73" spans="3:7" ht="15.75" x14ac:dyDescent="0.2">
      <c r="C73" s="25">
        <v>5</v>
      </c>
      <c r="D73" s="19">
        <f>LOOKUP(C73,Hoja2!$B$8:$B$20,Hoja2!$E$8:$E$20)</f>
        <v>1.552</v>
      </c>
      <c r="E73" s="25">
        <v>4.74</v>
      </c>
      <c r="F73" s="25">
        <v>12</v>
      </c>
      <c r="G73" s="110">
        <f t="shared" si="6"/>
        <v>88.277760000000001</v>
      </c>
    </row>
    <row r="74" spans="3:7" ht="15.75" x14ac:dyDescent="0.2">
      <c r="C74" s="25">
        <v>6</v>
      </c>
      <c r="D74" s="19">
        <f>LOOKUP(C74,Hoja2!$B$8:$B$20,Hoja2!$E$8:$E$20)</f>
        <v>2.2349999999999999</v>
      </c>
      <c r="E74" s="25">
        <v>5.27</v>
      </c>
      <c r="F74" s="25">
        <v>2</v>
      </c>
      <c r="G74" s="110">
        <f t="shared" si="6"/>
        <v>23.556899999999995</v>
      </c>
    </row>
    <row r="75" spans="3:7" ht="15.75" x14ac:dyDescent="0.2">
      <c r="C75" s="25">
        <v>5</v>
      </c>
      <c r="D75" s="19">
        <f>LOOKUP(C75,Hoja2!$B$8:$B$20,Hoja2!$E$8:$E$20)</f>
        <v>1.552</v>
      </c>
      <c r="E75" s="25">
        <v>2.65</v>
      </c>
      <c r="F75" s="25">
        <v>18</v>
      </c>
      <c r="G75" s="110">
        <f t="shared" si="6"/>
        <v>74.0304</v>
      </c>
    </row>
    <row r="76" spans="3:7" ht="15.75" x14ac:dyDescent="0.2">
      <c r="C76" s="25">
        <v>5</v>
      </c>
      <c r="D76" s="19">
        <f>LOOKUP(C76,Hoja2!$B$8:$B$20,Hoja2!$E$8:$E$20)</f>
        <v>1.552</v>
      </c>
      <c r="E76" s="25">
        <v>3.38</v>
      </c>
      <c r="F76" s="25">
        <v>12</v>
      </c>
      <c r="G76" s="110">
        <f t="shared" si="6"/>
        <v>62.949120000000008</v>
      </c>
    </row>
    <row r="77" spans="3:7" ht="15.75" x14ac:dyDescent="0.2">
      <c r="C77" s="25">
        <v>5</v>
      </c>
      <c r="D77" s="19">
        <f>LOOKUP(C77,Hoja2!$B$8:$B$20,Hoja2!$E$8:$E$20)</f>
        <v>1.552</v>
      </c>
      <c r="E77" s="25">
        <v>2.85</v>
      </c>
      <c r="F77" s="25">
        <v>18</v>
      </c>
      <c r="G77" s="110">
        <f t="shared" si="6"/>
        <v>79.61760000000001</v>
      </c>
    </row>
    <row r="78" spans="3:7" ht="15.75" x14ac:dyDescent="0.2">
      <c r="C78" s="25">
        <v>5</v>
      </c>
      <c r="D78" s="19">
        <f>LOOKUP(C78,Hoja2!$B$8:$B$20,Hoja2!$E$8:$E$20)</f>
        <v>1.552</v>
      </c>
      <c r="E78" s="25">
        <v>3.38</v>
      </c>
      <c r="F78" s="25">
        <v>8</v>
      </c>
      <c r="G78" s="110">
        <f t="shared" si="6"/>
        <v>41.966079999999998</v>
      </c>
    </row>
    <row r="79" spans="3:7" ht="15.75" x14ac:dyDescent="0.2">
      <c r="C79" s="25">
        <v>6</v>
      </c>
      <c r="D79" s="19">
        <f>LOOKUP(C79,Hoja2!$B$8:$B$20,Hoja2!$E$8:$E$20)</f>
        <v>2.2349999999999999</v>
      </c>
      <c r="E79" s="25">
        <v>5.75</v>
      </c>
      <c r="F79" s="25">
        <v>29</v>
      </c>
      <c r="G79" s="110">
        <f t="shared" si="6"/>
        <v>372.68624999999997</v>
      </c>
    </row>
    <row r="80" spans="3:7" ht="15.75" x14ac:dyDescent="0.2">
      <c r="C80" s="25">
        <v>6</v>
      </c>
      <c r="D80" s="19">
        <f>LOOKUP(C80,Hoja2!$B$8:$B$20,Hoja2!$E$8:$E$20)</f>
        <v>2.2349999999999999</v>
      </c>
      <c r="E80" s="25">
        <v>4.2699999999999996</v>
      </c>
      <c r="F80" s="25">
        <v>28</v>
      </c>
      <c r="G80" s="110">
        <f t="shared" si="6"/>
        <v>267.21659999999997</v>
      </c>
    </row>
    <row r="81" spans="3:7" ht="15.75" x14ac:dyDescent="0.2">
      <c r="C81" s="25">
        <v>6</v>
      </c>
      <c r="D81" s="19">
        <f>LOOKUP(C81,Hoja2!$B$8:$B$20,Hoja2!$E$8:$E$20)</f>
        <v>2.2349999999999999</v>
      </c>
      <c r="E81" s="25">
        <f>(5.25+2.25)/2</f>
        <v>3.75</v>
      </c>
      <c r="F81" s="25">
        <v>29</v>
      </c>
      <c r="G81" s="110">
        <f t="shared" si="6"/>
        <v>243.05624999999998</v>
      </c>
    </row>
    <row r="82" spans="3:7" ht="15.75" x14ac:dyDescent="0.2">
      <c r="C82" s="25">
        <v>5</v>
      </c>
      <c r="D82" s="19">
        <f>LOOKUP(C82,Hoja2!$B$8:$B$20,Hoja2!$E$8:$E$20)</f>
        <v>1.552</v>
      </c>
      <c r="E82" s="25">
        <v>4.2699999999999996</v>
      </c>
      <c r="F82" s="25">
        <v>10</v>
      </c>
      <c r="G82" s="110">
        <f t="shared" si="6"/>
        <v>66.270399999999995</v>
      </c>
    </row>
    <row r="83" spans="3:7" ht="15.75" x14ac:dyDescent="0.2">
      <c r="C83" s="25">
        <v>6</v>
      </c>
      <c r="D83" s="19">
        <f>LOOKUP(C83,Hoja2!$B$8:$B$20,Hoja2!$E$8:$E$20)</f>
        <v>2.2349999999999999</v>
      </c>
      <c r="E83" s="25">
        <v>4.62</v>
      </c>
      <c r="F83" s="25">
        <v>2</v>
      </c>
      <c r="G83" s="110">
        <f t="shared" si="6"/>
        <v>20.651399999999999</v>
      </c>
    </row>
    <row r="84" spans="3:7" ht="15.75" x14ac:dyDescent="0.2">
      <c r="C84" s="25">
        <v>6</v>
      </c>
      <c r="D84" s="19">
        <f>LOOKUP(C84,Hoja2!$B$8:$B$20,Hoja2!$E$8:$E$20)</f>
        <v>2.2349999999999999</v>
      </c>
      <c r="E84" s="25">
        <v>2.35</v>
      </c>
      <c r="F84" s="25">
        <v>21</v>
      </c>
      <c r="G84" s="110">
        <f t="shared" si="6"/>
        <v>110.29724999999999</v>
      </c>
    </row>
    <row r="85" spans="3:7" ht="15.75" x14ac:dyDescent="0.2">
      <c r="C85" s="25">
        <v>6</v>
      </c>
      <c r="D85" s="19">
        <f>LOOKUP(C85,Hoja2!$B$8:$B$20,Hoja2!$E$8:$E$20)</f>
        <v>2.2349999999999999</v>
      </c>
      <c r="E85" s="25">
        <v>4.04</v>
      </c>
      <c r="F85" s="25">
        <v>22</v>
      </c>
      <c r="G85" s="110">
        <f t="shared" si="6"/>
        <v>198.64679999999998</v>
      </c>
    </row>
    <row r="86" spans="3:7" ht="15.75" x14ac:dyDescent="0.2">
      <c r="C86" s="25">
        <v>6</v>
      </c>
      <c r="D86" s="19">
        <f>LOOKUP(C86,Hoja2!$B$8:$B$20,Hoja2!$E$8:$E$20)</f>
        <v>2.2349999999999999</v>
      </c>
      <c r="E86" s="25">
        <f>(6.97+4.57)/2</f>
        <v>5.77</v>
      </c>
      <c r="F86" s="25">
        <v>42</v>
      </c>
      <c r="G86" s="110">
        <f t="shared" si="6"/>
        <v>541.62989999999991</v>
      </c>
    </row>
    <row r="87" spans="3:7" ht="15.75" x14ac:dyDescent="0.2">
      <c r="C87" s="25">
        <v>6</v>
      </c>
      <c r="D87" s="19">
        <f>LOOKUP(C87,Hoja2!$B$8:$B$20,Hoja2!$E$8:$E$20)</f>
        <v>2.2349999999999999</v>
      </c>
      <c r="E87" s="25">
        <v>4.2300000000000004</v>
      </c>
      <c r="F87" s="25">
        <v>4</v>
      </c>
      <c r="G87" s="110">
        <f t="shared" si="6"/>
        <v>37.816200000000002</v>
      </c>
    </row>
    <row r="88" spans="3:7" ht="15.75" x14ac:dyDescent="0.2">
      <c r="C88" s="25">
        <v>5</v>
      </c>
      <c r="D88" s="19">
        <f>LOOKUP(C88,Hoja2!$B$8:$B$20,Hoja2!$E$8:$E$20)</f>
        <v>1.552</v>
      </c>
      <c r="E88" s="25">
        <v>4.04</v>
      </c>
      <c r="F88" s="25">
        <v>32</v>
      </c>
      <c r="G88" s="110">
        <f t="shared" si="6"/>
        <v>200.64256</v>
      </c>
    </row>
    <row r="89" spans="3:7" ht="15.75" x14ac:dyDescent="0.2">
      <c r="C89" s="25">
        <v>6</v>
      </c>
      <c r="D89" s="19">
        <f>LOOKUP(C89,Hoja2!$B$8:$B$20,Hoja2!$E$8:$E$20)</f>
        <v>2.2349999999999999</v>
      </c>
      <c r="E89" s="25">
        <v>3.75</v>
      </c>
      <c r="F89" s="25">
        <v>29</v>
      </c>
      <c r="G89" s="110">
        <f t="shared" si="6"/>
        <v>243.05624999999998</v>
      </c>
    </row>
    <row r="90" spans="3:7" ht="15.75" x14ac:dyDescent="0.2">
      <c r="C90" s="25">
        <v>6</v>
      </c>
      <c r="D90" s="19">
        <f>LOOKUP(C90,Hoja2!$B$8:$B$20,Hoja2!$E$8:$E$20)</f>
        <v>2.2349999999999999</v>
      </c>
      <c r="E90" s="25">
        <v>5.74</v>
      </c>
      <c r="F90" s="25">
        <v>14</v>
      </c>
      <c r="G90" s="110">
        <f t="shared" si="6"/>
        <v>179.60459999999998</v>
      </c>
    </row>
    <row r="91" spans="3:7" ht="15.75" x14ac:dyDescent="0.2">
      <c r="C91" s="25">
        <v>6</v>
      </c>
      <c r="D91" s="19">
        <f>LOOKUP(C91,Hoja2!$B$8:$B$20,Hoja2!$E$8:$E$20)</f>
        <v>2.2349999999999999</v>
      </c>
      <c r="E91" s="25">
        <f>(8.35+3.55)/2</f>
        <v>5.9499999999999993</v>
      </c>
      <c r="F91" s="25">
        <v>58</v>
      </c>
      <c r="G91" s="110">
        <f t="shared" si="6"/>
        <v>771.29849999999988</v>
      </c>
    </row>
    <row r="92" spans="3:7" ht="15.75" x14ac:dyDescent="0.2">
      <c r="C92" s="25">
        <v>6</v>
      </c>
      <c r="D92" s="19">
        <f>LOOKUP(C92,Hoja2!$B$8:$B$20,Hoja2!$E$8:$E$20)</f>
        <v>2.2349999999999999</v>
      </c>
      <c r="E92" s="25">
        <v>6.31</v>
      </c>
      <c r="F92" s="25">
        <v>4</v>
      </c>
      <c r="G92" s="110">
        <f t="shared" si="6"/>
        <v>56.411399999999993</v>
      </c>
    </row>
    <row r="93" spans="3:7" ht="15.75" x14ac:dyDescent="0.2">
      <c r="C93" s="25">
        <v>5</v>
      </c>
      <c r="D93" s="19">
        <f>LOOKUP(C93,Hoja2!$B$8:$B$20,Hoja2!$E$8:$E$20)</f>
        <v>1.552</v>
      </c>
      <c r="E93" s="25">
        <v>5.74</v>
      </c>
      <c r="F93" s="25">
        <v>36</v>
      </c>
      <c r="G93" s="110">
        <f t="shared" si="6"/>
        <v>320.70528000000002</v>
      </c>
    </row>
    <row r="94" spans="3:7" ht="15.75" x14ac:dyDescent="0.2">
      <c r="C94" s="25">
        <v>6</v>
      </c>
      <c r="D94" s="19">
        <f>LOOKUP(C94,Hoja2!$B$8:$B$20,Hoja2!$E$8:$E$20)</f>
        <v>2.2349999999999999</v>
      </c>
      <c r="E94" s="25">
        <v>4.75</v>
      </c>
      <c r="F94" s="25">
        <v>29</v>
      </c>
      <c r="G94" s="110">
        <f t="shared" si="6"/>
        <v>307.87124999999997</v>
      </c>
    </row>
    <row r="95" spans="3:7" ht="15.75" x14ac:dyDescent="0.2">
      <c r="C95" s="25">
        <v>6</v>
      </c>
      <c r="D95" s="19">
        <f>LOOKUP(C95,Hoja2!$B$8:$B$20,Hoja2!$E$8:$E$20)</f>
        <v>2.2349999999999999</v>
      </c>
      <c r="E95" s="25">
        <v>6.94</v>
      </c>
      <c r="F95" s="25">
        <v>17</v>
      </c>
      <c r="G95" s="110">
        <f t="shared" si="6"/>
        <v>263.68529999999998</v>
      </c>
    </row>
    <row r="96" spans="3:7" ht="15.75" x14ac:dyDescent="0.2">
      <c r="C96" s="25">
        <v>6</v>
      </c>
      <c r="D96" s="19">
        <f>LOOKUP(C96,Hoja2!$B$8:$B$20,Hoja2!$E$8:$E$20)</f>
        <v>2.2349999999999999</v>
      </c>
      <c r="E96" s="25">
        <f>(6.17+3.55)/2</f>
        <v>4.8599999999999994</v>
      </c>
      <c r="F96" s="25">
        <v>40</v>
      </c>
      <c r="G96" s="110">
        <f t="shared" si="6"/>
        <v>434.48399999999992</v>
      </c>
    </row>
    <row r="97" spans="3:7" ht="15.75" x14ac:dyDescent="0.2">
      <c r="C97" s="25">
        <v>6</v>
      </c>
      <c r="D97" s="19">
        <f>LOOKUP(C97,Hoja2!$B$8:$B$20,Hoja2!$E$8:$E$20)</f>
        <v>2.2349999999999999</v>
      </c>
      <c r="E97" s="25">
        <v>3.55</v>
      </c>
      <c r="F97" s="25">
        <v>32</v>
      </c>
      <c r="G97" s="110">
        <f t="shared" si="6"/>
        <v>253.89599999999999</v>
      </c>
    </row>
    <row r="98" spans="3:7" ht="15.75" x14ac:dyDescent="0.2">
      <c r="C98" s="25">
        <v>6</v>
      </c>
      <c r="D98" s="19">
        <f>LOOKUP(C98,Hoja2!$B$8:$B$20,Hoja2!$E$8:$E$20)</f>
        <v>2.2349999999999999</v>
      </c>
      <c r="E98" s="25">
        <v>7.22</v>
      </c>
      <c r="F98" s="25">
        <v>4</v>
      </c>
      <c r="G98" s="110">
        <f t="shared" si="6"/>
        <v>64.54679999999999</v>
      </c>
    </row>
    <row r="99" spans="3:7" ht="15.75" x14ac:dyDescent="0.2">
      <c r="C99" s="25">
        <v>5</v>
      </c>
      <c r="D99" s="19">
        <f>LOOKUP(C99,Hoja2!$B$8:$B$20,Hoja2!$E$8:$E$20)</f>
        <v>1.552</v>
      </c>
      <c r="E99" s="25">
        <v>6.94</v>
      </c>
      <c r="F99" s="25">
        <v>28</v>
      </c>
      <c r="G99" s="110">
        <f t="shared" si="6"/>
        <v>301.58464000000004</v>
      </c>
    </row>
    <row r="100" spans="3:7" ht="15" x14ac:dyDescent="0.25">
      <c r="G100" s="111">
        <f>SUM(G53:G99)+(H53*2)</f>
        <v>8674.5845699999991</v>
      </c>
    </row>
  </sheetData>
  <mergeCells count="3">
    <mergeCell ref="E7:I7"/>
    <mergeCell ref="A11:D11"/>
    <mergeCell ref="H53:H56"/>
  </mergeCells>
  <pageMargins left="0.7" right="0.7" top="0.75" bottom="0.75" header="0.3" footer="0.3"/>
  <pageSetup scale="4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F0B0E-6638-49EF-BDE7-3B46F50154B9}">
  <sheetPr>
    <tabColor rgb="FFFFFF00"/>
  </sheetPr>
  <dimension ref="A2:T99"/>
  <sheetViews>
    <sheetView view="pageBreakPreview" topLeftCell="A25" zoomScale="85" zoomScaleNormal="85" zoomScaleSheetLayoutView="85" workbookViewId="0">
      <selection activeCell="D32" sqref="D32"/>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96</v>
      </c>
      <c r="F7" s="150"/>
      <c r="G7" s="150"/>
      <c r="H7" s="150"/>
      <c r="I7" s="150"/>
    </row>
    <row r="10" spans="1:9" ht="38.25" x14ac:dyDescent="0.2">
      <c r="A10" s="28" t="s">
        <v>26</v>
      </c>
      <c r="B10" s="32" t="s">
        <v>27</v>
      </c>
      <c r="C10" s="29" t="s">
        <v>28</v>
      </c>
      <c r="D10" s="37" t="s">
        <v>95</v>
      </c>
    </row>
    <row r="11" spans="1:9" x14ac:dyDescent="0.2">
      <c r="A11" s="151" t="s">
        <v>57</v>
      </c>
      <c r="B11" s="152"/>
      <c r="C11" s="152"/>
      <c r="D11" s="153"/>
    </row>
    <row r="12" spans="1:9" ht="63" x14ac:dyDescent="0.2">
      <c r="A12" s="31">
        <v>6021</v>
      </c>
      <c r="B12" s="30" t="s">
        <v>58</v>
      </c>
      <c r="C12" s="81" t="s">
        <v>29</v>
      </c>
      <c r="D12" s="82">
        <f>(2.3*E40*0.05)+(0.6*G40*0.05)+(1.8*H40*0.05)+(1*J40*0.05)+(3*D40*0.05)+(1.8*I40*0.05)+(0.8*K40*0.05)</f>
        <v>6.7080000000000011</v>
      </c>
    </row>
    <row r="13" spans="1:9" ht="47.25" x14ac:dyDescent="0.2">
      <c r="A13" s="31" t="s">
        <v>38</v>
      </c>
      <c r="B13" s="30" t="s">
        <v>59</v>
      </c>
      <c r="C13" s="31" t="s">
        <v>29</v>
      </c>
      <c r="D13" s="61">
        <f>SUM(D14:D17)</f>
        <v>169.88660000000004</v>
      </c>
      <c r="E13" s="47"/>
    </row>
    <row r="14" spans="1:9" ht="15.75" x14ac:dyDescent="0.2">
      <c r="A14" s="31"/>
      <c r="B14" s="65" t="s">
        <v>63</v>
      </c>
      <c r="C14" s="31"/>
      <c r="D14" s="67">
        <f>D44+E44+F44+G44+H44+I44+J44+K44+L44</f>
        <v>120.03660000000002</v>
      </c>
      <c r="E14" s="47"/>
    </row>
    <row r="15" spans="1:9" ht="15.75" x14ac:dyDescent="0.2">
      <c r="A15" s="31"/>
      <c r="B15" s="65" t="s">
        <v>64</v>
      </c>
      <c r="C15" s="31"/>
      <c r="D15" s="72">
        <f>(0.01*120*3*2)</f>
        <v>7.1999999999999993</v>
      </c>
      <c r="E15" s="47"/>
    </row>
    <row r="16" spans="1:9" ht="15.75" x14ac:dyDescent="0.2">
      <c r="A16" s="31"/>
      <c r="B16" s="65" t="s">
        <v>66</v>
      </c>
      <c r="C16" s="31"/>
      <c r="D16" s="67">
        <v>5.7</v>
      </c>
      <c r="E16" s="47"/>
    </row>
    <row r="17" spans="1:7" ht="15.75" x14ac:dyDescent="0.2">
      <c r="A17" s="31"/>
      <c r="B17" s="65" t="s">
        <v>65</v>
      </c>
      <c r="C17" s="31"/>
      <c r="D17" s="67">
        <v>36.950000000000003</v>
      </c>
      <c r="E17" s="47"/>
    </row>
    <row r="18" spans="1:7" ht="126" x14ac:dyDescent="0.2">
      <c r="A18" s="31">
        <v>3708</v>
      </c>
      <c r="B18" s="53" t="s">
        <v>39</v>
      </c>
      <c r="C18" s="31" t="s">
        <v>30</v>
      </c>
      <c r="D18" s="68">
        <f>SUM(D19:D22)</f>
        <v>23506.817179999998</v>
      </c>
    </row>
    <row r="19" spans="1:7" ht="15.75" x14ac:dyDescent="0.2">
      <c r="A19" s="31"/>
      <c r="B19" s="65" t="s">
        <v>63</v>
      </c>
      <c r="C19" s="31"/>
      <c r="D19" s="69">
        <f>G99</f>
        <v>14829.81718</v>
      </c>
    </row>
    <row r="20" spans="1:7" ht="15.75" x14ac:dyDescent="0.2">
      <c r="A20" s="31"/>
      <c r="B20" s="65" t="s">
        <v>64</v>
      </c>
      <c r="C20" s="31"/>
      <c r="D20" s="73">
        <f>(120*3*0.25*2)+755</f>
        <v>935</v>
      </c>
    </row>
    <row r="21" spans="1:7" ht="15.75" x14ac:dyDescent="0.2">
      <c r="A21" s="31"/>
      <c r="B21" s="65" t="s">
        <v>66</v>
      </c>
      <c r="C21" s="31"/>
      <c r="D21" s="69">
        <v>807</v>
      </c>
    </row>
    <row r="22" spans="1:7" ht="15.75" x14ac:dyDescent="0.2">
      <c r="A22" s="31"/>
      <c r="B22" s="65" t="s">
        <v>65</v>
      </c>
      <c r="C22" s="31"/>
      <c r="D22" s="69">
        <v>6935</v>
      </c>
    </row>
    <row r="23" spans="1:7" ht="31.5" x14ac:dyDescent="0.2">
      <c r="A23" s="34">
        <v>3464</v>
      </c>
      <c r="B23" s="53" t="s">
        <v>117</v>
      </c>
      <c r="C23" s="31" t="s">
        <v>29</v>
      </c>
      <c r="D23" s="61">
        <f>(1.6*1*G40)+(2.8*0.6*H40)+(2*1.2*J40)+(4*1.7*D40)+(3.3*1.5*E40)+(1.6*0.8*K40)+(2.8*1*I40)</f>
        <v>238.512</v>
      </c>
    </row>
    <row r="24" spans="1:7" ht="84" customHeight="1" x14ac:dyDescent="0.2">
      <c r="A24" s="54">
        <v>3017</v>
      </c>
      <c r="B24" s="53" t="s">
        <v>33</v>
      </c>
      <c r="C24" s="31" t="s">
        <v>29</v>
      </c>
      <c r="D24" s="61">
        <f>D23</f>
        <v>238.512</v>
      </c>
    </row>
    <row r="25" spans="1:7" ht="70.5" customHeight="1" x14ac:dyDescent="0.2">
      <c r="A25" s="100">
        <v>7364</v>
      </c>
      <c r="B25" s="101" t="s">
        <v>118</v>
      </c>
      <c r="C25" s="31" t="s">
        <v>29</v>
      </c>
      <c r="D25" s="61">
        <f>D23-D13</f>
        <v>68.625399999999956</v>
      </c>
    </row>
    <row r="26" spans="1:7" ht="31.5" x14ac:dyDescent="0.2">
      <c r="A26" s="102"/>
      <c r="B26" s="53" t="s">
        <v>119</v>
      </c>
      <c r="C26" s="54" t="s">
        <v>34</v>
      </c>
      <c r="D26" s="74">
        <f>94*3</f>
        <v>282</v>
      </c>
    </row>
    <row r="27" spans="1:7" ht="252.75" customHeight="1" x14ac:dyDescent="0.2">
      <c r="A27" s="52"/>
      <c r="B27" s="53" t="s">
        <v>104</v>
      </c>
      <c r="C27" s="54" t="s">
        <v>75</v>
      </c>
      <c r="D27" s="66">
        <v>120.4</v>
      </c>
      <c r="E27" s="2"/>
      <c r="F27" s="2"/>
      <c r="G27" s="2"/>
    </row>
    <row r="28" spans="1:7" ht="31.5" x14ac:dyDescent="0.2">
      <c r="A28" s="54">
        <v>4009</v>
      </c>
      <c r="B28" s="53" t="s">
        <v>74</v>
      </c>
      <c r="C28" s="54" t="s">
        <v>34</v>
      </c>
      <c r="D28" s="66">
        <v>152.4</v>
      </c>
      <c r="E28" s="2"/>
      <c r="F28" s="2"/>
      <c r="G28" s="2"/>
    </row>
    <row r="29" spans="1:7" ht="31.5" x14ac:dyDescent="0.2">
      <c r="A29" s="54">
        <v>5412</v>
      </c>
      <c r="B29" s="53" t="s">
        <v>230</v>
      </c>
      <c r="C29" s="83" t="s">
        <v>29</v>
      </c>
      <c r="D29" s="85">
        <v>22.9</v>
      </c>
      <c r="E29" s="2"/>
      <c r="F29" s="2"/>
      <c r="G29" s="2"/>
    </row>
    <row r="30" spans="1:7" ht="31.5" x14ac:dyDescent="0.2">
      <c r="A30" s="54">
        <v>3905</v>
      </c>
      <c r="B30" s="53" t="s">
        <v>73</v>
      </c>
      <c r="C30" s="54" t="s">
        <v>75</v>
      </c>
      <c r="D30" s="66">
        <v>120.4</v>
      </c>
      <c r="E30" s="2"/>
      <c r="F30" s="2"/>
      <c r="G30" s="2"/>
    </row>
    <row r="31" spans="1:7" ht="31.5" x14ac:dyDescent="0.2">
      <c r="A31" s="54">
        <v>3904</v>
      </c>
      <c r="B31" s="53" t="s">
        <v>229</v>
      </c>
      <c r="C31" s="84" t="s">
        <v>75</v>
      </c>
      <c r="D31" s="66">
        <f>40*0.3</f>
        <v>12</v>
      </c>
      <c r="E31" s="2"/>
      <c r="F31" s="2"/>
      <c r="G31" s="2"/>
    </row>
    <row r="32" spans="1:7" ht="15.75" x14ac:dyDescent="0.2">
      <c r="A32" s="50"/>
      <c r="B32" s="41"/>
      <c r="C32" s="42"/>
      <c r="D32" s="51"/>
      <c r="E32" s="2"/>
      <c r="F32" s="2"/>
      <c r="G32" s="2"/>
    </row>
    <row r="33" spans="1:12" ht="15.75" x14ac:dyDescent="0.2">
      <c r="A33" s="50"/>
      <c r="B33" s="41"/>
      <c r="C33" s="42"/>
      <c r="D33" s="51"/>
      <c r="E33" s="2"/>
      <c r="F33" s="2"/>
      <c r="G33" s="2"/>
    </row>
    <row r="34" spans="1:12" ht="15.75" x14ac:dyDescent="0.2">
      <c r="D34" s="19" t="s">
        <v>70</v>
      </c>
      <c r="E34" s="19" t="s">
        <v>43</v>
      </c>
      <c r="F34" s="19" t="s">
        <v>41</v>
      </c>
      <c r="G34" s="19" t="s">
        <v>42</v>
      </c>
      <c r="H34" s="25" t="s">
        <v>55</v>
      </c>
      <c r="I34" s="25" t="s">
        <v>93</v>
      </c>
      <c r="J34" s="25" t="s">
        <v>54</v>
      </c>
      <c r="K34" s="25" t="s">
        <v>84</v>
      </c>
      <c r="L34" s="25" t="s">
        <v>97</v>
      </c>
    </row>
    <row r="35" spans="1:12" ht="15.75" x14ac:dyDescent="0.2">
      <c r="D35" s="19"/>
      <c r="E35" s="19"/>
      <c r="F35" s="19"/>
      <c r="G35" s="19"/>
      <c r="L35" s="25"/>
    </row>
    <row r="36" spans="1:12" ht="15.75" x14ac:dyDescent="0.2">
      <c r="D36" s="19"/>
      <c r="E36" s="19"/>
      <c r="F36" s="19"/>
      <c r="G36" s="19"/>
      <c r="L36" s="25"/>
    </row>
    <row r="37" spans="1:12" ht="15.75" x14ac:dyDescent="0.2">
      <c r="D37" s="19"/>
      <c r="E37" s="19"/>
      <c r="F37" s="19"/>
      <c r="G37" s="19"/>
      <c r="L37" s="25"/>
    </row>
    <row r="38" spans="1:12" ht="15.75" x14ac:dyDescent="0.2">
      <c r="D38" s="19"/>
      <c r="E38" s="19"/>
      <c r="F38" s="19"/>
      <c r="G38" s="19"/>
      <c r="H38" s="25">
        <f>3.3+3.3+3.3+3.3</f>
        <v>13.2</v>
      </c>
      <c r="J38" s="25">
        <f>4.93+4.93+6.5+5.33+5.32+4.3+2.19</f>
        <v>33.5</v>
      </c>
      <c r="L38" s="25"/>
    </row>
    <row r="39" spans="1:12" ht="15.75" x14ac:dyDescent="0.2">
      <c r="D39" s="19"/>
      <c r="E39" s="19"/>
      <c r="F39" s="19"/>
      <c r="G39" s="19"/>
      <c r="H39" s="25">
        <f>2.7+3.3+3.3+3.3</f>
        <v>12.600000000000001</v>
      </c>
      <c r="J39" s="25">
        <f>4.9+5.33+5.33+6.5+4.32+4.32+4.32</f>
        <v>35.020000000000003</v>
      </c>
      <c r="K39" s="25">
        <f>4+4+4+12</f>
        <v>24</v>
      </c>
      <c r="L39" s="25">
        <f>+(19.8*(2)+17.18*(2))*3</f>
        <v>221.88000000000002</v>
      </c>
    </row>
    <row r="40" spans="1:12" ht="28.5" x14ac:dyDescent="0.2">
      <c r="C40" s="38" t="s">
        <v>51</v>
      </c>
      <c r="D40" s="36">
        <f t="shared" ref="D40:L40" si="0">SUM(D35:D39)</f>
        <v>0</v>
      </c>
      <c r="E40" s="36">
        <f t="shared" si="0"/>
        <v>0</v>
      </c>
      <c r="F40" s="36">
        <f t="shared" si="0"/>
        <v>0</v>
      </c>
      <c r="G40" s="36">
        <f t="shared" si="0"/>
        <v>0</v>
      </c>
      <c r="H40" s="36">
        <f t="shared" si="0"/>
        <v>25.8</v>
      </c>
      <c r="I40" s="36">
        <f t="shared" si="0"/>
        <v>0</v>
      </c>
      <c r="J40" s="36">
        <f t="shared" si="0"/>
        <v>68.52000000000001</v>
      </c>
      <c r="K40" s="36">
        <f t="shared" si="0"/>
        <v>24</v>
      </c>
      <c r="L40" s="36">
        <f t="shared" si="0"/>
        <v>221.88000000000002</v>
      </c>
    </row>
    <row r="41" spans="1:12" x14ac:dyDescent="0.2">
      <c r="L41" s="25"/>
    </row>
    <row r="42" spans="1:12" x14ac:dyDescent="0.2">
      <c r="C42" s="25" t="s">
        <v>52</v>
      </c>
      <c r="D42" s="39">
        <f>1.78*D40</f>
        <v>0</v>
      </c>
      <c r="E42" s="39">
        <f>1.08*E40</f>
        <v>0</v>
      </c>
      <c r="F42" s="39">
        <v>0</v>
      </c>
      <c r="G42" s="39">
        <f>0.12*G40</f>
        <v>0</v>
      </c>
      <c r="H42" s="39">
        <f>0.63*H40</f>
        <v>16.254000000000001</v>
      </c>
      <c r="I42" s="39">
        <f>1.16*I40</f>
        <v>0</v>
      </c>
      <c r="J42" s="59">
        <f>0.3*J40</f>
        <v>20.556000000000001</v>
      </c>
      <c r="K42" s="59">
        <f>0.2*K40</f>
        <v>4.8000000000000007</v>
      </c>
      <c r="L42" s="39"/>
    </row>
    <row r="43" spans="1:12" x14ac:dyDescent="0.2">
      <c r="C43" s="25" t="s">
        <v>53</v>
      </c>
      <c r="D43" s="59">
        <f>1.5*D40</f>
        <v>0</v>
      </c>
      <c r="E43" s="59">
        <f>1.17*E40</f>
        <v>0</v>
      </c>
      <c r="F43" s="59">
        <f>1*0.3*F40</f>
        <v>0</v>
      </c>
      <c r="G43" s="59">
        <f>1.4*0.2*G40</f>
        <v>0</v>
      </c>
      <c r="H43" s="39">
        <f>2.65*0.3*H40</f>
        <v>20.510999999999999</v>
      </c>
      <c r="I43" s="25">
        <v>0</v>
      </c>
      <c r="J43" s="59">
        <f>0.9*0.2*J40</f>
        <v>12.333600000000004</v>
      </c>
      <c r="K43" s="59">
        <f>2.05*0.25*K40</f>
        <v>12.299999999999999</v>
      </c>
      <c r="L43" s="39">
        <f>0.15*L40</f>
        <v>33.282000000000004</v>
      </c>
    </row>
    <row r="44" spans="1:12" ht="15" x14ac:dyDescent="0.25">
      <c r="D44" s="44">
        <f t="shared" ref="D44:L44" si="1">D42+D43</f>
        <v>0</v>
      </c>
      <c r="E44" s="44">
        <f t="shared" si="1"/>
        <v>0</v>
      </c>
      <c r="F44" s="44">
        <f t="shared" si="1"/>
        <v>0</v>
      </c>
      <c r="G44" s="44">
        <f t="shared" si="1"/>
        <v>0</v>
      </c>
      <c r="H44" s="44">
        <f t="shared" si="1"/>
        <v>36.765000000000001</v>
      </c>
      <c r="I44" s="44">
        <f t="shared" si="1"/>
        <v>0</v>
      </c>
      <c r="J44" s="44">
        <f t="shared" si="1"/>
        <v>32.889600000000002</v>
      </c>
      <c r="K44" s="44">
        <f t="shared" si="1"/>
        <v>17.100000000000001</v>
      </c>
      <c r="L44" s="44">
        <f t="shared" si="1"/>
        <v>33.282000000000004</v>
      </c>
    </row>
    <row r="45" spans="1:12" x14ac:dyDescent="0.2">
      <c r="L45" s="25"/>
    </row>
    <row r="46" spans="1:12" x14ac:dyDescent="0.2">
      <c r="L46" s="25"/>
    </row>
    <row r="47" spans="1:12" x14ac:dyDescent="0.2">
      <c r="C47" s="25" t="s">
        <v>60</v>
      </c>
      <c r="D47" s="47">
        <f>269*D40</f>
        <v>0</v>
      </c>
      <c r="E47" s="47">
        <f>128*E40</f>
        <v>0</v>
      </c>
      <c r="G47" s="47">
        <f>14*G40</f>
        <v>0</v>
      </c>
      <c r="H47" s="47">
        <f>55*H40</f>
        <v>1419</v>
      </c>
      <c r="J47" s="47">
        <f>43*J40</f>
        <v>2946.3600000000006</v>
      </c>
      <c r="K47" s="47">
        <f>14*K40</f>
        <v>336</v>
      </c>
      <c r="L47" s="25"/>
    </row>
    <row r="48" spans="1:12" x14ac:dyDescent="0.2">
      <c r="C48" s="25" t="s">
        <v>61</v>
      </c>
      <c r="D48" s="47">
        <f>314*D40</f>
        <v>0</v>
      </c>
      <c r="E48" s="47">
        <f>149*E40</f>
        <v>0</v>
      </c>
      <c r="F48" s="47">
        <f>80*F40</f>
        <v>0</v>
      </c>
      <c r="G48" s="47">
        <f>23*G40</f>
        <v>0</v>
      </c>
      <c r="H48" s="47">
        <f>132*H40</f>
        <v>3405.6</v>
      </c>
      <c r="I48" s="47">
        <f>273*I40</f>
        <v>0</v>
      </c>
      <c r="J48" s="47">
        <f>38*J40</f>
        <v>2603.7600000000002</v>
      </c>
      <c r="K48" s="47">
        <f>30*K40</f>
        <v>720</v>
      </c>
      <c r="L48" s="47">
        <f>5135</f>
        <v>5135</v>
      </c>
    </row>
    <row r="49" spans="3:20" ht="15" x14ac:dyDescent="0.25">
      <c r="D49" s="48">
        <f t="shared" ref="D49:L49" si="2">SUM(D47:D48)</f>
        <v>0</v>
      </c>
      <c r="E49" s="48">
        <f t="shared" si="2"/>
        <v>0</v>
      </c>
      <c r="F49" s="48">
        <f t="shared" si="2"/>
        <v>0</v>
      </c>
      <c r="G49" s="48">
        <f t="shared" si="2"/>
        <v>0</v>
      </c>
      <c r="H49" s="48">
        <f t="shared" si="2"/>
        <v>4824.6000000000004</v>
      </c>
      <c r="I49" s="48">
        <f t="shared" si="2"/>
        <v>0</v>
      </c>
      <c r="J49" s="48">
        <f t="shared" si="2"/>
        <v>5550.1200000000008</v>
      </c>
      <c r="K49" s="48">
        <f t="shared" si="2"/>
        <v>1056</v>
      </c>
      <c r="L49" s="48">
        <f t="shared" si="2"/>
        <v>5135</v>
      </c>
    </row>
    <row r="53" spans="3:20" ht="15.75" x14ac:dyDescent="0.2">
      <c r="C53" s="25" t="s">
        <v>122</v>
      </c>
      <c r="D53" s="19" t="s">
        <v>145</v>
      </c>
      <c r="E53" s="19" t="s">
        <v>146</v>
      </c>
      <c r="F53" s="19" t="s">
        <v>147</v>
      </c>
      <c r="G53" s="19" t="s">
        <v>148</v>
      </c>
      <c r="K53" s="25" t="s">
        <v>161</v>
      </c>
      <c r="L53" s="22" t="s">
        <v>171</v>
      </c>
      <c r="M53" s="25" t="s">
        <v>164</v>
      </c>
      <c r="N53" s="22" t="s">
        <v>172</v>
      </c>
      <c r="O53" s="22" t="s">
        <v>202</v>
      </c>
      <c r="P53" s="22" t="s">
        <v>219</v>
      </c>
      <c r="Q53" s="22" t="s">
        <v>222</v>
      </c>
      <c r="R53" s="25" t="s">
        <v>166</v>
      </c>
      <c r="S53" s="22" t="s">
        <v>223</v>
      </c>
      <c r="T53" s="22" t="s">
        <v>224</v>
      </c>
    </row>
    <row r="54" spans="3:20" ht="15.75" x14ac:dyDescent="0.2">
      <c r="C54" s="25">
        <v>6</v>
      </c>
      <c r="D54" s="19">
        <f>LOOKUP(C54,Hoja2!$B$8:$B$20,Hoja2!$E$8:$E$20)</f>
        <v>2.2349999999999999</v>
      </c>
      <c r="E54" s="19">
        <v>5.75</v>
      </c>
      <c r="F54" s="19">
        <v>19</v>
      </c>
      <c r="G54" s="110">
        <f>F54*E54*D54</f>
        <v>244.17374999999998</v>
      </c>
      <c r="K54" s="25">
        <f>(2.48*0.3)+(2.7*2.5*0.4)</f>
        <v>3.444</v>
      </c>
      <c r="L54" s="22">
        <f>0.48*5.2</f>
        <v>2.496</v>
      </c>
      <c r="M54" s="25">
        <f>(3.42*0.3)+(3*2.5*0.4)</f>
        <v>4.0259999999999998</v>
      </c>
      <c r="N54" s="22">
        <f>0.48*5.48</f>
        <v>2.6304000000000003</v>
      </c>
      <c r="O54" s="22">
        <f>0.48*6.8</f>
        <v>3.2639999999999998</v>
      </c>
      <c r="P54" s="22">
        <f>0.48*4.32</f>
        <v>2.0735999999999999</v>
      </c>
      <c r="Q54" s="22">
        <f>0.48*2.19</f>
        <v>1.0511999999999999</v>
      </c>
      <c r="R54" s="25">
        <f>(3.62*0.3)+(3*2.5*0.4)</f>
        <v>4.0860000000000003</v>
      </c>
      <c r="S54" s="22">
        <f>0.48*5.6</f>
        <v>2.6879999999999997</v>
      </c>
      <c r="T54" s="22">
        <f>0.48*5*2</f>
        <v>4.8</v>
      </c>
    </row>
    <row r="55" spans="3:20" ht="15.75" x14ac:dyDescent="0.2">
      <c r="C55" s="25">
        <v>6</v>
      </c>
      <c r="D55" s="19">
        <f>LOOKUP(C55,Hoja2!$B$8:$B$20,Hoja2!$E$8:$E$20)</f>
        <v>2.2349999999999999</v>
      </c>
      <c r="E55" s="25">
        <v>2.64</v>
      </c>
      <c r="F55" s="25">
        <v>28</v>
      </c>
      <c r="G55" s="110">
        <f t="shared" ref="G55:G98" si="3">F55*E55*D55</f>
        <v>165.21119999999999</v>
      </c>
      <c r="M55" s="25">
        <f>(3.42*0.3)+(3*2.5*0.4)</f>
        <v>4.0259999999999998</v>
      </c>
      <c r="N55" s="22">
        <f>0.48*5.48</f>
        <v>2.6304000000000003</v>
      </c>
      <c r="O55" s="22">
        <f>0.48*6.8</f>
        <v>3.2639999999999998</v>
      </c>
      <c r="P55" s="22">
        <f>0.48*4.32</f>
        <v>2.0735999999999999</v>
      </c>
    </row>
    <row r="56" spans="3:20" ht="15.75" x14ac:dyDescent="0.2">
      <c r="C56" s="25">
        <v>6</v>
      </c>
      <c r="D56" s="19">
        <f>LOOKUP(C56,Hoja2!$B$8:$B$20,Hoja2!$E$8:$E$20)</f>
        <v>2.2349999999999999</v>
      </c>
      <c r="E56" s="25">
        <f>(4.25+1.85)/2</f>
        <v>3.05</v>
      </c>
      <c r="F56" s="25">
        <v>19</v>
      </c>
      <c r="G56" s="110">
        <f t="shared" si="3"/>
        <v>129.51824999999999</v>
      </c>
      <c r="M56" s="25">
        <f>(3.42*0.3)+(3*2.5*0.4)</f>
        <v>4.0259999999999998</v>
      </c>
      <c r="N56" s="22">
        <f>0.48*5.48</f>
        <v>2.6304000000000003</v>
      </c>
      <c r="P56" s="22">
        <f>0.48*4.32</f>
        <v>2.0735999999999999</v>
      </c>
    </row>
    <row r="57" spans="3:20" ht="15.75" x14ac:dyDescent="0.2">
      <c r="C57" s="25">
        <v>5</v>
      </c>
      <c r="D57" s="19">
        <f>LOOKUP(C57,Hoja2!$B$8:$B$20,Hoja2!$E$8:$E$20)</f>
        <v>1.552</v>
      </c>
      <c r="E57" s="25">
        <v>2.64</v>
      </c>
      <c r="F57" s="25">
        <v>6</v>
      </c>
      <c r="G57" s="110">
        <f t="shared" si="3"/>
        <v>24.583680000000001</v>
      </c>
      <c r="M57" s="25">
        <f>((3.42*0.3)+(3*2.5*0.4))*3</f>
        <v>12.077999999999999</v>
      </c>
      <c r="N57" s="22">
        <f>0.48*5.48</f>
        <v>2.6304000000000003</v>
      </c>
    </row>
    <row r="58" spans="3:20" ht="15.75" x14ac:dyDescent="0.2">
      <c r="C58" s="25">
        <v>6</v>
      </c>
      <c r="D58" s="19">
        <f>LOOKUP(C58,Hoja2!$B$8:$B$20,Hoja2!$E$8:$E$20)</f>
        <v>2.2349999999999999</v>
      </c>
      <c r="E58" s="25">
        <v>2.92</v>
      </c>
      <c r="F58" s="25">
        <v>2</v>
      </c>
      <c r="G58" s="110">
        <f t="shared" si="3"/>
        <v>13.052399999999999</v>
      </c>
      <c r="K58" s="25">
        <f>SUM(K54:K57)</f>
        <v>3.444</v>
      </c>
      <c r="L58" s="25">
        <f t="shared" ref="L58:T58" si="4">SUM(L54:L57)</f>
        <v>2.496</v>
      </c>
      <c r="M58" s="25">
        <f t="shared" si="4"/>
        <v>24.155999999999999</v>
      </c>
      <c r="N58" s="25">
        <f t="shared" si="4"/>
        <v>10.521600000000001</v>
      </c>
      <c r="O58" s="25">
        <f t="shared" si="4"/>
        <v>6.5279999999999996</v>
      </c>
      <c r="P58" s="25">
        <f t="shared" si="4"/>
        <v>6.2207999999999997</v>
      </c>
      <c r="Q58" s="25">
        <f t="shared" si="4"/>
        <v>1.0511999999999999</v>
      </c>
      <c r="R58" s="25">
        <f t="shared" si="4"/>
        <v>4.0860000000000003</v>
      </c>
      <c r="S58" s="25">
        <f t="shared" si="4"/>
        <v>2.6879999999999997</v>
      </c>
      <c r="T58" s="25">
        <f t="shared" si="4"/>
        <v>4.8</v>
      </c>
    </row>
    <row r="59" spans="3:20" ht="15.75" x14ac:dyDescent="0.2">
      <c r="C59" s="25">
        <v>5</v>
      </c>
      <c r="D59" s="19">
        <f>LOOKUP(C59,Hoja2!$B$8:$B$20,Hoja2!$E$8:$E$20)</f>
        <v>1.552</v>
      </c>
      <c r="E59" s="25">
        <v>2.65</v>
      </c>
      <c r="F59" s="25">
        <v>26</v>
      </c>
      <c r="G59" s="110">
        <f t="shared" si="3"/>
        <v>106.93279999999999</v>
      </c>
    </row>
    <row r="60" spans="3:20" ht="15.75" x14ac:dyDescent="0.2">
      <c r="C60" s="25">
        <v>5</v>
      </c>
      <c r="D60" s="19">
        <f>LOOKUP(C60,Hoja2!$B$8:$B$20,Hoja2!$E$8:$E$20)</f>
        <v>1.552</v>
      </c>
      <c r="E60" s="25">
        <v>5.14</v>
      </c>
      <c r="F60" s="25">
        <v>12</v>
      </c>
      <c r="G60" s="110">
        <f t="shared" si="3"/>
        <v>95.72735999999999</v>
      </c>
    </row>
    <row r="61" spans="3:20" ht="15.75" x14ac:dyDescent="0.2">
      <c r="C61" s="25">
        <v>5</v>
      </c>
      <c r="D61" s="19">
        <f>LOOKUP(C61,Hoja2!$B$8:$B$20,Hoja2!$E$8:$E$20)</f>
        <v>1.552</v>
      </c>
      <c r="E61" s="25">
        <v>2.85</v>
      </c>
      <c r="F61" s="25">
        <v>26</v>
      </c>
      <c r="G61" s="110">
        <f t="shared" si="3"/>
        <v>115.00320000000002</v>
      </c>
    </row>
    <row r="62" spans="3:20" ht="15.75" x14ac:dyDescent="0.2">
      <c r="C62" s="25">
        <v>5</v>
      </c>
      <c r="D62" s="19">
        <f>LOOKUP(C62,Hoja2!$B$8:$B$20,Hoja2!$E$8:$E$20)</f>
        <v>1.552</v>
      </c>
      <c r="E62" s="25">
        <v>5.14</v>
      </c>
      <c r="F62" s="25">
        <v>8</v>
      </c>
      <c r="G62" s="110">
        <f t="shared" si="3"/>
        <v>63.818239999999996</v>
      </c>
    </row>
    <row r="63" spans="3:20" ht="15.75" x14ac:dyDescent="0.2">
      <c r="C63" s="25">
        <v>6</v>
      </c>
      <c r="D63" s="19">
        <f>LOOKUP(C63,Hoja2!$B$8:$B$20,Hoja2!$E$8:$E$20)</f>
        <v>2.2349999999999999</v>
      </c>
      <c r="E63" s="25">
        <v>5.75</v>
      </c>
      <c r="F63" s="25">
        <v>20</v>
      </c>
      <c r="G63" s="110">
        <f t="shared" si="3"/>
        <v>257.02499999999998</v>
      </c>
      <c r="H63" s="154">
        <f>SUM(G63:G67)</f>
        <v>628.91214000000002</v>
      </c>
    </row>
    <row r="64" spans="3:20" ht="15.75" x14ac:dyDescent="0.2">
      <c r="C64" s="25">
        <v>6</v>
      </c>
      <c r="D64" s="19">
        <f>LOOKUP(C64,Hoja2!$B$8:$B$20,Hoja2!$E$8:$E$20)</f>
        <v>2.2349999999999999</v>
      </c>
      <c r="E64" s="25">
        <v>2.94</v>
      </c>
      <c r="F64" s="25">
        <v>28</v>
      </c>
      <c r="G64" s="110">
        <f t="shared" si="3"/>
        <v>183.98519999999996</v>
      </c>
      <c r="H64" s="155"/>
    </row>
    <row r="65" spans="3:9" ht="15.75" x14ac:dyDescent="0.2">
      <c r="C65" s="25">
        <v>6</v>
      </c>
      <c r="D65" s="19">
        <f>LOOKUP(C65,Hoja2!$B$8:$B$20,Hoja2!$E$8:$E$20)</f>
        <v>2.2349999999999999</v>
      </c>
      <c r="E65" s="25">
        <f>(4.25+1.85)/2</f>
        <v>3.05</v>
      </c>
      <c r="F65" s="25">
        <v>20</v>
      </c>
      <c r="G65" s="110">
        <f t="shared" si="3"/>
        <v>136.33499999999998</v>
      </c>
      <c r="H65" s="155"/>
      <c r="I65" s="25" t="s">
        <v>154</v>
      </c>
    </row>
    <row r="66" spans="3:9" ht="15.75" x14ac:dyDescent="0.2">
      <c r="C66" s="25">
        <v>5</v>
      </c>
      <c r="D66" s="19">
        <f>LOOKUP(C66,Hoja2!$B$8:$B$20,Hoja2!$E$8:$E$20)</f>
        <v>1.552</v>
      </c>
      <c r="E66" s="25">
        <v>2.94</v>
      </c>
      <c r="F66" s="25">
        <v>8</v>
      </c>
      <c r="G66" s="110">
        <f t="shared" si="3"/>
        <v>36.503039999999999</v>
      </c>
      <c r="H66" s="155"/>
    </row>
    <row r="67" spans="3:9" ht="15.75" x14ac:dyDescent="0.2">
      <c r="C67" s="25">
        <v>6</v>
      </c>
      <c r="D67" s="19">
        <f>LOOKUP(C67,Hoja2!$B$8:$B$20,Hoja2!$E$8:$E$20)</f>
        <v>2.2349999999999999</v>
      </c>
      <c r="E67" s="25">
        <v>3.37</v>
      </c>
      <c r="F67" s="25">
        <v>2</v>
      </c>
      <c r="G67" s="110">
        <f t="shared" si="3"/>
        <v>15.0639</v>
      </c>
      <c r="H67" s="155"/>
    </row>
    <row r="68" spans="3:9" ht="15.75" x14ac:dyDescent="0.2">
      <c r="C68" s="25">
        <v>5</v>
      </c>
      <c r="D68" s="19">
        <f>LOOKUP(C68,Hoja2!$B$8:$B$20,Hoja2!$E$8:$E$20)</f>
        <v>1.552</v>
      </c>
      <c r="E68" s="25">
        <v>2.65</v>
      </c>
      <c r="F68" s="25">
        <v>28</v>
      </c>
      <c r="G68" s="110">
        <f t="shared" si="3"/>
        <v>115.15840000000001</v>
      </c>
      <c r="H68" s="154">
        <f>SUM(G68:G71)</f>
        <v>407.2448</v>
      </c>
    </row>
    <row r="69" spans="3:9" ht="15.75" x14ac:dyDescent="0.2">
      <c r="C69" s="25">
        <v>5</v>
      </c>
      <c r="D69" s="19">
        <f>LOOKUP(C69,Hoja2!$B$8:$B$20,Hoja2!$E$8:$E$20)</f>
        <v>1.552</v>
      </c>
      <c r="E69" s="25">
        <v>5.42</v>
      </c>
      <c r="F69" s="25">
        <v>12</v>
      </c>
      <c r="G69" s="110">
        <f t="shared" si="3"/>
        <v>100.94207999999999</v>
      </c>
      <c r="H69" s="155"/>
      <c r="I69" s="25" t="s">
        <v>155</v>
      </c>
    </row>
    <row r="70" spans="3:9" ht="15.75" x14ac:dyDescent="0.2">
      <c r="C70" s="25">
        <v>5</v>
      </c>
      <c r="D70" s="19">
        <f>LOOKUP(C70,Hoja2!$B$8:$B$20,Hoja2!$E$8:$E$20)</f>
        <v>1.552</v>
      </c>
      <c r="E70" s="25">
        <v>2.85</v>
      </c>
      <c r="F70" s="25">
        <v>28</v>
      </c>
      <c r="G70" s="110">
        <f t="shared" si="3"/>
        <v>123.8496</v>
      </c>
      <c r="H70" s="155"/>
    </row>
    <row r="71" spans="3:9" ht="15.75" x14ac:dyDescent="0.2">
      <c r="C71" s="25">
        <v>5</v>
      </c>
      <c r="D71" s="19">
        <f>LOOKUP(C71,Hoja2!$B$8:$B$20,Hoja2!$E$8:$E$20)</f>
        <v>1.552</v>
      </c>
      <c r="E71" s="25">
        <v>5.42</v>
      </c>
      <c r="F71" s="25">
        <v>8</v>
      </c>
      <c r="G71" s="110">
        <f t="shared" si="3"/>
        <v>67.294719999999998</v>
      </c>
      <c r="H71" s="155"/>
    </row>
    <row r="72" spans="3:9" ht="15.75" x14ac:dyDescent="0.2">
      <c r="C72" s="25">
        <v>5</v>
      </c>
      <c r="D72" s="19">
        <f>LOOKUP(C72,Hoja2!$B$8:$B$20,Hoja2!$E$8:$E$20)</f>
        <v>1.552</v>
      </c>
      <c r="E72" s="25">
        <v>2.65</v>
      </c>
      <c r="F72" s="25">
        <v>34</v>
      </c>
      <c r="G72" s="110">
        <f t="shared" si="3"/>
        <v>139.83519999999999</v>
      </c>
      <c r="H72" s="154">
        <f>SUM(G72:G75)</f>
        <v>498.81279999999998</v>
      </c>
    </row>
    <row r="73" spans="3:9" ht="15.75" x14ac:dyDescent="0.2">
      <c r="C73" s="25">
        <v>5</v>
      </c>
      <c r="D73" s="19">
        <f>LOOKUP(C73,Hoja2!$B$8:$B$20,Hoja2!$E$8:$E$20)</f>
        <v>1.552</v>
      </c>
      <c r="E73" s="25">
        <v>6.72</v>
      </c>
      <c r="F73" s="25">
        <v>12</v>
      </c>
      <c r="G73" s="110">
        <f t="shared" si="3"/>
        <v>125.15328000000001</v>
      </c>
      <c r="H73" s="155"/>
      <c r="I73" s="25" t="s">
        <v>156</v>
      </c>
    </row>
    <row r="74" spans="3:9" ht="15.75" x14ac:dyDescent="0.2">
      <c r="C74" s="25">
        <v>5</v>
      </c>
      <c r="D74" s="19">
        <f>LOOKUP(C74,Hoja2!$B$8:$B$20,Hoja2!$E$8:$E$20)</f>
        <v>1.552</v>
      </c>
      <c r="E74" s="25">
        <v>2.85</v>
      </c>
      <c r="F74" s="25">
        <v>34</v>
      </c>
      <c r="G74" s="110">
        <f t="shared" si="3"/>
        <v>150.3888</v>
      </c>
      <c r="H74" s="155"/>
    </row>
    <row r="75" spans="3:9" ht="15.75" x14ac:dyDescent="0.2">
      <c r="C75" s="25">
        <v>5</v>
      </c>
      <c r="D75" s="19">
        <f>LOOKUP(C75,Hoja2!$B$8:$B$20,Hoja2!$E$8:$E$20)</f>
        <v>1.552</v>
      </c>
      <c r="E75" s="25">
        <v>6.72</v>
      </c>
      <c r="F75" s="25">
        <v>8</v>
      </c>
      <c r="G75" s="110">
        <f t="shared" si="3"/>
        <v>83.435519999999997</v>
      </c>
      <c r="H75" s="155"/>
    </row>
    <row r="76" spans="3:9" ht="15.75" x14ac:dyDescent="0.2">
      <c r="C76" s="25">
        <v>5</v>
      </c>
      <c r="D76" s="19">
        <f>LOOKUP(C76,Hoja2!$B$8:$B$20,Hoja2!$E$8:$E$20)</f>
        <v>1.552</v>
      </c>
      <c r="E76" s="25">
        <v>2.65</v>
      </c>
      <c r="F76" s="25">
        <v>22</v>
      </c>
      <c r="G76" s="110">
        <f t="shared" si="3"/>
        <v>90.4816</v>
      </c>
      <c r="H76" s="154">
        <f>SUM(G76:G79)</f>
        <v>320.0224</v>
      </c>
    </row>
    <row r="77" spans="3:9" ht="15.75" x14ac:dyDescent="0.2">
      <c r="C77" s="25">
        <v>5</v>
      </c>
      <c r="D77" s="19">
        <f>LOOKUP(C77,Hoja2!$B$8:$B$20,Hoja2!$E$8:$E$20)</f>
        <v>1.552</v>
      </c>
      <c r="E77" s="25">
        <v>4.26</v>
      </c>
      <c r="F77" s="25">
        <v>12</v>
      </c>
      <c r="G77" s="110">
        <f t="shared" si="3"/>
        <v>79.338239999999999</v>
      </c>
      <c r="H77" s="155"/>
      <c r="I77" s="25" t="s">
        <v>157</v>
      </c>
    </row>
    <row r="78" spans="3:9" ht="15.75" x14ac:dyDescent="0.2">
      <c r="C78" s="25">
        <v>5</v>
      </c>
      <c r="D78" s="19">
        <f>LOOKUP(C78,Hoja2!$B$8:$B$20,Hoja2!$E$8:$E$20)</f>
        <v>1.552</v>
      </c>
      <c r="E78" s="25">
        <v>2.85</v>
      </c>
      <c r="F78" s="25">
        <v>22</v>
      </c>
      <c r="G78" s="110">
        <f t="shared" si="3"/>
        <v>97.310400000000001</v>
      </c>
      <c r="H78" s="155"/>
    </row>
    <row r="79" spans="3:9" ht="15.75" x14ac:dyDescent="0.2">
      <c r="C79" s="25">
        <v>5</v>
      </c>
      <c r="D79" s="19">
        <f>LOOKUP(C79,Hoja2!$B$8:$B$20,Hoja2!$E$8:$E$20)</f>
        <v>1.552</v>
      </c>
      <c r="E79" s="25">
        <v>4.26</v>
      </c>
      <c r="F79" s="25">
        <v>8</v>
      </c>
      <c r="G79" s="110">
        <f t="shared" si="3"/>
        <v>52.892159999999997</v>
      </c>
      <c r="H79" s="155"/>
    </row>
    <row r="80" spans="3:9" ht="15.75" x14ac:dyDescent="0.2">
      <c r="C80" s="25">
        <v>5</v>
      </c>
      <c r="D80" s="19">
        <f>LOOKUP(C80,Hoja2!$B$8:$B$20,Hoja2!$E$8:$E$20)</f>
        <v>1.552</v>
      </c>
      <c r="E80" s="25">
        <v>2.65</v>
      </c>
      <c r="F80" s="25">
        <v>11</v>
      </c>
      <c r="G80" s="110">
        <f t="shared" si="3"/>
        <v>45.2408</v>
      </c>
    </row>
    <row r="81" spans="3:9" ht="15.75" x14ac:dyDescent="0.2">
      <c r="C81" s="25">
        <v>5</v>
      </c>
      <c r="D81" s="19">
        <f>LOOKUP(C81,Hoja2!$B$8:$B$20,Hoja2!$E$8:$E$20)</f>
        <v>1.552</v>
      </c>
      <c r="E81" s="25">
        <v>2.13</v>
      </c>
      <c r="F81" s="25">
        <v>12</v>
      </c>
      <c r="G81" s="110">
        <f t="shared" si="3"/>
        <v>39.669119999999999</v>
      </c>
    </row>
    <row r="82" spans="3:9" ht="15.75" x14ac:dyDescent="0.2">
      <c r="C82" s="25">
        <v>5</v>
      </c>
      <c r="D82" s="19">
        <f>LOOKUP(C82,Hoja2!$B$8:$B$20,Hoja2!$E$8:$E$20)</f>
        <v>1.552</v>
      </c>
      <c r="E82" s="25">
        <v>2.85</v>
      </c>
      <c r="F82" s="25">
        <v>11</v>
      </c>
      <c r="G82" s="110">
        <f t="shared" si="3"/>
        <v>48.655200000000001</v>
      </c>
    </row>
    <row r="83" spans="3:9" ht="15.75" x14ac:dyDescent="0.2">
      <c r="C83" s="25">
        <v>5</v>
      </c>
      <c r="D83" s="19">
        <f>LOOKUP(C83,Hoja2!$B$8:$B$20,Hoja2!$E$8:$E$20)</f>
        <v>1.552</v>
      </c>
      <c r="E83" s="25">
        <v>2.13</v>
      </c>
      <c r="F83" s="25">
        <v>8</v>
      </c>
      <c r="G83" s="110">
        <f t="shared" si="3"/>
        <v>26.446079999999998</v>
      </c>
    </row>
    <row r="84" spans="3:9" ht="15.75" x14ac:dyDescent="0.2">
      <c r="C84" s="25">
        <v>6</v>
      </c>
      <c r="D84" s="19">
        <f>LOOKUP(C84,Hoja2!$B$8:$B$20,Hoja2!$E$8:$E$20)</f>
        <v>2.2349999999999999</v>
      </c>
      <c r="E84" s="25">
        <v>5.75</v>
      </c>
      <c r="F84" s="25">
        <v>20</v>
      </c>
      <c r="G84" s="110">
        <f t="shared" si="3"/>
        <v>257.02499999999998</v>
      </c>
    </row>
    <row r="85" spans="3:9" ht="15.75" x14ac:dyDescent="0.2">
      <c r="C85" s="25">
        <v>6</v>
      </c>
      <c r="D85" s="19">
        <f>LOOKUP(C85,Hoja2!$B$8:$B$20,Hoja2!$E$8:$E$20)</f>
        <v>2.2349999999999999</v>
      </c>
      <c r="E85" s="25">
        <v>2.94</v>
      </c>
      <c r="F85" s="25">
        <v>28</v>
      </c>
      <c r="G85" s="110">
        <f t="shared" si="3"/>
        <v>183.98519999999996</v>
      </c>
    </row>
    <row r="86" spans="3:9" ht="15.75" x14ac:dyDescent="0.2">
      <c r="C86" s="25">
        <v>6</v>
      </c>
      <c r="D86" s="19">
        <f>LOOKUP(C86,Hoja2!$B$8:$B$20,Hoja2!$E$8:$E$20)</f>
        <v>2.2349999999999999</v>
      </c>
      <c r="E86" s="25">
        <f>(5.43+1.73)/2</f>
        <v>3.58</v>
      </c>
      <c r="F86" s="25">
        <v>20</v>
      </c>
      <c r="G86" s="110">
        <f t="shared" si="3"/>
        <v>160.02599999999998</v>
      </c>
    </row>
    <row r="87" spans="3:9" ht="15.75" x14ac:dyDescent="0.2">
      <c r="C87" s="25">
        <v>5</v>
      </c>
      <c r="D87" s="19">
        <f>LOOKUP(C87,Hoja2!$B$8:$B$20,Hoja2!$E$8:$E$20)</f>
        <v>1.552</v>
      </c>
      <c r="E87" s="25">
        <v>2.94</v>
      </c>
      <c r="F87" s="25">
        <v>8</v>
      </c>
      <c r="G87" s="110">
        <f t="shared" si="3"/>
        <v>36.503039999999999</v>
      </c>
    </row>
    <row r="88" spans="3:9" ht="15.75" x14ac:dyDescent="0.2">
      <c r="C88" s="25">
        <v>6</v>
      </c>
      <c r="D88" s="19">
        <f>LOOKUP(C88,Hoja2!$B$8:$B$20,Hoja2!$E$8:$E$20)</f>
        <v>2.2349999999999999</v>
      </c>
      <c r="E88" s="25">
        <v>3.37</v>
      </c>
      <c r="F88" s="25">
        <v>2</v>
      </c>
      <c r="G88" s="110">
        <f t="shared" si="3"/>
        <v>15.0639</v>
      </c>
    </row>
    <row r="89" spans="3:9" ht="15.75" x14ac:dyDescent="0.2">
      <c r="C89" s="25">
        <v>5</v>
      </c>
      <c r="D89" s="19">
        <f>LOOKUP(C89,Hoja2!$B$8:$B$20,Hoja2!$E$8:$E$20)</f>
        <v>1.552</v>
      </c>
      <c r="E89" s="25">
        <v>2.65</v>
      </c>
      <c r="F89" s="25">
        <v>28</v>
      </c>
      <c r="G89" s="110">
        <f t="shared" si="3"/>
        <v>115.15840000000001</v>
      </c>
      <c r="H89" s="154">
        <f>SUM(G89:G92)</f>
        <v>410.96960000000001</v>
      </c>
    </row>
    <row r="90" spans="3:9" ht="15.75" x14ac:dyDescent="0.2">
      <c r="C90" s="25">
        <v>5</v>
      </c>
      <c r="D90" s="19">
        <f>LOOKUP(C90,Hoja2!$B$8:$B$20,Hoja2!$E$8:$E$20)</f>
        <v>1.552</v>
      </c>
      <c r="E90" s="25">
        <v>5.54</v>
      </c>
      <c r="F90" s="25">
        <v>12</v>
      </c>
      <c r="G90" s="110">
        <f t="shared" si="3"/>
        <v>103.17696000000001</v>
      </c>
      <c r="H90" s="155"/>
      <c r="I90" s="25" t="s">
        <v>158</v>
      </c>
    </row>
    <row r="91" spans="3:9" ht="15.75" x14ac:dyDescent="0.2">
      <c r="C91" s="25">
        <v>5</v>
      </c>
      <c r="D91" s="19">
        <f>LOOKUP(C91,Hoja2!$B$8:$B$20,Hoja2!$E$8:$E$20)</f>
        <v>1.552</v>
      </c>
      <c r="E91" s="25">
        <v>2.85</v>
      </c>
      <c r="F91" s="25">
        <v>28</v>
      </c>
      <c r="G91" s="110">
        <f t="shared" si="3"/>
        <v>123.8496</v>
      </c>
      <c r="H91" s="155"/>
    </row>
    <row r="92" spans="3:9" ht="15.75" x14ac:dyDescent="0.2">
      <c r="C92" s="25">
        <v>5</v>
      </c>
      <c r="D92" s="19">
        <f>LOOKUP(C92,Hoja2!$B$8:$B$20,Hoja2!$E$8:$E$20)</f>
        <v>1.552</v>
      </c>
      <c r="E92" s="25">
        <v>5.54</v>
      </c>
      <c r="F92" s="25">
        <v>8</v>
      </c>
      <c r="G92" s="110">
        <f t="shared" si="3"/>
        <v>68.784639999999996</v>
      </c>
      <c r="H92" s="155"/>
    </row>
    <row r="93" spans="3:9" ht="15.75" x14ac:dyDescent="0.2">
      <c r="C93" s="25">
        <v>5</v>
      </c>
      <c r="D93" s="19">
        <f>LOOKUP(C93,Hoja2!$B$8:$B$20,Hoja2!$E$8:$E$20)</f>
        <v>1.552</v>
      </c>
      <c r="E93" s="25">
        <v>2.65</v>
      </c>
      <c r="F93" s="25">
        <v>25</v>
      </c>
      <c r="G93" s="110">
        <f t="shared" si="3"/>
        <v>102.82000000000001</v>
      </c>
    </row>
    <row r="94" spans="3:9" ht="15.75" x14ac:dyDescent="0.2">
      <c r="C94" s="25">
        <v>5</v>
      </c>
      <c r="D94" s="19">
        <f>LOOKUP(C94,Hoja2!$B$8:$B$20,Hoja2!$E$8:$E$20)</f>
        <v>1.552</v>
      </c>
      <c r="E94" s="25">
        <v>4.9400000000000004</v>
      </c>
      <c r="F94" s="25">
        <v>12</v>
      </c>
      <c r="G94" s="110">
        <f t="shared" si="3"/>
        <v>92.002560000000003</v>
      </c>
    </row>
    <row r="95" spans="3:9" ht="15.75" x14ac:dyDescent="0.2">
      <c r="C95" s="25">
        <v>5</v>
      </c>
      <c r="D95" s="19">
        <f>LOOKUP(C95,Hoja2!$B$8:$B$20,Hoja2!$E$8:$E$20)</f>
        <v>1.552</v>
      </c>
      <c r="E95" s="25">
        <v>2.85</v>
      </c>
      <c r="F95" s="25">
        <v>25</v>
      </c>
      <c r="G95" s="110">
        <f t="shared" si="3"/>
        <v>110.58</v>
      </c>
    </row>
    <row r="96" spans="3:9" ht="15.75" x14ac:dyDescent="0.2">
      <c r="C96" s="25">
        <v>5</v>
      </c>
      <c r="D96" s="19">
        <f>LOOKUP(C96,Hoja2!$B$8:$B$20,Hoja2!$E$8:$E$20)</f>
        <v>1.552</v>
      </c>
      <c r="E96" s="25">
        <v>4.9400000000000004</v>
      </c>
      <c r="F96" s="25">
        <v>8</v>
      </c>
      <c r="G96" s="110">
        <f t="shared" si="3"/>
        <v>61.335040000000006</v>
      </c>
    </row>
    <row r="97" spans="3:7" ht="15.75" x14ac:dyDescent="0.2">
      <c r="C97" s="25">
        <v>5</v>
      </c>
      <c r="D97" s="19">
        <f>LOOKUP(C97,Hoja2!$B$8:$B$20,Hoja2!$E$8:$E$20)</f>
        <v>1.552</v>
      </c>
      <c r="E97" s="25">
        <v>1.53</v>
      </c>
      <c r="F97" s="25">
        <v>1368</v>
      </c>
      <c r="G97" s="110">
        <f t="shared" si="3"/>
        <v>3248.3980799999999</v>
      </c>
    </row>
    <row r="98" spans="3:7" ht="15.75" x14ac:dyDescent="0.2">
      <c r="C98" s="25">
        <v>5</v>
      </c>
      <c r="D98" s="19">
        <f>LOOKUP(C98,Hoja2!$B$8:$B$20,Hoja2!$E$8:$E$20)</f>
        <v>1.552</v>
      </c>
      <c r="E98" s="25">
        <v>16.940000000000001</v>
      </c>
      <c r="F98" s="25">
        <v>48</v>
      </c>
      <c r="G98" s="110">
        <f t="shared" si="3"/>
        <v>1261.9622400000003</v>
      </c>
    </row>
    <row r="99" spans="3:7" ht="15" x14ac:dyDescent="0.25">
      <c r="G99" s="111">
        <f>SUM(G54:G98)+H89+(H76*2)+H72+(H68*3)+(H63*5)</f>
        <v>14829.81718</v>
      </c>
    </row>
  </sheetData>
  <mergeCells count="7">
    <mergeCell ref="H76:H79"/>
    <mergeCell ref="H89:H92"/>
    <mergeCell ref="E7:I7"/>
    <mergeCell ref="A11:D11"/>
    <mergeCell ref="H63:H67"/>
    <mergeCell ref="H68:H71"/>
    <mergeCell ref="H72:H75"/>
  </mergeCells>
  <pageMargins left="0.7" right="0.7" top="0.75" bottom="0.75" header="0.3" footer="0.3"/>
  <pageSetup scale="4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60EDF-6FB8-456A-B546-C82CE69E9F19}">
  <dimension ref="B2:I21"/>
  <sheetViews>
    <sheetView workbookViewId="0">
      <selection activeCell="N26" sqref="N26"/>
    </sheetView>
  </sheetViews>
  <sheetFormatPr baseColWidth="10" defaultRowHeight="15" x14ac:dyDescent="0.25"/>
  <sheetData>
    <row r="2" spans="2:9" ht="15.75" thickBot="1" x14ac:dyDescent="0.3"/>
    <row r="3" spans="2:9" ht="15.75" thickTop="1" x14ac:dyDescent="0.25">
      <c r="B3" s="156" t="s">
        <v>120</v>
      </c>
      <c r="C3" s="157"/>
      <c r="D3" s="157"/>
      <c r="E3" s="157"/>
      <c r="F3" s="157"/>
      <c r="G3" s="158"/>
    </row>
    <row r="4" spans="2:9" x14ac:dyDescent="0.25">
      <c r="B4" s="103" t="s">
        <v>121</v>
      </c>
      <c r="C4" s="159" t="s">
        <v>122</v>
      </c>
      <c r="D4" s="159"/>
      <c r="E4" s="104" t="s">
        <v>123</v>
      </c>
      <c r="F4" s="104" t="s">
        <v>124</v>
      </c>
      <c r="G4" s="105" t="s">
        <v>125</v>
      </c>
      <c r="H4" s="104" t="s">
        <v>126</v>
      </c>
      <c r="I4" s="104" t="s">
        <v>127</v>
      </c>
    </row>
    <row r="5" spans="2:9" x14ac:dyDescent="0.25">
      <c r="B5" s="103"/>
      <c r="C5" s="104" t="s">
        <v>128</v>
      </c>
      <c r="D5" s="104" t="s">
        <v>129</v>
      </c>
      <c r="E5" s="104" t="s">
        <v>130</v>
      </c>
      <c r="F5" s="104" t="s">
        <v>131</v>
      </c>
      <c r="G5" s="105" t="s">
        <v>132</v>
      </c>
      <c r="H5" s="104" t="s">
        <v>133</v>
      </c>
      <c r="I5" s="104" t="s">
        <v>134</v>
      </c>
    </row>
    <row r="6" spans="2:9" x14ac:dyDescent="0.25">
      <c r="B6" s="103">
        <v>0</v>
      </c>
      <c r="C6" s="104">
        <v>0</v>
      </c>
      <c r="D6" s="104">
        <v>0</v>
      </c>
      <c r="E6" s="104">
        <v>0</v>
      </c>
      <c r="F6" s="104">
        <v>0</v>
      </c>
      <c r="G6" s="105"/>
    </row>
    <row r="7" spans="2:9" x14ac:dyDescent="0.25">
      <c r="B7" s="103">
        <v>1</v>
      </c>
      <c r="C7" s="104">
        <v>0</v>
      </c>
      <c r="D7" s="104">
        <v>0</v>
      </c>
      <c r="E7" s="104">
        <v>0</v>
      </c>
      <c r="F7" s="104">
        <v>0</v>
      </c>
      <c r="G7" s="105"/>
    </row>
    <row r="8" spans="2:9" x14ac:dyDescent="0.25">
      <c r="B8" s="103">
        <v>2</v>
      </c>
      <c r="C8" s="104" t="s">
        <v>135</v>
      </c>
      <c r="D8" s="104">
        <v>6.4</v>
      </c>
      <c r="E8" s="104">
        <v>0.25</v>
      </c>
      <c r="F8" s="104">
        <v>0.32</v>
      </c>
      <c r="G8" s="105"/>
    </row>
    <row r="9" spans="2:9" x14ac:dyDescent="0.25">
      <c r="B9" s="103">
        <v>3</v>
      </c>
      <c r="C9" s="106" t="s">
        <v>136</v>
      </c>
      <c r="D9" s="104">
        <v>9.5</v>
      </c>
      <c r="E9" s="104">
        <v>0.56000000000000005</v>
      </c>
      <c r="F9" s="104">
        <v>0.71</v>
      </c>
      <c r="G9" s="105"/>
      <c r="H9" s="104">
        <v>9</v>
      </c>
      <c r="I9" s="104">
        <v>6</v>
      </c>
    </row>
    <row r="10" spans="2:9" x14ac:dyDescent="0.25">
      <c r="B10" s="103">
        <v>4</v>
      </c>
      <c r="C10" s="104" t="s">
        <v>137</v>
      </c>
      <c r="D10" s="104">
        <v>12.7</v>
      </c>
      <c r="E10" s="104">
        <v>0.99399999999999999</v>
      </c>
      <c r="F10" s="104">
        <v>1.29</v>
      </c>
      <c r="G10" s="105"/>
      <c r="H10" s="104">
        <v>12</v>
      </c>
      <c r="I10" s="104">
        <v>7</v>
      </c>
    </row>
    <row r="11" spans="2:9" x14ac:dyDescent="0.25">
      <c r="B11" s="103">
        <v>5</v>
      </c>
      <c r="C11" s="104" t="s">
        <v>138</v>
      </c>
      <c r="D11" s="104">
        <v>15.9</v>
      </c>
      <c r="E11" s="104">
        <v>1.552</v>
      </c>
      <c r="F11" s="104">
        <v>1.99</v>
      </c>
      <c r="G11" s="105"/>
      <c r="H11" s="104">
        <v>16</v>
      </c>
      <c r="I11" s="104">
        <v>9.5</v>
      </c>
    </row>
    <row r="12" spans="2:9" x14ac:dyDescent="0.25">
      <c r="B12" s="103">
        <v>6</v>
      </c>
      <c r="C12" s="104" t="s">
        <v>139</v>
      </c>
      <c r="D12" s="104">
        <v>19.100000000000001</v>
      </c>
      <c r="E12" s="104">
        <v>2.2349999999999999</v>
      </c>
      <c r="F12" s="104">
        <v>2.84</v>
      </c>
      <c r="G12" s="105"/>
      <c r="H12" s="104">
        <v>19</v>
      </c>
      <c r="I12" s="104">
        <v>11</v>
      </c>
    </row>
    <row r="13" spans="2:9" x14ac:dyDescent="0.25">
      <c r="B13" s="103">
        <v>12</v>
      </c>
      <c r="C13" s="104"/>
      <c r="D13" s="104"/>
      <c r="E13" s="104">
        <v>0.88700000000000001</v>
      </c>
      <c r="F13" s="104"/>
      <c r="G13" s="105"/>
      <c r="H13" s="104"/>
      <c r="I13" s="104"/>
    </row>
    <row r="14" spans="2:9" x14ac:dyDescent="0.25">
      <c r="B14" s="103">
        <v>18</v>
      </c>
      <c r="C14" s="104"/>
      <c r="D14" s="104"/>
      <c r="E14" s="104">
        <v>1.996</v>
      </c>
      <c r="F14" s="104"/>
      <c r="G14" s="105"/>
      <c r="H14" s="104"/>
      <c r="I14" s="104"/>
    </row>
    <row r="15" spans="2:9" x14ac:dyDescent="0.25">
      <c r="B15" s="103">
        <v>7</v>
      </c>
      <c r="C15" s="104" t="s">
        <v>140</v>
      </c>
      <c r="D15" s="104">
        <v>22.2</v>
      </c>
      <c r="E15" s="104">
        <v>3.0419999999999998</v>
      </c>
      <c r="F15" s="104">
        <v>3.87</v>
      </c>
      <c r="G15" s="105"/>
    </row>
    <row r="16" spans="2:9" x14ac:dyDescent="0.25">
      <c r="B16" s="103">
        <v>8</v>
      </c>
      <c r="C16" s="104">
        <v>1</v>
      </c>
      <c r="D16" s="104">
        <v>25.4</v>
      </c>
      <c r="E16" s="104">
        <v>3.9729999999999999</v>
      </c>
      <c r="F16" s="104">
        <v>5.0999999999999996</v>
      </c>
      <c r="G16" s="105"/>
      <c r="H16" s="104">
        <v>24</v>
      </c>
      <c r="I16" s="104">
        <v>14</v>
      </c>
    </row>
    <row r="17" spans="2:9" x14ac:dyDescent="0.25">
      <c r="B17" s="103">
        <v>9</v>
      </c>
      <c r="C17" s="104" t="s">
        <v>141</v>
      </c>
      <c r="D17" s="104">
        <v>28.7</v>
      </c>
      <c r="E17" s="104">
        <v>5.0599999999999996</v>
      </c>
      <c r="F17" s="104">
        <v>6.45</v>
      </c>
      <c r="G17" s="105"/>
    </row>
    <row r="18" spans="2:9" x14ac:dyDescent="0.25">
      <c r="B18" s="103">
        <v>10</v>
      </c>
      <c r="C18" s="104" t="s">
        <v>142</v>
      </c>
      <c r="D18" s="104">
        <v>32.299999999999997</v>
      </c>
      <c r="E18" s="104">
        <v>6.4039999999999999</v>
      </c>
      <c r="F18" s="104">
        <v>8.19</v>
      </c>
      <c r="G18" s="105"/>
      <c r="H18" s="104">
        <v>38</v>
      </c>
      <c r="I18" s="104">
        <v>23</v>
      </c>
    </row>
    <row r="19" spans="2:9" x14ac:dyDescent="0.25">
      <c r="B19" s="103">
        <v>11</v>
      </c>
      <c r="C19" s="104" t="s">
        <v>143</v>
      </c>
      <c r="D19" s="104">
        <v>35.799999999999997</v>
      </c>
      <c r="E19" s="104">
        <v>7.907</v>
      </c>
      <c r="F19" s="104">
        <v>10.06</v>
      </c>
      <c r="G19" s="105"/>
      <c r="I19" s="104">
        <v>28</v>
      </c>
    </row>
    <row r="20" spans="2:9" ht="15.75" thickBot="1" x14ac:dyDescent="0.3">
      <c r="B20" s="107">
        <v>14</v>
      </c>
      <c r="C20" s="108" t="s">
        <v>144</v>
      </c>
      <c r="D20" s="108">
        <v>43</v>
      </c>
      <c r="E20" s="108">
        <v>11.38</v>
      </c>
      <c r="F20" s="108">
        <v>14.52</v>
      </c>
      <c r="G20" s="109"/>
      <c r="H20" s="104">
        <v>54</v>
      </c>
      <c r="I20" s="104">
        <v>33</v>
      </c>
    </row>
    <row r="21" spans="2:9" ht="15.75" thickTop="1" x14ac:dyDescent="0.25"/>
  </sheetData>
  <mergeCells count="2">
    <mergeCell ref="B3:G3"/>
    <mergeCell ref="C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5504C-D04B-4E5E-8224-8D4BE788FD87}">
  <sheetPr>
    <tabColor rgb="FFFFFF00"/>
  </sheetPr>
  <dimension ref="A2:K17"/>
  <sheetViews>
    <sheetView view="pageBreakPreview" topLeftCell="A13" zoomScaleNormal="85" zoomScaleSheetLayoutView="100" workbookViewId="0">
      <selection activeCell="B15" sqref="B15"/>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226</v>
      </c>
      <c r="F7" s="150"/>
      <c r="G7" s="150"/>
      <c r="H7" s="150"/>
      <c r="I7" s="150"/>
    </row>
    <row r="10" spans="1:9" ht="38.25" x14ac:dyDescent="0.2">
      <c r="A10" s="28" t="s">
        <v>26</v>
      </c>
      <c r="B10" s="32" t="s">
        <v>27</v>
      </c>
      <c r="C10" s="29" t="s">
        <v>28</v>
      </c>
      <c r="D10" s="37" t="s">
        <v>227</v>
      </c>
    </row>
    <row r="11" spans="1:9" ht="14.25" customHeight="1" x14ac:dyDescent="0.2">
      <c r="A11" s="151" t="s">
        <v>225</v>
      </c>
      <c r="B11" s="152"/>
      <c r="C11" s="152"/>
      <c r="D11" s="153"/>
    </row>
    <row r="12" spans="1:9" ht="76.5" x14ac:dyDescent="0.2">
      <c r="A12" s="32">
        <v>6007</v>
      </c>
      <c r="B12" s="115" t="s">
        <v>228</v>
      </c>
      <c r="C12" s="40" t="s">
        <v>29</v>
      </c>
      <c r="D12" s="119">
        <v>29.37</v>
      </c>
      <c r="E12" s="2"/>
      <c r="F12" s="2"/>
      <c r="G12" s="2"/>
    </row>
    <row r="13" spans="1:9" ht="102" x14ac:dyDescent="0.2">
      <c r="A13" s="32">
        <v>3708</v>
      </c>
      <c r="B13" s="115" t="s">
        <v>232</v>
      </c>
      <c r="C13" s="116" t="s">
        <v>30</v>
      </c>
      <c r="D13" s="120">
        <v>2227</v>
      </c>
      <c r="E13" s="2"/>
      <c r="F13" s="2"/>
      <c r="G13" s="2"/>
    </row>
    <row r="14" spans="1:9" ht="114.75" x14ac:dyDescent="0.2">
      <c r="A14" s="117"/>
      <c r="B14" s="115" t="s">
        <v>233</v>
      </c>
      <c r="C14" s="40" t="s">
        <v>29</v>
      </c>
      <c r="D14" s="130">
        <f>6.75*7.5</f>
        <v>50.625</v>
      </c>
    </row>
    <row r="15" spans="1:9" ht="38.25" x14ac:dyDescent="0.2">
      <c r="A15" s="32">
        <v>3486</v>
      </c>
      <c r="B15" s="115" t="s">
        <v>234</v>
      </c>
      <c r="C15" s="40" t="s">
        <v>29</v>
      </c>
      <c r="D15" s="118">
        <f>7.5*2.5*0.2</f>
        <v>3.75</v>
      </c>
      <c r="E15" s="47"/>
      <c r="G15" s="47"/>
      <c r="H15" s="47"/>
    </row>
    <row r="16" spans="1:9" ht="51" x14ac:dyDescent="0.2">
      <c r="A16" s="32">
        <v>3017</v>
      </c>
      <c r="B16" s="115" t="s">
        <v>33</v>
      </c>
      <c r="C16" s="31" t="s">
        <v>29</v>
      </c>
      <c r="D16" s="45">
        <f>D15</f>
        <v>3.75</v>
      </c>
      <c r="E16" s="47"/>
      <c r="G16" s="47"/>
      <c r="H16" s="47"/>
      <c r="I16" s="47"/>
    </row>
    <row r="17" spans="4:9" ht="15" x14ac:dyDescent="0.25">
      <c r="D17" s="48"/>
      <c r="E17" s="48"/>
      <c r="F17" s="46"/>
      <c r="G17" s="48"/>
      <c r="H17" s="48"/>
      <c r="I17" s="48"/>
    </row>
  </sheetData>
  <mergeCells count="2">
    <mergeCell ref="E7:I7"/>
    <mergeCell ref="A11:D11"/>
  </mergeCells>
  <pageMargins left="0.7" right="0.7" top="0.75" bottom="0.75" header="0.3" footer="0.3"/>
  <pageSetup scale="4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4E8E4-DE4F-4B8E-AB3A-177A876D110E}">
  <sheetPr>
    <tabColor rgb="FFFFFF00"/>
  </sheetPr>
  <dimension ref="A2:M84"/>
  <sheetViews>
    <sheetView view="pageBreakPreview" topLeftCell="A23" zoomScale="85" zoomScaleNormal="85" zoomScaleSheetLayoutView="85" workbookViewId="0">
      <selection activeCell="B25" sqref="B25"/>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35</v>
      </c>
      <c r="F7" s="150"/>
      <c r="G7" s="150"/>
      <c r="H7" s="150"/>
      <c r="I7" s="150"/>
    </row>
    <row r="10" spans="1:9" ht="38.25" x14ac:dyDescent="0.2">
      <c r="A10" s="28" t="s">
        <v>26</v>
      </c>
      <c r="B10" s="32" t="s">
        <v>27</v>
      </c>
      <c r="C10" s="29" t="s">
        <v>28</v>
      </c>
      <c r="D10" s="37" t="s">
        <v>50</v>
      </c>
    </row>
    <row r="11" spans="1:9" x14ac:dyDescent="0.2">
      <c r="A11" s="151" t="s">
        <v>57</v>
      </c>
      <c r="B11" s="152"/>
      <c r="C11" s="152"/>
      <c r="D11" s="153"/>
    </row>
    <row r="12" spans="1:9" ht="63" x14ac:dyDescent="0.2">
      <c r="A12" s="31">
        <v>6021</v>
      </c>
      <c r="B12" s="30" t="s">
        <v>58</v>
      </c>
      <c r="C12" s="40" t="s">
        <v>29</v>
      </c>
      <c r="D12" s="43">
        <f>(2.3*E40*0.05)+(0.6*G40*0.05)+(1.8*H40*0.05)+(1.5*I40*0.05)</f>
        <v>2.5462500000000001</v>
      </c>
    </row>
    <row r="13" spans="1:9" ht="47.25" x14ac:dyDescent="0.2">
      <c r="A13" s="31" t="s">
        <v>38</v>
      </c>
      <c r="B13" s="30" t="s">
        <v>59</v>
      </c>
      <c r="C13" s="31" t="s">
        <v>29</v>
      </c>
      <c r="D13" s="56">
        <f>SUM(D14:D17)</f>
        <v>78.616900000000001</v>
      </c>
      <c r="E13" s="47"/>
    </row>
    <row r="14" spans="1:9" ht="15.75" x14ac:dyDescent="0.2">
      <c r="A14" s="31"/>
      <c r="B14" s="55" t="s">
        <v>63</v>
      </c>
      <c r="C14" s="31"/>
      <c r="D14" s="45">
        <f>I57+J57+K57+L57+M57</f>
        <v>64.632899999999992</v>
      </c>
      <c r="E14" s="47"/>
    </row>
    <row r="15" spans="1:9" ht="15.75" x14ac:dyDescent="0.2">
      <c r="A15" s="31"/>
      <c r="B15" s="55" t="s">
        <v>64</v>
      </c>
      <c r="C15" s="31"/>
      <c r="D15" s="45">
        <f>0.01*24*1.8*2</f>
        <v>0.86399999999999999</v>
      </c>
      <c r="E15" s="47"/>
    </row>
    <row r="16" spans="1:9" ht="15.75" x14ac:dyDescent="0.2">
      <c r="A16" s="31"/>
      <c r="B16" s="65" t="s">
        <v>66</v>
      </c>
      <c r="C16" s="31"/>
      <c r="D16" s="67">
        <v>1.1200000000000001</v>
      </c>
      <c r="E16" s="47"/>
    </row>
    <row r="17" spans="1:7" ht="15.75" x14ac:dyDescent="0.2">
      <c r="A17" s="31"/>
      <c r="B17" s="65" t="s">
        <v>65</v>
      </c>
      <c r="C17" s="31"/>
      <c r="D17" s="67">
        <v>12</v>
      </c>
      <c r="E17" s="47"/>
    </row>
    <row r="18" spans="1:7" ht="126" x14ac:dyDescent="0.2">
      <c r="A18" s="31">
        <v>3708</v>
      </c>
      <c r="B18" s="53" t="s">
        <v>39</v>
      </c>
      <c r="C18" s="31" t="s">
        <v>30</v>
      </c>
      <c r="D18" s="68">
        <f>SUM(D19:D22)</f>
        <v>11327.572769999999</v>
      </c>
    </row>
    <row r="19" spans="1:7" ht="15.75" x14ac:dyDescent="0.2">
      <c r="A19" s="31"/>
      <c r="B19" s="65" t="s">
        <v>63</v>
      </c>
      <c r="C19" s="31"/>
      <c r="D19" s="69">
        <f>G84</f>
        <v>9032.2127699999983</v>
      </c>
    </row>
    <row r="20" spans="1:7" ht="15.75" x14ac:dyDescent="0.2">
      <c r="A20" s="31"/>
      <c r="B20" s="65" t="s">
        <v>64</v>
      </c>
      <c r="C20" s="31"/>
      <c r="D20" s="69">
        <f>(24*1.78*0.25*2)+(22*0.25*27*2)</f>
        <v>318.36</v>
      </c>
    </row>
    <row r="21" spans="1:7" ht="15.75" x14ac:dyDescent="0.2">
      <c r="A21" s="31"/>
      <c r="B21" s="65" t="s">
        <v>66</v>
      </c>
      <c r="C21" s="31"/>
      <c r="D21" s="69">
        <v>162</v>
      </c>
    </row>
    <row r="22" spans="1:7" ht="15.75" x14ac:dyDescent="0.2">
      <c r="A22" s="31"/>
      <c r="B22" s="65" t="s">
        <v>65</v>
      </c>
      <c r="C22" s="31"/>
      <c r="D22" s="69">
        <v>1815</v>
      </c>
    </row>
    <row r="23" spans="1:7" ht="31.5" x14ac:dyDescent="0.2">
      <c r="A23" s="34">
        <v>3464</v>
      </c>
      <c r="B23" s="53" t="s">
        <v>117</v>
      </c>
      <c r="C23" s="31" t="s">
        <v>29</v>
      </c>
      <c r="D23" s="61">
        <f>+(2.5*D40*0.3)+(2.8*1.5*E40)+(1.6*0.6*G40)+(2.8*1*H40)</f>
        <v>76.853200000000001</v>
      </c>
      <c r="E23" s="38"/>
    </row>
    <row r="24" spans="1:7" ht="84" customHeight="1" x14ac:dyDescent="0.2">
      <c r="A24" s="34">
        <v>3017</v>
      </c>
      <c r="B24" s="35" t="s">
        <v>33</v>
      </c>
      <c r="C24" s="31" t="s">
        <v>29</v>
      </c>
      <c r="D24" s="56">
        <f>D23</f>
        <v>76.853200000000001</v>
      </c>
    </row>
    <row r="25" spans="1:7" ht="66" customHeight="1" x14ac:dyDescent="0.2">
      <c r="A25" s="100">
        <v>7364</v>
      </c>
      <c r="B25" s="101" t="s">
        <v>118</v>
      </c>
      <c r="C25" s="31" t="s">
        <v>29</v>
      </c>
      <c r="D25" s="56">
        <f>D23-D14</f>
        <v>12.220300000000009</v>
      </c>
    </row>
    <row r="26" spans="1:7" ht="82.5" customHeight="1" x14ac:dyDescent="0.2">
      <c r="A26" s="102"/>
      <c r="B26" s="53" t="s">
        <v>119</v>
      </c>
      <c r="C26" s="54" t="s">
        <v>34</v>
      </c>
      <c r="D26" s="58">
        <v>38.299999999999997</v>
      </c>
    </row>
    <row r="27" spans="1:7" ht="258" customHeight="1" x14ac:dyDescent="0.2">
      <c r="A27" s="52"/>
      <c r="B27" s="53" t="s">
        <v>104</v>
      </c>
      <c r="C27" s="54" t="s">
        <v>75</v>
      </c>
      <c r="D27" s="66">
        <v>23.8</v>
      </c>
      <c r="F27" s="2"/>
      <c r="G27" s="2"/>
    </row>
    <row r="28" spans="1:7" ht="31.5" x14ac:dyDescent="0.2">
      <c r="A28" s="54">
        <v>4009</v>
      </c>
      <c r="B28" s="53" t="s">
        <v>74</v>
      </c>
      <c r="C28" s="54" t="s">
        <v>34</v>
      </c>
      <c r="D28" s="66">
        <v>39.6</v>
      </c>
      <c r="E28" s="2"/>
      <c r="F28" s="2"/>
      <c r="G28" s="2"/>
    </row>
    <row r="29" spans="1:7" ht="31.5" x14ac:dyDescent="0.2">
      <c r="A29" s="54">
        <v>5412</v>
      </c>
      <c r="B29" s="53" t="s">
        <v>230</v>
      </c>
      <c r="C29" s="83" t="s">
        <v>29</v>
      </c>
      <c r="D29" s="85">
        <v>5.9</v>
      </c>
      <c r="E29" s="2"/>
      <c r="F29" s="2"/>
      <c r="G29" s="2"/>
    </row>
    <row r="30" spans="1:7" ht="31.5" x14ac:dyDescent="0.2">
      <c r="A30" s="54">
        <v>3905</v>
      </c>
      <c r="B30" s="53" t="s">
        <v>73</v>
      </c>
      <c r="C30" s="54" t="s">
        <v>75</v>
      </c>
      <c r="D30" s="66">
        <v>23.8</v>
      </c>
      <c r="E30" s="2"/>
      <c r="F30" s="2"/>
      <c r="G30" s="2"/>
    </row>
    <row r="31" spans="1:7" ht="31.5" x14ac:dyDescent="0.2">
      <c r="A31" s="54">
        <v>3904</v>
      </c>
      <c r="B31" s="53" t="s">
        <v>229</v>
      </c>
      <c r="C31" s="84" t="s">
        <v>75</v>
      </c>
      <c r="D31" s="66">
        <f>8*0.3</f>
        <v>2.4</v>
      </c>
      <c r="E31" s="2"/>
      <c r="F31" s="2"/>
      <c r="G31" s="2"/>
    </row>
    <row r="32" spans="1:7" ht="15.75" x14ac:dyDescent="0.2">
      <c r="A32" s="50"/>
      <c r="B32" s="41"/>
      <c r="C32" s="42"/>
      <c r="D32" s="51"/>
      <c r="E32" s="2"/>
      <c r="F32" s="2"/>
      <c r="G32" s="2"/>
    </row>
    <row r="33" spans="1:9" ht="15.75" x14ac:dyDescent="0.2">
      <c r="A33" s="50"/>
      <c r="B33" s="41"/>
      <c r="C33" s="42"/>
      <c r="D33" s="51"/>
      <c r="E33" s="2"/>
      <c r="F33" s="2"/>
      <c r="G33" s="2"/>
    </row>
    <row r="34" spans="1:9" ht="15.75" x14ac:dyDescent="0.2">
      <c r="D34" s="19" t="s">
        <v>40</v>
      </c>
      <c r="E34" s="19" t="s">
        <v>43</v>
      </c>
      <c r="F34" s="19" t="s">
        <v>41</v>
      </c>
      <c r="G34" s="19" t="s">
        <v>42</v>
      </c>
      <c r="H34" s="25" t="s">
        <v>55</v>
      </c>
      <c r="I34" s="25" t="s">
        <v>56</v>
      </c>
    </row>
    <row r="35" spans="1:9" ht="15.75" x14ac:dyDescent="0.2">
      <c r="D35" s="19"/>
      <c r="E35" s="19"/>
      <c r="F35" s="19"/>
      <c r="G35" s="19"/>
    </row>
    <row r="36" spans="1:9" ht="15.75" x14ac:dyDescent="0.2">
      <c r="D36" s="19"/>
      <c r="E36" s="19"/>
      <c r="F36" s="19"/>
      <c r="G36" s="19"/>
    </row>
    <row r="37" spans="1:9" ht="15.75" x14ac:dyDescent="0.2">
      <c r="D37" s="19"/>
      <c r="E37" s="19"/>
      <c r="F37" s="19"/>
      <c r="G37" s="19"/>
      <c r="H37" s="25">
        <v>2.8</v>
      </c>
    </row>
    <row r="38" spans="1:9" ht="15.75" x14ac:dyDescent="0.2">
      <c r="D38" s="19"/>
      <c r="E38" s="19"/>
      <c r="F38" s="19"/>
      <c r="G38" s="19"/>
      <c r="H38" s="25">
        <v>3.73</v>
      </c>
    </row>
    <row r="39" spans="1:9" ht="15.75" x14ac:dyDescent="0.2">
      <c r="D39" s="19">
        <v>27.24</v>
      </c>
      <c r="E39" s="19">
        <v>4.5</v>
      </c>
      <c r="F39" s="19">
        <v>5</v>
      </c>
      <c r="G39" s="19">
        <v>12.37</v>
      </c>
      <c r="H39" s="25">
        <v>2.63</v>
      </c>
      <c r="I39" s="25">
        <v>11.11</v>
      </c>
    </row>
    <row r="40" spans="1:9" ht="28.5" x14ac:dyDescent="0.2">
      <c r="C40" s="38" t="s">
        <v>51</v>
      </c>
      <c r="D40" s="36">
        <f t="shared" ref="D40:I40" si="0">SUM(D35:D39)</f>
        <v>27.24</v>
      </c>
      <c r="E40" s="36">
        <f t="shared" si="0"/>
        <v>4.5</v>
      </c>
      <c r="F40" s="36">
        <f t="shared" si="0"/>
        <v>5</v>
      </c>
      <c r="G40" s="36">
        <f t="shared" si="0"/>
        <v>12.37</v>
      </c>
      <c r="H40" s="36">
        <f t="shared" si="0"/>
        <v>9.16</v>
      </c>
      <c r="I40" s="36">
        <f t="shared" si="0"/>
        <v>11.11</v>
      </c>
    </row>
    <row r="42" spans="1:9" x14ac:dyDescent="0.2">
      <c r="C42" s="25" t="s">
        <v>52</v>
      </c>
      <c r="D42" s="39">
        <v>0</v>
      </c>
      <c r="E42" s="39">
        <f>1.08*E40</f>
        <v>4.8600000000000003</v>
      </c>
      <c r="F42" s="39">
        <v>0</v>
      </c>
      <c r="G42" s="39">
        <f>0.12*G40</f>
        <v>1.4843999999999999</v>
      </c>
      <c r="H42" s="39">
        <f>0.63*H40</f>
        <v>5.7708000000000004</v>
      </c>
      <c r="I42" s="39">
        <f>0.5911*I40</f>
        <v>6.5671209999999993</v>
      </c>
    </row>
    <row r="43" spans="1:9" x14ac:dyDescent="0.2">
      <c r="C43" s="25" t="s">
        <v>53</v>
      </c>
      <c r="D43" s="39">
        <f>83.05*0.3</f>
        <v>24.914999999999999</v>
      </c>
      <c r="E43" s="59">
        <f>3.15*0.3*E40</f>
        <v>4.2524999999999995</v>
      </c>
      <c r="F43" s="59">
        <f>2.36*0.3*F40</f>
        <v>3.54</v>
      </c>
      <c r="G43" s="59">
        <f>1.4*0.2*G40</f>
        <v>3.4635999999999996</v>
      </c>
      <c r="H43" s="25">
        <f>2.65*0.3*H40</f>
        <v>7.2821999999999996</v>
      </c>
      <c r="I43" s="25">
        <v>0</v>
      </c>
    </row>
    <row r="44" spans="1:9" ht="15" x14ac:dyDescent="0.25">
      <c r="D44" s="44">
        <f>D42+D43</f>
        <v>24.914999999999999</v>
      </c>
      <c r="E44" s="44">
        <f t="shared" ref="E44:I44" si="1">E42+E43</f>
        <v>9.1125000000000007</v>
      </c>
      <c r="F44" s="44">
        <f t="shared" si="1"/>
        <v>3.54</v>
      </c>
      <c r="G44" s="44">
        <f t="shared" si="1"/>
        <v>4.9479999999999995</v>
      </c>
      <c r="H44" s="44">
        <f t="shared" si="1"/>
        <v>13.053000000000001</v>
      </c>
      <c r="I44" s="44">
        <f t="shared" si="1"/>
        <v>6.5671209999999993</v>
      </c>
    </row>
    <row r="47" spans="1:9" x14ac:dyDescent="0.2">
      <c r="C47" s="25" t="s">
        <v>60</v>
      </c>
      <c r="E47" s="47">
        <f>128*E40</f>
        <v>576</v>
      </c>
      <c r="G47" s="47">
        <f>14*G40</f>
        <v>173.17999999999998</v>
      </c>
      <c r="H47" s="47">
        <f>55*H40</f>
        <v>503.8</v>
      </c>
    </row>
    <row r="48" spans="1:9" x14ac:dyDescent="0.2">
      <c r="C48" s="25" t="s">
        <v>61</v>
      </c>
      <c r="D48" s="47">
        <f>282*D40</f>
        <v>7681.6799999999994</v>
      </c>
      <c r="E48" s="47">
        <f>149*E40</f>
        <v>670.5</v>
      </c>
      <c r="F48" s="25">
        <f>234*F40</f>
        <v>1170</v>
      </c>
      <c r="G48" s="47">
        <f>23*G40</f>
        <v>284.51</v>
      </c>
      <c r="H48" s="47">
        <f>132*H40</f>
        <v>1209.1200000000001</v>
      </c>
      <c r="I48" s="47">
        <f>47*I40</f>
        <v>522.16999999999996</v>
      </c>
    </row>
    <row r="49" spans="3:13" ht="15" x14ac:dyDescent="0.25">
      <c r="D49" s="48">
        <f>SUM(D47:D48)</f>
        <v>7681.6799999999994</v>
      </c>
      <c r="E49" s="48">
        <f t="shared" ref="E49:I49" si="2">SUM(E47:E48)</f>
        <v>1246.5</v>
      </c>
      <c r="F49" s="46">
        <f t="shared" si="2"/>
        <v>1170</v>
      </c>
      <c r="G49" s="48">
        <f t="shared" si="2"/>
        <v>457.68999999999994</v>
      </c>
      <c r="H49" s="48">
        <f t="shared" si="2"/>
        <v>1712.92</v>
      </c>
      <c r="I49" s="48">
        <f t="shared" si="2"/>
        <v>522.16999999999996</v>
      </c>
    </row>
    <row r="53" spans="3:13" ht="15.75" x14ac:dyDescent="0.2">
      <c r="C53" s="25" t="s">
        <v>122</v>
      </c>
      <c r="D53" s="19" t="s">
        <v>145</v>
      </c>
      <c r="E53" s="19" t="s">
        <v>146</v>
      </c>
      <c r="F53" s="19" t="s">
        <v>147</v>
      </c>
      <c r="G53" s="19" t="s">
        <v>148</v>
      </c>
      <c r="I53" s="19" t="s">
        <v>40</v>
      </c>
      <c r="J53" s="19" t="s">
        <v>42</v>
      </c>
      <c r="K53" s="19" t="s">
        <v>41</v>
      </c>
      <c r="L53" s="25" t="s">
        <v>55</v>
      </c>
      <c r="M53" s="25" t="s">
        <v>56</v>
      </c>
    </row>
    <row r="54" spans="3:13" ht="15.75" x14ac:dyDescent="0.2">
      <c r="C54" s="25">
        <v>8</v>
      </c>
      <c r="D54" s="19">
        <f>LOOKUP(C54,Hoja2!$B$8:$B$20,Hoja2!$E$8:$E$20)</f>
        <v>2.2349999999999999</v>
      </c>
      <c r="E54" s="19">
        <v>8.5399999999999991</v>
      </c>
      <c r="F54" s="19">
        <v>128</v>
      </c>
      <c r="G54" s="110">
        <f>F54*E54*D54</f>
        <v>2443.1231999999995</v>
      </c>
      <c r="I54" s="25">
        <f>118.12*0.3</f>
        <v>35.436</v>
      </c>
      <c r="J54" s="25">
        <f>(4.2*0.2)+(0.2*4.09*0.6)</f>
        <v>1.3308</v>
      </c>
      <c r="K54" s="25">
        <f>8.73*(0.25)</f>
        <v>2.1825000000000001</v>
      </c>
      <c r="L54" s="22">
        <f>(2.93*0.3)+(2.93*2.5*0.4)</f>
        <v>3.8090000000000002</v>
      </c>
      <c r="M54" s="22">
        <f>0.54*7</f>
        <v>3.7800000000000002</v>
      </c>
    </row>
    <row r="55" spans="3:13" ht="15.75" x14ac:dyDescent="0.2">
      <c r="C55" s="25">
        <v>4</v>
      </c>
      <c r="D55" s="19">
        <f>LOOKUP(C55,Hoja2!$B$8:$B$20,Hoja2!$E$8:$E$20)</f>
        <v>0.99399999999999999</v>
      </c>
      <c r="E55" s="19">
        <v>19.13</v>
      </c>
      <c r="F55" s="19">
        <v>34</v>
      </c>
      <c r="G55" s="110">
        <f>F55*E55*D55</f>
        <v>646.51747999999998</v>
      </c>
      <c r="J55" s="25">
        <f>(4.2*0.2)+(0.2*4.09*0.6)</f>
        <v>1.3308</v>
      </c>
      <c r="L55" s="22">
        <f>(8.65*0.3)+(5.14*2.5*0.4)</f>
        <v>7.7350000000000012</v>
      </c>
    </row>
    <row r="56" spans="3:13" ht="15.75" x14ac:dyDescent="0.2">
      <c r="C56" s="25">
        <v>8</v>
      </c>
      <c r="D56" s="19">
        <f>LOOKUP(C56,Hoja2!$B$8:$B$20,Hoja2!$E$8:$E$20)</f>
        <v>2.2349999999999999</v>
      </c>
      <c r="E56" s="19">
        <f>+(11.52+8.54)/2</f>
        <v>10.029999999999999</v>
      </c>
      <c r="F56" s="19">
        <v>21</v>
      </c>
      <c r="G56" s="110">
        <f t="shared" ref="G56:G83" si="3">F56*E56*D56</f>
        <v>470.75804999999997</v>
      </c>
      <c r="J56" s="25">
        <f>(4.2*0.2)+(0.2*4.09*0.6)</f>
        <v>1.3308</v>
      </c>
      <c r="L56" s="22">
        <f>(10.66*0.3)+(4.5*2.5*0.4)</f>
        <v>7.6980000000000004</v>
      </c>
    </row>
    <row r="57" spans="3:13" ht="15.75" x14ac:dyDescent="0.2">
      <c r="C57" s="25">
        <v>4</v>
      </c>
      <c r="D57" s="19">
        <f>LOOKUP(C57,Hoja2!$B$8:$B$20,Hoja2!$E$8:$E$20)</f>
        <v>0.99399999999999999</v>
      </c>
      <c r="E57" s="25">
        <v>3.05</v>
      </c>
      <c r="F57" s="25">
        <v>38</v>
      </c>
      <c r="G57" s="110">
        <f t="shared" si="3"/>
        <v>115.20459999999999</v>
      </c>
      <c r="I57" s="25">
        <f>SUM(I54:I56)</f>
        <v>35.436</v>
      </c>
      <c r="J57" s="25">
        <f t="shared" ref="J57:M57" si="4">SUM(J54:J56)</f>
        <v>3.9923999999999999</v>
      </c>
      <c r="K57" s="25">
        <f t="shared" si="4"/>
        <v>2.1825000000000001</v>
      </c>
      <c r="L57" s="25">
        <f t="shared" si="4"/>
        <v>19.242000000000001</v>
      </c>
      <c r="M57" s="25">
        <f t="shared" si="4"/>
        <v>3.7800000000000002</v>
      </c>
    </row>
    <row r="58" spans="3:13" ht="15.75" x14ac:dyDescent="0.2">
      <c r="C58" s="25">
        <v>8</v>
      </c>
      <c r="D58" s="19">
        <f>LOOKUP(C58,Hoja2!$B$8:$B$20,Hoja2!$E$8:$E$20)</f>
        <v>2.2349999999999999</v>
      </c>
      <c r="E58" s="25">
        <v>11.52</v>
      </c>
      <c r="F58" s="25">
        <v>34</v>
      </c>
      <c r="G58" s="110">
        <f t="shared" si="3"/>
        <v>875.40480000000002</v>
      </c>
    </row>
    <row r="59" spans="3:13" ht="15.75" x14ac:dyDescent="0.2">
      <c r="C59" s="25">
        <v>4</v>
      </c>
      <c r="D59" s="19">
        <f>LOOKUP(C59,Hoja2!$B$8:$B$20,Hoja2!$E$8:$E$20)</f>
        <v>0.99399999999999999</v>
      </c>
      <c r="E59" s="25">
        <v>4.8899999999999997</v>
      </c>
      <c r="F59" s="25">
        <v>44</v>
      </c>
      <c r="G59" s="110">
        <f t="shared" si="3"/>
        <v>213.86903999999998</v>
      </c>
    </row>
    <row r="60" spans="3:13" ht="15.75" x14ac:dyDescent="0.2">
      <c r="C60" s="25">
        <v>6</v>
      </c>
      <c r="D60" s="19">
        <f>LOOKUP(C60,Hoja2!$B$8:$B$20,Hoja2!$E$8:$E$20)</f>
        <v>2.2349999999999999</v>
      </c>
      <c r="E60" s="25">
        <v>5.75</v>
      </c>
      <c r="F60" s="25">
        <v>17</v>
      </c>
      <c r="G60" s="110">
        <f t="shared" si="3"/>
        <v>218.47125</v>
      </c>
    </row>
    <row r="61" spans="3:13" ht="15.75" x14ac:dyDescent="0.2">
      <c r="C61" s="25">
        <v>6</v>
      </c>
      <c r="D61" s="19">
        <f>LOOKUP(C61,Hoja2!$B$8:$B$20,Hoja2!$E$8:$E$20)</f>
        <v>2.2349999999999999</v>
      </c>
      <c r="E61" s="25">
        <v>2.54</v>
      </c>
      <c r="F61" s="25">
        <v>28</v>
      </c>
      <c r="G61" s="110">
        <f t="shared" si="3"/>
        <v>158.95320000000001</v>
      </c>
    </row>
    <row r="62" spans="3:13" ht="15.75" x14ac:dyDescent="0.2">
      <c r="C62" s="25">
        <v>6</v>
      </c>
      <c r="D62" s="19">
        <f>LOOKUP(C62,Hoja2!$B$8:$B$20,Hoja2!$E$8:$E$20)</f>
        <v>2.2349999999999999</v>
      </c>
      <c r="E62" s="25">
        <f>(3.85+3.29)/2</f>
        <v>3.5700000000000003</v>
      </c>
      <c r="F62" s="25">
        <v>17</v>
      </c>
      <c r="G62" s="110">
        <f t="shared" si="3"/>
        <v>135.64215000000002</v>
      </c>
    </row>
    <row r="63" spans="3:13" ht="15.75" x14ac:dyDescent="0.2">
      <c r="C63" s="25">
        <v>5</v>
      </c>
      <c r="D63" s="19">
        <f>LOOKUP(C63,Hoja2!$B$8:$B$20,Hoja2!$E$8:$E$20)</f>
        <v>1.552</v>
      </c>
      <c r="E63" s="25">
        <v>2.54</v>
      </c>
      <c r="F63" s="25">
        <v>8</v>
      </c>
      <c r="G63" s="110">
        <f t="shared" si="3"/>
        <v>31.536640000000002</v>
      </c>
    </row>
    <row r="64" spans="3:13" ht="15.75" x14ac:dyDescent="0.2">
      <c r="C64" s="25">
        <v>6</v>
      </c>
      <c r="D64" s="19">
        <f>LOOKUP(C64,Hoja2!$B$8:$B$20,Hoja2!$E$8:$E$20)</f>
        <v>2.2349999999999999</v>
      </c>
      <c r="E64" s="25">
        <v>2.54</v>
      </c>
      <c r="F64" s="25">
        <v>2</v>
      </c>
      <c r="G64" s="110">
        <f t="shared" si="3"/>
        <v>11.3538</v>
      </c>
    </row>
    <row r="65" spans="3:8" ht="15.75" x14ac:dyDescent="0.2">
      <c r="C65" s="25">
        <v>6</v>
      </c>
      <c r="D65" s="19">
        <f>LOOKUP(C65,Hoja2!$B$8:$B$20,Hoja2!$E$8:$E$20)</f>
        <v>2.2349999999999999</v>
      </c>
      <c r="E65" s="25">
        <v>5.61</v>
      </c>
      <c r="F65" s="25">
        <v>32</v>
      </c>
      <c r="G65" s="110">
        <f t="shared" si="3"/>
        <v>401.22719999999998</v>
      </c>
    </row>
    <row r="66" spans="3:8" ht="15.75" x14ac:dyDescent="0.2">
      <c r="C66" s="25">
        <v>6</v>
      </c>
      <c r="D66" s="19">
        <f>LOOKUP(C66,Hoja2!$B$8:$B$20,Hoja2!$E$8:$E$20)</f>
        <v>2.2349999999999999</v>
      </c>
      <c r="E66" s="25">
        <v>1.05</v>
      </c>
      <c r="F66" s="25">
        <v>2</v>
      </c>
      <c r="G66" s="110">
        <f t="shared" si="3"/>
        <v>4.6935000000000002</v>
      </c>
    </row>
    <row r="67" spans="3:8" ht="15.75" x14ac:dyDescent="0.2">
      <c r="C67" s="25">
        <v>4</v>
      </c>
      <c r="D67" s="19">
        <f>LOOKUP(C67,Hoja2!$B$8:$B$20,Hoja2!$E$8:$E$20)</f>
        <v>0.99399999999999999</v>
      </c>
      <c r="E67" s="25">
        <v>1.05</v>
      </c>
      <c r="F67" s="25">
        <v>20</v>
      </c>
      <c r="G67" s="110">
        <f t="shared" si="3"/>
        <v>20.873999999999999</v>
      </c>
    </row>
    <row r="68" spans="3:8" ht="15.75" x14ac:dyDescent="0.2">
      <c r="C68" s="25">
        <v>6</v>
      </c>
      <c r="D68" s="19">
        <f>LOOKUP(C68,Hoja2!$B$8:$B$20,Hoja2!$E$8:$E$20)</f>
        <v>2.2349999999999999</v>
      </c>
      <c r="E68" s="25">
        <v>5.75</v>
      </c>
      <c r="F68" s="25">
        <v>35</v>
      </c>
      <c r="G68" s="110">
        <f t="shared" si="3"/>
        <v>449.79374999999999</v>
      </c>
    </row>
    <row r="69" spans="3:8" ht="15.75" x14ac:dyDescent="0.2">
      <c r="C69" s="25">
        <v>6</v>
      </c>
      <c r="D69" s="19">
        <f>LOOKUP(C69,Hoja2!$B$8:$B$20,Hoja2!$E$8:$E$20)</f>
        <v>2.2349999999999999</v>
      </c>
      <c r="E69" s="25">
        <v>5.14</v>
      </c>
      <c r="F69" s="25">
        <v>28</v>
      </c>
      <c r="G69" s="110">
        <f t="shared" si="3"/>
        <v>321.66119999999995</v>
      </c>
    </row>
    <row r="70" spans="3:8" ht="15.75" x14ac:dyDescent="0.2">
      <c r="C70" s="25">
        <v>6</v>
      </c>
      <c r="D70" s="19">
        <f>LOOKUP(C70,Hoja2!$B$8:$B$20,Hoja2!$E$8:$E$20)</f>
        <v>2.2349999999999999</v>
      </c>
      <c r="E70" s="25">
        <v>4.71</v>
      </c>
      <c r="F70" s="25">
        <v>35</v>
      </c>
      <c r="G70" s="110">
        <f t="shared" si="3"/>
        <v>368.43974999999995</v>
      </c>
    </row>
    <row r="71" spans="3:8" ht="15.75" x14ac:dyDescent="0.2">
      <c r="C71" s="25">
        <v>5</v>
      </c>
      <c r="D71" s="19">
        <f>LOOKUP(C71,Hoja2!$B$8:$B$20,Hoja2!$E$8:$E$20)</f>
        <v>1.552</v>
      </c>
      <c r="E71" s="25">
        <v>5.14</v>
      </c>
      <c r="F71" s="25">
        <v>12</v>
      </c>
      <c r="G71" s="110">
        <f t="shared" si="3"/>
        <v>95.72735999999999</v>
      </c>
    </row>
    <row r="72" spans="3:8" ht="15.75" x14ac:dyDescent="0.2">
      <c r="C72" s="25">
        <v>6</v>
      </c>
      <c r="D72" s="19">
        <f>LOOKUP(C72,Hoja2!$B$8:$B$20,Hoja2!$E$8:$E$20)</f>
        <v>2.2349999999999999</v>
      </c>
      <c r="E72" s="25">
        <v>5.14</v>
      </c>
      <c r="F72" s="25">
        <v>2</v>
      </c>
      <c r="G72" s="110">
        <f t="shared" si="3"/>
        <v>22.975799999999996</v>
      </c>
    </row>
    <row r="73" spans="3:8" ht="15.75" x14ac:dyDescent="0.2">
      <c r="C73" s="25">
        <v>6</v>
      </c>
      <c r="D73" s="19">
        <f>LOOKUP(C73,Hoja2!$B$8:$B$20,Hoja2!$E$8:$E$20)</f>
        <v>2.2349999999999999</v>
      </c>
      <c r="E73" s="25">
        <v>5.75</v>
      </c>
      <c r="F73" s="25">
        <v>30</v>
      </c>
      <c r="G73" s="110">
        <f t="shared" si="3"/>
        <v>385.53749999999997</v>
      </c>
    </row>
    <row r="74" spans="3:8" ht="15.75" x14ac:dyDescent="0.2">
      <c r="C74" s="25">
        <v>6</v>
      </c>
      <c r="D74" s="19">
        <f>LOOKUP(C74,Hoja2!$B$8:$B$20,Hoja2!$E$8:$E$20)</f>
        <v>2.2349999999999999</v>
      </c>
      <c r="E74" s="25">
        <v>4.4400000000000004</v>
      </c>
      <c r="F74" s="25">
        <v>28</v>
      </c>
      <c r="G74" s="110">
        <f t="shared" si="3"/>
        <v>277.85520000000002</v>
      </c>
    </row>
    <row r="75" spans="3:8" ht="15.75" x14ac:dyDescent="0.2">
      <c r="C75" s="25">
        <v>6</v>
      </c>
      <c r="D75" s="19">
        <f>LOOKUP(C75,Hoja2!$B$8:$B$20,Hoja2!$E$8:$E$20)</f>
        <v>2.2349999999999999</v>
      </c>
      <c r="E75" s="25">
        <f>(7.71+4.35)/2</f>
        <v>6.0299999999999994</v>
      </c>
      <c r="F75" s="25">
        <v>30</v>
      </c>
      <c r="G75" s="110">
        <f t="shared" si="3"/>
        <v>404.31149999999991</v>
      </c>
    </row>
    <row r="76" spans="3:8" ht="15.75" x14ac:dyDescent="0.2">
      <c r="C76" s="25">
        <v>5</v>
      </c>
      <c r="D76" s="19">
        <f>LOOKUP(C76,Hoja2!$B$8:$B$20,Hoja2!$E$8:$E$20)</f>
        <v>1.552</v>
      </c>
      <c r="E76" s="25">
        <v>4.4400000000000004</v>
      </c>
      <c r="F76" s="25">
        <v>16</v>
      </c>
      <c r="G76" s="110">
        <f t="shared" si="3"/>
        <v>110.25408000000002</v>
      </c>
    </row>
    <row r="77" spans="3:8" ht="15.75" x14ac:dyDescent="0.2">
      <c r="C77" s="25">
        <v>6</v>
      </c>
      <c r="D77" s="19">
        <f>LOOKUP(C77,Hoja2!$B$8:$B$20,Hoja2!$E$8:$E$20)</f>
        <v>2.2349999999999999</v>
      </c>
      <c r="E77" s="25">
        <v>4.4400000000000004</v>
      </c>
      <c r="F77" s="25">
        <v>2</v>
      </c>
      <c r="G77" s="110">
        <f t="shared" si="3"/>
        <v>19.846800000000002</v>
      </c>
    </row>
    <row r="78" spans="3:8" ht="15.75" x14ac:dyDescent="0.2">
      <c r="C78" s="25">
        <v>4</v>
      </c>
      <c r="D78" s="19">
        <f>LOOKUP(C78,Hoja2!$B$8:$B$20,Hoja2!$E$8:$E$20)</f>
        <v>0.99399999999999999</v>
      </c>
      <c r="E78" s="25">
        <v>1.55</v>
      </c>
      <c r="F78" s="25">
        <v>21</v>
      </c>
      <c r="G78" s="113">
        <f t="shared" si="3"/>
        <v>32.354700000000001</v>
      </c>
      <c r="H78" s="154">
        <f>SUM(G78:G81)</f>
        <v>153.43384</v>
      </c>
    </row>
    <row r="79" spans="3:8" ht="15.75" x14ac:dyDescent="0.2">
      <c r="C79" s="25">
        <v>4</v>
      </c>
      <c r="D79" s="19">
        <f>LOOKUP(C79,Hoja2!$B$8:$B$20,Hoja2!$E$8:$E$20)</f>
        <v>0.99399999999999999</v>
      </c>
      <c r="E79" s="25">
        <v>4.03</v>
      </c>
      <c r="F79" s="25">
        <v>8</v>
      </c>
      <c r="G79" s="113">
        <f t="shared" si="3"/>
        <v>32.046559999999999</v>
      </c>
      <c r="H79" s="155"/>
    </row>
    <row r="80" spans="3:8" ht="15.75" x14ac:dyDescent="0.2">
      <c r="C80" s="25">
        <v>4</v>
      </c>
      <c r="D80" s="19">
        <f>LOOKUP(C80,Hoja2!$B$8:$B$20,Hoja2!$E$8:$E$20)</f>
        <v>0.99399999999999999</v>
      </c>
      <c r="E80" s="25">
        <v>2.73</v>
      </c>
      <c r="F80" s="25">
        <v>21</v>
      </c>
      <c r="G80" s="113">
        <f t="shared" si="3"/>
        <v>56.986019999999996</v>
      </c>
      <c r="H80" s="155"/>
    </row>
    <row r="81" spans="3:8" ht="15.75" x14ac:dyDescent="0.2">
      <c r="C81" s="25">
        <v>4</v>
      </c>
      <c r="D81" s="19">
        <f>LOOKUP(C81,Hoja2!$B$8:$B$20,Hoja2!$E$8:$E$20)</f>
        <v>0.99399999999999999</v>
      </c>
      <c r="E81" s="25">
        <v>4.03</v>
      </c>
      <c r="F81" s="25">
        <v>8</v>
      </c>
      <c r="G81" s="113">
        <f t="shared" si="3"/>
        <v>32.046559999999999</v>
      </c>
      <c r="H81" s="155"/>
    </row>
    <row r="82" spans="3:8" ht="15.75" x14ac:dyDescent="0.2">
      <c r="C82" s="25">
        <v>4</v>
      </c>
      <c r="D82" s="19">
        <f>LOOKUP(C82,Hoja2!$B$8:$B$20,Hoja2!$E$8:$E$20)</f>
        <v>0.99399999999999999</v>
      </c>
      <c r="E82" s="25">
        <f>(5.35+0.75)/2</f>
        <v>3.05</v>
      </c>
      <c r="F82" s="25">
        <v>42</v>
      </c>
      <c r="G82" s="110">
        <f t="shared" si="3"/>
        <v>127.33139999999999</v>
      </c>
    </row>
    <row r="83" spans="3:8" ht="15.75" x14ac:dyDescent="0.2">
      <c r="C83" s="25">
        <v>4</v>
      </c>
      <c r="D83" s="19">
        <f>LOOKUP(C83,Hoja2!$B$8:$B$20,Hoja2!$E$8:$E$20)</f>
        <v>0.99399999999999999</v>
      </c>
      <c r="E83" s="25">
        <v>5.5</v>
      </c>
      <c r="F83" s="25">
        <v>44</v>
      </c>
      <c r="G83" s="110">
        <f t="shared" si="3"/>
        <v>240.548</v>
      </c>
    </row>
    <row r="84" spans="3:8" ht="15" x14ac:dyDescent="0.25">
      <c r="G84" s="111">
        <f>SUM(G54:G83)+H78*2</f>
        <v>9032.2127699999983</v>
      </c>
    </row>
  </sheetData>
  <mergeCells count="3">
    <mergeCell ref="E7:I7"/>
    <mergeCell ref="A11:D11"/>
    <mergeCell ref="H78:H81"/>
  </mergeCells>
  <pageMargins left="0.7" right="0.7" top="0.75" bottom="0.75" header="0.3" footer="0.3"/>
  <pageSetup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3A6CD-68D8-4A9A-AF42-771AC5E76F22}">
  <sheetPr>
    <tabColor rgb="FFFFFF00"/>
  </sheetPr>
  <dimension ref="A2:S99"/>
  <sheetViews>
    <sheetView view="pageBreakPreview" topLeftCell="A23" zoomScale="85" zoomScaleNormal="85" zoomScaleSheetLayoutView="85" workbookViewId="0">
      <selection activeCell="D23" sqref="D23"/>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67</v>
      </c>
      <c r="F7" s="150"/>
      <c r="G7" s="150"/>
      <c r="H7" s="150"/>
      <c r="I7" s="150"/>
    </row>
    <row r="10" spans="1:9" ht="38.25" x14ac:dyDescent="0.2">
      <c r="A10" s="28" t="s">
        <v>26</v>
      </c>
      <c r="B10" s="32" t="s">
        <v>27</v>
      </c>
      <c r="C10" s="29" t="s">
        <v>28</v>
      </c>
      <c r="D10" s="37" t="s">
        <v>62</v>
      </c>
    </row>
    <row r="11" spans="1:9" x14ac:dyDescent="0.2">
      <c r="A11" s="151" t="s">
        <v>57</v>
      </c>
      <c r="B11" s="152"/>
      <c r="C11" s="152"/>
      <c r="D11" s="153"/>
    </row>
    <row r="12" spans="1:9" ht="63" x14ac:dyDescent="0.2">
      <c r="A12" s="31">
        <v>6021</v>
      </c>
      <c r="B12" s="30" t="s">
        <v>58</v>
      </c>
      <c r="C12" s="40" t="s">
        <v>29</v>
      </c>
      <c r="D12" s="43">
        <f>(2.3*E40*0.05)+(0.6*G40*0.05)+(1.8*H40*0.05)+(1*J40*0.05)+(1.5*I40*0.05)</f>
        <v>3.4659499999999999</v>
      </c>
    </row>
    <row r="13" spans="1:9" ht="47.25" x14ac:dyDescent="0.2">
      <c r="A13" s="31" t="s">
        <v>38</v>
      </c>
      <c r="B13" s="30" t="s">
        <v>59</v>
      </c>
      <c r="C13" s="31" t="s">
        <v>29</v>
      </c>
      <c r="D13" s="56">
        <f>SUM(D14:D17)</f>
        <v>44.794400000000003</v>
      </c>
      <c r="E13" s="47"/>
    </row>
    <row r="14" spans="1:9" ht="15.75" x14ac:dyDescent="0.2">
      <c r="A14" s="31"/>
      <c r="B14" s="55" t="s">
        <v>63</v>
      </c>
      <c r="C14" s="31"/>
      <c r="D14" s="45">
        <f>SUM(I55:S55)</f>
        <v>35.858400000000003</v>
      </c>
      <c r="E14" s="47"/>
    </row>
    <row r="15" spans="1:9" ht="15.75" x14ac:dyDescent="0.2">
      <c r="A15" s="31"/>
      <c r="B15" s="55" t="s">
        <v>64</v>
      </c>
      <c r="C15" s="31"/>
      <c r="D15" s="63">
        <f>0.01*26*1.8*2</f>
        <v>0.93600000000000005</v>
      </c>
      <c r="E15" s="47"/>
    </row>
    <row r="16" spans="1:9" ht="15.75" x14ac:dyDescent="0.2">
      <c r="A16" s="31"/>
      <c r="B16" s="65" t="s">
        <v>66</v>
      </c>
      <c r="C16" s="31"/>
      <c r="D16" s="45">
        <v>2.1</v>
      </c>
      <c r="E16" s="47"/>
    </row>
    <row r="17" spans="1:7" ht="15.75" x14ac:dyDescent="0.2">
      <c r="A17" s="31"/>
      <c r="B17" s="65" t="s">
        <v>65</v>
      </c>
      <c r="C17" s="31"/>
      <c r="D17" s="45">
        <v>5.9</v>
      </c>
      <c r="E17" s="47"/>
    </row>
    <row r="18" spans="1:7" ht="126" x14ac:dyDescent="0.2">
      <c r="A18" s="31">
        <v>3708</v>
      </c>
      <c r="B18" s="53" t="s">
        <v>39</v>
      </c>
      <c r="C18" s="31" t="s">
        <v>30</v>
      </c>
      <c r="D18" s="57">
        <f>SUM(D19:D22)</f>
        <v>7449.1886800000002</v>
      </c>
    </row>
    <row r="19" spans="1:7" ht="15.75" x14ac:dyDescent="0.2">
      <c r="A19" s="31"/>
      <c r="B19" s="65" t="s">
        <v>63</v>
      </c>
      <c r="C19" s="31"/>
      <c r="D19" s="49">
        <f>G99</f>
        <v>5534.0886799999998</v>
      </c>
    </row>
    <row r="20" spans="1:7" ht="15.75" x14ac:dyDescent="0.2">
      <c r="A20" s="31"/>
      <c r="B20" s="65" t="s">
        <v>64</v>
      </c>
      <c r="C20" s="31"/>
      <c r="D20" s="64">
        <f>(8*2.4*0.25*2)+(6*1*0.25*2)+(6*1.5*0.25*2)+72+20+176</f>
        <v>285.10000000000002</v>
      </c>
    </row>
    <row r="21" spans="1:7" ht="15.75" x14ac:dyDescent="0.2">
      <c r="A21" s="31"/>
      <c r="B21" s="65" t="s">
        <v>66</v>
      </c>
      <c r="C21" s="31"/>
      <c r="D21" s="49">
        <v>297</v>
      </c>
    </row>
    <row r="22" spans="1:7" ht="15.75" x14ac:dyDescent="0.2">
      <c r="A22" s="31"/>
      <c r="B22" s="65" t="s">
        <v>65</v>
      </c>
      <c r="C22" s="31"/>
      <c r="D22" s="49">
        <v>1333</v>
      </c>
    </row>
    <row r="23" spans="1:7" ht="31.5" x14ac:dyDescent="0.2">
      <c r="A23" s="34">
        <v>3464</v>
      </c>
      <c r="B23" s="53" t="s">
        <v>117</v>
      </c>
      <c r="C23" s="31" t="s">
        <v>29</v>
      </c>
      <c r="D23" s="45">
        <f>(1.6*1*G40)+(2.8*0.6*H40)+(2*1.2*J40)</f>
        <v>91.521599999999992</v>
      </c>
    </row>
    <row r="24" spans="1:7" ht="84" customHeight="1" x14ac:dyDescent="0.2">
      <c r="A24" s="34">
        <v>3017</v>
      </c>
      <c r="B24" s="35" t="s">
        <v>33</v>
      </c>
      <c r="C24" s="31" t="s">
        <v>29</v>
      </c>
      <c r="D24" s="45">
        <f>D23</f>
        <v>91.521599999999992</v>
      </c>
    </row>
    <row r="25" spans="1:7" ht="70.5" customHeight="1" x14ac:dyDescent="0.2">
      <c r="A25" s="100">
        <v>7364</v>
      </c>
      <c r="B25" s="101" t="s">
        <v>118</v>
      </c>
      <c r="C25" s="31" t="s">
        <v>29</v>
      </c>
      <c r="D25" s="45">
        <f>D23-D13</f>
        <v>46.727199999999989</v>
      </c>
    </row>
    <row r="26" spans="1:7" ht="31.5" x14ac:dyDescent="0.2">
      <c r="A26" s="102"/>
      <c r="B26" s="53" t="s">
        <v>119</v>
      </c>
      <c r="C26" s="54" t="s">
        <v>34</v>
      </c>
      <c r="D26" s="126">
        <f>(11.6*2.4)+(8.2*1)+(8.24*1.5)</f>
        <v>48.4</v>
      </c>
    </row>
    <row r="27" spans="1:7" ht="258" customHeight="1" x14ac:dyDescent="0.2">
      <c r="A27" s="52"/>
      <c r="B27" s="53" t="s">
        <v>104</v>
      </c>
      <c r="C27" s="54" t="s">
        <v>75</v>
      </c>
      <c r="D27" s="126">
        <v>44.1</v>
      </c>
      <c r="E27" s="2"/>
      <c r="F27" s="2"/>
      <c r="G27" s="2"/>
    </row>
    <row r="28" spans="1:7" ht="31.5" x14ac:dyDescent="0.2">
      <c r="A28" s="54">
        <v>4009</v>
      </c>
      <c r="B28" s="53" t="s">
        <v>74</v>
      </c>
      <c r="C28" s="54" t="s">
        <v>34</v>
      </c>
      <c r="D28" s="126">
        <v>58.2</v>
      </c>
      <c r="E28" s="2"/>
      <c r="F28" s="2"/>
      <c r="G28" s="2"/>
    </row>
    <row r="29" spans="1:7" ht="31.5" x14ac:dyDescent="0.2">
      <c r="A29" s="54">
        <v>5412</v>
      </c>
      <c r="B29" s="53" t="s">
        <v>230</v>
      </c>
      <c r="C29" s="83" t="s">
        <v>29</v>
      </c>
      <c r="D29" s="126">
        <v>8.3000000000000007</v>
      </c>
      <c r="E29" s="2"/>
      <c r="F29" s="2"/>
      <c r="G29" s="2"/>
    </row>
    <row r="30" spans="1:7" ht="31.5" x14ac:dyDescent="0.2">
      <c r="A30" s="54">
        <v>3905</v>
      </c>
      <c r="B30" s="53" t="s">
        <v>73</v>
      </c>
      <c r="C30" s="54" t="s">
        <v>75</v>
      </c>
      <c r="D30" s="126">
        <v>44.1</v>
      </c>
      <c r="E30" s="2"/>
      <c r="F30" s="2"/>
      <c r="G30" s="2"/>
    </row>
    <row r="31" spans="1:7" ht="31.5" x14ac:dyDescent="0.2">
      <c r="A31" s="54">
        <v>3904</v>
      </c>
      <c r="B31" s="53" t="s">
        <v>229</v>
      </c>
      <c r="C31" s="84" t="s">
        <v>75</v>
      </c>
      <c r="D31" s="126">
        <f>15*0.3</f>
        <v>4.5</v>
      </c>
      <c r="E31" s="2"/>
      <c r="F31" s="2"/>
      <c r="G31" s="2"/>
    </row>
    <row r="32" spans="1:7" ht="15.75" x14ac:dyDescent="0.2">
      <c r="A32" s="86"/>
      <c r="B32" s="75"/>
      <c r="C32" s="87"/>
      <c r="D32" s="88"/>
      <c r="E32" s="2"/>
      <c r="F32" s="2"/>
      <c r="G32" s="2"/>
    </row>
    <row r="33" spans="1:10" ht="15.75" x14ac:dyDescent="0.2">
      <c r="A33" s="50"/>
      <c r="B33" s="41"/>
      <c r="C33" s="42"/>
      <c r="D33" s="51"/>
      <c r="E33" s="2"/>
      <c r="F33" s="2"/>
      <c r="G33" s="2"/>
    </row>
    <row r="34" spans="1:10" ht="15.75" x14ac:dyDescent="0.2">
      <c r="D34" s="19"/>
      <c r="E34" s="19" t="s">
        <v>43</v>
      </c>
      <c r="F34" s="19" t="s">
        <v>41</v>
      </c>
      <c r="G34" s="19" t="s">
        <v>42</v>
      </c>
      <c r="H34" s="25" t="s">
        <v>55</v>
      </c>
      <c r="I34" s="25" t="s">
        <v>56</v>
      </c>
      <c r="J34" s="25" t="s">
        <v>54</v>
      </c>
    </row>
    <row r="35" spans="1:10" ht="15.75" x14ac:dyDescent="0.2">
      <c r="D35" s="19"/>
      <c r="E35" s="19"/>
      <c r="F35" s="19"/>
      <c r="G35" s="19"/>
    </row>
    <row r="36" spans="1:10" ht="15.75" x14ac:dyDescent="0.2">
      <c r="D36" s="19"/>
      <c r="E36" s="19"/>
      <c r="F36" s="19"/>
      <c r="G36" s="19"/>
      <c r="H36" s="25">
        <v>4.08</v>
      </c>
    </row>
    <row r="37" spans="1:10" ht="15.75" x14ac:dyDescent="0.2">
      <c r="D37" s="19"/>
      <c r="E37" s="19"/>
      <c r="F37" s="19"/>
      <c r="G37" s="19"/>
      <c r="H37" s="25">
        <v>2.41</v>
      </c>
      <c r="J37" s="25">
        <v>8.19</v>
      </c>
    </row>
    <row r="38" spans="1:10" ht="15.75" x14ac:dyDescent="0.2">
      <c r="D38" s="19"/>
      <c r="E38" s="19"/>
      <c r="F38" s="19"/>
      <c r="G38" s="19">
        <v>2.2999999999999998</v>
      </c>
      <c r="H38" s="25">
        <v>4.33</v>
      </c>
      <c r="J38" s="25">
        <v>6.73</v>
      </c>
    </row>
    <row r="39" spans="1:10" ht="15.75" x14ac:dyDescent="0.2">
      <c r="D39" s="19"/>
      <c r="E39" s="19"/>
      <c r="F39" s="19">
        <v>1.1100000000000001</v>
      </c>
      <c r="G39" s="19">
        <v>2.98</v>
      </c>
      <c r="H39" s="25">
        <v>2.7</v>
      </c>
      <c r="I39" s="25">
        <v>11.11</v>
      </c>
      <c r="J39" s="25">
        <v>10.23</v>
      </c>
    </row>
    <row r="40" spans="1:10" ht="28.5" x14ac:dyDescent="0.2">
      <c r="C40" s="38" t="s">
        <v>51</v>
      </c>
      <c r="D40" s="36"/>
      <c r="E40" s="36">
        <f t="shared" ref="E40:J40" si="0">SUM(E35:E39)</f>
        <v>0</v>
      </c>
      <c r="F40" s="36">
        <f t="shared" si="0"/>
        <v>1.1100000000000001</v>
      </c>
      <c r="G40" s="36">
        <f t="shared" si="0"/>
        <v>5.2799999999999994</v>
      </c>
      <c r="H40" s="36">
        <f t="shared" si="0"/>
        <v>13.52</v>
      </c>
      <c r="I40" s="36">
        <f t="shared" si="0"/>
        <v>11.11</v>
      </c>
      <c r="J40" s="36">
        <f t="shared" si="0"/>
        <v>25.15</v>
      </c>
    </row>
    <row r="42" spans="1:10" x14ac:dyDescent="0.2">
      <c r="C42" s="25" t="s">
        <v>52</v>
      </c>
      <c r="D42" s="59"/>
      <c r="E42" s="39">
        <f>1.08*E40</f>
        <v>0</v>
      </c>
      <c r="F42" s="39">
        <v>0</v>
      </c>
      <c r="G42" s="39">
        <f>0.12*G40</f>
        <v>0.63359999999999994</v>
      </c>
      <c r="H42" s="39">
        <f>0.63*H40</f>
        <v>8.5175999999999998</v>
      </c>
      <c r="I42" s="39">
        <f>0.64*I40</f>
        <v>7.1103999999999994</v>
      </c>
      <c r="J42" s="59">
        <f>0.3*J40</f>
        <v>7.544999999999999</v>
      </c>
    </row>
    <row r="43" spans="1:10" x14ac:dyDescent="0.2">
      <c r="C43" s="25" t="s">
        <v>53</v>
      </c>
      <c r="D43" s="59"/>
      <c r="E43" s="59">
        <f>3.15*0.3*E40</f>
        <v>0</v>
      </c>
      <c r="F43" s="59">
        <f>3*0.3*F40</f>
        <v>0.999</v>
      </c>
      <c r="G43" s="59">
        <f>1.4*0.2*G40</f>
        <v>1.4783999999999997</v>
      </c>
      <c r="H43" s="39">
        <f>2.65*0.3*H40</f>
        <v>10.748399999999998</v>
      </c>
      <c r="I43" s="25">
        <v>0</v>
      </c>
      <c r="J43" s="60">
        <f>0.9*0.2*J40</f>
        <v>4.5270000000000001</v>
      </c>
    </row>
    <row r="44" spans="1:10" ht="15" x14ac:dyDescent="0.25">
      <c r="D44" s="44"/>
      <c r="E44" s="44">
        <f t="shared" ref="E44:J44" si="1">E42+E43</f>
        <v>0</v>
      </c>
      <c r="F44" s="44">
        <f t="shared" si="1"/>
        <v>0.999</v>
      </c>
      <c r="G44" s="44">
        <f t="shared" si="1"/>
        <v>2.1119999999999997</v>
      </c>
      <c r="H44" s="44">
        <f t="shared" si="1"/>
        <v>19.265999999999998</v>
      </c>
      <c r="I44" s="44">
        <f t="shared" si="1"/>
        <v>7.1103999999999994</v>
      </c>
      <c r="J44" s="44">
        <f t="shared" si="1"/>
        <v>12.071999999999999</v>
      </c>
    </row>
    <row r="47" spans="1:10" x14ac:dyDescent="0.2">
      <c r="C47" s="25" t="s">
        <v>60</v>
      </c>
      <c r="E47" s="47">
        <f>128*E40</f>
        <v>0</v>
      </c>
      <c r="G47" s="47">
        <f>14*G40</f>
        <v>73.919999999999987</v>
      </c>
      <c r="H47" s="47">
        <f>55*H40</f>
        <v>743.6</v>
      </c>
      <c r="J47" s="47">
        <f>43*J40</f>
        <v>1081.45</v>
      </c>
    </row>
    <row r="48" spans="1:10" x14ac:dyDescent="0.2">
      <c r="C48" s="25" t="s">
        <v>61</v>
      </c>
      <c r="D48" s="47"/>
      <c r="E48" s="47">
        <f>149*E40</f>
        <v>0</v>
      </c>
      <c r="F48" s="25">
        <f>180*F40</f>
        <v>199.8</v>
      </c>
      <c r="G48" s="47">
        <f>23*G40</f>
        <v>121.43999999999998</v>
      </c>
      <c r="H48" s="47">
        <f>132*H40</f>
        <v>1784.6399999999999</v>
      </c>
      <c r="I48" s="47">
        <f>47*I40</f>
        <v>522.16999999999996</v>
      </c>
      <c r="J48" s="47">
        <f>38*J40</f>
        <v>955.69999999999993</v>
      </c>
    </row>
    <row r="49" spans="3:19" ht="15" x14ac:dyDescent="0.25">
      <c r="D49" s="48"/>
      <c r="E49" s="48">
        <f t="shared" ref="E49:J49" si="2">SUM(E47:E48)</f>
        <v>0</v>
      </c>
      <c r="F49" s="46">
        <f t="shared" si="2"/>
        <v>199.8</v>
      </c>
      <c r="G49" s="48">
        <f t="shared" si="2"/>
        <v>195.35999999999996</v>
      </c>
      <c r="H49" s="48">
        <f t="shared" si="2"/>
        <v>2528.2399999999998</v>
      </c>
      <c r="I49" s="48">
        <f t="shared" si="2"/>
        <v>522.16999999999996</v>
      </c>
      <c r="J49" s="48">
        <f t="shared" si="2"/>
        <v>2037.15</v>
      </c>
    </row>
    <row r="54" spans="3:19" ht="15.75" x14ac:dyDescent="0.2">
      <c r="C54" s="25" t="s">
        <v>122</v>
      </c>
      <c r="D54" s="19" t="s">
        <v>145</v>
      </c>
      <c r="E54" s="19" t="s">
        <v>146</v>
      </c>
      <c r="F54" s="19" t="s">
        <v>147</v>
      </c>
      <c r="G54" s="19" t="s">
        <v>148</v>
      </c>
      <c r="I54" s="25" t="s">
        <v>159</v>
      </c>
      <c r="J54" s="25" t="s">
        <v>160</v>
      </c>
      <c r="K54" s="25" t="s">
        <v>161</v>
      </c>
      <c r="L54" s="25" t="s">
        <v>162</v>
      </c>
      <c r="M54" s="25" t="s">
        <v>163</v>
      </c>
      <c r="N54" s="25" t="s">
        <v>164</v>
      </c>
      <c r="O54" s="22" t="s">
        <v>165</v>
      </c>
      <c r="P54" s="25" t="s">
        <v>166</v>
      </c>
      <c r="Q54" s="25" t="s">
        <v>167</v>
      </c>
      <c r="R54" s="25" t="s">
        <v>168</v>
      </c>
      <c r="S54" s="22" t="s">
        <v>56</v>
      </c>
    </row>
    <row r="55" spans="3:19" ht="15.75" x14ac:dyDescent="0.2">
      <c r="C55" s="25">
        <v>5</v>
      </c>
      <c r="D55" s="19">
        <f>LOOKUP(C55,Hoja2!$B$8:$B$20,Hoja2!$E$8:$E$20)</f>
        <v>1.552</v>
      </c>
      <c r="E55" s="19">
        <v>2.65</v>
      </c>
      <c r="F55" s="19">
        <v>51</v>
      </c>
      <c r="G55" s="110">
        <f>F55*E55*D55</f>
        <v>209.75280000000001</v>
      </c>
      <c r="I55" s="25">
        <f>(9.44*0.2)+(10.23*0.3*1)</f>
        <v>4.9569999999999999</v>
      </c>
      <c r="J55" s="25">
        <f>(2.86*0.2)+(2.99*0.6*0.2)</f>
        <v>0.93079999999999996</v>
      </c>
      <c r="K55" s="25">
        <f>(4.04*0.3)+(2.7*0.4*2.5)</f>
        <v>3.9119999999999999</v>
      </c>
      <c r="L55" s="25">
        <f>(5.49*0.2)+(6.73*0.3*1)</f>
        <v>3.117</v>
      </c>
      <c r="M55" s="25">
        <f>(7.59*0.2)+(8.19*0.3*1)</f>
        <v>3.9749999999999996</v>
      </c>
      <c r="N55" s="25">
        <f>(8.15*0.3)+(3.78*0.4*2.5)</f>
        <v>6.2249999999999996</v>
      </c>
      <c r="O55" s="25">
        <f>1.12*0.25</f>
        <v>0.28000000000000003</v>
      </c>
      <c r="P55" s="25">
        <f>(8.62*0.3)+(4.45*0.4*2.5)</f>
        <v>7.0360000000000014</v>
      </c>
      <c r="Q55" s="25">
        <f>(1.28*0.2)+(1.33*0.6*0.2)</f>
        <v>0.41560000000000002</v>
      </c>
      <c r="R55" s="25">
        <f>(2.67*0.2)+(2.3*0.6*0.2)</f>
        <v>0.81</v>
      </c>
      <c r="S55" s="25">
        <f>0.6*3.5*2</f>
        <v>4.2</v>
      </c>
    </row>
    <row r="56" spans="3:19" ht="15.75" x14ac:dyDescent="0.2">
      <c r="C56" s="25">
        <v>5</v>
      </c>
      <c r="D56" s="19">
        <f>LOOKUP(C56,Hoja2!$B$8:$B$20,Hoja2!$E$8:$E$20)</f>
        <v>1.552</v>
      </c>
      <c r="E56" s="19">
        <v>10.17</v>
      </c>
      <c r="F56" s="19">
        <v>12</v>
      </c>
      <c r="G56" s="110">
        <f>F56*E56*D56</f>
        <v>189.40608</v>
      </c>
    </row>
    <row r="57" spans="3:19" ht="15.75" x14ac:dyDescent="0.2">
      <c r="C57" s="25">
        <v>5</v>
      </c>
      <c r="D57" s="19">
        <f>LOOKUP(C57,Hoja2!$B$8:$B$20,Hoja2!$E$8:$E$20)</f>
        <v>1.552</v>
      </c>
      <c r="E57" s="19">
        <v>2.85</v>
      </c>
      <c r="F57" s="19">
        <v>51</v>
      </c>
      <c r="G57" s="110">
        <f t="shared" ref="G57:G98" si="3">F57*E57*D57</f>
        <v>225.58320000000001</v>
      </c>
    </row>
    <row r="58" spans="3:19" ht="15.75" x14ac:dyDescent="0.2">
      <c r="C58" s="25">
        <v>5</v>
      </c>
      <c r="D58" s="19">
        <f>LOOKUP(C58,Hoja2!$B$8:$B$20,Hoja2!$E$8:$E$20)</f>
        <v>1.552</v>
      </c>
      <c r="E58" s="25">
        <v>10.17</v>
      </c>
      <c r="F58" s="25">
        <v>8</v>
      </c>
      <c r="G58" s="110">
        <f t="shared" si="3"/>
        <v>126.27072</v>
      </c>
    </row>
    <row r="59" spans="3:19" ht="15.75" x14ac:dyDescent="0.2">
      <c r="C59" s="25">
        <v>6</v>
      </c>
      <c r="D59" s="19">
        <f>LOOKUP(C59,Hoja2!$B$8:$B$20,Hoja2!$E$8:$E$20)</f>
        <v>2.2349999999999999</v>
      </c>
      <c r="E59" s="25">
        <v>5.75</v>
      </c>
      <c r="F59" s="25">
        <v>18</v>
      </c>
      <c r="G59" s="110">
        <f t="shared" si="3"/>
        <v>231.32249999999999</v>
      </c>
    </row>
    <row r="60" spans="3:19" ht="15.75" x14ac:dyDescent="0.2">
      <c r="C60" s="25">
        <v>6</v>
      </c>
      <c r="D60" s="19">
        <f>LOOKUP(C60,Hoja2!$B$8:$B$20,Hoja2!$E$8:$E$20)</f>
        <v>2.2349999999999999</v>
      </c>
      <c r="E60" s="25">
        <v>2.63</v>
      </c>
      <c r="F60" s="25">
        <v>28</v>
      </c>
      <c r="G60" s="110">
        <f t="shared" si="3"/>
        <v>164.58539999999999</v>
      </c>
    </row>
    <row r="61" spans="3:19" ht="15.75" x14ac:dyDescent="0.2">
      <c r="C61" s="25">
        <v>6</v>
      </c>
      <c r="D61" s="19">
        <f>LOOKUP(C61,Hoja2!$B$8:$B$20,Hoja2!$E$8:$E$20)</f>
        <v>2.2349999999999999</v>
      </c>
      <c r="E61" s="25">
        <f>(5.39+2.99)/2</f>
        <v>4.1899999999999995</v>
      </c>
      <c r="F61" s="25">
        <v>18</v>
      </c>
      <c r="G61" s="110">
        <f t="shared" si="3"/>
        <v>168.56369999999995</v>
      </c>
    </row>
    <row r="62" spans="3:19" ht="15.75" x14ac:dyDescent="0.2">
      <c r="C62" s="25">
        <v>5</v>
      </c>
      <c r="D62" s="19">
        <f>LOOKUP(C62,Hoja2!$B$8:$B$20,Hoja2!$E$8:$E$20)</f>
        <v>1.552</v>
      </c>
      <c r="E62" s="25">
        <v>2.63</v>
      </c>
      <c r="F62" s="25">
        <v>10</v>
      </c>
      <c r="G62" s="110">
        <f t="shared" si="3"/>
        <v>40.817599999999999</v>
      </c>
    </row>
    <row r="63" spans="3:19" ht="15.75" x14ac:dyDescent="0.2">
      <c r="C63" s="25">
        <v>6</v>
      </c>
      <c r="D63" s="19">
        <f>LOOKUP(C63,Hoja2!$B$8:$B$20,Hoja2!$E$8:$E$20)</f>
        <v>2.2349999999999999</v>
      </c>
      <c r="E63" s="25">
        <v>2.93</v>
      </c>
      <c r="F63" s="25">
        <v>2</v>
      </c>
      <c r="G63" s="110">
        <f t="shared" si="3"/>
        <v>13.097099999999999</v>
      </c>
    </row>
    <row r="64" spans="3:19" ht="15.75" x14ac:dyDescent="0.2">
      <c r="C64" s="25">
        <v>5</v>
      </c>
      <c r="D64" s="19">
        <f>LOOKUP(C64,Hoja2!$B$8:$B$20,Hoja2!$E$8:$E$20)</f>
        <v>1.552</v>
      </c>
      <c r="E64" s="25">
        <v>2.65</v>
      </c>
      <c r="F64" s="25">
        <v>34</v>
      </c>
      <c r="G64" s="110">
        <f t="shared" si="3"/>
        <v>139.83519999999999</v>
      </c>
    </row>
    <row r="65" spans="3:7" ht="15.75" x14ac:dyDescent="0.2">
      <c r="C65" s="25">
        <v>5</v>
      </c>
      <c r="D65" s="19">
        <f>LOOKUP(C65,Hoja2!$B$8:$B$20,Hoja2!$E$8:$E$20)</f>
        <v>1.552</v>
      </c>
      <c r="E65" s="25">
        <v>6.67</v>
      </c>
      <c r="F65" s="25">
        <v>12</v>
      </c>
      <c r="G65" s="110">
        <f t="shared" si="3"/>
        <v>124.22207999999999</v>
      </c>
    </row>
    <row r="66" spans="3:7" ht="15.75" x14ac:dyDescent="0.2">
      <c r="C66" s="25">
        <v>5</v>
      </c>
      <c r="D66" s="19">
        <f>LOOKUP(C66,Hoja2!$B$8:$B$20,Hoja2!$E$8:$E$20)</f>
        <v>1.552</v>
      </c>
      <c r="E66" s="25">
        <v>2.75</v>
      </c>
      <c r="F66" s="25">
        <v>34</v>
      </c>
      <c r="G66" s="110">
        <f t="shared" si="3"/>
        <v>145.11199999999999</v>
      </c>
    </row>
    <row r="67" spans="3:7" ht="15.75" x14ac:dyDescent="0.2">
      <c r="C67" s="25">
        <v>5</v>
      </c>
      <c r="D67" s="19">
        <f>LOOKUP(C67,Hoja2!$B$8:$B$20,Hoja2!$E$8:$E$20)</f>
        <v>1.552</v>
      </c>
      <c r="E67" s="25">
        <v>6.67</v>
      </c>
      <c r="F67" s="25">
        <v>8</v>
      </c>
      <c r="G67" s="110">
        <f t="shared" si="3"/>
        <v>82.814720000000008</v>
      </c>
    </row>
    <row r="68" spans="3:7" ht="15.75" x14ac:dyDescent="0.2">
      <c r="C68" s="25">
        <v>5</v>
      </c>
      <c r="D68" s="19">
        <f>LOOKUP(C68,Hoja2!$B$8:$B$20,Hoja2!$E$8:$E$20)</f>
        <v>1.552</v>
      </c>
      <c r="E68" s="25">
        <v>2.65</v>
      </c>
      <c r="F68" s="25">
        <v>41</v>
      </c>
      <c r="G68" s="110">
        <f t="shared" si="3"/>
        <v>168.62479999999999</v>
      </c>
    </row>
    <row r="69" spans="3:7" ht="15.75" x14ac:dyDescent="0.2">
      <c r="C69" s="25">
        <v>5</v>
      </c>
      <c r="D69" s="19">
        <f>LOOKUP(C69,Hoja2!$B$8:$B$20,Hoja2!$E$8:$E$20)</f>
        <v>1.552</v>
      </c>
      <c r="E69" s="25">
        <v>8.1300000000000008</v>
      </c>
      <c r="F69" s="25">
        <v>12</v>
      </c>
      <c r="G69" s="110">
        <f t="shared" si="3"/>
        <v>151.41312000000002</v>
      </c>
    </row>
    <row r="70" spans="3:7" ht="15.75" x14ac:dyDescent="0.2">
      <c r="C70" s="25">
        <v>5</v>
      </c>
      <c r="D70" s="19">
        <f>LOOKUP(C70,Hoja2!$B$8:$B$20,Hoja2!$E$8:$E$20)</f>
        <v>1.552</v>
      </c>
      <c r="E70" s="25">
        <v>2.85</v>
      </c>
      <c r="F70" s="25">
        <v>41</v>
      </c>
      <c r="G70" s="110">
        <f t="shared" si="3"/>
        <v>181.35120000000001</v>
      </c>
    </row>
    <row r="71" spans="3:7" ht="15.75" x14ac:dyDescent="0.2">
      <c r="C71" s="25">
        <v>5</v>
      </c>
      <c r="D71" s="19">
        <f>LOOKUP(C71,Hoja2!$B$8:$B$20,Hoja2!$E$8:$E$20)</f>
        <v>1.552</v>
      </c>
      <c r="E71" s="25">
        <v>8.1300000000000008</v>
      </c>
      <c r="F71" s="25">
        <v>8</v>
      </c>
      <c r="G71" s="110">
        <f t="shared" si="3"/>
        <v>100.94208000000002</v>
      </c>
    </row>
    <row r="72" spans="3:7" ht="15.75" x14ac:dyDescent="0.2">
      <c r="C72" s="25">
        <v>6</v>
      </c>
      <c r="D72" s="19">
        <f>LOOKUP(C72,Hoja2!$B$8:$B$20,Hoja2!$E$8:$E$20)</f>
        <v>2.2349999999999999</v>
      </c>
      <c r="E72" s="25">
        <v>5.75</v>
      </c>
      <c r="F72" s="25">
        <v>25</v>
      </c>
      <c r="G72" s="110">
        <f t="shared" si="3"/>
        <v>321.28125</v>
      </c>
    </row>
    <row r="73" spans="3:7" ht="15.75" x14ac:dyDescent="0.2">
      <c r="C73" s="25">
        <v>6</v>
      </c>
      <c r="D73" s="19">
        <f>LOOKUP(C73,Hoja2!$B$8:$B$20,Hoja2!$E$8:$E$20)</f>
        <v>2.2349999999999999</v>
      </c>
      <c r="E73" s="25">
        <v>3.72</v>
      </c>
      <c r="F73" s="25">
        <v>28</v>
      </c>
      <c r="G73" s="110">
        <f t="shared" si="3"/>
        <v>232.79760000000002</v>
      </c>
    </row>
    <row r="74" spans="3:7" ht="15.75" x14ac:dyDescent="0.2">
      <c r="C74" s="25">
        <v>6</v>
      </c>
      <c r="D74" s="19">
        <f>LOOKUP(C74,Hoja2!$B$8:$B$20,Hoja2!$E$8:$E$20)</f>
        <v>2.2349999999999999</v>
      </c>
      <c r="E74" s="25">
        <v>5.33</v>
      </c>
      <c r="F74" s="25">
        <v>25</v>
      </c>
      <c r="G74" s="110">
        <f t="shared" si="3"/>
        <v>297.81374999999997</v>
      </c>
    </row>
    <row r="75" spans="3:7" ht="15.75" x14ac:dyDescent="0.2">
      <c r="C75" s="25">
        <v>5</v>
      </c>
      <c r="D75" s="19">
        <f>LOOKUP(C75,Hoja2!$B$8:$B$20,Hoja2!$E$8:$E$20)</f>
        <v>1.552</v>
      </c>
      <c r="E75" s="25">
        <v>3.72</v>
      </c>
      <c r="F75" s="25">
        <v>14</v>
      </c>
      <c r="G75" s="110">
        <f t="shared" si="3"/>
        <v>80.828160000000011</v>
      </c>
    </row>
    <row r="76" spans="3:7" ht="15.75" x14ac:dyDescent="0.2">
      <c r="C76" s="25">
        <v>6</v>
      </c>
      <c r="D76" s="19">
        <f>LOOKUP(C76,Hoja2!$B$8:$B$20,Hoja2!$E$8:$E$20)</f>
        <v>2.2349999999999999</v>
      </c>
      <c r="E76" s="25">
        <v>3.72</v>
      </c>
      <c r="F76" s="25">
        <v>2</v>
      </c>
      <c r="G76" s="110">
        <f t="shared" si="3"/>
        <v>16.628399999999999</v>
      </c>
    </row>
    <row r="77" spans="3:7" ht="15.75" x14ac:dyDescent="0.2">
      <c r="C77" s="25">
        <v>6</v>
      </c>
      <c r="D77" s="19">
        <f>LOOKUP(C77,Hoja2!$B$8:$B$20,Hoja2!$E$8:$E$20)</f>
        <v>2.2349999999999999</v>
      </c>
      <c r="E77" s="25">
        <v>3.27</v>
      </c>
      <c r="F77" s="25">
        <v>10</v>
      </c>
      <c r="G77" s="110">
        <f t="shared" si="3"/>
        <v>73.084500000000006</v>
      </c>
    </row>
    <row r="78" spans="3:7" ht="15.75" x14ac:dyDescent="0.2">
      <c r="C78" s="25">
        <v>6</v>
      </c>
      <c r="D78" s="19">
        <f>LOOKUP(C78,Hoja2!$B$8:$B$20,Hoja2!$E$8:$E$20)</f>
        <v>2.2349999999999999</v>
      </c>
      <c r="E78" s="25">
        <v>1.05</v>
      </c>
      <c r="F78" s="25">
        <v>2</v>
      </c>
      <c r="G78" s="110">
        <f t="shared" si="3"/>
        <v>4.6935000000000002</v>
      </c>
    </row>
    <row r="79" spans="3:7" ht="15.75" x14ac:dyDescent="0.2">
      <c r="C79" s="25">
        <v>4</v>
      </c>
      <c r="D79" s="19">
        <f>LOOKUP(C79,Hoja2!$B$8:$B$20,Hoja2!$E$8:$E$20)</f>
        <v>0.99399999999999999</v>
      </c>
      <c r="E79" s="25">
        <v>1.05</v>
      </c>
      <c r="F79" s="25">
        <v>10</v>
      </c>
      <c r="G79" s="110">
        <f t="shared" si="3"/>
        <v>10.436999999999999</v>
      </c>
    </row>
    <row r="80" spans="3:7" ht="15.75" x14ac:dyDescent="0.2">
      <c r="C80" s="25">
        <v>6</v>
      </c>
      <c r="D80" s="19">
        <f>LOOKUP(C80,Hoja2!$B$8:$B$20,Hoja2!$E$8:$E$20)</f>
        <v>2.2349999999999999</v>
      </c>
      <c r="E80" s="25">
        <v>5.75</v>
      </c>
      <c r="F80" s="25">
        <v>30</v>
      </c>
      <c r="G80" s="110">
        <f t="shared" si="3"/>
        <v>385.53749999999997</v>
      </c>
    </row>
    <row r="81" spans="3:7" ht="15.75" x14ac:dyDescent="0.2">
      <c r="C81" s="25">
        <v>6</v>
      </c>
      <c r="D81" s="19">
        <f>LOOKUP(C81,Hoja2!$B$8:$B$20,Hoja2!$E$8:$E$20)</f>
        <v>2.2349999999999999</v>
      </c>
      <c r="E81" s="25">
        <v>4.3899999999999997</v>
      </c>
      <c r="F81" s="25">
        <v>28</v>
      </c>
      <c r="G81" s="110">
        <f t="shared" si="3"/>
        <v>274.72619999999995</v>
      </c>
    </row>
    <row r="82" spans="3:7" ht="15.75" x14ac:dyDescent="0.2">
      <c r="C82" s="25">
        <v>6</v>
      </c>
      <c r="D82" s="19">
        <f>LOOKUP(C82,Hoja2!$B$8:$B$20,Hoja2!$E$8:$E$20)</f>
        <v>2.2349999999999999</v>
      </c>
      <c r="E82" s="25">
        <v>5.87</v>
      </c>
      <c r="F82" s="25">
        <v>30</v>
      </c>
      <c r="G82" s="110">
        <f t="shared" si="3"/>
        <v>393.58349999999996</v>
      </c>
    </row>
    <row r="83" spans="3:7" ht="15.75" x14ac:dyDescent="0.2">
      <c r="C83" s="25">
        <v>5</v>
      </c>
      <c r="D83" s="19">
        <f>LOOKUP(C83,Hoja2!$B$8:$B$20,Hoja2!$E$8:$E$20)</f>
        <v>1.552</v>
      </c>
      <c r="E83" s="25">
        <v>4.3899999999999997</v>
      </c>
      <c r="F83" s="25">
        <v>16</v>
      </c>
      <c r="G83" s="110">
        <f t="shared" si="3"/>
        <v>109.01248</v>
      </c>
    </row>
    <row r="84" spans="3:7" ht="15.75" x14ac:dyDescent="0.2">
      <c r="C84" s="25">
        <v>6</v>
      </c>
      <c r="D84" s="19">
        <f>LOOKUP(C84,Hoja2!$B$8:$B$20,Hoja2!$E$8:$E$20)</f>
        <v>2.2349999999999999</v>
      </c>
      <c r="E84" s="25">
        <v>4.3899999999999997</v>
      </c>
      <c r="F84" s="25">
        <v>2</v>
      </c>
      <c r="G84" s="110">
        <f t="shared" si="3"/>
        <v>19.623299999999997</v>
      </c>
    </row>
    <row r="85" spans="3:7" ht="15.75" x14ac:dyDescent="0.2">
      <c r="C85" s="25">
        <v>4</v>
      </c>
      <c r="D85" s="19">
        <f>LOOKUP(C85,Hoja2!$B$8:$B$20,Hoja2!$E$8:$E$20)</f>
        <v>0.99399999999999999</v>
      </c>
      <c r="E85" s="25">
        <v>1.55</v>
      </c>
      <c r="F85" s="25">
        <v>7</v>
      </c>
      <c r="G85" s="110">
        <f t="shared" si="3"/>
        <v>10.7849</v>
      </c>
    </row>
    <row r="86" spans="3:7" ht="15.75" x14ac:dyDescent="0.2">
      <c r="C86" s="25">
        <v>4</v>
      </c>
      <c r="D86" s="19">
        <f>LOOKUP(C86,Hoja2!$B$8:$B$20,Hoja2!$E$8:$E$20)</f>
        <v>0.99399999999999999</v>
      </c>
      <c r="E86" s="25">
        <v>1.27</v>
      </c>
      <c r="F86" s="25">
        <v>8</v>
      </c>
      <c r="G86" s="110">
        <f t="shared" si="3"/>
        <v>10.09904</v>
      </c>
    </row>
    <row r="87" spans="3:7" ht="15.75" x14ac:dyDescent="0.2">
      <c r="C87" s="25">
        <v>4</v>
      </c>
      <c r="D87" s="19">
        <f>LOOKUP(C87,Hoja2!$B$8:$B$20,Hoja2!$E$8:$E$20)</f>
        <v>0.99399999999999999</v>
      </c>
      <c r="E87" s="25">
        <v>2.73</v>
      </c>
      <c r="F87" s="25">
        <v>7</v>
      </c>
      <c r="G87" s="110">
        <f t="shared" si="3"/>
        <v>18.995339999999999</v>
      </c>
    </row>
    <row r="88" spans="3:7" ht="15.75" x14ac:dyDescent="0.2">
      <c r="C88" s="25">
        <v>4</v>
      </c>
      <c r="D88" s="19">
        <f>LOOKUP(C88,Hoja2!$B$8:$B$20,Hoja2!$E$8:$E$20)</f>
        <v>0.99399999999999999</v>
      </c>
      <c r="E88" s="25">
        <v>1.27</v>
      </c>
      <c r="F88" s="25">
        <v>8</v>
      </c>
      <c r="G88" s="110">
        <f t="shared" si="3"/>
        <v>10.09904</v>
      </c>
    </row>
    <row r="89" spans="3:7" ht="15.75" x14ac:dyDescent="0.2">
      <c r="C89" s="25">
        <v>4</v>
      </c>
      <c r="D89" s="19">
        <f>LOOKUP(C89,Hoja2!$B$8:$B$20,Hoja2!$E$8:$E$20)</f>
        <v>0.99399999999999999</v>
      </c>
      <c r="E89" s="25">
        <v>1.55</v>
      </c>
      <c r="F89" s="25">
        <v>12</v>
      </c>
      <c r="G89" s="110">
        <f t="shared" si="3"/>
        <v>18.488400000000002</v>
      </c>
    </row>
    <row r="90" spans="3:7" ht="15.75" x14ac:dyDescent="0.2">
      <c r="C90" s="25">
        <v>4</v>
      </c>
      <c r="D90" s="19">
        <f>LOOKUP(C90,Hoja2!$B$8:$B$20,Hoja2!$E$8:$E$20)</f>
        <v>0.99399999999999999</v>
      </c>
      <c r="E90" s="25">
        <v>2.23</v>
      </c>
      <c r="F90" s="25">
        <v>8</v>
      </c>
      <c r="G90" s="110">
        <f t="shared" si="3"/>
        <v>17.732959999999999</v>
      </c>
    </row>
    <row r="91" spans="3:7" ht="15.75" x14ac:dyDescent="0.2">
      <c r="C91" s="25">
        <v>4</v>
      </c>
      <c r="D91" s="19">
        <f>LOOKUP(C91,Hoja2!$B$8:$B$20,Hoja2!$E$8:$E$20)</f>
        <v>0.99399999999999999</v>
      </c>
      <c r="E91" s="25">
        <v>2.73</v>
      </c>
      <c r="F91" s="25">
        <v>12</v>
      </c>
      <c r="G91" s="110">
        <f t="shared" si="3"/>
        <v>32.56344</v>
      </c>
    </row>
    <row r="92" spans="3:7" ht="15.75" x14ac:dyDescent="0.2">
      <c r="C92" s="25">
        <v>4</v>
      </c>
      <c r="D92" s="19">
        <f>LOOKUP(C92,Hoja2!$B$8:$B$20,Hoja2!$E$8:$E$20)</f>
        <v>0.99399999999999999</v>
      </c>
      <c r="E92" s="25">
        <v>2.23</v>
      </c>
      <c r="F92" s="25">
        <v>10</v>
      </c>
      <c r="G92" s="110">
        <f t="shared" si="3"/>
        <v>22.1662</v>
      </c>
    </row>
    <row r="93" spans="3:7" ht="15.75" x14ac:dyDescent="0.2">
      <c r="C93" s="25">
        <v>4</v>
      </c>
      <c r="D93" s="19">
        <f>LOOKUP(C93,Hoja2!$B$8:$B$20,Hoja2!$E$8:$E$20)</f>
        <v>0.99399999999999999</v>
      </c>
      <c r="E93" s="25">
        <f>(4.05+1.81)/2</f>
        <v>2.9299999999999997</v>
      </c>
      <c r="F93" s="25">
        <v>68</v>
      </c>
      <c r="G93" s="110">
        <f t="shared" si="3"/>
        <v>198.04455999999999</v>
      </c>
    </row>
    <row r="94" spans="3:7" ht="15.75" x14ac:dyDescent="0.2">
      <c r="C94" s="25">
        <v>4</v>
      </c>
      <c r="D94" s="19">
        <f>LOOKUP(C94,Hoja2!$B$8:$B$20,Hoja2!$E$8:$E$20)</f>
        <v>0.99399999999999999</v>
      </c>
      <c r="E94" s="25">
        <v>6.61</v>
      </c>
      <c r="F94" s="25">
        <v>60</v>
      </c>
      <c r="G94" s="110">
        <f t="shared" si="3"/>
        <v>394.22040000000004</v>
      </c>
    </row>
    <row r="95" spans="3:7" ht="15.75" x14ac:dyDescent="0.2">
      <c r="C95" s="25">
        <v>4</v>
      </c>
      <c r="D95" s="19">
        <f>LOOKUP(C95,Hoja2!$B$8:$B$20,Hoja2!$E$8:$E$20)</f>
        <v>0.99399999999999999</v>
      </c>
      <c r="E95" s="25">
        <v>1.55</v>
      </c>
      <c r="F95" s="25">
        <v>15</v>
      </c>
      <c r="G95" s="110">
        <f t="shared" si="3"/>
        <v>23.110499999999998</v>
      </c>
    </row>
    <row r="96" spans="3:7" ht="15.75" x14ac:dyDescent="0.2">
      <c r="C96" s="25">
        <v>4</v>
      </c>
      <c r="D96" s="19">
        <f>LOOKUP(C96,Hoja2!$B$8:$B$20,Hoja2!$E$8:$E$20)</f>
        <v>0.99399999999999999</v>
      </c>
      <c r="E96" s="25">
        <v>2.93</v>
      </c>
      <c r="F96" s="25">
        <v>8</v>
      </c>
      <c r="G96" s="110">
        <f t="shared" si="3"/>
        <v>23.29936</v>
      </c>
    </row>
    <row r="97" spans="3:7" ht="15.75" x14ac:dyDescent="0.2">
      <c r="C97" s="25">
        <v>4</v>
      </c>
      <c r="D97" s="19">
        <f>LOOKUP(C97,Hoja2!$B$8:$B$20,Hoja2!$E$8:$E$20)</f>
        <v>0.99399999999999999</v>
      </c>
      <c r="E97" s="25">
        <v>2.79</v>
      </c>
      <c r="F97" s="25">
        <v>15</v>
      </c>
      <c r="G97" s="110">
        <f t="shared" si="3"/>
        <v>41.5989</v>
      </c>
    </row>
    <row r="98" spans="3:7" ht="15.75" x14ac:dyDescent="0.2">
      <c r="C98" s="25">
        <v>4</v>
      </c>
      <c r="D98" s="19">
        <f>LOOKUP(C98,Hoja2!$B$8:$B$20,Hoja2!$E$8:$E$20)</f>
        <v>0.99399999999999999</v>
      </c>
      <c r="E98" s="25">
        <v>2.93</v>
      </c>
      <c r="F98" s="25">
        <v>10</v>
      </c>
      <c r="G98" s="110">
        <f t="shared" si="3"/>
        <v>29.124200000000002</v>
      </c>
    </row>
    <row r="99" spans="3:7" ht="15" x14ac:dyDescent="0.25">
      <c r="G99" s="111">
        <f>SUM(G55:G98)</f>
        <v>5534.0886799999998</v>
      </c>
    </row>
  </sheetData>
  <mergeCells count="2">
    <mergeCell ref="E7:I7"/>
    <mergeCell ref="A11:D11"/>
  </mergeCells>
  <pageMargins left="0.7" right="0.7" top="0.75" bottom="0.75" header="0.3" footer="0.3"/>
  <pageSetup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CE730-BC3A-4E81-B53F-E1D297F5819B}">
  <sheetPr>
    <tabColor rgb="FFFFFF00"/>
  </sheetPr>
  <dimension ref="A2:R98"/>
  <sheetViews>
    <sheetView view="pageBreakPreview" topLeftCell="A23" zoomScale="85" zoomScaleNormal="85" zoomScaleSheetLayoutView="85" workbookViewId="0">
      <selection activeCell="D23" sqref="D23"/>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69</v>
      </c>
      <c r="F7" s="150"/>
      <c r="G7" s="150"/>
      <c r="H7" s="150"/>
      <c r="I7" s="150"/>
    </row>
    <row r="10" spans="1:9" ht="38.25" x14ac:dyDescent="0.2">
      <c r="A10" s="28" t="s">
        <v>26</v>
      </c>
      <c r="B10" s="32" t="s">
        <v>27</v>
      </c>
      <c r="C10" s="29" t="s">
        <v>28</v>
      </c>
      <c r="D10" s="37" t="s">
        <v>68</v>
      </c>
    </row>
    <row r="11" spans="1:9" x14ac:dyDescent="0.2">
      <c r="A11" s="151" t="s">
        <v>57</v>
      </c>
      <c r="B11" s="152"/>
      <c r="C11" s="152"/>
      <c r="D11" s="153"/>
    </row>
    <row r="12" spans="1:9" ht="63" x14ac:dyDescent="0.2">
      <c r="A12" s="31">
        <v>6021</v>
      </c>
      <c r="B12" s="30" t="s">
        <v>58</v>
      </c>
      <c r="C12" s="40" t="s">
        <v>29</v>
      </c>
      <c r="D12" s="43">
        <f>(2.3*E40*0.05)+(0.6*G40*0.05)+(1.8*H40*0.05)+(1*J40*0.05)+(3*D40*0.05)</f>
        <v>3.996</v>
      </c>
    </row>
    <row r="13" spans="1:9" ht="47.25" x14ac:dyDescent="0.2">
      <c r="A13" s="31" t="s">
        <v>38</v>
      </c>
      <c r="B13" s="30" t="s">
        <v>59</v>
      </c>
      <c r="C13" s="31" t="s">
        <v>29</v>
      </c>
      <c r="D13" s="56">
        <f>SUM(D14:D17)</f>
        <v>71.334579999999988</v>
      </c>
      <c r="E13" s="47"/>
    </row>
    <row r="14" spans="1:9" ht="15.75" x14ac:dyDescent="0.2">
      <c r="A14" s="31"/>
      <c r="B14" s="55" t="s">
        <v>63</v>
      </c>
      <c r="C14" s="31"/>
      <c r="D14" s="45">
        <f>SUM(I53:R53)</f>
        <v>60.14058</v>
      </c>
      <c r="E14" s="47"/>
    </row>
    <row r="15" spans="1:9" ht="15.75" x14ac:dyDescent="0.2">
      <c r="A15" s="31"/>
      <c r="B15" s="55" t="s">
        <v>64</v>
      </c>
      <c r="C15" s="31"/>
      <c r="D15" s="45">
        <f>0.01*24*1.8*2</f>
        <v>0.86399999999999999</v>
      </c>
      <c r="E15" s="47"/>
    </row>
    <row r="16" spans="1:9" ht="15.75" x14ac:dyDescent="0.2">
      <c r="A16" s="31"/>
      <c r="B16" s="65" t="s">
        <v>66</v>
      </c>
      <c r="C16" s="31"/>
      <c r="D16" s="45">
        <v>2.23</v>
      </c>
      <c r="E16" s="47"/>
    </row>
    <row r="17" spans="1:7" ht="15.75" x14ac:dyDescent="0.2">
      <c r="A17" s="31"/>
      <c r="B17" s="65" t="s">
        <v>65</v>
      </c>
      <c r="C17" s="31"/>
      <c r="D17" s="45">
        <v>8.1</v>
      </c>
      <c r="E17" s="47"/>
    </row>
    <row r="18" spans="1:7" ht="126" x14ac:dyDescent="0.2">
      <c r="A18" s="31">
        <v>3708</v>
      </c>
      <c r="B18" s="53" t="s">
        <v>39</v>
      </c>
      <c r="C18" s="31" t="s">
        <v>30</v>
      </c>
      <c r="D18" s="57">
        <f>SUM(D19:D22)</f>
        <v>10973.465029999996</v>
      </c>
    </row>
    <row r="19" spans="1:7" ht="15.75" x14ac:dyDescent="0.2">
      <c r="A19" s="31"/>
      <c r="B19" s="65" t="s">
        <v>63</v>
      </c>
      <c r="C19" s="31"/>
      <c r="D19" s="49">
        <f>G98</f>
        <v>9286.1050299999952</v>
      </c>
    </row>
    <row r="20" spans="1:7" ht="15.75" x14ac:dyDescent="0.2">
      <c r="A20" s="31"/>
      <c r="B20" s="65" t="s">
        <v>64</v>
      </c>
      <c r="C20" s="31"/>
      <c r="D20" s="49">
        <f>(24*1.78*0.25*2)+147</f>
        <v>168.36</v>
      </c>
    </row>
    <row r="21" spans="1:7" ht="15.75" x14ac:dyDescent="0.2">
      <c r="A21" s="31"/>
      <c r="B21" s="65" t="s">
        <v>66</v>
      </c>
      <c r="C21" s="31"/>
      <c r="D21" s="49">
        <v>320</v>
      </c>
    </row>
    <row r="22" spans="1:7" ht="15.75" x14ac:dyDescent="0.2">
      <c r="A22" s="31"/>
      <c r="B22" s="65" t="s">
        <v>65</v>
      </c>
      <c r="C22" s="31"/>
      <c r="D22" s="49">
        <v>1199</v>
      </c>
    </row>
    <row r="23" spans="1:7" ht="31.5" x14ac:dyDescent="0.2">
      <c r="A23" s="34">
        <v>3464</v>
      </c>
      <c r="B23" s="53" t="s">
        <v>117</v>
      </c>
      <c r="C23" s="31" t="s">
        <v>29</v>
      </c>
      <c r="D23" s="45">
        <f>(1.6*1*G40)+(2.8*0.6*H40)+(2*1.2*J40)+(4*1.7*D40)+(3.3*1.5*E40)</f>
        <v>185.96899999999999</v>
      </c>
    </row>
    <row r="24" spans="1:7" ht="84" customHeight="1" x14ac:dyDescent="0.2">
      <c r="A24" s="34">
        <v>3017</v>
      </c>
      <c r="B24" s="35" t="s">
        <v>33</v>
      </c>
      <c r="C24" s="31" t="s">
        <v>29</v>
      </c>
      <c r="D24" s="45">
        <f>D23</f>
        <v>185.96899999999999</v>
      </c>
    </row>
    <row r="25" spans="1:7" ht="71.25" customHeight="1" x14ac:dyDescent="0.2">
      <c r="A25" s="100">
        <v>7364</v>
      </c>
      <c r="B25" s="101" t="s">
        <v>118</v>
      </c>
      <c r="C25" s="31" t="s">
        <v>29</v>
      </c>
      <c r="D25" s="45">
        <f>D23-D13</f>
        <v>114.63442000000001</v>
      </c>
    </row>
    <row r="26" spans="1:7" ht="31.5" x14ac:dyDescent="0.2">
      <c r="A26" s="102"/>
      <c r="B26" s="53" t="s">
        <v>119</v>
      </c>
      <c r="C26" s="54" t="s">
        <v>34</v>
      </c>
      <c r="D26" s="67">
        <f>(2.5*6.7)+(2.5*14)+(5.4*1.25)</f>
        <v>58.5</v>
      </c>
    </row>
    <row r="27" spans="1:7" ht="258" customHeight="1" x14ac:dyDescent="0.2">
      <c r="A27" s="52"/>
      <c r="B27" s="53" t="s">
        <v>104</v>
      </c>
      <c r="C27" s="84" t="s">
        <v>75</v>
      </c>
      <c r="D27" s="67">
        <v>47.5</v>
      </c>
      <c r="E27" s="2"/>
      <c r="F27" s="2"/>
      <c r="G27" s="2"/>
    </row>
    <row r="28" spans="1:7" ht="31.5" x14ac:dyDescent="0.2">
      <c r="A28" s="54">
        <v>4009</v>
      </c>
      <c r="B28" s="53" t="s">
        <v>74</v>
      </c>
      <c r="C28" s="54" t="s">
        <v>34</v>
      </c>
      <c r="D28" s="67">
        <v>56.9</v>
      </c>
      <c r="E28" s="2"/>
      <c r="F28" s="2"/>
      <c r="G28" s="2"/>
    </row>
    <row r="29" spans="1:7" ht="31.5" x14ac:dyDescent="0.2">
      <c r="A29" s="54">
        <v>5412</v>
      </c>
      <c r="B29" s="53" t="s">
        <v>230</v>
      </c>
      <c r="C29" s="83" t="s">
        <v>29</v>
      </c>
      <c r="D29" s="67">
        <v>15</v>
      </c>
      <c r="E29" s="2"/>
      <c r="F29" s="2"/>
      <c r="G29" s="2"/>
    </row>
    <row r="30" spans="1:7" ht="31.5" x14ac:dyDescent="0.2">
      <c r="A30" s="54">
        <v>3905</v>
      </c>
      <c r="B30" s="53" t="s">
        <v>73</v>
      </c>
      <c r="C30" s="54" t="s">
        <v>75</v>
      </c>
      <c r="D30" s="67">
        <v>47.5</v>
      </c>
      <c r="E30" s="2"/>
      <c r="F30" s="2"/>
      <c r="G30" s="2"/>
    </row>
    <row r="31" spans="1:7" ht="31.5" x14ac:dyDescent="0.2">
      <c r="A31" s="54">
        <v>3904</v>
      </c>
      <c r="B31" s="53" t="s">
        <v>229</v>
      </c>
      <c r="C31" s="84" t="s">
        <v>75</v>
      </c>
      <c r="D31" s="67">
        <f>21*0.3</f>
        <v>6.3</v>
      </c>
      <c r="E31" s="2"/>
      <c r="F31" s="2"/>
      <c r="G31" s="2"/>
    </row>
    <row r="32" spans="1:7" ht="15.75" x14ac:dyDescent="0.2">
      <c r="A32" s="50"/>
      <c r="B32" s="41"/>
      <c r="C32" s="42"/>
      <c r="D32" s="51"/>
      <c r="E32" s="2"/>
      <c r="F32" s="2"/>
      <c r="G32" s="2"/>
    </row>
    <row r="33" spans="1:10" ht="15.75" x14ac:dyDescent="0.2">
      <c r="A33" s="50"/>
      <c r="B33" s="41"/>
      <c r="C33" s="42"/>
      <c r="D33" s="51"/>
      <c r="E33" s="2"/>
      <c r="F33" s="2"/>
      <c r="G33" s="2"/>
    </row>
    <row r="34" spans="1:10" ht="15.75" x14ac:dyDescent="0.2">
      <c r="D34" s="19" t="s">
        <v>70</v>
      </c>
      <c r="E34" s="19" t="s">
        <v>43</v>
      </c>
      <c r="F34" s="19" t="s">
        <v>41</v>
      </c>
      <c r="G34" s="19" t="s">
        <v>42</v>
      </c>
      <c r="H34" s="25" t="s">
        <v>55</v>
      </c>
      <c r="I34" s="25" t="s">
        <v>56</v>
      </c>
      <c r="J34" s="25" t="s">
        <v>54</v>
      </c>
    </row>
    <row r="35" spans="1:10" ht="15.75" x14ac:dyDescent="0.2">
      <c r="D35" s="19"/>
      <c r="E35" s="19"/>
      <c r="F35" s="19"/>
      <c r="G35" s="19"/>
    </row>
    <row r="36" spans="1:10" ht="15.75" x14ac:dyDescent="0.2">
      <c r="D36" s="19"/>
      <c r="E36" s="19"/>
      <c r="F36" s="19"/>
      <c r="G36" s="19"/>
    </row>
    <row r="37" spans="1:10" ht="15.75" x14ac:dyDescent="0.2">
      <c r="D37" s="19"/>
      <c r="E37" s="19">
        <v>2.94</v>
      </c>
      <c r="F37" s="19">
        <v>2.6</v>
      </c>
      <c r="G37" s="19"/>
    </row>
    <row r="38" spans="1:10" ht="15.75" x14ac:dyDescent="0.2">
      <c r="D38" s="19"/>
      <c r="E38" s="19">
        <f>3.3*2</f>
        <v>6.6</v>
      </c>
      <c r="F38" s="19">
        <v>4.1900000000000004</v>
      </c>
      <c r="G38" s="19">
        <v>12.6</v>
      </c>
    </row>
    <row r="39" spans="1:10" ht="15.75" x14ac:dyDescent="0.2">
      <c r="D39" s="19">
        <v>5.4</v>
      </c>
      <c r="E39" s="19">
        <f>2.38*2</f>
        <v>4.76</v>
      </c>
      <c r="F39" s="19">
        <v>2.44</v>
      </c>
      <c r="G39" s="19">
        <v>15.35</v>
      </c>
      <c r="J39" s="25">
        <v>14.06</v>
      </c>
    </row>
    <row r="40" spans="1:10" ht="28.5" x14ac:dyDescent="0.2">
      <c r="C40" s="38" t="s">
        <v>51</v>
      </c>
      <c r="D40" s="36">
        <f t="shared" ref="D40:J40" si="0">SUM(D35:D39)</f>
        <v>5.4</v>
      </c>
      <c r="E40" s="36">
        <f t="shared" si="0"/>
        <v>14.299999999999999</v>
      </c>
      <c r="F40" s="36">
        <f t="shared" si="0"/>
        <v>9.23</v>
      </c>
      <c r="G40" s="36">
        <f t="shared" si="0"/>
        <v>27.95</v>
      </c>
      <c r="H40" s="36">
        <f t="shared" si="0"/>
        <v>0</v>
      </c>
      <c r="I40" s="36">
        <f t="shared" si="0"/>
        <v>0</v>
      </c>
      <c r="J40" s="36">
        <f t="shared" si="0"/>
        <v>14.06</v>
      </c>
    </row>
    <row r="42" spans="1:10" x14ac:dyDescent="0.2">
      <c r="C42" s="25" t="s">
        <v>52</v>
      </c>
      <c r="D42" s="39">
        <f>1.845*D40</f>
        <v>9.963000000000001</v>
      </c>
      <c r="E42" s="39">
        <f>1.08*E40</f>
        <v>15.443999999999999</v>
      </c>
      <c r="F42" s="39">
        <v>0</v>
      </c>
      <c r="G42" s="39">
        <f>0.12*G40</f>
        <v>3.3539999999999996</v>
      </c>
      <c r="H42" s="39">
        <f>0.63*H40</f>
        <v>0</v>
      </c>
      <c r="I42" s="39">
        <f>0.64*I40</f>
        <v>0</v>
      </c>
      <c r="J42" s="59">
        <f>0.3*J40</f>
        <v>4.218</v>
      </c>
    </row>
    <row r="43" spans="1:10" x14ac:dyDescent="0.2">
      <c r="C43" s="25" t="s">
        <v>53</v>
      </c>
      <c r="D43" s="59">
        <f>1.5*D40</f>
        <v>8.1000000000000014</v>
      </c>
      <c r="E43" s="59">
        <f>3.9*0.3*E40</f>
        <v>16.730999999999998</v>
      </c>
      <c r="F43" s="59">
        <f>4*0.3*F40</f>
        <v>11.076000000000001</v>
      </c>
      <c r="G43" s="59">
        <f>1.4*0.2*G40</f>
        <v>7.8259999999999987</v>
      </c>
      <c r="H43" s="39">
        <f>3.9*0.3*H40</f>
        <v>0</v>
      </c>
      <c r="I43" s="25">
        <v>0</v>
      </c>
      <c r="J43" s="60">
        <f>0.9*0.2*J40</f>
        <v>2.5308000000000006</v>
      </c>
    </row>
    <row r="44" spans="1:10" ht="15" x14ac:dyDescent="0.25">
      <c r="D44" s="44">
        <f t="shared" ref="D44:J44" si="1">D42+D43</f>
        <v>18.063000000000002</v>
      </c>
      <c r="E44" s="44">
        <f t="shared" si="1"/>
        <v>32.174999999999997</v>
      </c>
      <c r="F44" s="44">
        <f t="shared" si="1"/>
        <v>11.076000000000001</v>
      </c>
      <c r="G44" s="44">
        <f t="shared" si="1"/>
        <v>11.179999999999998</v>
      </c>
      <c r="H44" s="44">
        <f t="shared" si="1"/>
        <v>0</v>
      </c>
      <c r="I44" s="44">
        <f t="shared" si="1"/>
        <v>0</v>
      </c>
      <c r="J44" s="44">
        <f t="shared" si="1"/>
        <v>6.748800000000001</v>
      </c>
    </row>
    <row r="47" spans="1:10" x14ac:dyDescent="0.2">
      <c r="C47" s="25" t="s">
        <v>60</v>
      </c>
      <c r="D47" s="47">
        <f>269*D40</f>
        <v>1452.6000000000001</v>
      </c>
      <c r="E47" s="47">
        <f>128*E40</f>
        <v>1830.3999999999999</v>
      </c>
      <c r="G47" s="47">
        <f>14*G40</f>
        <v>391.3</v>
      </c>
      <c r="H47" s="47">
        <f>55*H40</f>
        <v>0</v>
      </c>
      <c r="J47" s="47">
        <f>43*J40</f>
        <v>604.58000000000004</v>
      </c>
    </row>
    <row r="48" spans="1:10" x14ac:dyDescent="0.2">
      <c r="C48" s="25" t="s">
        <v>61</v>
      </c>
      <c r="D48" s="47">
        <f>314*D40</f>
        <v>1695.6000000000001</v>
      </c>
      <c r="E48" s="47">
        <f>149*E40</f>
        <v>2130.6999999999998</v>
      </c>
      <c r="F48" s="47">
        <f>140*F40</f>
        <v>1292.2</v>
      </c>
      <c r="G48" s="47">
        <f>23*G40</f>
        <v>642.85</v>
      </c>
      <c r="H48" s="47">
        <f>132*H40</f>
        <v>0</v>
      </c>
      <c r="I48" s="47">
        <f>47*I40</f>
        <v>0</v>
      </c>
      <c r="J48" s="47">
        <f>38*J40</f>
        <v>534.28</v>
      </c>
    </row>
    <row r="49" spans="3:18" ht="15" x14ac:dyDescent="0.25">
      <c r="D49" s="48">
        <f t="shared" ref="D49:J49" si="2">SUM(D47:D48)</f>
        <v>3148.2000000000003</v>
      </c>
      <c r="E49" s="48">
        <f t="shared" si="2"/>
        <v>3961.0999999999995</v>
      </c>
      <c r="F49" s="48">
        <f t="shared" si="2"/>
        <v>1292.2</v>
      </c>
      <c r="G49" s="48">
        <f t="shared" si="2"/>
        <v>1034.1500000000001</v>
      </c>
      <c r="H49" s="48">
        <f t="shared" si="2"/>
        <v>0</v>
      </c>
      <c r="I49" s="48">
        <f t="shared" si="2"/>
        <v>0</v>
      </c>
      <c r="J49" s="48">
        <f t="shared" si="2"/>
        <v>1138.8600000000001</v>
      </c>
    </row>
    <row r="52" spans="3:18" ht="15.75" x14ac:dyDescent="0.2">
      <c r="C52" s="25" t="s">
        <v>122</v>
      </c>
      <c r="D52" s="19" t="s">
        <v>145</v>
      </c>
      <c r="E52" s="19" t="s">
        <v>146</v>
      </c>
      <c r="F52" s="19" t="s">
        <v>147</v>
      </c>
      <c r="G52" s="19" t="s">
        <v>148</v>
      </c>
      <c r="I52" s="25" t="s">
        <v>169</v>
      </c>
      <c r="J52" s="25" t="s">
        <v>170</v>
      </c>
      <c r="K52" s="25" t="s">
        <v>161</v>
      </c>
      <c r="L52" s="22" t="s">
        <v>171</v>
      </c>
      <c r="M52" s="22" t="s">
        <v>164</v>
      </c>
      <c r="N52" s="22" t="s">
        <v>166</v>
      </c>
      <c r="O52" s="22" t="s">
        <v>172</v>
      </c>
      <c r="P52" s="22" t="s">
        <v>173</v>
      </c>
      <c r="Q52" s="22" t="s">
        <v>174</v>
      </c>
      <c r="R52" s="22" t="s">
        <v>165</v>
      </c>
    </row>
    <row r="53" spans="3:18" ht="15.75" x14ac:dyDescent="0.2">
      <c r="C53" s="25">
        <v>6</v>
      </c>
      <c r="D53" s="19">
        <f>LOOKUP(C53,Hoja2!$B$8:$B$20,Hoja2!$E$8:$E$20)</f>
        <v>2.2349999999999999</v>
      </c>
      <c r="E53" s="19">
        <v>5.75</v>
      </c>
      <c r="F53" s="19">
        <v>32</v>
      </c>
      <c r="G53" s="110">
        <f>F53*E53*D53</f>
        <v>411.23999999999995</v>
      </c>
      <c r="I53" s="25">
        <f>0.38*15.35</f>
        <v>5.8330000000000002</v>
      </c>
      <c r="J53" s="25">
        <f>0.822*12.59</f>
        <v>10.348979999999999</v>
      </c>
      <c r="K53" s="25">
        <f>(8.24*0.3)+(4.8*0.4*2.5)</f>
        <v>7.2720000000000002</v>
      </c>
      <c r="L53" s="22">
        <f>(1.26*0.2)+(1*0.3*1.4)</f>
        <v>0.67199999999999993</v>
      </c>
      <c r="M53" s="25">
        <f>(7.41*0.3)+(4.8*0.4*2.5)</f>
        <v>7.0229999999999997</v>
      </c>
      <c r="N53" s="25">
        <f>(1.61*0.3)+(1.85*0.4*2.5)</f>
        <v>2.3330000000000002</v>
      </c>
      <c r="O53" s="22">
        <f>0.48*14.01</f>
        <v>6.7247999999999992</v>
      </c>
      <c r="P53" s="25">
        <f>(9*0.3)+(5.4*0.4*2.5)</f>
        <v>8.1</v>
      </c>
      <c r="Q53" s="25">
        <f>(9.34*0.3)+(2.94*0.4*2.5)</f>
        <v>5.742</v>
      </c>
      <c r="R53" s="22">
        <f>(2.64*(2.44+4.19+2.6)*0.25)</f>
        <v>6.091800000000001</v>
      </c>
    </row>
    <row r="54" spans="3:18" ht="15.75" x14ac:dyDescent="0.2">
      <c r="C54" s="25">
        <v>6</v>
      </c>
      <c r="D54" s="19">
        <f>LOOKUP(C54,Hoja2!$B$8:$B$20,Hoja2!$E$8:$E$20)</f>
        <v>2.2349999999999999</v>
      </c>
      <c r="E54" s="25">
        <v>4.74</v>
      </c>
      <c r="F54" s="25">
        <v>28</v>
      </c>
      <c r="G54" s="110">
        <f t="shared" ref="G54:G97" si="3">F54*E54*D54</f>
        <v>296.62919999999997</v>
      </c>
    </row>
    <row r="55" spans="3:18" ht="15.75" x14ac:dyDescent="0.2">
      <c r="C55" s="25">
        <v>6</v>
      </c>
      <c r="D55" s="19">
        <f>LOOKUP(C55,Hoja2!$B$8:$B$20,Hoja2!$E$8:$E$20)</f>
        <v>2.2349999999999999</v>
      </c>
      <c r="E55" s="25">
        <f>(6.75+2.51)/2</f>
        <v>4.63</v>
      </c>
      <c r="F55" s="25">
        <v>32</v>
      </c>
      <c r="G55" s="110">
        <f t="shared" si="3"/>
        <v>331.13759999999996</v>
      </c>
    </row>
    <row r="56" spans="3:18" ht="15.75" x14ac:dyDescent="0.2">
      <c r="C56" s="25">
        <v>5</v>
      </c>
      <c r="D56" s="19">
        <f>LOOKUP(C56,Hoja2!$B$8:$B$20,Hoja2!$E$8:$E$20)</f>
        <v>1.552</v>
      </c>
      <c r="E56" s="25">
        <v>4.74</v>
      </c>
      <c r="F56" s="25">
        <v>12</v>
      </c>
      <c r="G56" s="110">
        <f t="shared" si="3"/>
        <v>88.277760000000001</v>
      </c>
    </row>
    <row r="57" spans="3:18" ht="15.75" x14ac:dyDescent="0.2">
      <c r="C57" s="25">
        <v>6</v>
      </c>
      <c r="D57" s="19">
        <f>LOOKUP(C57,Hoja2!$B$8:$B$20,Hoja2!$E$8:$E$20)</f>
        <v>2.2349999999999999</v>
      </c>
      <c r="E57" s="25">
        <v>5.22</v>
      </c>
      <c r="F57" s="25">
        <v>2</v>
      </c>
      <c r="G57" s="110">
        <f t="shared" si="3"/>
        <v>23.333399999999997</v>
      </c>
    </row>
    <row r="58" spans="3:18" ht="15.75" x14ac:dyDescent="0.2">
      <c r="C58" s="25">
        <v>5</v>
      </c>
      <c r="D58" s="19">
        <f>LOOKUP(C58,Hoja2!$B$8:$B$20,Hoja2!$E$8:$E$20)</f>
        <v>1.552</v>
      </c>
      <c r="E58" s="25">
        <v>2.65</v>
      </c>
      <c r="F58" s="25">
        <v>7</v>
      </c>
      <c r="G58" s="110">
        <f t="shared" si="3"/>
        <v>28.789600000000004</v>
      </c>
    </row>
    <row r="59" spans="3:18" ht="15.75" x14ac:dyDescent="0.2">
      <c r="C59" s="25">
        <v>5</v>
      </c>
      <c r="D59" s="19">
        <f>LOOKUP(C59,Hoja2!$B$8:$B$20,Hoja2!$E$8:$E$20)</f>
        <v>1.552</v>
      </c>
      <c r="E59" s="25">
        <v>1.32</v>
      </c>
      <c r="F59" s="25">
        <v>12</v>
      </c>
      <c r="G59" s="110">
        <f t="shared" si="3"/>
        <v>24.583680000000001</v>
      </c>
    </row>
    <row r="60" spans="3:18" ht="15.75" x14ac:dyDescent="0.2">
      <c r="C60" s="25">
        <v>5</v>
      </c>
      <c r="D60" s="19">
        <f>LOOKUP(C60,Hoja2!$B$8:$B$20,Hoja2!$E$8:$E$20)</f>
        <v>1.552</v>
      </c>
      <c r="E60" s="25">
        <v>2.75</v>
      </c>
      <c r="F60" s="25">
        <v>7</v>
      </c>
      <c r="G60" s="110">
        <f t="shared" si="3"/>
        <v>29.876000000000001</v>
      </c>
    </row>
    <row r="61" spans="3:18" ht="15.75" x14ac:dyDescent="0.2">
      <c r="C61" s="25">
        <v>5</v>
      </c>
      <c r="D61" s="19">
        <f>LOOKUP(C61,Hoja2!$B$8:$B$20,Hoja2!$E$8:$E$20)</f>
        <v>1.552</v>
      </c>
      <c r="E61" s="25">
        <v>1.32</v>
      </c>
      <c r="F61" s="25">
        <v>8</v>
      </c>
      <c r="G61" s="110">
        <f t="shared" si="3"/>
        <v>16.389120000000002</v>
      </c>
    </row>
    <row r="62" spans="3:18" ht="15.75" x14ac:dyDescent="0.2">
      <c r="C62" s="25">
        <v>6</v>
      </c>
      <c r="D62" s="19">
        <f>LOOKUP(C62,Hoja2!$B$8:$B$20,Hoja2!$E$8:$E$20)</f>
        <v>2.2349999999999999</v>
      </c>
      <c r="E62" s="25">
        <v>5.75</v>
      </c>
      <c r="F62" s="25">
        <v>32</v>
      </c>
      <c r="G62" s="110">
        <f t="shared" si="3"/>
        <v>411.23999999999995</v>
      </c>
    </row>
    <row r="63" spans="3:18" ht="15.75" x14ac:dyDescent="0.2">
      <c r="C63" s="25">
        <v>6</v>
      </c>
      <c r="D63" s="19">
        <f>LOOKUP(C63,Hoja2!$B$8:$B$20,Hoja2!$E$8:$E$20)</f>
        <v>2.2349999999999999</v>
      </c>
      <c r="E63" s="25">
        <v>4.74</v>
      </c>
      <c r="F63" s="25">
        <v>28</v>
      </c>
      <c r="G63" s="110">
        <f t="shared" si="3"/>
        <v>296.62919999999997</v>
      </c>
    </row>
    <row r="64" spans="3:18" ht="15.75" x14ac:dyDescent="0.2">
      <c r="C64" s="25">
        <v>6</v>
      </c>
      <c r="D64" s="19">
        <f>LOOKUP(C64,Hoja2!$B$8:$B$20,Hoja2!$E$8:$E$20)</f>
        <v>2.2349999999999999</v>
      </c>
      <c r="E64" s="25">
        <f>(6.47+2.17)/2</f>
        <v>4.32</v>
      </c>
      <c r="F64" s="25">
        <v>32</v>
      </c>
      <c r="G64" s="110">
        <f t="shared" si="3"/>
        <v>308.96640000000002</v>
      </c>
    </row>
    <row r="65" spans="3:7" ht="15.75" x14ac:dyDescent="0.2">
      <c r="C65" s="25">
        <v>5</v>
      </c>
      <c r="D65" s="19">
        <f>LOOKUP(C65,Hoja2!$B$8:$B$20,Hoja2!$E$8:$E$20)</f>
        <v>1.552</v>
      </c>
      <c r="E65" s="25">
        <v>4.74</v>
      </c>
      <c r="F65" s="25">
        <v>10</v>
      </c>
      <c r="G65" s="110">
        <f t="shared" si="3"/>
        <v>73.564800000000005</v>
      </c>
    </row>
    <row r="66" spans="3:7" ht="15.75" x14ac:dyDescent="0.2">
      <c r="C66" s="25">
        <v>6</v>
      </c>
      <c r="D66" s="19">
        <f>LOOKUP(C66,Hoja2!$B$8:$B$20,Hoja2!$E$8:$E$20)</f>
        <v>2.2349999999999999</v>
      </c>
      <c r="E66" s="25">
        <v>5.22</v>
      </c>
      <c r="F66" s="25">
        <v>2</v>
      </c>
      <c r="G66" s="110">
        <f t="shared" si="3"/>
        <v>23.333399999999997</v>
      </c>
    </row>
    <row r="67" spans="3:7" ht="15.75" x14ac:dyDescent="0.2">
      <c r="C67" s="25">
        <v>6</v>
      </c>
      <c r="D67" s="19">
        <f>LOOKUP(C67,Hoja2!$B$8:$B$20,Hoja2!$E$8:$E$20)</f>
        <v>2.2349999999999999</v>
      </c>
      <c r="E67" s="25">
        <v>5.75</v>
      </c>
      <c r="F67" s="25">
        <v>12</v>
      </c>
      <c r="G67" s="110">
        <f t="shared" si="3"/>
        <v>154.215</v>
      </c>
    </row>
    <row r="68" spans="3:7" ht="15.75" x14ac:dyDescent="0.2">
      <c r="C68" s="25">
        <v>6</v>
      </c>
      <c r="D68" s="19">
        <f>LOOKUP(C68,Hoja2!$B$8:$B$20,Hoja2!$E$8:$E$20)</f>
        <v>2.2349999999999999</v>
      </c>
      <c r="E68" s="25">
        <v>1.79</v>
      </c>
      <c r="F68" s="25">
        <v>28</v>
      </c>
      <c r="G68" s="110">
        <f t="shared" si="3"/>
        <v>112.01820000000001</v>
      </c>
    </row>
    <row r="69" spans="3:7" ht="15.75" x14ac:dyDescent="0.2">
      <c r="C69" s="25">
        <v>6</v>
      </c>
      <c r="D69" s="19">
        <f>LOOKUP(C69,Hoja2!$B$8:$B$20,Hoja2!$E$8:$E$20)</f>
        <v>2.2349999999999999</v>
      </c>
      <c r="E69" s="25">
        <v>3.09</v>
      </c>
      <c r="F69" s="25">
        <v>12</v>
      </c>
      <c r="G69" s="110">
        <f t="shared" si="3"/>
        <v>82.873799999999989</v>
      </c>
    </row>
    <row r="70" spans="3:7" ht="15.75" x14ac:dyDescent="0.2">
      <c r="C70" s="25">
        <v>5</v>
      </c>
      <c r="D70" s="19">
        <f>LOOKUP(C70,Hoja2!$B$8:$B$20,Hoja2!$E$8:$E$20)</f>
        <v>1.552</v>
      </c>
      <c r="E70" s="25">
        <v>1.79</v>
      </c>
      <c r="F70" s="25">
        <v>6</v>
      </c>
      <c r="G70" s="110">
        <f t="shared" si="3"/>
        <v>16.668480000000002</v>
      </c>
    </row>
    <row r="71" spans="3:7" ht="15.75" x14ac:dyDescent="0.2">
      <c r="C71" s="25">
        <v>6</v>
      </c>
      <c r="D71" s="19">
        <f>LOOKUP(C71,Hoja2!$B$8:$B$20,Hoja2!$E$8:$E$20)</f>
        <v>2.2349999999999999</v>
      </c>
      <c r="E71" s="25">
        <v>1.79</v>
      </c>
      <c r="F71" s="25">
        <v>2</v>
      </c>
      <c r="G71" s="110">
        <f t="shared" si="3"/>
        <v>8.0013000000000005</v>
      </c>
    </row>
    <row r="72" spans="3:7" ht="15.75" x14ac:dyDescent="0.2">
      <c r="C72" s="25">
        <v>5</v>
      </c>
      <c r="D72" s="19">
        <f>LOOKUP(C72,Hoja2!$B$8:$B$20,Hoja2!$E$8:$E$20)</f>
        <v>1.552</v>
      </c>
      <c r="E72" s="25">
        <v>2.65</v>
      </c>
      <c r="F72" s="25">
        <v>70</v>
      </c>
      <c r="G72" s="110">
        <f t="shared" si="3"/>
        <v>287.89600000000002</v>
      </c>
    </row>
    <row r="73" spans="3:7" ht="15.75" x14ac:dyDescent="0.2">
      <c r="C73" s="25">
        <v>5</v>
      </c>
      <c r="D73" s="19">
        <f>LOOKUP(C73,Hoja2!$B$8:$B$20,Hoja2!$E$8:$E$20)</f>
        <v>1.552</v>
      </c>
      <c r="E73" s="25">
        <v>13.95</v>
      </c>
      <c r="F73" s="25">
        <v>12</v>
      </c>
      <c r="G73" s="110">
        <f t="shared" si="3"/>
        <v>259.8048</v>
      </c>
    </row>
    <row r="74" spans="3:7" ht="15.75" x14ac:dyDescent="0.2">
      <c r="C74" s="25">
        <v>5</v>
      </c>
      <c r="D74" s="19">
        <f>LOOKUP(C74,Hoja2!$B$8:$B$20,Hoja2!$E$8:$E$20)</f>
        <v>1.552</v>
      </c>
      <c r="E74" s="25">
        <v>2.75</v>
      </c>
      <c r="F74" s="25">
        <v>70</v>
      </c>
      <c r="G74" s="110">
        <f t="shared" si="3"/>
        <v>298.76</v>
      </c>
    </row>
    <row r="75" spans="3:7" ht="15.75" x14ac:dyDescent="0.2">
      <c r="C75" s="25">
        <v>5</v>
      </c>
      <c r="D75" s="19">
        <f>LOOKUP(C75,Hoja2!$B$8:$B$20,Hoja2!$E$8:$E$20)</f>
        <v>1.552</v>
      </c>
      <c r="E75" s="25">
        <v>13.95</v>
      </c>
      <c r="F75" s="25">
        <v>8</v>
      </c>
      <c r="G75" s="110">
        <f t="shared" si="3"/>
        <v>173.20320000000001</v>
      </c>
    </row>
    <row r="76" spans="3:7" ht="15.75" x14ac:dyDescent="0.2">
      <c r="C76" s="25">
        <v>6</v>
      </c>
      <c r="D76" s="19">
        <f>LOOKUP(C76,Hoja2!$B$8:$B$20,Hoja2!$E$8:$E$20)</f>
        <v>2.2349999999999999</v>
      </c>
      <c r="E76" s="25">
        <v>5.75</v>
      </c>
      <c r="F76" s="25">
        <v>36</v>
      </c>
      <c r="G76" s="110">
        <f t="shared" si="3"/>
        <v>462.64499999999998</v>
      </c>
    </row>
    <row r="77" spans="3:7" ht="15.75" x14ac:dyDescent="0.2">
      <c r="C77" s="25">
        <v>6</v>
      </c>
      <c r="D77" s="19">
        <f>LOOKUP(C77,Hoja2!$B$8:$B$20,Hoja2!$E$8:$E$20)</f>
        <v>2.2349999999999999</v>
      </c>
      <c r="E77" s="25">
        <v>5.34</v>
      </c>
      <c r="F77" s="25">
        <v>28</v>
      </c>
      <c r="G77" s="110">
        <f t="shared" si="3"/>
        <v>334.17719999999991</v>
      </c>
    </row>
    <row r="78" spans="3:7" ht="15.75" x14ac:dyDescent="0.2">
      <c r="C78" s="25">
        <v>6</v>
      </c>
      <c r="D78" s="19">
        <f>LOOKUP(C78,Hoja2!$B$8:$B$20,Hoja2!$E$8:$E$20)</f>
        <v>2.2349999999999999</v>
      </c>
      <c r="E78" s="25">
        <f>(6.47+2.17)/2</f>
        <v>4.32</v>
      </c>
      <c r="F78" s="25">
        <v>36</v>
      </c>
      <c r="G78" s="110">
        <f t="shared" si="3"/>
        <v>347.5872</v>
      </c>
    </row>
    <row r="79" spans="3:7" ht="15.75" x14ac:dyDescent="0.2">
      <c r="C79" s="25">
        <v>5</v>
      </c>
      <c r="D79" s="19">
        <f>LOOKUP(C79,Hoja2!$B$8:$B$20,Hoja2!$E$8:$E$20)</f>
        <v>1.552</v>
      </c>
      <c r="E79" s="25">
        <v>5.34</v>
      </c>
      <c r="F79" s="25">
        <v>12</v>
      </c>
      <c r="G79" s="110">
        <f t="shared" si="3"/>
        <v>99.452160000000006</v>
      </c>
    </row>
    <row r="80" spans="3:7" ht="15.75" x14ac:dyDescent="0.2">
      <c r="C80" s="25">
        <v>6</v>
      </c>
      <c r="D80" s="19">
        <f>LOOKUP(C80,Hoja2!$B$8:$B$20,Hoja2!$E$8:$E$20)</f>
        <v>2.2349999999999999</v>
      </c>
      <c r="E80" s="25">
        <v>5.92</v>
      </c>
      <c r="F80" s="25">
        <v>2</v>
      </c>
      <c r="G80" s="110">
        <f t="shared" si="3"/>
        <v>26.462399999999999</v>
      </c>
    </row>
    <row r="81" spans="3:7" ht="15.75" x14ac:dyDescent="0.2">
      <c r="C81" s="25">
        <v>6</v>
      </c>
      <c r="D81" s="19">
        <f>LOOKUP(C81,Hoja2!$B$8:$B$20,Hoja2!$E$8:$E$20)</f>
        <v>2.2349999999999999</v>
      </c>
      <c r="E81" s="25">
        <v>5.75</v>
      </c>
      <c r="F81" s="25">
        <v>20</v>
      </c>
      <c r="G81" s="110">
        <f t="shared" si="3"/>
        <v>257.02499999999998</v>
      </c>
    </row>
    <row r="82" spans="3:7" ht="15.75" x14ac:dyDescent="0.2">
      <c r="C82" s="25">
        <v>6</v>
      </c>
      <c r="D82" s="19">
        <f>LOOKUP(C82,Hoja2!$B$8:$B$20,Hoja2!$E$8:$E$20)</f>
        <v>2.2349999999999999</v>
      </c>
      <c r="E82" s="25">
        <v>2.87</v>
      </c>
      <c r="F82" s="25">
        <v>28</v>
      </c>
      <c r="G82" s="110">
        <f t="shared" si="3"/>
        <v>179.60459999999998</v>
      </c>
    </row>
    <row r="83" spans="3:7" ht="15.75" x14ac:dyDescent="0.2">
      <c r="C83" s="25">
        <v>6</v>
      </c>
      <c r="D83" s="19">
        <f>LOOKUP(C83,Hoja2!$B$8:$B$20,Hoja2!$E$8:$E$20)</f>
        <v>2.2349999999999999</v>
      </c>
      <c r="E83" s="25">
        <v>6.63</v>
      </c>
      <c r="F83" s="25">
        <v>20</v>
      </c>
      <c r="G83" s="110">
        <f t="shared" si="3"/>
        <v>296.36099999999999</v>
      </c>
    </row>
    <row r="84" spans="3:7" ht="15.75" x14ac:dyDescent="0.2">
      <c r="C84" s="25">
        <v>5</v>
      </c>
      <c r="D84" s="19">
        <f>LOOKUP(C84,Hoja2!$B$8:$B$20,Hoja2!$E$8:$E$20)</f>
        <v>1.552</v>
      </c>
      <c r="E84" s="25">
        <v>2.87</v>
      </c>
      <c r="F84" s="25">
        <v>18</v>
      </c>
      <c r="G84" s="110">
        <f t="shared" si="3"/>
        <v>80.176320000000004</v>
      </c>
    </row>
    <row r="85" spans="3:7" ht="15.75" x14ac:dyDescent="0.2">
      <c r="C85" s="25">
        <v>6</v>
      </c>
      <c r="D85" s="19">
        <f>LOOKUP(C85,Hoja2!$B$8:$B$20,Hoja2!$E$8:$E$20)</f>
        <v>2.2349999999999999</v>
      </c>
      <c r="E85" s="25">
        <v>2.87</v>
      </c>
      <c r="F85" s="25">
        <v>2</v>
      </c>
      <c r="G85" s="110">
        <f t="shared" si="3"/>
        <v>12.828899999999999</v>
      </c>
    </row>
    <row r="86" spans="3:7" ht="15.75" x14ac:dyDescent="0.2">
      <c r="C86" s="25">
        <v>6</v>
      </c>
      <c r="D86" s="19">
        <f>LOOKUP(C86,Hoja2!$B$8:$B$20,Hoja2!$E$8:$E$20)</f>
        <v>2.2349999999999999</v>
      </c>
      <c r="E86" s="25">
        <v>6.35</v>
      </c>
      <c r="F86" s="25">
        <v>77</v>
      </c>
      <c r="G86" s="110">
        <f t="shared" si="3"/>
        <v>1092.8032499999999</v>
      </c>
    </row>
    <row r="87" spans="3:7" ht="15.75" x14ac:dyDescent="0.2">
      <c r="C87" s="25">
        <v>6</v>
      </c>
      <c r="D87" s="19">
        <f>LOOKUP(C87,Hoja2!$B$8:$B$20,Hoja2!$E$8:$E$20)</f>
        <v>2.2349999999999999</v>
      </c>
      <c r="E87" s="25">
        <v>9.17</v>
      </c>
      <c r="F87" s="25">
        <v>2</v>
      </c>
      <c r="G87" s="110">
        <f t="shared" si="3"/>
        <v>40.989899999999999</v>
      </c>
    </row>
    <row r="88" spans="3:7" ht="15.75" x14ac:dyDescent="0.2">
      <c r="C88" s="25">
        <v>4</v>
      </c>
      <c r="D88" s="19">
        <f>LOOKUP(C88,Hoja2!$B$8:$B$20,Hoja2!$E$8:$E$20)</f>
        <v>0.99399999999999999</v>
      </c>
      <c r="E88" s="25">
        <v>9.17</v>
      </c>
      <c r="F88" s="25">
        <v>18</v>
      </c>
      <c r="G88" s="110">
        <f t="shared" si="3"/>
        <v>164.06963999999999</v>
      </c>
    </row>
    <row r="89" spans="3:7" ht="15.75" x14ac:dyDescent="0.2">
      <c r="C89" s="25">
        <v>4</v>
      </c>
      <c r="D89" s="19">
        <f>LOOKUP(C89,Hoja2!$B$8:$B$20,Hoja2!$E$8:$E$20)</f>
        <v>0.99399999999999999</v>
      </c>
      <c r="E89" s="25">
        <v>1.55</v>
      </c>
      <c r="F89" s="25">
        <v>77</v>
      </c>
      <c r="G89" s="110">
        <f t="shared" si="3"/>
        <v>118.63390000000001</v>
      </c>
    </row>
    <row r="90" spans="3:7" ht="15.75" x14ac:dyDescent="0.2">
      <c r="C90" s="25">
        <v>4</v>
      </c>
      <c r="D90" s="19">
        <f>LOOKUP(C90,Hoja2!$B$8:$B$20,Hoja2!$E$8:$E$20)</f>
        <v>0.99399999999999999</v>
      </c>
      <c r="E90" s="25">
        <v>15.29</v>
      </c>
      <c r="F90" s="25">
        <v>8</v>
      </c>
      <c r="G90" s="110">
        <f t="shared" si="3"/>
        <v>121.58608</v>
      </c>
    </row>
    <row r="91" spans="3:7" ht="15.75" x14ac:dyDescent="0.2">
      <c r="C91" s="25">
        <v>4</v>
      </c>
      <c r="D91" s="19">
        <f>LOOKUP(C91,Hoja2!$B$8:$B$20,Hoja2!$E$8:$E$20)</f>
        <v>0.99399999999999999</v>
      </c>
      <c r="E91" s="25">
        <v>2.73</v>
      </c>
      <c r="F91" s="25">
        <v>77</v>
      </c>
      <c r="G91" s="110">
        <f t="shared" si="3"/>
        <v>208.94874000000002</v>
      </c>
    </row>
    <row r="92" spans="3:7" ht="15.75" x14ac:dyDescent="0.2">
      <c r="C92" s="25">
        <v>4</v>
      </c>
      <c r="D92" s="19">
        <f>LOOKUP(C92,Hoja2!$B$8:$B$20,Hoja2!$E$8:$E$20)</f>
        <v>0.99399999999999999</v>
      </c>
      <c r="E92" s="25">
        <v>15.29</v>
      </c>
      <c r="F92" s="25">
        <v>12</v>
      </c>
      <c r="G92" s="110">
        <f t="shared" si="3"/>
        <v>182.37912</v>
      </c>
    </row>
    <row r="93" spans="3:7" ht="15.75" x14ac:dyDescent="0.2">
      <c r="C93" s="25">
        <v>18</v>
      </c>
      <c r="D93" s="19">
        <f>LOOKUP(C93,Hoja2!$B$8:$B$20,Hoja2!$E$8:$E$20)</f>
        <v>1.996</v>
      </c>
      <c r="E93" s="25">
        <v>3.55</v>
      </c>
      <c r="F93" s="25">
        <v>84</v>
      </c>
      <c r="G93" s="110">
        <f t="shared" si="3"/>
        <v>595.20719999999994</v>
      </c>
    </row>
    <row r="94" spans="3:7" ht="15.75" x14ac:dyDescent="0.2">
      <c r="C94" s="25">
        <v>4</v>
      </c>
      <c r="D94" s="19">
        <f>LOOKUP(C94,Hoja2!$B$8:$B$20,Hoja2!$E$8:$E$20)</f>
        <v>0.99399999999999999</v>
      </c>
      <c r="E94" s="25">
        <v>12.53</v>
      </c>
      <c r="F94" s="25">
        <v>10</v>
      </c>
      <c r="G94" s="110">
        <f t="shared" si="3"/>
        <v>124.54819999999999</v>
      </c>
    </row>
    <row r="95" spans="3:7" ht="15.75" x14ac:dyDescent="0.2">
      <c r="C95" s="25">
        <v>18</v>
      </c>
      <c r="D95" s="19">
        <f>LOOKUP(C95,Hoja2!$B$8:$B$20,Hoja2!$E$8:$E$20)</f>
        <v>1.996</v>
      </c>
      <c r="E95" s="25">
        <v>3.63</v>
      </c>
      <c r="F95" s="25">
        <v>84</v>
      </c>
      <c r="G95" s="110">
        <f t="shared" si="3"/>
        <v>608.62031999999999</v>
      </c>
    </row>
    <row r="96" spans="3:7" ht="15.75" x14ac:dyDescent="0.2">
      <c r="C96" s="25">
        <v>4</v>
      </c>
      <c r="D96" s="19">
        <f>LOOKUP(C96,Hoja2!$B$8:$B$20,Hoja2!$E$8:$E$20)</f>
        <v>0.99399999999999999</v>
      </c>
      <c r="E96" s="25">
        <v>12.53</v>
      </c>
      <c r="F96" s="25">
        <v>10</v>
      </c>
      <c r="G96" s="110">
        <f t="shared" si="3"/>
        <v>124.54819999999999</v>
      </c>
    </row>
    <row r="97" spans="3:7" ht="15.75" x14ac:dyDescent="0.2">
      <c r="C97" s="25">
        <v>18</v>
      </c>
      <c r="D97" s="19">
        <f>LOOKUP(C97,Hoja2!$B$8:$B$20,Hoja2!$E$8:$E$20)</f>
        <v>1.996</v>
      </c>
      <c r="E97" s="25">
        <v>12.53</v>
      </c>
      <c r="F97" s="25">
        <v>2</v>
      </c>
      <c r="G97" s="110">
        <f t="shared" si="3"/>
        <v>50.019759999999998</v>
      </c>
    </row>
    <row r="98" spans="3:7" ht="15" x14ac:dyDescent="0.25">
      <c r="G98" s="111">
        <f>SUM(G53:G97)</f>
        <v>9286.1050299999952</v>
      </c>
    </row>
  </sheetData>
  <mergeCells count="2">
    <mergeCell ref="E7:I7"/>
    <mergeCell ref="A11:D11"/>
  </mergeCells>
  <pageMargins left="0.7" right="0.7" top="0.75" bottom="0.75" header="0.3" footer="0.3"/>
  <pageSetup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9C8B5-B049-4C82-8D7D-42031B718B3B}">
  <sheetPr>
    <tabColor rgb="FFFFFF00"/>
  </sheetPr>
  <dimension ref="A2:AD158"/>
  <sheetViews>
    <sheetView view="pageBreakPreview" topLeftCell="A28" zoomScale="85" zoomScaleNormal="85" zoomScaleSheetLayoutView="85" workbookViewId="0">
      <selection activeCell="D32" sqref="D32"/>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72</v>
      </c>
      <c r="F7" s="150"/>
      <c r="G7" s="150"/>
      <c r="H7" s="150"/>
      <c r="I7" s="150"/>
    </row>
    <row r="10" spans="1:9" ht="38.25" x14ac:dyDescent="0.2">
      <c r="A10" s="28" t="s">
        <v>26</v>
      </c>
      <c r="B10" s="32" t="s">
        <v>27</v>
      </c>
      <c r="C10" s="29" t="s">
        <v>28</v>
      </c>
      <c r="D10" s="37" t="s">
        <v>71</v>
      </c>
    </row>
    <row r="11" spans="1:9" x14ac:dyDescent="0.2">
      <c r="A11" s="151" t="s">
        <v>57</v>
      </c>
      <c r="B11" s="152"/>
      <c r="C11" s="152"/>
      <c r="D11" s="153"/>
    </row>
    <row r="12" spans="1:9" ht="63" x14ac:dyDescent="0.2">
      <c r="A12" s="31">
        <v>6021</v>
      </c>
      <c r="B12" s="30" t="s">
        <v>58</v>
      </c>
      <c r="C12" s="40" t="s">
        <v>29</v>
      </c>
      <c r="D12" s="43">
        <f>(2.3*E40*0.05)+(0.6*G40*0.05)+(1.8*H40*0.05)+(1*J40*0.05)+(3*D40*0.05)+(1.5*I40*0.05)</f>
        <v>15.317200000000001</v>
      </c>
    </row>
    <row r="13" spans="1:9" ht="47.25" x14ac:dyDescent="0.2">
      <c r="A13" s="31" t="s">
        <v>38</v>
      </c>
      <c r="B13" s="30" t="s">
        <v>59</v>
      </c>
      <c r="C13" s="31" t="s">
        <v>29</v>
      </c>
      <c r="D13" s="56">
        <f>SUM(D14:D17)</f>
        <v>279.90649999999999</v>
      </c>
      <c r="E13" s="47"/>
    </row>
    <row r="14" spans="1:9" ht="15.75" x14ac:dyDescent="0.2">
      <c r="A14" s="31"/>
      <c r="B14" s="55" t="s">
        <v>63</v>
      </c>
      <c r="C14" s="31"/>
      <c r="D14" s="45">
        <f>SUM(I53:AD53)</f>
        <v>258.25650000000002</v>
      </c>
      <c r="E14" s="47"/>
    </row>
    <row r="15" spans="1:9" ht="15.75" x14ac:dyDescent="0.2">
      <c r="A15" s="31"/>
      <c r="B15" s="55" t="s">
        <v>64</v>
      </c>
      <c r="C15" s="31"/>
      <c r="D15" s="45">
        <v>0</v>
      </c>
      <c r="E15" s="47"/>
    </row>
    <row r="16" spans="1:9" ht="15.75" x14ac:dyDescent="0.2">
      <c r="A16" s="31"/>
      <c r="B16" s="65" t="s">
        <v>66</v>
      </c>
      <c r="C16" s="31"/>
      <c r="D16" s="67">
        <v>5.65</v>
      </c>
      <c r="E16" s="47"/>
    </row>
    <row r="17" spans="1:7" ht="15.75" x14ac:dyDescent="0.2">
      <c r="A17" s="31"/>
      <c r="B17" s="65" t="s">
        <v>65</v>
      </c>
      <c r="C17" s="31"/>
      <c r="D17" s="67">
        <v>16</v>
      </c>
      <c r="E17" s="47"/>
    </row>
    <row r="18" spans="1:7" ht="126" x14ac:dyDescent="0.2">
      <c r="A18" s="31">
        <v>3708</v>
      </c>
      <c r="B18" s="53" t="s">
        <v>39</v>
      </c>
      <c r="C18" s="31" t="s">
        <v>30</v>
      </c>
      <c r="D18" s="68">
        <f>SUM(D19:D22)</f>
        <v>47492.017930000002</v>
      </c>
    </row>
    <row r="19" spans="1:7" ht="15.75" x14ac:dyDescent="0.2">
      <c r="A19" s="31"/>
      <c r="B19" s="65" t="s">
        <v>63</v>
      </c>
      <c r="C19" s="31"/>
      <c r="D19" s="69">
        <f>G158</f>
        <v>42831.017930000002</v>
      </c>
    </row>
    <row r="20" spans="1:7" ht="15.75" x14ac:dyDescent="0.2">
      <c r="A20" s="31"/>
      <c r="B20" s="65" t="s">
        <v>64</v>
      </c>
      <c r="C20" s="31"/>
      <c r="D20" s="69">
        <v>0</v>
      </c>
    </row>
    <row r="21" spans="1:7" ht="15.75" x14ac:dyDescent="0.2">
      <c r="A21" s="31"/>
      <c r="B21" s="65" t="s">
        <v>66</v>
      </c>
      <c r="C21" s="31"/>
      <c r="D21" s="69">
        <v>801</v>
      </c>
    </row>
    <row r="22" spans="1:7" ht="15.75" x14ac:dyDescent="0.2">
      <c r="A22" s="31"/>
      <c r="B22" s="65" t="s">
        <v>65</v>
      </c>
      <c r="C22" s="31"/>
      <c r="D22" s="69">
        <v>3860</v>
      </c>
    </row>
    <row r="23" spans="1:7" ht="31.5" x14ac:dyDescent="0.2">
      <c r="A23" s="34">
        <v>3464</v>
      </c>
      <c r="B23" s="53" t="s">
        <v>117</v>
      </c>
      <c r="C23" s="31" t="s">
        <v>29</v>
      </c>
      <c r="D23" s="67">
        <f>(1.6*1*G40)+(2.8*0.6*H40)+(2*1.2*J40)+(4*1.7*D40)+(3.3*1.5*E40)</f>
        <v>463.1026</v>
      </c>
    </row>
    <row r="24" spans="1:7" ht="84" customHeight="1" x14ac:dyDescent="0.2">
      <c r="A24" s="34">
        <v>3017</v>
      </c>
      <c r="B24" s="35" t="s">
        <v>33</v>
      </c>
      <c r="C24" s="31" t="s">
        <v>29</v>
      </c>
      <c r="D24" s="45">
        <f>D23</f>
        <v>463.1026</v>
      </c>
    </row>
    <row r="25" spans="1:7" ht="72.75" customHeight="1" x14ac:dyDescent="0.2">
      <c r="A25" s="100">
        <v>7364</v>
      </c>
      <c r="B25" s="101" t="s">
        <v>118</v>
      </c>
      <c r="C25" s="31" t="s">
        <v>29</v>
      </c>
      <c r="D25" s="45">
        <f>D23-D13</f>
        <v>183.1961</v>
      </c>
    </row>
    <row r="26" spans="1:7" ht="31.5" x14ac:dyDescent="0.2">
      <c r="A26" s="102"/>
      <c r="B26" s="53" t="s">
        <v>119</v>
      </c>
      <c r="C26" s="54" t="s">
        <v>34</v>
      </c>
      <c r="D26" s="67">
        <v>0</v>
      </c>
    </row>
    <row r="27" spans="1:7" ht="252" customHeight="1" x14ac:dyDescent="0.2">
      <c r="A27" s="52"/>
      <c r="B27" s="53" t="s">
        <v>104</v>
      </c>
      <c r="C27" s="84" t="s">
        <v>75</v>
      </c>
      <c r="D27" s="67">
        <v>119.5</v>
      </c>
      <c r="E27" s="2"/>
      <c r="F27" s="2"/>
      <c r="G27" s="2"/>
    </row>
    <row r="28" spans="1:7" ht="31.5" x14ac:dyDescent="0.2">
      <c r="A28" s="54">
        <v>4009</v>
      </c>
      <c r="B28" s="53" t="s">
        <v>74</v>
      </c>
      <c r="C28" s="54" t="s">
        <v>34</v>
      </c>
      <c r="D28" s="67">
        <v>249.3</v>
      </c>
      <c r="E28" s="2"/>
      <c r="F28" s="2"/>
      <c r="G28" s="2"/>
    </row>
    <row r="29" spans="1:7" ht="31.5" x14ac:dyDescent="0.2">
      <c r="A29" s="54">
        <v>5412</v>
      </c>
      <c r="B29" s="53" t="s">
        <v>230</v>
      </c>
      <c r="C29" s="83" t="s">
        <v>29</v>
      </c>
      <c r="D29" s="67">
        <v>43.5</v>
      </c>
      <c r="E29" s="2"/>
      <c r="F29" s="2"/>
      <c r="G29" s="2"/>
    </row>
    <row r="30" spans="1:7" ht="31.5" x14ac:dyDescent="0.2">
      <c r="A30" s="54">
        <v>3905</v>
      </c>
      <c r="B30" s="53" t="s">
        <v>73</v>
      </c>
      <c r="C30" s="54" t="s">
        <v>75</v>
      </c>
      <c r="D30" s="67">
        <v>119.5</v>
      </c>
      <c r="E30" s="2"/>
      <c r="F30" s="2"/>
      <c r="G30" s="2"/>
    </row>
    <row r="31" spans="1:7" ht="31.5" x14ac:dyDescent="0.2">
      <c r="A31" s="54">
        <v>3904</v>
      </c>
      <c r="B31" s="53" t="s">
        <v>229</v>
      </c>
      <c r="C31" s="84" t="s">
        <v>75</v>
      </c>
      <c r="D31" s="67">
        <f>45*0.3</f>
        <v>13.5</v>
      </c>
      <c r="E31" s="2"/>
      <c r="F31" s="2"/>
      <c r="G31" s="2"/>
    </row>
    <row r="32" spans="1:7" ht="15.75" x14ac:dyDescent="0.2">
      <c r="A32" s="50"/>
      <c r="B32" s="41"/>
      <c r="C32" s="42"/>
      <c r="D32" s="51"/>
      <c r="E32" s="2"/>
      <c r="F32" s="2"/>
      <c r="G32" s="2"/>
    </row>
    <row r="33" spans="1:10" ht="15.75" x14ac:dyDescent="0.2">
      <c r="A33" s="50"/>
      <c r="B33" s="41"/>
      <c r="C33" s="42"/>
      <c r="D33" s="51"/>
      <c r="E33" s="2"/>
      <c r="F33" s="2"/>
      <c r="G33" s="2"/>
    </row>
    <row r="34" spans="1:10" ht="15.75" x14ac:dyDescent="0.2">
      <c r="D34" s="19" t="s">
        <v>70</v>
      </c>
      <c r="E34" s="19" t="s">
        <v>43</v>
      </c>
      <c r="F34" s="19" t="s">
        <v>41</v>
      </c>
      <c r="G34" s="19" t="s">
        <v>42</v>
      </c>
      <c r="H34" s="25" t="s">
        <v>55</v>
      </c>
      <c r="I34" s="25" t="s">
        <v>56</v>
      </c>
      <c r="J34" s="25" t="s">
        <v>54</v>
      </c>
    </row>
    <row r="35" spans="1:10" ht="15.75" x14ac:dyDescent="0.2">
      <c r="D35" s="19"/>
      <c r="E35" s="19"/>
      <c r="F35" s="19"/>
      <c r="G35" s="19"/>
      <c r="H35" s="25">
        <f>5.3+5.01+5.3+5.3</f>
        <v>20.91</v>
      </c>
    </row>
    <row r="36" spans="1:10" ht="15.75" x14ac:dyDescent="0.2">
      <c r="D36" s="19"/>
      <c r="E36" s="19"/>
      <c r="F36" s="19"/>
      <c r="G36" s="19"/>
      <c r="H36" s="25">
        <f>6+5.51+7.71+4.81</f>
        <v>24.029999999999998</v>
      </c>
    </row>
    <row r="37" spans="1:10" ht="15.75" x14ac:dyDescent="0.2">
      <c r="D37" s="19"/>
      <c r="E37" s="19">
        <v>5.95</v>
      </c>
      <c r="F37" s="19"/>
      <c r="G37" s="19"/>
      <c r="H37" s="25">
        <f>4.8+6.33</f>
        <v>11.129999999999999</v>
      </c>
    </row>
    <row r="38" spans="1:10" ht="15.75" x14ac:dyDescent="0.2">
      <c r="D38" s="19">
        <f>2.4+2.7+4.05+1.98+0.72</f>
        <v>11.85</v>
      </c>
      <c r="E38" s="19">
        <v>5.21</v>
      </c>
      <c r="F38" s="19">
        <v>5.5</v>
      </c>
      <c r="G38" s="19"/>
      <c r="H38" s="25">
        <f>3.42+2.9+3.96+3.88+1.93</f>
        <v>16.09</v>
      </c>
    </row>
    <row r="39" spans="1:10" ht="15.75" x14ac:dyDescent="0.2">
      <c r="D39" s="19">
        <f>2.45+2.46+2.58+6+1.34+1.98+1.98+1</f>
        <v>19.79</v>
      </c>
      <c r="E39" s="19">
        <v>2.1</v>
      </c>
      <c r="F39" s="19">
        <v>4.1399999999999997</v>
      </c>
      <c r="G39" s="19"/>
      <c r="H39" s="25">
        <f>1.86+8.87+8.87+3.66</f>
        <v>23.259999999999998</v>
      </c>
      <c r="J39" s="25">
        <f>2.25+6.92</f>
        <v>9.17</v>
      </c>
    </row>
    <row r="40" spans="1:10" ht="28.5" x14ac:dyDescent="0.2">
      <c r="C40" s="38" t="s">
        <v>51</v>
      </c>
      <c r="D40" s="36">
        <f t="shared" ref="D40:E40" si="0">SUM(D35:D39)</f>
        <v>31.64</v>
      </c>
      <c r="E40" s="36">
        <f t="shared" si="0"/>
        <v>13.26</v>
      </c>
      <c r="F40" s="36">
        <f t="shared" ref="F40" si="1">SUM(F35:F39)</f>
        <v>9.64</v>
      </c>
      <c r="G40" s="36">
        <f t="shared" ref="G40" si="2">SUM(G35:G39)</f>
        <v>0</v>
      </c>
      <c r="H40" s="36">
        <f t="shared" ref="H40" si="3">SUM(H35:H39)</f>
        <v>95.419999999999987</v>
      </c>
      <c r="I40" s="36">
        <f t="shared" ref="I40" si="4">SUM(I35:I39)</f>
        <v>0</v>
      </c>
      <c r="J40" s="36">
        <f t="shared" ref="J40" si="5">SUM(J35:J39)</f>
        <v>9.17</v>
      </c>
    </row>
    <row r="42" spans="1:10" x14ac:dyDescent="0.2">
      <c r="C42" s="25" t="s">
        <v>52</v>
      </c>
      <c r="D42" s="39">
        <f>1.78*D40</f>
        <v>56.319200000000002</v>
      </c>
      <c r="E42" s="39">
        <f>1.08*E40</f>
        <v>14.3208</v>
      </c>
      <c r="F42" s="39">
        <v>0</v>
      </c>
      <c r="G42" s="39">
        <f>0.12*G40</f>
        <v>0</v>
      </c>
      <c r="H42" s="39">
        <f>0.63*H40</f>
        <v>60.114599999999996</v>
      </c>
      <c r="I42" s="39">
        <f>0.64*I40</f>
        <v>0</v>
      </c>
      <c r="J42" s="59">
        <f>0.3*J40</f>
        <v>2.7509999999999999</v>
      </c>
    </row>
    <row r="43" spans="1:10" x14ac:dyDescent="0.2">
      <c r="C43" s="25" t="s">
        <v>53</v>
      </c>
      <c r="D43" s="59">
        <f>1.5*D40</f>
        <v>47.46</v>
      </c>
      <c r="E43" s="59">
        <f>1.17*E40</f>
        <v>15.514199999999999</v>
      </c>
      <c r="F43" s="59">
        <f>4*0.3*F40</f>
        <v>11.568</v>
      </c>
      <c r="G43" s="59">
        <f>1.4*0.2*G40</f>
        <v>0</v>
      </c>
      <c r="H43" s="39">
        <f>2.65*0.3*H40</f>
        <v>75.858899999999977</v>
      </c>
      <c r="I43" s="25">
        <v>0</v>
      </c>
      <c r="J43" s="60">
        <f>0.9*0.2*J40</f>
        <v>1.6506000000000003</v>
      </c>
    </row>
    <row r="44" spans="1:10" ht="15" x14ac:dyDescent="0.25">
      <c r="D44" s="44">
        <f t="shared" ref="D44:J44" si="6">D42+D43</f>
        <v>103.7792</v>
      </c>
      <c r="E44" s="44">
        <f t="shared" si="6"/>
        <v>29.835000000000001</v>
      </c>
      <c r="F44" s="44">
        <f t="shared" si="6"/>
        <v>11.568</v>
      </c>
      <c r="G44" s="44">
        <f t="shared" si="6"/>
        <v>0</v>
      </c>
      <c r="H44" s="44">
        <f t="shared" si="6"/>
        <v>135.97349999999997</v>
      </c>
      <c r="I44" s="44">
        <f t="shared" si="6"/>
        <v>0</v>
      </c>
      <c r="J44" s="44">
        <f t="shared" si="6"/>
        <v>4.4016000000000002</v>
      </c>
    </row>
    <row r="47" spans="1:10" x14ac:dyDescent="0.2">
      <c r="C47" s="25" t="s">
        <v>60</v>
      </c>
      <c r="D47" s="47">
        <f>269*D40</f>
        <v>8511.16</v>
      </c>
      <c r="E47" s="47">
        <f>128*E40</f>
        <v>1697.28</v>
      </c>
      <c r="G47" s="47">
        <f>14*G40</f>
        <v>0</v>
      </c>
      <c r="H47" s="47">
        <f>55*H40</f>
        <v>5248.0999999999995</v>
      </c>
      <c r="J47" s="47">
        <f>43*J40</f>
        <v>394.31</v>
      </c>
    </row>
    <row r="48" spans="1:10" x14ac:dyDescent="0.2">
      <c r="C48" s="25" t="s">
        <v>61</v>
      </c>
      <c r="D48" s="47">
        <f>314*D40</f>
        <v>9934.9600000000009</v>
      </c>
      <c r="E48" s="47">
        <f>149*E40</f>
        <v>1975.74</v>
      </c>
      <c r="F48" s="47">
        <f>234*F40</f>
        <v>2255.7600000000002</v>
      </c>
      <c r="G48" s="47">
        <f>23*G40</f>
        <v>0</v>
      </c>
      <c r="H48" s="47">
        <f>132*H40</f>
        <v>12595.439999999999</v>
      </c>
      <c r="I48" s="47">
        <f>47*I40</f>
        <v>0</v>
      </c>
      <c r="J48" s="47">
        <f>38*J40</f>
        <v>348.46</v>
      </c>
    </row>
    <row r="49" spans="3:30" ht="15" x14ac:dyDescent="0.25">
      <c r="D49" s="48">
        <f t="shared" ref="D49:J49" si="7">SUM(D47:D48)</f>
        <v>18446.120000000003</v>
      </c>
      <c r="E49" s="48">
        <f t="shared" si="7"/>
        <v>3673.02</v>
      </c>
      <c r="F49" s="48">
        <f t="shared" si="7"/>
        <v>2255.7600000000002</v>
      </c>
      <c r="G49" s="48">
        <f t="shared" si="7"/>
        <v>0</v>
      </c>
      <c r="H49" s="48">
        <f t="shared" si="7"/>
        <v>17843.539999999997</v>
      </c>
      <c r="I49" s="48">
        <f t="shared" si="7"/>
        <v>0</v>
      </c>
      <c r="J49" s="48">
        <f t="shared" si="7"/>
        <v>742.77</v>
      </c>
    </row>
    <row r="52" spans="3:30" ht="15.75" x14ac:dyDescent="0.2">
      <c r="C52" s="25" t="s">
        <v>122</v>
      </c>
      <c r="D52" s="19" t="s">
        <v>145</v>
      </c>
      <c r="E52" s="19" t="s">
        <v>146</v>
      </c>
      <c r="F52" s="19" t="s">
        <v>147</v>
      </c>
      <c r="G52" s="19" t="s">
        <v>148</v>
      </c>
      <c r="I52" s="25" t="s">
        <v>161</v>
      </c>
      <c r="J52" s="25" t="s">
        <v>164</v>
      </c>
      <c r="K52" s="25" t="s">
        <v>166</v>
      </c>
      <c r="L52" s="25" t="s">
        <v>173</v>
      </c>
      <c r="M52" s="22" t="s">
        <v>171</v>
      </c>
      <c r="N52" s="22" t="s">
        <v>70</v>
      </c>
      <c r="O52" s="22" t="s">
        <v>175</v>
      </c>
      <c r="P52" s="25" t="s">
        <v>174</v>
      </c>
      <c r="Q52" s="22" t="s">
        <v>176</v>
      </c>
      <c r="R52" s="25" t="s">
        <v>177</v>
      </c>
      <c r="S52" s="22" t="s">
        <v>178</v>
      </c>
      <c r="T52" s="25" t="s">
        <v>179</v>
      </c>
      <c r="U52" s="25" t="s">
        <v>180</v>
      </c>
      <c r="V52" s="22" t="s">
        <v>181</v>
      </c>
      <c r="W52" s="25" t="s">
        <v>182</v>
      </c>
      <c r="X52" s="25" t="s">
        <v>183</v>
      </c>
      <c r="Y52" s="25" t="s">
        <v>184</v>
      </c>
      <c r="Z52" s="25" t="s">
        <v>185</v>
      </c>
      <c r="AA52" s="25" t="s">
        <v>187</v>
      </c>
      <c r="AB52" s="25" t="s">
        <v>186</v>
      </c>
      <c r="AC52" s="25" t="s">
        <v>188</v>
      </c>
      <c r="AD52" s="25" t="s">
        <v>189</v>
      </c>
    </row>
    <row r="53" spans="3:30" ht="15.75" x14ac:dyDescent="0.2">
      <c r="C53" s="25">
        <v>6</v>
      </c>
      <c r="D53" s="19">
        <f>LOOKUP(C53,Hoja2!$B$8:$B$20,Hoja2!$E$8:$E$20)</f>
        <v>2.2349999999999999</v>
      </c>
      <c r="E53" s="19">
        <v>5.75</v>
      </c>
      <c r="F53" s="19">
        <v>43</v>
      </c>
      <c r="G53" s="110">
        <f>F53*E53*D53</f>
        <v>552.60374999999999</v>
      </c>
      <c r="I53" s="25">
        <f>(16.09*0.3)+(6.41*2.5*0.4)</f>
        <v>11.237</v>
      </c>
      <c r="J53" s="25">
        <f>(11.25*0.3)+(4.8*2.5*0.4)</f>
        <v>8.1750000000000007</v>
      </c>
      <c r="K53" s="25">
        <f>(8.61*0.3)+(4.1*2.5*0.4)</f>
        <v>6.6829999999999998</v>
      </c>
      <c r="L53" s="25">
        <f>(10.13*0.3)+(5.4*2.5*0.4)</f>
        <v>8.4390000000000001</v>
      </c>
      <c r="M53" s="22">
        <f>0.41*(2.3+6.92)</f>
        <v>3.7801999999999993</v>
      </c>
      <c r="N53" s="22">
        <f>2.87*(2.22+2.75+4.02+2.04+2.43)</f>
        <v>38.630200000000002</v>
      </c>
      <c r="O53" s="22">
        <f>4.56*(2.94+1.42)*0.25</f>
        <v>4.9703999999999988</v>
      </c>
      <c r="P53" s="25">
        <f>1.75*(3.54+1.75+4.06+2.36+2.15)</f>
        <v>24.254999999999999</v>
      </c>
      <c r="Q53" s="22">
        <f>4.56*(4.03)*0.25</f>
        <v>4.5941999999999998</v>
      </c>
      <c r="R53" s="25">
        <f>1.75*(5.36)</f>
        <v>9.3800000000000008</v>
      </c>
      <c r="S53" s="22">
        <f>2.3*(0.75+2.02+2.03+0.75)</f>
        <v>12.764999999999999</v>
      </c>
      <c r="T53" s="25">
        <f>1.75*(4.66)</f>
        <v>8.1550000000000011</v>
      </c>
      <c r="U53" s="22">
        <f>1.75*(6.33)</f>
        <v>11.077500000000001</v>
      </c>
      <c r="V53" s="22">
        <f>2.3*(8.73+6.55)</f>
        <v>35.143999999999998</v>
      </c>
      <c r="W53" s="22">
        <f>(13.22*0.3)+(6*0.4*2.5)</f>
        <v>9.9660000000000011</v>
      </c>
      <c r="X53" s="22">
        <f>1.75*(3.54+2.5)</f>
        <v>10.57</v>
      </c>
      <c r="Y53" s="22">
        <f>1.75*(5)</f>
        <v>8.75</v>
      </c>
      <c r="Z53" s="22">
        <f>1.75*(4.33)</f>
        <v>7.5775000000000006</v>
      </c>
      <c r="AA53" s="22">
        <f>1.75*(3.37)</f>
        <v>5.8975</v>
      </c>
      <c r="AB53" s="22">
        <f>1.75*(7.6)</f>
        <v>13.299999999999999</v>
      </c>
      <c r="AC53" s="22">
        <f>1.75*(7.55)</f>
        <v>13.2125</v>
      </c>
      <c r="AD53" s="22">
        <f>1.75*(0.97)</f>
        <v>1.6975</v>
      </c>
    </row>
    <row r="54" spans="3:30" ht="15.75" x14ac:dyDescent="0.2">
      <c r="C54" s="25">
        <v>6</v>
      </c>
      <c r="D54" s="19">
        <f>LOOKUP(C54,Hoja2!$B$8:$B$20,Hoja2!$E$8:$E$20)</f>
        <v>2.2349999999999999</v>
      </c>
      <c r="E54" s="25">
        <v>6.35</v>
      </c>
      <c r="F54" s="25">
        <v>28</v>
      </c>
      <c r="G54" s="110">
        <f t="shared" ref="G54:G117" si="8">F54*E54*D54</f>
        <v>397.38299999999992</v>
      </c>
    </row>
    <row r="55" spans="3:30" ht="15.75" x14ac:dyDescent="0.2">
      <c r="C55" s="25">
        <v>6</v>
      </c>
      <c r="D55" s="19">
        <f>LOOKUP(C55,Hoja2!$B$8:$B$20,Hoja2!$E$8:$E$20)</f>
        <v>2.2349999999999999</v>
      </c>
      <c r="E55" s="25">
        <v>6.37</v>
      </c>
      <c r="F55" s="25">
        <v>43</v>
      </c>
      <c r="G55" s="110">
        <f t="shared" si="8"/>
        <v>612.18885</v>
      </c>
    </row>
    <row r="56" spans="3:30" ht="15.75" x14ac:dyDescent="0.2">
      <c r="C56" s="25">
        <v>5</v>
      </c>
      <c r="D56" s="19">
        <f>LOOKUP(C56,Hoja2!$B$8:$B$20,Hoja2!$E$8:$E$20)</f>
        <v>1.552</v>
      </c>
      <c r="E56" s="25">
        <v>6.35</v>
      </c>
      <c r="F56" s="25">
        <v>18</v>
      </c>
      <c r="G56" s="110">
        <f t="shared" si="8"/>
        <v>177.39359999999999</v>
      </c>
    </row>
    <row r="57" spans="3:30" ht="15.75" x14ac:dyDescent="0.2">
      <c r="C57" s="25">
        <v>6</v>
      </c>
      <c r="D57" s="19">
        <f>LOOKUP(C57,Hoja2!$B$8:$B$20,Hoja2!$E$8:$E$20)</f>
        <v>2.2349999999999999</v>
      </c>
      <c r="E57" s="25">
        <v>6.35</v>
      </c>
      <c r="F57" s="25">
        <v>2</v>
      </c>
      <c r="G57" s="110">
        <f t="shared" si="8"/>
        <v>28.384499999999996</v>
      </c>
    </row>
    <row r="58" spans="3:30" ht="15.75" x14ac:dyDescent="0.2">
      <c r="C58" s="25">
        <v>6</v>
      </c>
      <c r="D58" s="19">
        <f>LOOKUP(C58,Hoja2!$B$8:$B$20,Hoja2!$E$8:$E$20)</f>
        <v>2.2349999999999999</v>
      </c>
      <c r="E58" s="25">
        <v>5.75</v>
      </c>
      <c r="F58" s="25">
        <v>32</v>
      </c>
      <c r="G58" s="110">
        <f t="shared" si="8"/>
        <v>411.23999999999995</v>
      </c>
    </row>
    <row r="59" spans="3:30" ht="15.75" x14ac:dyDescent="0.2">
      <c r="C59" s="25">
        <v>6</v>
      </c>
      <c r="D59" s="19">
        <f>LOOKUP(C59,Hoja2!$B$8:$B$20,Hoja2!$E$8:$E$20)</f>
        <v>2.2349999999999999</v>
      </c>
      <c r="E59" s="25">
        <v>4.72</v>
      </c>
      <c r="F59" s="25">
        <v>28</v>
      </c>
      <c r="G59" s="110">
        <f t="shared" si="8"/>
        <v>295.37759999999997</v>
      </c>
    </row>
    <row r="60" spans="3:30" ht="15.75" x14ac:dyDescent="0.2">
      <c r="C60" s="25">
        <v>6</v>
      </c>
      <c r="D60" s="19">
        <f>LOOKUP(C60,Hoja2!$B$8:$B$20,Hoja2!$E$8:$E$20)</f>
        <v>2.2349999999999999</v>
      </c>
      <c r="E60" s="25">
        <f>(7.97+3.55)/2</f>
        <v>5.76</v>
      </c>
      <c r="F60" s="25">
        <v>64</v>
      </c>
      <c r="G60" s="110">
        <f t="shared" si="8"/>
        <v>823.91039999999987</v>
      </c>
    </row>
    <row r="61" spans="3:30" ht="15.75" x14ac:dyDescent="0.2">
      <c r="C61" s="25">
        <v>5</v>
      </c>
      <c r="D61" s="19">
        <f>LOOKUP(C61,Hoja2!$B$8:$B$20,Hoja2!$E$8:$E$20)</f>
        <v>1.552</v>
      </c>
      <c r="E61" s="25">
        <v>4.72</v>
      </c>
      <c r="F61" s="25">
        <v>32</v>
      </c>
      <c r="G61" s="110">
        <f t="shared" si="8"/>
        <v>234.41407999999998</v>
      </c>
    </row>
    <row r="62" spans="3:30" ht="15.75" x14ac:dyDescent="0.2">
      <c r="C62" s="25">
        <v>6</v>
      </c>
      <c r="D62" s="19">
        <f>LOOKUP(C62,Hoja2!$B$8:$B$20,Hoja2!$E$8:$E$20)</f>
        <v>2.2349999999999999</v>
      </c>
      <c r="E62" s="25">
        <v>5.29</v>
      </c>
      <c r="F62" s="25">
        <v>4</v>
      </c>
      <c r="G62" s="110">
        <f t="shared" si="8"/>
        <v>47.2926</v>
      </c>
    </row>
    <row r="63" spans="3:30" ht="15.75" x14ac:dyDescent="0.2">
      <c r="C63" s="25">
        <v>6</v>
      </c>
      <c r="D63" s="19">
        <f>LOOKUP(C63,Hoja2!$B$8:$B$20,Hoja2!$E$8:$E$20)</f>
        <v>2.2349999999999999</v>
      </c>
      <c r="E63" s="25">
        <v>5.75</v>
      </c>
      <c r="F63" s="25">
        <v>27</v>
      </c>
      <c r="G63" s="110">
        <f t="shared" si="8"/>
        <v>346.98374999999999</v>
      </c>
    </row>
    <row r="64" spans="3:30" ht="15.75" x14ac:dyDescent="0.2">
      <c r="C64" s="25">
        <v>6</v>
      </c>
      <c r="D64" s="19">
        <f>LOOKUP(C64,Hoja2!$B$8:$B$20,Hoja2!$E$8:$E$20)</f>
        <v>2.2349999999999999</v>
      </c>
      <c r="E64" s="25">
        <v>4.04</v>
      </c>
      <c r="F64" s="25">
        <v>28</v>
      </c>
      <c r="G64" s="110">
        <f t="shared" si="8"/>
        <v>252.82319999999999</v>
      </c>
    </row>
    <row r="65" spans="3:7" ht="15.75" x14ac:dyDescent="0.2">
      <c r="C65" s="25">
        <v>6</v>
      </c>
      <c r="D65" s="19">
        <f>LOOKUP(C65,Hoja2!$B$8:$B$20,Hoja2!$E$8:$E$20)</f>
        <v>2.2349999999999999</v>
      </c>
      <c r="E65" s="25">
        <v>5.55</v>
      </c>
      <c r="F65" s="25">
        <v>27</v>
      </c>
      <c r="G65" s="110">
        <f t="shared" si="8"/>
        <v>334.91474999999997</v>
      </c>
    </row>
    <row r="66" spans="3:7" ht="15.75" x14ac:dyDescent="0.2">
      <c r="C66" s="25">
        <v>5</v>
      </c>
      <c r="D66" s="19">
        <f>LOOKUP(C66,Hoja2!$B$8:$B$20,Hoja2!$E$8:$E$20)</f>
        <v>1.552</v>
      </c>
      <c r="E66" s="25">
        <v>4.04</v>
      </c>
      <c r="F66" s="25">
        <v>16</v>
      </c>
      <c r="G66" s="110">
        <f t="shared" si="8"/>
        <v>100.32128</v>
      </c>
    </row>
    <row r="67" spans="3:7" ht="15.75" x14ac:dyDescent="0.2">
      <c r="C67" s="25">
        <v>6</v>
      </c>
      <c r="D67" s="19">
        <f>LOOKUP(C67,Hoja2!$B$8:$B$20,Hoja2!$E$8:$E$20)</f>
        <v>2.2349999999999999</v>
      </c>
      <c r="E67" s="25">
        <v>4.04</v>
      </c>
      <c r="F67" s="25">
        <v>2</v>
      </c>
      <c r="G67" s="110">
        <f t="shared" si="8"/>
        <v>18.058799999999998</v>
      </c>
    </row>
    <row r="68" spans="3:7" ht="15.75" x14ac:dyDescent="0.2">
      <c r="C68" s="25">
        <v>6</v>
      </c>
      <c r="D68" s="19">
        <f>LOOKUP(C68,Hoja2!$B$8:$B$20,Hoja2!$E$8:$E$20)</f>
        <v>2.2349999999999999</v>
      </c>
      <c r="E68" s="25">
        <v>5.75</v>
      </c>
      <c r="F68" s="25">
        <v>36</v>
      </c>
      <c r="G68" s="110">
        <f t="shared" si="8"/>
        <v>462.64499999999998</v>
      </c>
    </row>
    <row r="69" spans="3:7" ht="15.75" x14ac:dyDescent="0.2">
      <c r="C69" s="25">
        <v>6</v>
      </c>
      <c r="D69" s="19">
        <f>LOOKUP(C69,Hoja2!$B$8:$B$20,Hoja2!$E$8:$E$20)</f>
        <v>2.2349999999999999</v>
      </c>
      <c r="E69" s="25">
        <v>5.34</v>
      </c>
      <c r="F69" s="25">
        <v>28</v>
      </c>
      <c r="G69" s="110">
        <f t="shared" si="8"/>
        <v>334.17719999999991</v>
      </c>
    </row>
    <row r="70" spans="3:7" ht="15.75" x14ac:dyDescent="0.2">
      <c r="C70" s="25">
        <v>6</v>
      </c>
      <c r="D70" s="19">
        <f>LOOKUP(C70,Hoja2!$B$8:$B$20,Hoja2!$E$8:$E$20)</f>
        <v>2.2349999999999999</v>
      </c>
      <c r="E70" s="25">
        <f>(7.55+2.55)/2</f>
        <v>5.05</v>
      </c>
      <c r="F70" s="25">
        <v>72</v>
      </c>
      <c r="G70" s="110">
        <f t="shared" si="8"/>
        <v>812.64599999999984</v>
      </c>
    </row>
    <row r="71" spans="3:7" ht="15.75" x14ac:dyDescent="0.2">
      <c r="C71" s="25">
        <v>5</v>
      </c>
      <c r="D71" s="19">
        <f>LOOKUP(C71,Hoja2!$B$8:$B$20,Hoja2!$E$8:$E$20)</f>
        <v>1.552</v>
      </c>
      <c r="E71" s="25">
        <v>5.34</v>
      </c>
      <c r="F71" s="25">
        <v>24</v>
      </c>
      <c r="G71" s="110">
        <f t="shared" si="8"/>
        <v>198.90432000000001</v>
      </c>
    </row>
    <row r="72" spans="3:7" ht="15.75" x14ac:dyDescent="0.2">
      <c r="C72" s="25">
        <v>6</v>
      </c>
      <c r="D72" s="19">
        <f>LOOKUP(C72,Hoja2!$B$8:$B$20,Hoja2!$E$8:$E$20)</f>
        <v>2.2349999999999999</v>
      </c>
      <c r="E72" s="25">
        <v>6</v>
      </c>
      <c r="F72" s="25">
        <v>4</v>
      </c>
      <c r="G72" s="110">
        <f t="shared" si="8"/>
        <v>53.64</v>
      </c>
    </row>
    <row r="73" spans="3:7" ht="15.75" x14ac:dyDescent="0.2">
      <c r="C73" s="25">
        <v>5</v>
      </c>
      <c r="D73" s="19">
        <f>LOOKUP(C73,Hoja2!$B$8:$B$20,Hoja2!$E$8:$E$20)</f>
        <v>1.552</v>
      </c>
      <c r="E73" s="25">
        <v>2.65</v>
      </c>
      <c r="F73" s="25">
        <v>46</v>
      </c>
      <c r="G73" s="110">
        <f t="shared" si="8"/>
        <v>189.18879999999999</v>
      </c>
    </row>
    <row r="74" spans="3:7" ht="15.75" x14ac:dyDescent="0.2">
      <c r="C74" s="25">
        <v>5</v>
      </c>
      <c r="D74" s="19">
        <f>LOOKUP(C74,Hoja2!$B$8:$B$20,Hoja2!$E$8:$E$20)</f>
        <v>1.552</v>
      </c>
      <c r="E74" s="25">
        <v>9.16</v>
      </c>
      <c r="F74" s="25">
        <v>12</v>
      </c>
      <c r="G74" s="110">
        <f t="shared" si="8"/>
        <v>170.59584000000001</v>
      </c>
    </row>
    <row r="75" spans="3:7" ht="15.75" x14ac:dyDescent="0.2">
      <c r="C75" s="25">
        <v>5</v>
      </c>
      <c r="D75" s="19">
        <f>LOOKUP(C75,Hoja2!$B$8:$B$20,Hoja2!$E$8:$E$20)</f>
        <v>1.552</v>
      </c>
      <c r="E75" s="25">
        <v>2.25</v>
      </c>
      <c r="F75" s="25">
        <v>46</v>
      </c>
      <c r="G75" s="110">
        <f t="shared" si="8"/>
        <v>160.63200000000001</v>
      </c>
    </row>
    <row r="76" spans="3:7" ht="15.75" x14ac:dyDescent="0.2">
      <c r="C76" s="25">
        <v>5</v>
      </c>
      <c r="D76" s="19">
        <f>LOOKUP(C76,Hoja2!$B$8:$B$20,Hoja2!$E$8:$E$20)</f>
        <v>1.552</v>
      </c>
      <c r="E76" s="25">
        <v>9.16</v>
      </c>
      <c r="F76" s="25">
        <v>6</v>
      </c>
      <c r="G76" s="110">
        <f t="shared" si="8"/>
        <v>85.297920000000005</v>
      </c>
    </row>
    <row r="77" spans="3:7" ht="15.75" x14ac:dyDescent="0.2">
      <c r="C77" s="25">
        <v>6</v>
      </c>
      <c r="D77" s="19">
        <f>LOOKUP(C77,Hoja2!$B$8:$B$20,Hoja2!$E$8:$E$20)</f>
        <v>2.2349999999999999</v>
      </c>
      <c r="E77" s="25">
        <v>9.81</v>
      </c>
      <c r="F77" s="25">
        <v>36</v>
      </c>
      <c r="G77" s="110">
        <f t="shared" si="8"/>
        <v>789.31259999999997</v>
      </c>
    </row>
    <row r="78" spans="3:7" ht="15.75" x14ac:dyDescent="0.2">
      <c r="C78" s="25">
        <v>6</v>
      </c>
      <c r="D78" s="19">
        <f>LOOKUP(C78,Hoja2!$B$8:$B$20,Hoja2!$E$8:$E$20)</f>
        <v>2.2349999999999999</v>
      </c>
      <c r="E78" s="25">
        <v>4.3</v>
      </c>
      <c r="F78" s="25">
        <v>2</v>
      </c>
      <c r="G78" s="110">
        <f t="shared" si="8"/>
        <v>19.220999999999997</v>
      </c>
    </row>
    <row r="79" spans="3:7" ht="15.75" x14ac:dyDescent="0.2">
      <c r="C79" s="25">
        <v>4</v>
      </c>
      <c r="D79" s="19">
        <f>LOOKUP(C79,Hoja2!$B$8:$B$20,Hoja2!$E$8:$E$20)</f>
        <v>0.99399999999999999</v>
      </c>
      <c r="E79" s="25">
        <v>4.3</v>
      </c>
      <c r="F79" s="25">
        <v>36</v>
      </c>
      <c r="G79" s="110">
        <f t="shared" si="8"/>
        <v>153.87119999999999</v>
      </c>
    </row>
    <row r="80" spans="3:7" ht="15.75" x14ac:dyDescent="0.2">
      <c r="C80" s="25">
        <v>6</v>
      </c>
      <c r="D80" s="19">
        <f>LOOKUP(C80,Hoja2!$B$8:$B$20,Hoja2!$E$8:$E$20)</f>
        <v>2.2349999999999999</v>
      </c>
      <c r="E80" s="25">
        <v>5.75</v>
      </c>
      <c r="F80" s="25">
        <v>93</v>
      </c>
      <c r="G80" s="110">
        <f t="shared" si="8"/>
        <v>1195.16625</v>
      </c>
    </row>
    <row r="81" spans="3:7" ht="15.75" x14ac:dyDescent="0.2">
      <c r="C81" s="25">
        <v>6</v>
      </c>
      <c r="D81" s="19">
        <f>LOOKUP(C81,Hoja2!$B$8:$B$20,Hoja2!$E$8:$E$20)</f>
        <v>2.2349999999999999</v>
      </c>
      <c r="E81" s="25">
        <v>13.8</v>
      </c>
      <c r="F81" s="25">
        <v>28</v>
      </c>
      <c r="G81" s="110">
        <f t="shared" si="8"/>
        <v>863.60400000000004</v>
      </c>
    </row>
    <row r="82" spans="3:7" ht="15.75" x14ac:dyDescent="0.2">
      <c r="C82" s="25">
        <v>6</v>
      </c>
      <c r="D82" s="19">
        <f>LOOKUP(C82,Hoja2!$B$8:$B$20,Hoja2!$E$8:$E$20)</f>
        <v>2.2349999999999999</v>
      </c>
      <c r="E82" s="25">
        <v>6.35</v>
      </c>
      <c r="F82" s="25">
        <v>93</v>
      </c>
      <c r="G82" s="110">
        <f t="shared" si="8"/>
        <v>1319.8792499999997</v>
      </c>
    </row>
    <row r="83" spans="3:7" ht="15.75" x14ac:dyDescent="0.2">
      <c r="C83" s="25">
        <v>5</v>
      </c>
      <c r="D83" s="19">
        <f>LOOKUP(C83,Hoja2!$B$8:$B$20,Hoja2!$E$8:$E$20)</f>
        <v>1.552</v>
      </c>
      <c r="E83" s="25">
        <v>13.8</v>
      </c>
      <c r="F83" s="25">
        <v>18</v>
      </c>
      <c r="G83" s="110">
        <f t="shared" si="8"/>
        <v>385.51680000000005</v>
      </c>
    </row>
    <row r="84" spans="3:7" ht="15.75" x14ac:dyDescent="0.2">
      <c r="C84" s="25">
        <v>6</v>
      </c>
      <c r="D84" s="19">
        <f>LOOKUP(C84,Hoja2!$B$8:$B$20,Hoja2!$E$8:$E$20)</f>
        <v>2.2349999999999999</v>
      </c>
      <c r="E84" s="25">
        <v>13.8</v>
      </c>
      <c r="F84" s="25">
        <v>2</v>
      </c>
      <c r="G84" s="110">
        <f t="shared" si="8"/>
        <v>61.686</v>
      </c>
    </row>
    <row r="85" spans="3:7" ht="15.75" x14ac:dyDescent="0.2">
      <c r="C85" s="25">
        <v>6</v>
      </c>
      <c r="D85" s="19">
        <f>LOOKUP(C85,Hoja2!$B$8:$B$20,Hoja2!$E$8:$E$20)</f>
        <v>2.2349999999999999</v>
      </c>
      <c r="E85" s="25">
        <v>9.81</v>
      </c>
      <c r="F85" s="25">
        <v>34</v>
      </c>
      <c r="G85" s="110">
        <f t="shared" si="8"/>
        <v>745.46190000000001</v>
      </c>
    </row>
    <row r="86" spans="3:7" ht="15.75" x14ac:dyDescent="0.2">
      <c r="C86" s="25">
        <v>6</v>
      </c>
      <c r="D86" s="19">
        <f>LOOKUP(C86,Hoja2!$B$8:$B$20,Hoja2!$E$8:$E$20)</f>
        <v>2.2349999999999999</v>
      </c>
      <c r="E86" s="25">
        <v>3.97</v>
      </c>
      <c r="F86" s="25">
        <v>2</v>
      </c>
      <c r="G86" s="110">
        <f t="shared" si="8"/>
        <v>17.745899999999999</v>
      </c>
    </row>
    <row r="87" spans="3:7" ht="15.75" x14ac:dyDescent="0.2">
      <c r="C87" s="25">
        <v>4</v>
      </c>
      <c r="D87" s="19">
        <f>LOOKUP(C87,Hoja2!$B$8:$B$20,Hoja2!$E$8:$E$20)</f>
        <v>0.99399999999999999</v>
      </c>
      <c r="E87" s="25">
        <v>3.97</v>
      </c>
      <c r="F87" s="25">
        <v>36</v>
      </c>
      <c r="G87" s="110">
        <f t="shared" si="8"/>
        <v>142.06248000000002</v>
      </c>
    </row>
    <row r="88" spans="3:7" ht="15.75" x14ac:dyDescent="0.2">
      <c r="C88" s="25">
        <v>6</v>
      </c>
      <c r="D88" s="19">
        <f>LOOKUP(C88,Hoja2!$B$8:$B$20,Hoja2!$E$8:$E$20)</f>
        <v>2.2349999999999999</v>
      </c>
      <c r="E88" s="25">
        <v>7.55</v>
      </c>
      <c r="F88" s="25">
        <v>90</v>
      </c>
      <c r="G88" s="110">
        <f t="shared" si="8"/>
        <v>1518.6824999999999</v>
      </c>
    </row>
    <row r="89" spans="3:7" ht="15.75" x14ac:dyDescent="0.2">
      <c r="C89" s="25">
        <v>6</v>
      </c>
      <c r="D89" s="19">
        <f>LOOKUP(C89,Hoja2!$B$8:$B$20,Hoja2!$E$8:$E$20)</f>
        <v>2.2349999999999999</v>
      </c>
      <c r="E89" s="25">
        <v>13.4</v>
      </c>
      <c r="F89" s="25">
        <v>34</v>
      </c>
      <c r="G89" s="110">
        <f t="shared" si="8"/>
        <v>1018.266</v>
      </c>
    </row>
    <row r="90" spans="3:7" ht="15.75" x14ac:dyDescent="0.2">
      <c r="C90" s="25">
        <v>6</v>
      </c>
      <c r="D90" s="19">
        <f>LOOKUP(C90,Hoja2!$B$8:$B$20,Hoja2!$E$8:$E$20)</f>
        <v>2.2349999999999999</v>
      </c>
      <c r="E90" s="25">
        <v>9.82</v>
      </c>
      <c r="F90" s="25">
        <v>135</v>
      </c>
      <c r="G90" s="110">
        <f t="shared" si="8"/>
        <v>2962.9395</v>
      </c>
    </row>
    <row r="91" spans="3:7" ht="15.75" x14ac:dyDescent="0.2">
      <c r="C91" s="25">
        <v>5</v>
      </c>
      <c r="D91" s="19">
        <f>LOOKUP(C91,Hoja2!$B$8:$B$20,Hoja2!$E$8:$E$20)</f>
        <v>1.552</v>
      </c>
      <c r="E91" s="25">
        <v>13.4</v>
      </c>
      <c r="F91" s="25">
        <v>28</v>
      </c>
      <c r="G91" s="110">
        <f t="shared" si="8"/>
        <v>582.31039999999996</v>
      </c>
    </row>
    <row r="92" spans="3:7" ht="15.75" x14ac:dyDescent="0.2">
      <c r="C92" s="25">
        <v>6</v>
      </c>
      <c r="D92" s="19">
        <f>LOOKUP(C92,Hoja2!$B$8:$B$20,Hoja2!$E$8:$E$20)</f>
        <v>2.2349999999999999</v>
      </c>
      <c r="E92" s="25">
        <v>13.4</v>
      </c>
      <c r="F92" s="25">
        <v>2</v>
      </c>
      <c r="G92" s="110">
        <f t="shared" si="8"/>
        <v>59.897999999999996</v>
      </c>
    </row>
    <row r="93" spans="3:7" ht="15.75" x14ac:dyDescent="0.2">
      <c r="C93" s="25">
        <v>6</v>
      </c>
      <c r="D93" s="19">
        <f>LOOKUP(C93,Hoja2!$B$8:$B$20,Hoja2!$E$8:$E$20)</f>
        <v>2.2349999999999999</v>
      </c>
      <c r="E93" s="25">
        <v>5.75</v>
      </c>
      <c r="F93" s="25">
        <v>36</v>
      </c>
      <c r="G93" s="110">
        <f t="shared" si="8"/>
        <v>462.64499999999998</v>
      </c>
    </row>
    <row r="94" spans="3:7" ht="15.75" x14ac:dyDescent="0.2">
      <c r="C94" s="25">
        <v>6</v>
      </c>
      <c r="D94" s="19">
        <f>LOOKUP(C94,Hoja2!$B$8:$B$20,Hoja2!$E$8:$E$20)</f>
        <v>2.2349999999999999</v>
      </c>
      <c r="E94" s="25">
        <v>5.3</v>
      </c>
      <c r="F94" s="25">
        <v>28</v>
      </c>
      <c r="G94" s="110">
        <f t="shared" si="8"/>
        <v>331.67399999999998</v>
      </c>
    </row>
    <row r="95" spans="3:7" ht="15.75" x14ac:dyDescent="0.2">
      <c r="C95" s="25">
        <v>6</v>
      </c>
      <c r="D95" s="19">
        <f>LOOKUP(C95,Hoja2!$B$8:$B$20,Hoja2!$E$8:$E$20)</f>
        <v>2.2349999999999999</v>
      </c>
      <c r="E95" s="25">
        <v>7.45</v>
      </c>
      <c r="F95" s="25">
        <v>36</v>
      </c>
      <c r="G95" s="110">
        <f t="shared" si="8"/>
        <v>599.42699999999991</v>
      </c>
    </row>
    <row r="96" spans="3:7" ht="15.75" x14ac:dyDescent="0.2">
      <c r="C96" s="25">
        <v>5</v>
      </c>
      <c r="D96" s="19">
        <f>LOOKUP(C96,Hoja2!$B$8:$B$20,Hoja2!$E$8:$E$20)</f>
        <v>1.552</v>
      </c>
      <c r="E96" s="25">
        <v>5.3</v>
      </c>
      <c r="F96" s="25">
        <v>22</v>
      </c>
      <c r="G96" s="110">
        <f t="shared" si="8"/>
        <v>180.9632</v>
      </c>
    </row>
    <row r="97" spans="3:7" ht="15.75" x14ac:dyDescent="0.2">
      <c r="C97" s="25">
        <v>6</v>
      </c>
      <c r="D97" s="19">
        <f>LOOKUP(C97,Hoja2!$B$8:$B$20,Hoja2!$E$8:$E$20)</f>
        <v>2.2349999999999999</v>
      </c>
      <c r="E97" s="25">
        <v>5.3</v>
      </c>
      <c r="F97" s="25">
        <v>2</v>
      </c>
      <c r="G97" s="110">
        <f t="shared" si="8"/>
        <v>23.690999999999999</v>
      </c>
    </row>
    <row r="98" spans="3:7" ht="15.75" x14ac:dyDescent="0.2">
      <c r="C98" s="25">
        <v>6</v>
      </c>
      <c r="D98" s="19">
        <f>LOOKUP(C98,Hoja2!$B$8:$B$20,Hoja2!$E$8:$E$20)</f>
        <v>2.2349999999999999</v>
      </c>
      <c r="E98" s="25">
        <v>7.05</v>
      </c>
      <c r="F98" s="25">
        <v>37</v>
      </c>
      <c r="G98" s="110">
        <f t="shared" si="8"/>
        <v>582.99974999999984</v>
      </c>
    </row>
    <row r="99" spans="3:7" ht="15.75" x14ac:dyDescent="0.2">
      <c r="C99" s="25">
        <v>6</v>
      </c>
      <c r="D99" s="19">
        <f>LOOKUP(C99,Hoja2!$B$8:$B$20,Hoja2!$E$8:$E$20)</f>
        <v>2.2349999999999999</v>
      </c>
      <c r="E99" s="25">
        <v>5.49</v>
      </c>
      <c r="F99" s="25">
        <v>32</v>
      </c>
      <c r="G99" s="110">
        <f t="shared" si="8"/>
        <v>392.64479999999998</v>
      </c>
    </row>
    <row r="100" spans="3:7" ht="15.75" x14ac:dyDescent="0.2">
      <c r="C100" s="25">
        <v>6</v>
      </c>
      <c r="D100" s="19">
        <f>LOOKUP(C100,Hoja2!$B$8:$B$20,Hoja2!$E$8:$E$20)</f>
        <v>2.2349999999999999</v>
      </c>
      <c r="E100" s="25">
        <v>7.45</v>
      </c>
      <c r="F100" s="25">
        <v>55</v>
      </c>
      <c r="G100" s="110">
        <f t="shared" si="8"/>
        <v>915.79124999999999</v>
      </c>
    </row>
    <row r="101" spans="3:7" ht="15.75" x14ac:dyDescent="0.2">
      <c r="C101" s="25">
        <v>5</v>
      </c>
      <c r="D101" s="19">
        <f>LOOKUP(C101,Hoja2!$B$8:$B$20,Hoja2!$E$8:$E$20)</f>
        <v>1.552</v>
      </c>
      <c r="E101" s="25">
        <v>5.49</v>
      </c>
      <c r="F101" s="25">
        <v>22</v>
      </c>
      <c r="G101" s="110">
        <f t="shared" si="8"/>
        <v>187.45056</v>
      </c>
    </row>
    <row r="102" spans="3:7" ht="15.75" x14ac:dyDescent="0.2">
      <c r="C102" s="25">
        <v>6</v>
      </c>
      <c r="D102" s="19">
        <f>LOOKUP(C102,Hoja2!$B$8:$B$20,Hoja2!$E$8:$E$20)</f>
        <v>2.2349999999999999</v>
      </c>
      <c r="E102" s="25">
        <v>5.49</v>
      </c>
      <c r="F102" s="25">
        <v>2</v>
      </c>
      <c r="G102" s="110">
        <f t="shared" si="8"/>
        <v>24.540299999999998</v>
      </c>
    </row>
    <row r="103" spans="3:7" ht="15.75" x14ac:dyDescent="0.2">
      <c r="C103" s="25">
        <v>6</v>
      </c>
      <c r="D103" s="19">
        <f>LOOKUP(C103,Hoja2!$B$8:$B$20,Hoja2!$E$8:$E$20)</f>
        <v>2.2349999999999999</v>
      </c>
      <c r="E103" s="25">
        <v>5.75</v>
      </c>
      <c r="F103" s="25">
        <v>31</v>
      </c>
      <c r="G103" s="110">
        <f t="shared" si="8"/>
        <v>398.38874999999996</v>
      </c>
    </row>
    <row r="104" spans="3:7" ht="15.75" x14ac:dyDescent="0.2">
      <c r="C104" s="25">
        <v>6</v>
      </c>
      <c r="D104" s="19">
        <f>LOOKUP(C104,Hoja2!$B$8:$B$20,Hoja2!$E$8:$E$20)</f>
        <v>2.2349999999999999</v>
      </c>
      <c r="E104" s="25">
        <v>4.5999999999999996</v>
      </c>
      <c r="F104" s="25">
        <v>28</v>
      </c>
      <c r="G104" s="110">
        <f t="shared" si="8"/>
        <v>287.86799999999994</v>
      </c>
    </row>
    <row r="105" spans="3:7" ht="15.75" x14ac:dyDescent="0.2">
      <c r="C105" s="25">
        <v>6</v>
      </c>
      <c r="D105" s="19">
        <f>LOOKUP(C105,Hoja2!$B$8:$B$20,Hoja2!$E$8:$E$20)</f>
        <v>2.2349999999999999</v>
      </c>
      <c r="E105" s="25">
        <v>7.45</v>
      </c>
      <c r="F105" s="25">
        <v>31</v>
      </c>
      <c r="G105" s="110">
        <f t="shared" si="8"/>
        <v>516.17325000000005</v>
      </c>
    </row>
    <row r="106" spans="3:7" ht="15.75" x14ac:dyDescent="0.2">
      <c r="C106" s="25">
        <v>5</v>
      </c>
      <c r="D106" s="19">
        <f>LOOKUP(C106,Hoja2!$B$8:$B$20,Hoja2!$E$8:$E$20)</f>
        <v>1.552</v>
      </c>
      <c r="E106" s="25">
        <v>4.5999999999999996</v>
      </c>
      <c r="F106" s="25">
        <v>22</v>
      </c>
      <c r="G106" s="110">
        <f t="shared" si="8"/>
        <v>157.0624</v>
      </c>
    </row>
    <row r="107" spans="3:7" ht="15.75" x14ac:dyDescent="0.2">
      <c r="C107" s="25">
        <v>6</v>
      </c>
      <c r="D107" s="19">
        <f>LOOKUP(C107,Hoja2!$B$8:$B$20,Hoja2!$E$8:$E$20)</f>
        <v>2.2349999999999999</v>
      </c>
      <c r="E107" s="25">
        <v>4.5999999999999996</v>
      </c>
      <c r="F107" s="25">
        <v>2</v>
      </c>
      <c r="G107" s="110">
        <f t="shared" si="8"/>
        <v>20.561999999999998</v>
      </c>
    </row>
    <row r="108" spans="3:7" ht="15.75" x14ac:dyDescent="0.2">
      <c r="C108" s="25">
        <v>6</v>
      </c>
      <c r="D108" s="19">
        <f>LOOKUP(C108,Hoja2!$B$8:$B$20,Hoja2!$E$8:$E$20)</f>
        <v>2.2349999999999999</v>
      </c>
      <c r="E108" s="25">
        <v>5.75</v>
      </c>
      <c r="F108" s="25">
        <v>42</v>
      </c>
      <c r="G108" s="110">
        <f t="shared" si="8"/>
        <v>539.75249999999994</v>
      </c>
    </row>
    <row r="109" spans="3:7" ht="15.75" x14ac:dyDescent="0.2">
      <c r="C109" s="25">
        <v>6</v>
      </c>
      <c r="D109" s="19">
        <f>LOOKUP(C109,Hoja2!$B$8:$B$20,Hoja2!$E$8:$E$20)</f>
        <v>2.2349999999999999</v>
      </c>
      <c r="E109" s="25">
        <v>6.27</v>
      </c>
      <c r="F109" s="25">
        <v>28</v>
      </c>
      <c r="G109" s="110">
        <f t="shared" si="8"/>
        <v>392.3766</v>
      </c>
    </row>
    <row r="110" spans="3:7" ht="15.75" x14ac:dyDescent="0.2">
      <c r="C110" s="25">
        <v>6</v>
      </c>
      <c r="D110" s="19">
        <f>LOOKUP(C110,Hoja2!$B$8:$B$20,Hoja2!$E$8:$E$20)</f>
        <v>2.2349999999999999</v>
      </c>
      <c r="E110" s="25">
        <v>6.43</v>
      </c>
      <c r="F110" s="25">
        <v>42</v>
      </c>
      <c r="G110" s="110">
        <f t="shared" si="8"/>
        <v>603.58409999999992</v>
      </c>
    </row>
    <row r="111" spans="3:7" ht="15.75" x14ac:dyDescent="0.2">
      <c r="C111" s="25">
        <v>5</v>
      </c>
      <c r="D111" s="19">
        <f>LOOKUP(C111,Hoja2!$B$8:$B$20,Hoja2!$E$8:$E$20)</f>
        <v>1.552</v>
      </c>
      <c r="E111" s="25">
        <v>6.27</v>
      </c>
      <c r="F111" s="25">
        <v>18</v>
      </c>
      <c r="G111" s="110">
        <f t="shared" si="8"/>
        <v>175.15871999999999</v>
      </c>
    </row>
    <row r="112" spans="3:7" ht="15.75" x14ac:dyDescent="0.2">
      <c r="C112" s="25">
        <v>6</v>
      </c>
      <c r="D112" s="19">
        <f>LOOKUP(C112,Hoja2!$B$8:$B$20,Hoja2!$E$8:$E$20)</f>
        <v>2.2349999999999999</v>
      </c>
      <c r="E112" s="25">
        <v>6.27</v>
      </c>
      <c r="F112" s="25">
        <v>2</v>
      </c>
      <c r="G112" s="110">
        <f t="shared" si="8"/>
        <v>28.026899999999998</v>
      </c>
    </row>
    <row r="113" spans="3:7" ht="15.75" x14ac:dyDescent="0.2">
      <c r="C113" s="25">
        <v>6</v>
      </c>
      <c r="D113" s="19">
        <f>LOOKUP(C113,Hoja2!$B$8:$B$20,Hoja2!$E$8:$E$20)</f>
        <v>2.2349999999999999</v>
      </c>
      <c r="E113" s="25">
        <v>7.05</v>
      </c>
      <c r="F113" s="25">
        <v>102</v>
      </c>
      <c r="G113" s="110">
        <f t="shared" si="8"/>
        <v>1607.1885</v>
      </c>
    </row>
    <row r="114" spans="3:7" ht="15.75" x14ac:dyDescent="0.2">
      <c r="C114" s="25">
        <v>6</v>
      </c>
      <c r="D114" s="19">
        <f>LOOKUP(C114,Hoja2!$B$8:$B$20,Hoja2!$E$8:$E$20)</f>
        <v>2.2349999999999999</v>
      </c>
      <c r="E114" s="25">
        <v>15.22</v>
      </c>
      <c r="F114" s="25">
        <v>32</v>
      </c>
      <c r="G114" s="110">
        <f t="shared" si="8"/>
        <v>1088.5344</v>
      </c>
    </row>
    <row r="115" spans="3:7" ht="15.75" x14ac:dyDescent="0.2">
      <c r="C115" s="25">
        <v>6</v>
      </c>
      <c r="D115" s="19">
        <f>LOOKUP(C115,Hoja2!$B$8:$B$20,Hoja2!$E$8:$E$20)</f>
        <v>2.2349999999999999</v>
      </c>
      <c r="E115" s="25">
        <v>7.45</v>
      </c>
      <c r="F115" s="25">
        <v>153</v>
      </c>
      <c r="G115" s="110">
        <f t="shared" si="8"/>
        <v>2547.56475</v>
      </c>
    </row>
    <row r="116" spans="3:7" ht="15.75" x14ac:dyDescent="0.2">
      <c r="C116" s="25">
        <v>5</v>
      </c>
      <c r="D116" s="19">
        <f>LOOKUP(C116,Hoja2!$B$8:$B$20,Hoja2!$E$8:$E$20)</f>
        <v>1.552</v>
      </c>
      <c r="E116" s="25">
        <v>15.22</v>
      </c>
      <c r="F116" s="25">
        <v>22</v>
      </c>
      <c r="G116" s="110">
        <f t="shared" si="8"/>
        <v>519.67168000000004</v>
      </c>
    </row>
    <row r="117" spans="3:7" ht="15.75" x14ac:dyDescent="0.2">
      <c r="C117" s="25">
        <v>6</v>
      </c>
      <c r="D117" s="19">
        <f>LOOKUP(C117,Hoja2!$B$8:$B$20,Hoja2!$E$8:$E$20)</f>
        <v>2.2349999999999999</v>
      </c>
      <c r="E117" s="25">
        <v>15.22</v>
      </c>
      <c r="F117" s="25">
        <v>2</v>
      </c>
      <c r="G117" s="110">
        <f t="shared" si="8"/>
        <v>68.0334</v>
      </c>
    </row>
    <row r="118" spans="3:7" ht="15.75" x14ac:dyDescent="0.2">
      <c r="C118" s="25">
        <v>6</v>
      </c>
      <c r="D118" s="19">
        <f>LOOKUP(C118,Hoja2!$B$8:$B$20,Hoja2!$E$8:$E$20)</f>
        <v>2.2349999999999999</v>
      </c>
      <c r="E118" s="25">
        <v>5.75</v>
      </c>
      <c r="F118" s="25">
        <v>40</v>
      </c>
      <c r="G118" s="110">
        <f t="shared" ref="G118:G157" si="9">F118*E118*D118</f>
        <v>514.04999999999995</v>
      </c>
    </row>
    <row r="119" spans="3:7" ht="15.75" x14ac:dyDescent="0.2">
      <c r="C119" s="25">
        <v>6</v>
      </c>
      <c r="D119" s="19">
        <f>LOOKUP(C119,Hoja2!$B$8:$B$20,Hoja2!$E$8:$E$20)</f>
        <v>2.2349999999999999</v>
      </c>
      <c r="E119" s="25">
        <v>5.94</v>
      </c>
      <c r="F119" s="25">
        <v>28</v>
      </c>
      <c r="G119" s="110">
        <f t="shared" si="9"/>
        <v>371.72520000000003</v>
      </c>
    </row>
    <row r="120" spans="3:7" ht="15.75" x14ac:dyDescent="0.2">
      <c r="C120" s="25">
        <v>6</v>
      </c>
      <c r="D120" s="19">
        <f>LOOKUP(C120,Hoja2!$B$8:$B$20,Hoja2!$E$8:$E$20)</f>
        <v>2.2349999999999999</v>
      </c>
      <c r="E120" s="25">
        <v>6.35</v>
      </c>
      <c r="F120" s="25">
        <v>40</v>
      </c>
      <c r="G120" s="110">
        <f t="shared" si="9"/>
        <v>567.68999999999994</v>
      </c>
    </row>
    <row r="121" spans="3:7" ht="15.75" x14ac:dyDescent="0.2">
      <c r="C121" s="25">
        <v>5</v>
      </c>
      <c r="D121" s="19">
        <f>LOOKUP(C121,Hoja2!$B$8:$B$20,Hoja2!$E$8:$E$20)</f>
        <v>1.552</v>
      </c>
      <c r="E121" s="25">
        <v>5.94</v>
      </c>
      <c r="F121" s="25">
        <v>18</v>
      </c>
      <c r="G121" s="110">
        <f t="shared" si="9"/>
        <v>165.93984</v>
      </c>
    </row>
    <row r="122" spans="3:7" ht="15.75" x14ac:dyDescent="0.2">
      <c r="C122" s="25">
        <v>6</v>
      </c>
      <c r="D122" s="19">
        <f>LOOKUP(C122,Hoja2!$B$8:$B$20,Hoja2!$E$8:$E$20)</f>
        <v>2.2349999999999999</v>
      </c>
      <c r="E122" s="25">
        <v>5.94</v>
      </c>
      <c r="F122" s="25">
        <v>2</v>
      </c>
      <c r="G122" s="110">
        <f t="shared" si="9"/>
        <v>26.5518</v>
      </c>
    </row>
    <row r="123" spans="3:7" ht="15.75" x14ac:dyDescent="0.2">
      <c r="C123" s="25">
        <v>6</v>
      </c>
      <c r="D123" s="19">
        <f>LOOKUP(C123,Hoja2!$B$8:$B$20,Hoja2!$E$8:$E$20)</f>
        <v>2.2349999999999999</v>
      </c>
      <c r="E123" s="25">
        <v>5.75</v>
      </c>
      <c r="F123" s="25">
        <v>40</v>
      </c>
      <c r="G123" s="110">
        <f t="shared" si="9"/>
        <v>514.04999999999995</v>
      </c>
    </row>
    <row r="124" spans="3:7" ht="15.75" x14ac:dyDescent="0.2">
      <c r="C124" s="25">
        <v>6</v>
      </c>
      <c r="D124" s="19">
        <f>LOOKUP(C124,Hoja2!$B$8:$B$20,Hoja2!$E$8:$E$20)</f>
        <v>2.2349999999999999</v>
      </c>
      <c r="E124" s="25">
        <v>5.98</v>
      </c>
      <c r="F124" s="25">
        <v>28</v>
      </c>
      <c r="G124" s="110">
        <f t="shared" si="9"/>
        <v>374.22839999999997</v>
      </c>
    </row>
    <row r="125" spans="3:7" ht="15.75" x14ac:dyDescent="0.2">
      <c r="C125" s="25">
        <v>6</v>
      </c>
      <c r="D125" s="19">
        <f>LOOKUP(C125,Hoja2!$B$8:$B$20,Hoja2!$E$8:$E$20)</f>
        <v>2.2349999999999999</v>
      </c>
      <c r="E125" s="25">
        <v>6.35</v>
      </c>
      <c r="F125" s="25">
        <v>40</v>
      </c>
      <c r="G125" s="110">
        <f t="shared" si="9"/>
        <v>567.68999999999994</v>
      </c>
    </row>
    <row r="126" spans="3:7" ht="15.75" x14ac:dyDescent="0.2">
      <c r="C126" s="25">
        <v>5</v>
      </c>
      <c r="D126" s="19">
        <f>LOOKUP(C126,Hoja2!$B$8:$B$20,Hoja2!$E$8:$E$20)</f>
        <v>1.552</v>
      </c>
      <c r="E126" s="25">
        <v>5.98</v>
      </c>
      <c r="F126" s="25">
        <v>18</v>
      </c>
      <c r="G126" s="110">
        <f t="shared" si="9"/>
        <v>167.05728000000002</v>
      </c>
    </row>
    <row r="127" spans="3:7" ht="15.75" x14ac:dyDescent="0.2">
      <c r="C127" s="25">
        <v>6</v>
      </c>
      <c r="D127" s="19">
        <f>LOOKUP(C127,Hoja2!$B$8:$B$20,Hoja2!$E$8:$E$20)</f>
        <v>2.2349999999999999</v>
      </c>
      <c r="E127" s="25">
        <v>5.98</v>
      </c>
      <c r="F127" s="25">
        <v>2</v>
      </c>
      <c r="G127" s="110">
        <f t="shared" si="9"/>
        <v>26.730599999999999</v>
      </c>
    </row>
    <row r="128" spans="3:7" ht="15.75" x14ac:dyDescent="0.2">
      <c r="C128" s="25">
        <v>6</v>
      </c>
      <c r="D128" s="19">
        <f>LOOKUP(C128,Hoja2!$B$8:$B$20,Hoja2!$E$8:$E$20)</f>
        <v>2.2349999999999999</v>
      </c>
      <c r="E128" s="25">
        <v>5.75</v>
      </c>
      <c r="F128" s="25">
        <v>33</v>
      </c>
      <c r="G128" s="110">
        <f t="shared" si="9"/>
        <v>424.09125</v>
      </c>
    </row>
    <row r="129" spans="3:7" ht="15.75" x14ac:dyDescent="0.2">
      <c r="C129" s="25">
        <v>6</v>
      </c>
      <c r="D129" s="19">
        <f>LOOKUP(C129,Hoja2!$B$8:$B$20,Hoja2!$E$8:$E$20)</f>
        <v>2.2349999999999999</v>
      </c>
      <c r="E129" s="25">
        <v>4.92</v>
      </c>
      <c r="F129" s="25">
        <v>28</v>
      </c>
      <c r="G129" s="110">
        <f t="shared" si="9"/>
        <v>307.89359999999994</v>
      </c>
    </row>
    <row r="130" spans="3:7" ht="15.75" x14ac:dyDescent="0.2">
      <c r="C130" s="25">
        <v>6</v>
      </c>
      <c r="D130" s="19">
        <f>LOOKUP(C130,Hoja2!$B$8:$B$20,Hoja2!$E$8:$E$20)</f>
        <v>2.2349999999999999</v>
      </c>
      <c r="E130" s="25">
        <v>6.35</v>
      </c>
      <c r="F130" s="25">
        <v>33</v>
      </c>
      <c r="G130" s="110">
        <f t="shared" si="9"/>
        <v>468.34424999999993</v>
      </c>
    </row>
    <row r="131" spans="3:7" ht="15.75" x14ac:dyDescent="0.2">
      <c r="C131" s="25">
        <v>5</v>
      </c>
      <c r="D131" s="19">
        <f>LOOKUP(C131,Hoja2!$B$8:$B$20,Hoja2!$E$8:$E$20)</f>
        <v>1.552</v>
      </c>
      <c r="E131" s="25">
        <v>4.92</v>
      </c>
      <c r="F131" s="25">
        <v>18</v>
      </c>
      <c r="G131" s="110">
        <f t="shared" si="9"/>
        <v>137.44512</v>
      </c>
    </row>
    <row r="132" spans="3:7" ht="15.75" x14ac:dyDescent="0.2">
      <c r="C132" s="25">
        <v>6</v>
      </c>
      <c r="D132" s="19">
        <f>LOOKUP(C132,Hoja2!$B$8:$B$20,Hoja2!$E$8:$E$20)</f>
        <v>2.2349999999999999</v>
      </c>
      <c r="E132" s="25">
        <v>4.92</v>
      </c>
      <c r="F132" s="25">
        <v>2</v>
      </c>
      <c r="G132" s="110">
        <f t="shared" si="9"/>
        <v>21.9924</v>
      </c>
    </row>
    <row r="133" spans="3:7" ht="15.75" x14ac:dyDescent="0.2">
      <c r="C133" s="25">
        <v>6</v>
      </c>
      <c r="D133" s="19">
        <f>LOOKUP(C133,Hoja2!$B$8:$B$20,Hoja2!$E$8:$E$20)</f>
        <v>2.2349999999999999</v>
      </c>
      <c r="E133" s="25">
        <v>5.75</v>
      </c>
      <c r="F133" s="112">
        <v>29</v>
      </c>
      <c r="G133" s="110">
        <f t="shared" si="9"/>
        <v>372.68624999999997</v>
      </c>
    </row>
    <row r="134" spans="3:7" ht="15.75" x14ac:dyDescent="0.2">
      <c r="C134" s="25">
        <v>6</v>
      </c>
      <c r="D134" s="19">
        <f>LOOKUP(C134,Hoja2!$B$8:$B$20,Hoja2!$E$8:$E$20)</f>
        <v>2.2349999999999999</v>
      </c>
      <c r="E134" s="25">
        <v>4.2699999999999996</v>
      </c>
      <c r="F134" s="25">
        <v>28</v>
      </c>
      <c r="G134" s="110">
        <f t="shared" si="9"/>
        <v>267.21659999999997</v>
      </c>
    </row>
    <row r="135" spans="3:7" ht="15.75" x14ac:dyDescent="0.2">
      <c r="C135" s="25">
        <v>6</v>
      </c>
      <c r="D135" s="19">
        <f>LOOKUP(C135,Hoja2!$B$8:$B$20,Hoja2!$E$8:$E$20)</f>
        <v>2.2349999999999999</v>
      </c>
      <c r="E135" s="25">
        <v>6.35</v>
      </c>
      <c r="F135" s="25">
        <v>29</v>
      </c>
      <c r="G135" s="110">
        <f t="shared" si="9"/>
        <v>411.57524999999993</v>
      </c>
    </row>
    <row r="136" spans="3:7" ht="15.75" x14ac:dyDescent="0.2">
      <c r="C136" s="25">
        <v>5</v>
      </c>
      <c r="D136" s="19">
        <f>LOOKUP(C136,Hoja2!$B$8:$B$20,Hoja2!$E$8:$E$20)</f>
        <v>1.552</v>
      </c>
      <c r="E136" s="25">
        <v>4.2699999999999996</v>
      </c>
      <c r="F136" s="25">
        <v>18</v>
      </c>
      <c r="G136" s="110">
        <f t="shared" si="9"/>
        <v>119.28671999999997</v>
      </c>
    </row>
    <row r="137" spans="3:7" ht="15.75" x14ac:dyDescent="0.2">
      <c r="C137" s="25">
        <v>6</v>
      </c>
      <c r="D137" s="19">
        <f>LOOKUP(C137,Hoja2!$B$8:$B$20,Hoja2!$E$8:$E$20)</f>
        <v>2.2349999999999999</v>
      </c>
      <c r="E137" s="25">
        <v>4.2699999999999996</v>
      </c>
      <c r="F137" s="25">
        <v>2</v>
      </c>
      <c r="G137" s="110">
        <f t="shared" si="9"/>
        <v>19.086899999999996</v>
      </c>
    </row>
    <row r="138" spans="3:7" ht="15.75" x14ac:dyDescent="0.2">
      <c r="C138" s="25">
        <v>6</v>
      </c>
      <c r="D138" s="19">
        <f>LOOKUP(C138,Hoja2!$B$8:$B$20,Hoja2!$E$8:$E$20)</f>
        <v>2.2349999999999999</v>
      </c>
      <c r="E138" s="25">
        <v>5.75</v>
      </c>
      <c r="F138" s="25">
        <v>23</v>
      </c>
      <c r="G138" s="110">
        <f t="shared" si="9"/>
        <v>295.57874999999996</v>
      </c>
    </row>
    <row r="139" spans="3:7" ht="15.75" x14ac:dyDescent="0.2">
      <c r="C139" s="25">
        <v>6</v>
      </c>
      <c r="D139" s="19">
        <f>LOOKUP(C139,Hoja2!$B$8:$B$20,Hoja2!$E$8:$E$20)</f>
        <v>2.2349999999999999</v>
      </c>
      <c r="E139" s="25">
        <v>3.31</v>
      </c>
      <c r="F139" s="25">
        <v>28</v>
      </c>
      <c r="G139" s="110">
        <f t="shared" si="9"/>
        <v>207.13980000000001</v>
      </c>
    </row>
    <row r="140" spans="3:7" ht="15.75" x14ac:dyDescent="0.2">
      <c r="C140" s="25">
        <v>6</v>
      </c>
      <c r="D140" s="19">
        <f>LOOKUP(C140,Hoja2!$B$8:$B$20,Hoja2!$E$8:$E$20)</f>
        <v>2.2349999999999999</v>
      </c>
      <c r="E140" s="25">
        <v>6.35</v>
      </c>
      <c r="F140" s="25">
        <v>23</v>
      </c>
      <c r="G140" s="110">
        <f t="shared" si="9"/>
        <v>326.42174999999992</v>
      </c>
    </row>
    <row r="141" spans="3:7" ht="15.75" x14ac:dyDescent="0.2">
      <c r="C141" s="25">
        <v>5</v>
      </c>
      <c r="D141" s="19">
        <f>LOOKUP(C141,Hoja2!$B$8:$B$20,Hoja2!$E$8:$E$20)</f>
        <v>1.552</v>
      </c>
      <c r="E141" s="25">
        <v>3.31</v>
      </c>
      <c r="F141" s="25">
        <v>18</v>
      </c>
      <c r="G141" s="110">
        <f t="shared" si="9"/>
        <v>92.468159999999997</v>
      </c>
    </row>
    <row r="142" spans="3:7" ht="15.75" x14ac:dyDescent="0.2">
      <c r="C142" s="25">
        <v>6</v>
      </c>
      <c r="D142" s="19">
        <f>LOOKUP(C142,Hoja2!$B$8:$B$20,Hoja2!$E$8:$E$20)</f>
        <v>2.2349999999999999</v>
      </c>
      <c r="E142" s="25">
        <v>3.31</v>
      </c>
      <c r="F142" s="25">
        <v>2</v>
      </c>
      <c r="G142" s="110">
        <f t="shared" si="9"/>
        <v>14.7957</v>
      </c>
    </row>
    <row r="143" spans="3:7" ht="15.75" x14ac:dyDescent="0.2">
      <c r="C143" s="25">
        <v>6</v>
      </c>
      <c r="D143" s="19">
        <f>LOOKUP(C143,Hoja2!$B$8:$B$20,Hoja2!$E$8:$E$20)</f>
        <v>2.2349999999999999</v>
      </c>
      <c r="E143" s="25">
        <v>5.75</v>
      </c>
      <c r="F143" s="25">
        <v>51</v>
      </c>
      <c r="G143" s="110">
        <f t="shared" si="9"/>
        <v>655.41374999999994</v>
      </c>
    </row>
    <row r="144" spans="3:7" ht="15.75" x14ac:dyDescent="0.2">
      <c r="C144" s="25">
        <v>6</v>
      </c>
      <c r="D144" s="19">
        <f>LOOKUP(C144,Hoja2!$B$8:$B$20,Hoja2!$E$8:$E$20)</f>
        <v>2.2349999999999999</v>
      </c>
      <c r="E144" s="25">
        <v>7.53</v>
      </c>
      <c r="F144" s="25">
        <v>28</v>
      </c>
      <c r="G144" s="110">
        <f t="shared" si="9"/>
        <v>471.22739999999999</v>
      </c>
    </row>
    <row r="145" spans="3:7" ht="15.75" x14ac:dyDescent="0.2">
      <c r="C145" s="25">
        <v>6</v>
      </c>
      <c r="D145" s="19">
        <f>LOOKUP(C145,Hoja2!$B$8:$B$20,Hoja2!$E$8:$E$20)</f>
        <v>2.2349999999999999</v>
      </c>
      <c r="E145" s="25">
        <v>6.35</v>
      </c>
      <c r="F145" s="25">
        <v>51</v>
      </c>
      <c r="G145" s="110">
        <f t="shared" si="9"/>
        <v>723.8047499999999</v>
      </c>
    </row>
    <row r="146" spans="3:7" ht="15.75" x14ac:dyDescent="0.2">
      <c r="C146" s="25">
        <v>5</v>
      </c>
      <c r="D146" s="19">
        <f>LOOKUP(C146,Hoja2!$B$8:$B$20,Hoja2!$E$8:$E$20)</f>
        <v>1.552</v>
      </c>
      <c r="E146" s="25">
        <v>7.53</v>
      </c>
      <c r="F146" s="25">
        <v>18</v>
      </c>
      <c r="G146" s="110">
        <f t="shared" si="9"/>
        <v>210.35808</v>
      </c>
    </row>
    <row r="147" spans="3:7" ht="15.75" x14ac:dyDescent="0.2">
      <c r="C147" s="25">
        <v>6</v>
      </c>
      <c r="D147" s="19">
        <f>LOOKUP(C147,Hoja2!$B$8:$B$20,Hoja2!$E$8:$E$20)</f>
        <v>2.2349999999999999</v>
      </c>
      <c r="E147" s="25">
        <v>7.53</v>
      </c>
      <c r="F147" s="25">
        <v>2</v>
      </c>
      <c r="G147" s="110">
        <f t="shared" si="9"/>
        <v>33.659100000000002</v>
      </c>
    </row>
    <row r="148" spans="3:7" ht="15.75" x14ac:dyDescent="0.2">
      <c r="C148" s="25">
        <v>6</v>
      </c>
      <c r="D148" s="19">
        <f>LOOKUP(C148,Hoja2!$B$8:$B$20,Hoja2!$E$8:$E$20)</f>
        <v>2.2349999999999999</v>
      </c>
      <c r="E148" s="25">
        <v>5.75</v>
      </c>
      <c r="F148" s="25">
        <v>51</v>
      </c>
      <c r="G148" s="110">
        <f t="shared" si="9"/>
        <v>655.41374999999994</v>
      </c>
    </row>
    <row r="149" spans="3:7" ht="15.75" x14ac:dyDescent="0.2">
      <c r="C149" s="25">
        <v>6</v>
      </c>
      <c r="D149" s="19">
        <f>LOOKUP(C149,Hoja2!$B$8:$B$20,Hoja2!$E$8:$E$20)</f>
        <v>2.2349999999999999</v>
      </c>
      <c r="E149" s="25">
        <v>7.49</v>
      </c>
      <c r="F149" s="25">
        <v>28</v>
      </c>
      <c r="G149" s="110">
        <f t="shared" si="9"/>
        <v>468.7242</v>
      </c>
    </row>
    <row r="150" spans="3:7" ht="15.75" x14ac:dyDescent="0.2">
      <c r="C150" s="25">
        <v>6</v>
      </c>
      <c r="D150" s="19">
        <f>LOOKUP(C150,Hoja2!$B$8:$B$20,Hoja2!$E$8:$E$20)</f>
        <v>2.2349999999999999</v>
      </c>
      <c r="E150" s="25">
        <v>6.35</v>
      </c>
      <c r="F150" s="25">
        <v>51</v>
      </c>
      <c r="G150" s="110">
        <f t="shared" si="9"/>
        <v>723.8047499999999</v>
      </c>
    </row>
    <row r="151" spans="3:7" ht="15.75" x14ac:dyDescent="0.2">
      <c r="C151" s="25">
        <v>5</v>
      </c>
      <c r="D151" s="19">
        <f>LOOKUP(C151,Hoja2!$B$8:$B$20,Hoja2!$E$8:$E$20)</f>
        <v>1.552</v>
      </c>
      <c r="E151" s="25">
        <v>7.49</v>
      </c>
      <c r="F151" s="25">
        <v>18</v>
      </c>
      <c r="G151" s="110">
        <f t="shared" si="9"/>
        <v>209.24063999999998</v>
      </c>
    </row>
    <row r="152" spans="3:7" ht="15.75" x14ac:dyDescent="0.2">
      <c r="C152" s="25">
        <v>6</v>
      </c>
      <c r="D152" s="19">
        <f>LOOKUP(C152,Hoja2!$B$8:$B$20,Hoja2!$E$8:$E$20)</f>
        <v>2.2349999999999999</v>
      </c>
      <c r="E152" s="25">
        <v>7.49</v>
      </c>
      <c r="F152" s="25">
        <v>2</v>
      </c>
      <c r="G152" s="110">
        <f t="shared" si="9"/>
        <v>33.4803</v>
      </c>
    </row>
    <row r="153" spans="3:7" ht="15.75" x14ac:dyDescent="0.2">
      <c r="C153" s="25">
        <v>6</v>
      </c>
      <c r="D153" s="19">
        <f>LOOKUP(C153,Hoja2!$B$8:$B$20,Hoja2!$E$8:$E$20)</f>
        <v>2.2349999999999999</v>
      </c>
      <c r="E153" s="25">
        <v>5.75</v>
      </c>
      <c r="F153" s="25">
        <v>7</v>
      </c>
      <c r="G153" s="110">
        <f t="shared" si="9"/>
        <v>89.958749999999995</v>
      </c>
    </row>
    <row r="154" spans="3:7" ht="15.75" x14ac:dyDescent="0.2">
      <c r="C154" s="25">
        <v>6</v>
      </c>
      <c r="D154" s="19">
        <f>LOOKUP(C154,Hoja2!$B$8:$B$20,Hoja2!$E$8:$E$20)</f>
        <v>2.2349999999999999</v>
      </c>
      <c r="E154" s="25">
        <v>0.91</v>
      </c>
      <c r="F154" s="25">
        <v>28</v>
      </c>
      <c r="G154" s="110">
        <f t="shared" si="9"/>
        <v>56.947800000000001</v>
      </c>
    </row>
    <row r="155" spans="3:7" ht="15.75" x14ac:dyDescent="0.2">
      <c r="C155" s="25">
        <v>6</v>
      </c>
      <c r="D155" s="19">
        <f>LOOKUP(C155,Hoja2!$B$8:$B$20,Hoja2!$E$8:$E$20)</f>
        <v>2.2349999999999999</v>
      </c>
      <c r="E155" s="25">
        <v>6.35</v>
      </c>
      <c r="F155" s="25">
        <v>7</v>
      </c>
      <c r="G155" s="110">
        <f t="shared" si="9"/>
        <v>99.345749999999981</v>
      </c>
    </row>
    <row r="156" spans="3:7" ht="15.75" x14ac:dyDescent="0.2">
      <c r="C156" s="25">
        <v>5</v>
      </c>
      <c r="D156" s="19">
        <f>LOOKUP(C156,Hoja2!$B$8:$B$20,Hoja2!$E$8:$E$20)</f>
        <v>1.552</v>
      </c>
      <c r="E156" s="25">
        <v>0.91</v>
      </c>
      <c r="F156" s="25">
        <v>18</v>
      </c>
      <c r="G156" s="110">
        <f t="shared" si="9"/>
        <v>25.421759999999999</v>
      </c>
    </row>
    <row r="157" spans="3:7" ht="15.75" x14ac:dyDescent="0.2">
      <c r="C157" s="25">
        <v>6</v>
      </c>
      <c r="D157" s="19">
        <f>LOOKUP(C157,Hoja2!$B$8:$B$20,Hoja2!$E$8:$E$20)</f>
        <v>2.2349999999999999</v>
      </c>
      <c r="E157" s="25">
        <v>0.91</v>
      </c>
      <c r="F157" s="25">
        <v>2</v>
      </c>
      <c r="G157" s="110">
        <f t="shared" si="9"/>
        <v>4.0677000000000003</v>
      </c>
    </row>
    <row r="158" spans="3:7" ht="15" x14ac:dyDescent="0.25">
      <c r="G158" s="111">
        <f>SUM(G53:G157)</f>
        <v>42831.017930000002</v>
      </c>
    </row>
  </sheetData>
  <mergeCells count="2">
    <mergeCell ref="E7:I7"/>
    <mergeCell ref="A11:D11"/>
  </mergeCells>
  <pageMargins left="0.7" right="0.7" top="0.75" bottom="0.75" header="0.3" footer="0.3"/>
  <pageSetup scale="4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61760-F29B-4273-8E39-DB1ED7EDE65B}">
  <sheetPr>
    <tabColor rgb="FFFFFF00"/>
  </sheetPr>
  <dimension ref="A2:X131"/>
  <sheetViews>
    <sheetView view="pageBreakPreview" topLeftCell="A25" zoomScale="85" zoomScaleNormal="85" zoomScaleSheetLayoutView="85" workbookViewId="0">
      <selection activeCell="D32" sqref="D32"/>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76</v>
      </c>
      <c r="F7" s="150"/>
      <c r="G7" s="150"/>
      <c r="H7" s="150"/>
      <c r="I7" s="150"/>
    </row>
    <row r="10" spans="1:9" ht="38.25" x14ac:dyDescent="0.2">
      <c r="A10" s="28" t="s">
        <v>26</v>
      </c>
      <c r="B10" s="32" t="s">
        <v>27</v>
      </c>
      <c r="C10" s="29" t="s">
        <v>28</v>
      </c>
      <c r="D10" s="37" t="s">
        <v>77</v>
      </c>
    </row>
    <row r="11" spans="1:9" x14ac:dyDescent="0.2">
      <c r="A11" s="151" t="s">
        <v>57</v>
      </c>
      <c r="B11" s="152"/>
      <c r="C11" s="152"/>
      <c r="D11" s="153"/>
    </row>
    <row r="12" spans="1:9" ht="63" x14ac:dyDescent="0.2">
      <c r="A12" s="31">
        <v>6021</v>
      </c>
      <c r="B12" s="30" t="s">
        <v>58</v>
      </c>
      <c r="C12" s="40" t="s">
        <v>29</v>
      </c>
      <c r="D12" s="43">
        <f>(2.3*E40*0.05)+(0.6*G40*0.05)+(1.8*H40*0.05)+(1*J40*0.05)+(3*D40*0.05)+(1.5*I40*0.05)</f>
        <v>7.0408500000000007</v>
      </c>
    </row>
    <row r="13" spans="1:9" ht="47.25" x14ac:dyDescent="0.2">
      <c r="A13" s="31" t="s">
        <v>38</v>
      </c>
      <c r="B13" s="30" t="s">
        <v>59</v>
      </c>
      <c r="C13" s="31" t="s">
        <v>29</v>
      </c>
      <c r="D13" s="56">
        <f>SUM(D14:D17)</f>
        <v>178.28384999999997</v>
      </c>
      <c r="E13" s="47"/>
    </row>
    <row r="14" spans="1:9" ht="15.75" x14ac:dyDescent="0.2">
      <c r="A14" s="31"/>
      <c r="B14" s="55" t="s">
        <v>63</v>
      </c>
      <c r="C14" s="31"/>
      <c r="D14" s="45">
        <f>SUM(I55:X55)</f>
        <v>162.53985</v>
      </c>
      <c r="E14" s="47"/>
    </row>
    <row r="15" spans="1:9" ht="15.75" x14ac:dyDescent="0.2">
      <c r="A15" s="31"/>
      <c r="B15" s="65" t="s">
        <v>64</v>
      </c>
      <c r="C15" s="31"/>
      <c r="D15" s="67">
        <f>(0.01*34*2.3*2)+(22*0.01*1.5*2)</f>
        <v>2.2240000000000002</v>
      </c>
      <c r="E15" s="47"/>
    </row>
    <row r="16" spans="1:9" ht="15.75" x14ac:dyDescent="0.2">
      <c r="A16" s="31"/>
      <c r="B16" s="65" t="s">
        <v>66</v>
      </c>
      <c r="C16" s="31"/>
      <c r="D16" s="70">
        <v>3.82</v>
      </c>
      <c r="E16" s="47"/>
    </row>
    <row r="17" spans="1:7" ht="15.75" x14ac:dyDescent="0.2">
      <c r="A17" s="31"/>
      <c r="B17" s="65" t="s">
        <v>65</v>
      </c>
      <c r="C17" s="31"/>
      <c r="D17" s="70">
        <v>9.6999999999999993</v>
      </c>
      <c r="E17" s="47"/>
    </row>
    <row r="18" spans="1:7" ht="126" x14ac:dyDescent="0.2">
      <c r="A18" s="31">
        <v>3708</v>
      </c>
      <c r="B18" s="53" t="s">
        <v>39</v>
      </c>
      <c r="C18" s="31" t="s">
        <v>30</v>
      </c>
      <c r="D18" s="68">
        <f>SUM(D19:D22)</f>
        <v>24952.410779999991</v>
      </c>
    </row>
    <row r="19" spans="1:7" ht="15.75" x14ac:dyDescent="0.2">
      <c r="A19" s="31"/>
      <c r="B19" s="65" t="s">
        <v>63</v>
      </c>
      <c r="C19" s="31"/>
      <c r="D19" s="69">
        <f>G131</f>
        <v>21048.250779999991</v>
      </c>
    </row>
    <row r="20" spans="1:7" ht="15.75" x14ac:dyDescent="0.2">
      <c r="A20" s="31"/>
      <c r="B20" s="65" t="s">
        <v>64</v>
      </c>
      <c r="C20" s="31"/>
      <c r="D20" s="71">
        <f>(24*1.78*0.25*2)+391+154</f>
        <v>566.36</v>
      </c>
    </row>
    <row r="21" spans="1:7" ht="15.75" x14ac:dyDescent="0.2">
      <c r="A21" s="31"/>
      <c r="B21" s="65" t="s">
        <v>66</v>
      </c>
      <c r="C21" s="31"/>
      <c r="D21" s="71">
        <v>545</v>
      </c>
    </row>
    <row r="22" spans="1:7" ht="15.75" x14ac:dyDescent="0.2">
      <c r="A22" s="31"/>
      <c r="B22" s="65" t="s">
        <v>65</v>
      </c>
      <c r="C22" s="31"/>
      <c r="D22" s="71">
        <f>281.6+80.9+1638.6+71.7+144+576</f>
        <v>2792.7999999999997</v>
      </c>
    </row>
    <row r="23" spans="1:7" ht="31.5" x14ac:dyDescent="0.2">
      <c r="A23" s="34">
        <v>3464</v>
      </c>
      <c r="B23" s="53" t="s">
        <v>117</v>
      </c>
      <c r="C23" s="31" t="s">
        <v>29</v>
      </c>
      <c r="D23" s="67">
        <f>(1.6*1*G40)+(2.8*0.6*H40)+(2*1.2*J40)+(4*1.7*D40)+(3.3*1.5*E40)</f>
        <v>274.72949999999997</v>
      </c>
    </row>
    <row r="24" spans="1:7" ht="84" customHeight="1" x14ac:dyDescent="0.2">
      <c r="A24" s="34">
        <v>3017</v>
      </c>
      <c r="B24" s="35" t="s">
        <v>33</v>
      </c>
      <c r="C24" s="31" t="s">
        <v>29</v>
      </c>
      <c r="D24" s="45">
        <f>D23</f>
        <v>274.72949999999997</v>
      </c>
    </row>
    <row r="25" spans="1:7" ht="72.75" customHeight="1" x14ac:dyDescent="0.2">
      <c r="A25" s="100">
        <v>7364</v>
      </c>
      <c r="B25" s="101" t="s">
        <v>118</v>
      </c>
      <c r="C25" s="31" t="s">
        <v>29</v>
      </c>
      <c r="D25" s="45">
        <f>D23-D13</f>
        <v>96.445650000000001</v>
      </c>
    </row>
    <row r="26" spans="1:7" ht="31.5" x14ac:dyDescent="0.2">
      <c r="A26" s="102"/>
      <c r="B26" s="53" t="s">
        <v>119</v>
      </c>
      <c r="C26" s="54" t="s">
        <v>34</v>
      </c>
      <c r="D26" s="67">
        <f>2.3*(5.6+21.2)+24.25</f>
        <v>85.889999999999986</v>
      </c>
    </row>
    <row r="27" spans="1:7" ht="268.5" customHeight="1" x14ac:dyDescent="0.2">
      <c r="A27" s="52"/>
      <c r="B27" s="53" t="s">
        <v>104</v>
      </c>
      <c r="C27" s="84" t="s">
        <v>75</v>
      </c>
      <c r="D27" s="67">
        <v>81.2</v>
      </c>
      <c r="E27" s="2"/>
      <c r="F27" s="2"/>
      <c r="G27" s="2"/>
    </row>
    <row r="28" spans="1:7" ht="31.5" x14ac:dyDescent="0.2">
      <c r="A28" s="54">
        <v>4009</v>
      </c>
      <c r="B28" s="53" t="s">
        <v>74</v>
      </c>
      <c r="C28" s="54" t="s">
        <v>34</v>
      </c>
      <c r="D28" s="67">
        <v>55.9</v>
      </c>
      <c r="E28" s="2"/>
      <c r="F28" s="2"/>
      <c r="G28" s="2"/>
    </row>
    <row r="29" spans="1:7" ht="31.5" x14ac:dyDescent="0.2">
      <c r="A29" s="54">
        <v>5412</v>
      </c>
      <c r="B29" s="53" t="s">
        <v>230</v>
      </c>
      <c r="C29" s="83" t="s">
        <v>29</v>
      </c>
      <c r="D29" s="67">
        <v>25.8</v>
      </c>
      <c r="E29" s="2"/>
      <c r="F29" s="2"/>
      <c r="G29" s="2"/>
    </row>
    <row r="30" spans="1:7" ht="31.5" x14ac:dyDescent="0.2">
      <c r="A30" s="54">
        <v>3905</v>
      </c>
      <c r="B30" s="53" t="s">
        <v>73</v>
      </c>
      <c r="C30" s="54" t="s">
        <v>75</v>
      </c>
      <c r="D30" s="67">
        <v>81.2</v>
      </c>
      <c r="E30" s="2"/>
      <c r="F30" s="2"/>
      <c r="G30" s="2"/>
    </row>
    <row r="31" spans="1:7" ht="31.5" x14ac:dyDescent="0.2">
      <c r="A31" s="54">
        <v>3904</v>
      </c>
      <c r="B31" s="53" t="s">
        <v>229</v>
      </c>
      <c r="C31" s="84" t="s">
        <v>75</v>
      </c>
      <c r="D31" s="67">
        <f>27*0.3</f>
        <v>8.1</v>
      </c>
      <c r="E31" s="2"/>
      <c r="F31" s="2"/>
      <c r="G31" s="2"/>
    </row>
    <row r="32" spans="1:7" ht="15.75" x14ac:dyDescent="0.2">
      <c r="A32" s="50"/>
      <c r="B32" s="41"/>
      <c r="C32" s="42"/>
      <c r="D32" s="51"/>
      <c r="E32" s="2"/>
      <c r="F32" s="2"/>
      <c r="G32" s="2"/>
    </row>
    <row r="33" spans="1:10" ht="15.75" x14ac:dyDescent="0.2">
      <c r="A33" s="50"/>
      <c r="B33" s="41"/>
      <c r="C33" s="42"/>
      <c r="D33" s="51"/>
      <c r="E33" s="2"/>
      <c r="F33" s="2"/>
      <c r="G33" s="2"/>
    </row>
    <row r="34" spans="1:10" ht="15.75" x14ac:dyDescent="0.2">
      <c r="D34" s="19" t="s">
        <v>70</v>
      </c>
      <c r="E34" s="19" t="s">
        <v>43</v>
      </c>
      <c r="F34" s="19" t="s">
        <v>41</v>
      </c>
      <c r="G34" s="19" t="s">
        <v>42</v>
      </c>
      <c r="H34" s="25" t="s">
        <v>55</v>
      </c>
      <c r="I34" s="25" t="s">
        <v>56</v>
      </c>
      <c r="J34" s="25" t="s">
        <v>54</v>
      </c>
    </row>
    <row r="35" spans="1:10" ht="15.75" x14ac:dyDescent="0.2">
      <c r="D35" s="19"/>
      <c r="E35" s="19"/>
      <c r="F35" s="19"/>
      <c r="G35" s="19"/>
    </row>
    <row r="36" spans="1:10" ht="15.75" x14ac:dyDescent="0.2">
      <c r="D36" s="19"/>
      <c r="E36" s="19"/>
      <c r="F36" s="19"/>
      <c r="G36" s="19"/>
    </row>
    <row r="37" spans="1:10" ht="15.75" x14ac:dyDescent="0.2">
      <c r="D37" s="19"/>
      <c r="E37" s="19"/>
      <c r="F37" s="19"/>
      <c r="G37" s="19"/>
    </row>
    <row r="38" spans="1:10" ht="15.75" x14ac:dyDescent="0.2">
      <c r="D38" s="19"/>
      <c r="E38" s="19">
        <f>4.43+4.6+4.8</f>
        <v>13.829999999999998</v>
      </c>
      <c r="F38" s="19"/>
      <c r="G38" s="19"/>
      <c r="J38" s="25">
        <v>5.3</v>
      </c>
    </row>
    <row r="39" spans="1:10" ht="15.75" x14ac:dyDescent="0.2">
      <c r="D39" s="19"/>
      <c r="E39" s="19">
        <f>5.62+0.79+8+2.6+6.45</f>
        <v>23.46</v>
      </c>
      <c r="F39" s="19"/>
      <c r="G39" s="19"/>
      <c r="H39" s="25">
        <f>5.3+5.3+5.3</f>
        <v>15.899999999999999</v>
      </c>
      <c r="J39" s="25">
        <v>21.13</v>
      </c>
    </row>
    <row r="40" spans="1:10" ht="28.5" x14ac:dyDescent="0.2">
      <c r="C40" s="38" t="s">
        <v>51</v>
      </c>
      <c r="D40" s="36">
        <f t="shared" ref="D40:J40" si="0">SUM(D35:D39)</f>
        <v>0</v>
      </c>
      <c r="E40" s="36">
        <f t="shared" si="0"/>
        <v>37.29</v>
      </c>
      <c r="F40" s="36">
        <f t="shared" si="0"/>
        <v>0</v>
      </c>
      <c r="G40" s="36">
        <f t="shared" si="0"/>
        <v>0</v>
      </c>
      <c r="H40" s="36">
        <f t="shared" si="0"/>
        <v>15.899999999999999</v>
      </c>
      <c r="I40" s="36">
        <f t="shared" si="0"/>
        <v>0</v>
      </c>
      <c r="J40" s="36">
        <f t="shared" si="0"/>
        <v>26.43</v>
      </c>
    </row>
    <row r="42" spans="1:10" x14ac:dyDescent="0.2">
      <c r="C42" s="25" t="s">
        <v>52</v>
      </c>
      <c r="D42" s="39">
        <f>1.78*D40</f>
        <v>0</v>
      </c>
      <c r="E42" s="39">
        <f>1.2*E40</f>
        <v>44.747999999999998</v>
      </c>
      <c r="F42" s="39">
        <v>0</v>
      </c>
      <c r="G42" s="39">
        <f>0.12*G40</f>
        <v>0</v>
      </c>
      <c r="H42" s="39">
        <f>0.63*H40</f>
        <v>10.016999999999999</v>
      </c>
      <c r="I42" s="39">
        <f>0.64*I40</f>
        <v>0</v>
      </c>
      <c r="J42" s="59">
        <f>0.3*J40</f>
        <v>7.9289999999999994</v>
      </c>
    </row>
    <row r="43" spans="1:10" x14ac:dyDescent="0.2">
      <c r="C43" s="25" t="s">
        <v>53</v>
      </c>
      <c r="D43" s="59">
        <f>1.5*D40</f>
        <v>0</v>
      </c>
      <c r="E43" s="59">
        <f>1.17*E40</f>
        <v>43.629299999999994</v>
      </c>
      <c r="F43" s="59">
        <f>4*0.3*F40</f>
        <v>0</v>
      </c>
      <c r="G43" s="59">
        <f>1.4*0.2*G40</f>
        <v>0</v>
      </c>
      <c r="H43" s="39">
        <f>2.65*0.3*H40</f>
        <v>12.640499999999998</v>
      </c>
      <c r="I43" s="25">
        <v>0</v>
      </c>
      <c r="J43" s="60">
        <f>0.9*0.2*J40</f>
        <v>4.7574000000000005</v>
      </c>
    </row>
    <row r="44" spans="1:10" ht="15" x14ac:dyDescent="0.25">
      <c r="D44" s="44">
        <f t="shared" ref="D44:J44" si="1">D42+D43</f>
        <v>0</v>
      </c>
      <c r="E44" s="44">
        <f t="shared" si="1"/>
        <v>88.377299999999991</v>
      </c>
      <c r="F44" s="44">
        <f t="shared" si="1"/>
        <v>0</v>
      </c>
      <c r="G44" s="44">
        <f t="shared" si="1"/>
        <v>0</v>
      </c>
      <c r="H44" s="44">
        <f t="shared" si="1"/>
        <v>22.657499999999999</v>
      </c>
      <c r="I44" s="44">
        <f t="shared" si="1"/>
        <v>0</v>
      </c>
      <c r="J44" s="44">
        <f t="shared" si="1"/>
        <v>12.686399999999999</v>
      </c>
    </row>
    <row r="47" spans="1:10" x14ac:dyDescent="0.2">
      <c r="C47" s="25" t="s">
        <v>60</v>
      </c>
      <c r="D47" s="47">
        <f>269*D40</f>
        <v>0</v>
      </c>
      <c r="E47" s="47">
        <f>128*E40</f>
        <v>4773.12</v>
      </c>
      <c r="G47" s="47">
        <f>14*G40</f>
        <v>0</v>
      </c>
      <c r="H47" s="47">
        <f>55*H40</f>
        <v>874.49999999999989</v>
      </c>
      <c r="J47" s="47">
        <f>43*J40</f>
        <v>1136.49</v>
      </c>
    </row>
    <row r="48" spans="1:10" x14ac:dyDescent="0.2">
      <c r="C48" s="25" t="s">
        <v>61</v>
      </c>
      <c r="D48" s="47">
        <f>314*D40</f>
        <v>0</v>
      </c>
      <c r="E48" s="47">
        <f>149*E40</f>
        <v>5556.21</v>
      </c>
      <c r="F48" s="47">
        <f>234*F40</f>
        <v>0</v>
      </c>
      <c r="G48" s="47">
        <f>23*G40</f>
        <v>0</v>
      </c>
      <c r="H48" s="47">
        <f>132*H40</f>
        <v>2098.7999999999997</v>
      </c>
      <c r="I48" s="47">
        <f>47*I40</f>
        <v>0</v>
      </c>
      <c r="J48" s="47">
        <f>38*J40</f>
        <v>1004.34</v>
      </c>
    </row>
    <row r="49" spans="3:24" ht="15" x14ac:dyDescent="0.25">
      <c r="D49" s="48">
        <f t="shared" ref="D49:J49" si="2">SUM(D47:D48)</f>
        <v>0</v>
      </c>
      <c r="E49" s="48">
        <f t="shared" si="2"/>
        <v>10329.33</v>
      </c>
      <c r="F49" s="48">
        <f t="shared" si="2"/>
        <v>0</v>
      </c>
      <c r="G49" s="48">
        <f t="shared" si="2"/>
        <v>0</v>
      </c>
      <c r="H49" s="48">
        <f t="shared" si="2"/>
        <v>2973.2999999999997</v>
      </c>
      <c r="I49" s="48">
        <f t="shared" si="2"/>
        <v>0</v>
      </c>
      <c r="J49" s="48">
        <f t="shared" si="2"/>
        <v>2140.83</v>
      </c>
    </row>
    <row r="52" spans="3:24" ht="15.75" x14ac:dyDescent="0.2">
      <c r="C52" s="25" t="s">
        <v>122</v>
      </c>
      <c r="D52" s="19" t="s">
        <v>145</v>
      </c>
      <c r="E52" s="19" t="s">
        <v>146</v>
      </c>
      <c r="F52" s="19" t="s">
        <v>147</v>
      </c>
      <c r="G52" s="19" t="s">
        <v>148</v>
      </c>
      <c r="I52" s="25" t="s">
        <v>171</v>
      </c>
      <c r="J52" s="25" t="s">
        <v>172</v>
      </c>
      <c r="K52" s="25" t="s">
        <v>190</v>
      </c>
      <c r="L52" s="25" t="s">
        <v>191</v>
      </c>
      <c r="M52" s="22" t="s">
        <v>161</v>
      </c>
      <c r="N52" s="22" t="s">
        <v>164</v>
      </c>
      <c r="O52" s="22" t="s">
        <v>166</v>
      </c>
      <c r="P52" s="22" t="s">
        <v>173</v>
      </c>
      <c r="Q52" s="22" t="s">
        <v>194</v>
      </c>
      <c r="R52" s="22" t="s">
        <v>195</v>
      </c>
      <c r="S52" s="22" t="s">
        <v>174</v>
      </c>
      <c r="T52" s="22" t="s">
        <v>177</v>
      </c>
      <c r="U52" s="25" t="s">
        <v>192</v>
      </c>
      <c r="V52" s="22" t="s">
        <v>196</v>
      </c>
      <c r="W52" s="22" t="s">
        <v>197</v>
      </c>
      <c r="X52" s="22" t="s">
        <v>198</v>
      </c>
    </row>
    <row r="53" spans="3:24" ht="15.75" x14ac:dyDescent="0.2">
      <c r="C53" s="25">
        <v>5</v>
      </c>
      <c r="D53" s="19">
        <f>LOOKUP(C53,Hoja2!$B$8:$B$20,Hoja2!$E$8:$E$20)</f>
        <v>1.552</v>
      </c>
      <c r="E53" s="19">
        <v>2.65</v>
      </c>
      <c r="F53" s="19">
        <v>41</v>
      </c>
      <c r="G53" s="110">
        <f>F53*E53*D53</f>
        <v>168.62479999999999</v>
      </c>
      <c r="I53" s="25">
        <f>0.48*8</f>
        <v>3.84</v>
      </c>
      <c r="J53" s="25">
        <f>0.48*(5.03+5.29)</f>
        <v>4.9535999999999998</v>
      </c>
      <c r="K53" s="25">
        <f>(16.8*0.375)+(4.47*0.5*3.1)</f>
        <v>13.2285</v>
      </c>
      <c r="L53" s="25">
        <f>(33.75*0.375)+(8.98*0.5*3.1)</f>
        <v>26.57525</v>
      </c>
      <c r="M53" s="22">
        <f>1.69*7.45</f>
        <v>12.5905</v>
      </c>
      <c r="N53" s="22">
        <f>1.69*7.87</f>
        <v>13.3003</v>
      </c>
      <c r="O53" s="22">
        <f>1.69*2.88</f>
        <v>4.8671999999999995</v>
      </c>
      <c r="P53" s="22">
        <f>1.69*6.62</f>
        <v>11.187799999999999</v>
      </c>
      <c r="Q53" s="22">
        <f>0.82*4.17</f>
        <v>3.4193999999999996</v>
      </c>
      <c r="R53" s="22">
        <f>0.82*4.96</f>
        <v>4.0671999999999997</v>
      </c>
      <c r="S53" s="22">
        <f>2.16*4.49</f>
        <v>9.6984000000000012</v>
      </c>
      <c r="T53" s="22">
        <f>2.16*5.13</f>
        <v>11.0808</v>
      </c>
      <c r="U53" s="22">
        <f>2.96*5.49</f>
        <v>16.250399999999999</v>
      </c>
      <c r="V53" s="22">
        <f>0.76*2.7</f>
        <v>2.052</v>
      </c>
      <c r="W53" s="22">
        <f>0.76*(0.8+6.28)</f>
        <v>5.3807999999999998</v>
      </c>
      <c r="X53" s="22">
        <f>0.76*3.92</f>
        <v>2.9792000000000001</v>
      </c>
    </row>
    <row r="54" spans="3:24" ht="15.75" x14ac:dyDescent="0.2">
      <c r="C54" s="25">
        <v>5</v>
      </c>
      <c r="D54" s="19">
        <f>LOOKUP(C54,Hoja2!$B$8:$B$20,Hoja2!$E$8:$E$20)</f>
        <v>1.552</v>
      </c>
      <c r="E54" s="25">
        <v>7.94</v>
      </c>
      <c r="F54" s="25">
        <v>12</v>
      </c>
      <c r="G54" s="110">
        <f t="shared" ref="G54:G117" si="3">F54*E54*D54</f>
        <v>147.87456</v>
      </c>
      <c r="I54" s="25">
        <f>0.48*8</f>
        <v>3.84</v>
      </c>
      <c r="K54" s="25">
        <f>(16.8*0.375)+(4.47*0.5*3.1)</f>
        <v>13.2285</v>
      </c>
    </row>
    <row r="55" spans="3:24" ht="15.75" x14ac:dyDescent="0.2">
      <c r="C55" s="25">
        <v>5</v>
      </c>
      <c r="D55" s="19">
        <f>LOOKUP(C55,Hoja2!$B$8:$B$20,Hoja2!$E$8:$E$20)</f>
        <v>1.552</v>
      </c>
      <c r="E55" s="25">
        <v>2.85</v>
      </c>
      <c r="F55" s="25">
        <v>41</v>
      </c>
      <c r="G55" s="110">
        <f t="shared" si="3"/>
        <v>181.35120000000001</v>
      </c>
      <c r="I55" s="25">
        <f>SUM(I53:I54)</f>
        <v>7.68</v>
      </c>
      <c r="J55" s="25">
        <f t="shared" ref="J55:X55" si="4">SUM(J53:J54)</f>
        <v>4.9535999999999998</v>
      </c>
      <c r="K55" s="25">
        <f t="shared" si="4"/>
        <v>26.457000000000001</v>
      </c>
      <c r="L55" s="25">
        <f t="shared" si="4"/>
        <v>26.57525</v>
      </c>
      <c r="M55" s="25">
        <f t="shared" si="4"/>
        <v>12.5905</v>
      </c>
      <c r="N55" s="25">
        <f t="shared" si="4"/>
        <v>13.3003</v>
      </c>
      <c r="O55" s="25">
        <f t="shared" si="4"/>
        <v>4.8671999999999995</v>
      </c>
      <c r="P55" s="25">
        <f t="shared" si="4"/>
        <v>11.187799999999999</v>
      </c>
      <c r="Q55" s="25">
        <f t="shared" si="4"/>
        <v>3.4193999999999996</v>
      </c>
      <c r="R55" s="25">
        <f t="shared" si="4"/>
        <v>4.0671999999999997</v>
      </c>
      <c r="S55" s="25">
        <f t="shared" si="4"/>
        <v>9.6984000000000012</v>
      </c>
      <c r="T55" s="25">
        <f t="shared" si="4"/>
        <v>11.0808</v>
      </c>
      <c r="U55" s="25">
        <f t="shared" si="4"/>
        <v>16.250399999999999</v>
      </c>
      <c r="V55" s="25">
        <f t="shared" si="4"/>
        <v>2.052</v>
      </c>
      <c r="W55" s="25">
        <f t="shared" si="4"/>
        <v>5.3807999999999998</v>
      </c>
      <c r="X55" s="25">
        <f t="shared" si="4"/>
        <v>2.9792000000000001</v>
      </c>
    </row>
    <row r="56" spans="3:24" ht="15.75" x14ac:dyDescent="0.2">
      <c r="C56" s="25">
        <v>5</v>
      </c>
      <c r="D56" s="19">
        <f>LOOKUP(C56,Hoja2!$B$8:$B$20,Hoja2!$E$8:$E$20)</f>
        <v>1.552</v>
      </c>
      <c r="E56" s="25">
        <v>7.94</v>
      </c>
      <c r="F56" s="25">
        <v>8</v>
      </c>
      <c r="G56" s="110">
        <f t="shared" si="3"/>
        <v>98.583040000000011</v>
      </c>
    </row>
    <row r="57" spans="3:24" ht="15.75" x14ac:dyDescent="0.2">
      <c r="C57" s="25">
        <v>5</v>
      </c>
      <c r="D57" s="19">
        <f>LOOKUP(C57,Hoja2!$B$8:$B$20,Hoja2!$E$8:$E$20)</f>
        <v>1.552</v>
      </c>
      <c r="E57" s="25">
        <v>2.65</v>
      </c>
      <c r="F57" s="25">
        <v>52</v>
      </c>
      <c r="G57" s="110">
        <f t="shared" si="3"/>
        <v>213.86559999999997</v>
      </c>
    </row>
    <row r="58" spans="3:24" ht="15.75" x14ac:dyDescent="0.2">
      <c r="C58" s="25">
        <v>5</v>
      </c>
      <c r="D58" s="19">
        <f>LOOKUP(C58,Hoja2!$B$8:$B$20,Hoja2!$E$8:$E$20)</f>
        <v>1.552</v>
      </c>
      <c r="E58" s="25">
        <v>10.26</v>
      </c>
      <c r="F58" s="25">
        <v>12</v>
      </c>
      <c r="G58" s="110">
        <f t="shared" si="3"/>
        <v>191.08224000000001</v>
      </c>
    </row>
    <row r="59" spans="3:24" ht="15.75" x14ac:dyDescent="0.2">
      <c r="C59" s="25">
        <v>5</v>
      </c>
      <c r="D59" s="19">
        <f>LOOKUP(C59,Hoja2!$B$8:$B$20,Hoja2!$E$8:$E$20)</f>
        <v>1.552</v>
      </c>
      <c r="E59" s="25">
        <v>2.85</v>
      </c>
      <c r="F59" s="25">
        <v>52</v>
      </c>
      <c r="G59" s="110">
        <f t="shared" si="3"/>
        <v>230.00640000000004</v>
      </c>
    </row>
    <row r="60" spans="3:24" ht="15.75" x14ac:dyDescent="0.2">
      <c r="C60" s="25">
        <v>5</v>
      </c>
      <c r="D60" s="19">
        <f>LOOKUP(C60,Hoja2!$B$8:$B$20,Hoja2!$E$8:$E$20)</f>
        <v>1.552</v>
      </c>
      <c r="E60" s="25">
        <v>10.26</v>
      </c>
      <c r="F60" s="25">
        <v>8</v>
      </c>
      <c r="G60" s="110">
        <f t="shared" si="3"/>
        <v>127.38816</v>
      </c>
    </row>
    <row r="61" spans="3:24" ht="15.75" x14ac:dyDescent="0.2">
      <c r="C61" s="25">
        <v>6</v>
      </c>
      <c r="D61" s="19">
        <f>LOOKUP(C61,Hoja2!$B$8:$B$20,Hoja2!$E$8:$E$20)</f>
        <v>2.2349999999999999</v>
      </c>
      <c r="E61" s="25">
        <v>7.15</v>
      </c>
      <c r="F61" s="25">
        <v>30</v>
      </c>
      <c r="G61" s="110">
        <f t="shared" si="3"/>
        <v>479.40749999999997</v>
      </c>
    </row>
    <row r="62" spans="3:24" ht="15.75" x14ac:dyDescent="0.2">
      <c r="C62" s="25">
        <v>6</v>
      </c>
      <c r="D62" s="19">
        <f>LOOKUP(C62,Hoja2!$B$8:$B$20,Hoja2!$E$8:$E$20)</f>
        <v>2.2349999999999999</v>
      </c>
      <c r="E62" s="25">
        <v>4.41</v>
      </c>
      <c r="F62" s="25">
        <v>30</v>
      </c>
      <c r="G62" s="110">
        <f t="shared" si="3"/>
        <v>295.69049999999999</v>
      </c>
    </row>
    <row r="63" spans="3:24" ht="15.75" x14ac:dyDescent="0.2">
      <c r="C63" s="25">
        <v>5</v>
      </c>
      <c r="D63" s="19">
        <f>LOOKUP(C63,Hoja2!$B$8:$B$20,Hoja2!$E$8:$E$20)</f>
        <v>1.552</v>
      </c>
      <c r="E63" s="25">
        <v>9.2200000000000006</v>
      </c>
      <c r="F63" s="25">
        <v>45</v>
      </c>
      <c r="G63" s="110">
        <f t="shared" si="3"/>
        <v>643.92480000000012</v>
      </c>
    </row>
    <row r="64" spans="3:24" ht="15.75" x14ac:dyDescent="0.2">
      <c r="C64" s="25">
        <v>5</v>
      </c>
      <c r="D64" s="19">
        <f>LOOKUP(C64,Hoja2!$B$8:$B$20,Hoja2!$E$8:$E$20)</f>
        <v>1.552</v>
      </c>
      <c r="E64" s="25">
        <v>4.41</v>
      </c>
      <c r="F64" s="25">
        <v>26</v>
      </c>
      <c r="G64" s="110">
        <f t="shared" si="3"/>
        <v>177.95231999999999</v>
      </c>
    </row>
    <row r="65" spans="3:7" ht="15.75" x14ac:dyDescent="0.2">
      <c r="C65" s="25">
        <v>6</v>
      </c>
      <c r="D65" s="19">
        <f>LOOKUP(C65,Hoja2!$B$8:$B$20,Hoja2!$E$8:$E$20)</f>
        <v>2.2349999999999999</v>
      </c>
      <c r="E65" s="25">
        <v>4.41</v>
      </c>
      <c r="F65" s="25">
        <v>2</v>
      </c>
      <c r="G65" s="110">
        <f t="shared" si="3"/>
        <v>19.712699999999998</v>
      </c>
    </row>
    <row r="66" spans="3:7" ht="15.75" x14ac:dyDescent="0.2">
      <c r="C66" s="25">
        <v>6</v>
      </c>
      <c r="D66" s="19">
        <f>LOOKUP(C66,Hoja2!$B$8:$B$20,Hoja2!$E$8:$E$20)</f>
        <v>2.2349999999999999</v>
      </c>
      <c r="E66" s="25">
        <v>7.15</v>
      </c>
      <c r="F66" s="25">
        <v>61</v>
      </c>
      <c r="G66" s="110">
        <f t="shared" si="3"/>
        <v>974.79525000000001</v>
      </c>
    </row>
    <row r="67" spans="3:7" ht="15.75" x14ac:dyDescent="0.2">
      <c r="C67" s="25">
        <v>6</v>
      </c>
      <c r="D67" s="19">
        <f>LOOKUP(C67,Hoja2!$B$8:$B$20,Hoja2!$E$8:$E$20)</f>
        <v>2.2349999999999999</v>
      </c>
      <c r="E67" s="25">
        <v>9.06</v>
      </c>
      <c r="F67" s="25">
        <v>30</v>
      </c>
      <c r="G67" s="110">
        <f t="shared" si="3"/>
        <v>607.47299999999996</v>
      </c>
    </row>
    <row r="68" spans="3:7" ht="15.75" x14ac:dyDescent="0.2">
      <c r="C68" s="25">
        <v>6</v>
      </c>
      <c r="D68" s="19">
        <f>LOOKUP(C68,Hoja2!$B$8:$B$20,Hoja2!$E$8:$E$20)</f>
        <v>2.2349999999999999</v>
      </c>
      <c r="E68" s="25">
        <v>9.2200000000000006</v>
      </c>
      <c r="F68" s="25">
        <v>91</v>
      </c>
      <c r="G68" s="110">
        <f t="shared" si="3"/>
        <v>1875.2097000000001</v>
      </c>
    </row>
    <row r="69" spans="3:7" ht="15.75" x14ac:dyDescent="0.2">
      <c r="C69" s="25">
        <v>5</v>
      </c>
      <c r="D69" s="19">
        <f>LOOKUP(C69,Hoja2!$B$8:$B$20,Hoja2!$E$8:$E$20)</f>
        <v>1.552</v>
      </c>
      <c r="E69" s="25">
        <v>9.06</v>
      </c>
      <c r="F69" s="25">
        <v>26</v>
      </c>
      <c r="G69" s="110">
        <f t="shared" si="3"/>
        <v>365.58912000000004</v>
      </c>
    </row>
    <row r="70" spans="3:7" ht="15.75" x14ac:dyDescent="0.2">
      <c r="C70" s="25">
        <v>6</v>
      </c>
      <c r="D70" s="19">
        <f>LOOKUP(C70,Hoja2!$B$8:$B$20,Hoja2!$E$8:$E$20)</f>
        <v>2.2349999999999999</v>
      </c>
      <c r="E70" s="25">
        <v>9.06</v>
      </c>
      <c r="F70" s="25">
        <v>2</v>
      </c>
      <c r="G70" s="110">
        <f t="shared" si="3"/>
        <v>40.498199999999997</v>
      </c>
    </row>
    <row r="71" spans="3:7" ht="15.75" x14ac:dyDescent="0.2">
      <c r="C71" s="25">
        <v>6</v>
      </c>
      <c r="D71" s="19">
        <f>LOOKUP(C71,Hoja2!$B$8:$B$20,Hoja2!$E$8:$E$20)</f>
        <v>2.2349999999999999</v>
      </c>
      <c r="E71" s="25">
        <v>7.15</v>
      </c>
      <c r="F71" s="25">
        <v>37</v>
      </c>
      <c r="G71" s="110">
        <f t="shared" si="3"/>
        <v>591.26924999999994</v>
      </c>
    </row>
    <row r="72" spans="3:7" ht="15.75" x14ac:dyDescent="0.2">
      <c r="C72" s="25">
        <v>6</v>
      </c>
      <c r="D72" s="19">
        <f>LOOKUP(C72,Hoja2!$B$8:$B$20,Hoja2!$E$8:$E$20)</f>
        <v>2.2349999999999999</v>
      </c>
      <c r="E72" s="25">
        <v>5.43</v>
      </c>
      <c r="F72" s="25">
        <v>30</v>
      </c>
      <c r="G72" s="110">
        <f t="shared" si="3"/>
        <v>364.08149999999995</v>
      </c>
    </row>
    <row r="73" spans="3:7" ht="15.75" x14ac:dyDescent="0.2">
      <c r="C73" s="25">
        <v>6</v>
      </c>
      <c r="D73" s="19">
        <f>LOOKUP(C73,Hoja2!$B$8:$B$20,Hoja2!$E$8:$E$20)</f>
        <v>2.2349999999999999</v>
      </c>
      <c r="E73" s="25">
        <v>9.2200000000000006</v>
      </c>
      <c r="F73" s="25">
        <v>55</v>
      </c>
      <c r="G73" s="110">
        <f t="shared" si="3"/>
        <v>1133.3685</v>
      </c>
    </row>
    <row r="74" spans="3:7" ht="15.75" x14ac:dyDescent="0.2">
      <c r="C74" s="25">
        <v>5</v>
      </c>
      <c r="D74" s="19">
        <f>LOOKUP(C74,Hoja2!$B$8:$B$20,Hoja2!$E$8:$E$20)</f>
        <v>1.552</v>
      </c>
      <c r="E74" s="25">
        <v>5.43</v>
      </c>
      <c r="F74" s="25">
        <v>26</v>
      </c>
      <c r="G74" s="110">
        <f t="shared" si="3"/>
        <v>219.11136000000002</v>
      </c>
    </row>
    <row r="75" spans="3:7" ht="15.75" x14ac:dyDescent="0.2">
      <c r="C75" s="25">
        <v>6</v>
      </c>
      <c r="D75" s="19">
        <f>LOOKUP(C75,Hoja2!$B$8:$B$20,Hoja2!$E$8:$E$20)</f>
        <v>2.2349999999999999</v>
      </c>
      <c r="E75" s="25">
        <v>5.43</v>
      </c>
      <c r="F75" s="25">
        <v>2</v>
      </c>
      <c r="G75" s="110">
        <f t="shared" si="3"/>
        <v>24.272099999999998</v>
      </c>
    </row>
    <row r="76" spans="3:7" ht="15.75" x14ac:dyDescent="0.2">
      <c r="C76" s="25">
        <v>6</v>
      </c>
      <c r="D76" s="19">
        <f>LOOKUP(C76,Hoja2!$B$8:$B$20,Hoja2!$E$8:$E$20)</f>
        <v>2.2349999999999999</v>
      </c>
      <c r="E76" s="25">
        <v>5.75</v>
      </c>
      <c r="F76" s="25">
        <v>50</v>
      </c>
      <c r="G76" s="110">
        <f t="shared" si="3"/>
        <v>642.5625</v>
      </c>
    </row>
    <row r="77" spans="3:7" ht="15.75" x14ac:dyDescent="0.2">
      <c r="C77" s="25">
        <v>6</v>
      </c>
      <c r="D77" s="19">
        <f>LOOKUP(C77,Hoja2!$B$8:$B$20,Hoja2!$E$8:$E$20)</f>
        <v>2.2349999999999999</v>
      </c>
      <c r="E77" s="25">
        <v>7.39</v>
      </c>
      <c r="F77" s="25">
        <v>28</v>
      </c>
      <c r="G77" s="110">
        <f t="shared" si="3"/>
        <v>462.46619999999996</v>
      </c>
    </row>
    <row r="78" spans="3:7" ht="15.75" x14ac:dyDescent="0.2">
      <c r="C78" s="25">
        <v>6</v>
      </c>
      <c r="D78" s="19">
        <f>LOOKUP(C78,Hoja2!$B$8:$B$20,Hoja2!$E$8:$E$20)</f>
        <v>2.2349999999999999</v>
      </c>
      <c r="E78" s="25">
        <v>5.97</v>
      </c>
      <c r="F78" s="25">
        <v>50</v>
      </c>
      <c r="G78" s="110">
        <f t="shared" si="3"/>
        <v>667.14749999999992</v>
      </c>
    </row>
    <row r="79" spans="3:7" ht="15.75" x14ac:dyDescent="0.2">
      <c r="C79" s="25">
        <v>5</v>
      </c>
      <c r="D79" s="19">
        <f>LOOKUP(C79,Hoja2!$B$8:$B$20,Hoja2!$E$8:$E$20)</f>
        <v>1.552</v>
      </c>
      <c r="E79" s="25">
        <v>7.39</v>
      </c>
      <c r="F79" s="25">
        <v>16</v>
      </c>
      <c r="G79" s="110">
        <f t="shared" si="3"/>
        <v>183.50847999999999</v>
      </c>
    </row>
    <row r="80" spans="3:7" ht="15.75" x14ac:dyDescent="0.2">
      <c r="C80" s="25">
        <v>6</v>
      </c>
      <c r="D80" s="19">
        <f>LOOKUP(C80,Hoja2!$B$8:$B$20,Hoja2!$E$8:$E$20)</f>
        <v>2.2349999999999999</v>
      </c>
      <c r="E80" s="25">
        <v>7.3</v>
      </c>
      <c r="F80" s="25">
        <v>2</v>
      </c>
      <c r="G80" s="110">
        <f t="shared" si="3"/>
        <v>32.631</v>
      </c>
    </row>
    <row r="81" spans="3:7" ht="15.75" x14ac:dyDescent="0.2">
      <c r="C81" s="25">
        <v>6</v>
      </c>
      <c r="D81" s="19">
        <f>LOOKUP(C81,Hoja2!$B$8:$B$20,Hoja2!$E$8:$E$20)</f>
        <v>2.2349999999999999</v>
      </c>
      <c r="E81" s="25">
        <v>5.75</v>
      </c>
      <c r="F81" s="25">
        <v>53</v>
      </c>
      <c r="G81" s="110">
        <f t="shared" si="3"/>
        <v>681.11624999999992</v>
      </c>
    </row>
    <row r="82" spans="3:7" ht="15.75" x14ac:dyDescent="0.2">
      <c r="C82" s="25">
        <v>6</v>
      </c>
      <c r="D82" s="19">
        <f>LOOKUP(C82,Hoja2!$B$8:$B$20,Hoja2!$E$8:$E$20)</f>
        <v>2.2349999999999999</v>
      </c>
      <c r="E82" s="25">
        <v>7.81</v>
      </c>
      <c r="F82" s="25">
        <v>28</v>
      </c>
      <c r="G82" s="110">
        <f t="shared" si="3"/>
        <v>488.74979999999994</v>
      </c>
    </row>
    <row r="83" spans="3:7" ht="15.75" x14ac:dyDescent="0.2">
      <c r="C83" s="25">
        <v>6</v>
      </c>
      <c r="D83" s="19">
        <f>LOOKUP(C83,Hoja2!$B$8:$B$20,Hoja2!$E$8:$E$20)</f>
        <v>2.2349999999999999</v>
      </c>
      <c r="E83" s="25">
        <v>5.97</v>
      </c>
      <c r="F83" s="25">
        <v>53</v>
      </c>
      <c r="G83" s="110">
        <f t="shared" si="3"/>
        <v>707.17634999999984</v>
      </c>
    </row>
    <row r="84" spans="3:7" ht="15.75" x14ac:dyDescent="0.2">
      <c r="C84" s="25">
        <v>5</v>
      </c>
      <c r="D84" s="19">
        <f>LOOKUP(C84,Hoja2!$B$8:$B$20,Hoja2!$E$8:$E$20)</f>
        <v>1.552</v>
      </c>
      <c r="E84" s="25">
        <v>7.81</v>
      </c>
      <c r="F84" s="25">
        <v>16</v>
      </c>
      <c r="G84" s="110">
        <f t="shared" si="3"/>
        <v>193.93791999999999</v>
      </c>
    </row>
    <row r="85" spans="3:7" ht="15.75" x14ac:dyDescent="0.2">
      <c r="C85" s="25">
        <v>6</v>
      </c>
      <c r="D85" s="19">
        <f>LOOKUP(C85,Hoja2!$B$8:$B$20,Hoja2!$E$8:$E$20)</f>
        <v>2.2349999999999999</v>
      </c>
      <c r="E85" s="25">
        <v>7.81</v>
      </c>
      <c r="F85" s="25">
        <v>2</v>
      </c>
      <c r="G85" s="110">
        <f t="shared" si="3"/>
        <v>34.910699999999999</v>
      </c>
    </row>
    <row r="86" spans="3:7" ht="15.75" x14ac:dyDescent="0.2">
      <c r="C86" s="25">
        <v>6</v>
      </c>
      <c r="D86" s="19">
        <f>LOOKUP(C86,Hoja2!$B$8:$B$20,Hoja2!$E$8:$E$20)</f>
        <v>2.2349999999999999</v>
      </c>
      <c r="E86" s="25">
        <v>5.75</v>
      </c>
      <c r="F86" s="25">
        <v>20</v>
      </c>
      <c r="G86" s="110">
        <f t="shared" si="3"/>
        <v>257.02499999999998</v>
      </c>
    </row>
    <row r="87" spans="3:7" ht="15.75" x14ac:dyDescent="0.2">
      <c r="C87" s="25">
        <v>6</v>
      </c>
      <c r="D87" s="19">
        <f>LOOKUP(C87,Hoja2!$B$8:$B$20,Hoja2!$E$8:$E$20)</f>
        <v>2.2349999999999999</v>
      </c>
      <c r="E87" s="25">
        <v>2.82</v>
      </c>
      <c r="F87" s="25">
        <v>28</v>
      </c>
      <c r="G87" s="110">
        <f t="shared" si="3"/>
        <v>176.47559999999999</v>
      </c>
    </row>
    <row r="88" spans="3:7" ht="15.75" x14ac:dyDescent="0.2">
      <c r="C88" s="25">
        <v>6</v>
      </c>
      <c r="D88" s="19">
        <f>LOOKUP(C88,Hoja2!$B$8:$B$20,Hoja2!$E$8:$E$20)</f>
        <v>2.2349999999999999</v>
      </c>
      <c r="E88" s="25">
        <v>5.97</v>
      </c>
      <c r="F88" s="25">
        <v>20</v>
      </c>
      <c r="G88" s="110">
        <f t="shared" si="3"/>
        <v>266.85899999999998</v>
      </c>
    </row>
    <row r="89" spans="3:7" ht="15.75" x14ac:dyDescent="0.2">
      <c r="C89" s="25">
        <v>5</v>
      </c>
      <c r="D89" s="19">
        <f>LOOKUP(C89,Hoja2!$B$8:$B$20,Hoja2!$E$8:$E$20)</f>
        <v>1.552</v>
      </c>
      <c r="E89" s="25">
        <v>2.82</v>
      </c>
      <c r="F89" s="25">
        <v>16</v>
      </c>
      <c r="G89" s="110">
        <f t="shared" si="3"/>
        <v>70.026240000000001</v>
      </c>
    </row>
    <row r="90" spans="3:7" ht="15.75" x14ac:dyDescent="0.2">
      <c r="C90" s="25">
        <v>6</v>
      </c>
      <c r="D90" s="19">
        <f>LOOKUP(C90,Hoja2!$B$8:$B$20,Hoja2!$E$8:$E$20)</f>
        <v>2.2349999999999999</v>
      </c>
      <c r="E90" s="25">
        <v>2.82</v>
      </c>
      <c r="F90" s="25">
        <v>2</v>
      </c>
      <c r="G90" s="110">
        <f t="shared" si="3"/>
        <v>12.605399999999998</v>
      </c>
    </row>
    <row r="91" spans="3:7" ht="15.75" x14ac:dyDescent="0.2">
      <c r="C91" s="25">
        <v>6</v>
      </c>
      <c r="D91" s="19">
        <f>LOOKUP(C91,Hoja2!$B$8:$B$20,Hoja2!$E$8:$E$20)</f>
        <v>2.2349999999999999</v>
      </c>
      <c r="E91" s="25">
        <v>5.75</v>
      </c>
      <c r="F91" s="25">
        <v>44</v>
      </c>
      <c r="G91" s="110">
        <f t="shared" si="3"/>
        <v>565.45499999999993</v>
      </c>
    </row>
    <row r="92" spans="3:7" ht="15.75" x14ac:dyDescent="0.2">
      <c r="C92" s="25">
        <v>6</v>
      </c>
      <c r="D92" s="19">
        <f>LOOKUP(C92,Hoja2!$B$8:$B$20,Hoja2!$E$8:$E$20)</f>
        <v>2.2349999999999999</v>
      </c>
      <c r="E92" s="25">
        <v>6.56</v>
      </c>
      <c r="F92" s="25">
        <v>28</v>
      </c>
      <c r="G92" s="110">
        <f t="shared" si="3"/>
        <v>410.52479999999991</v>
      </c>
    </row>
    <row r="93" spans="3:7" ht="15.75" x14ac:dyDescent="0.2">
      <c r="C93" s="25">
        <v>6</v>
      </c>
      <c r="D93" s="19">
        <f>LOOKUP(C93,Hoja2!$B$8:$B$20,Hoja2!$E$8:$E$20)</f>
        <v>2.2349999999999999</v>
      </c>
      <c r="E93" s="25">
        <v>5.97</v>
      </c>
      <c r="F93" s="25">
        <v>44</v>
      </c>
      <c r="G93" s="110">
        <f t="shared" si="3"/>
        <v>587.08979999999997</v>
      </c>
    </row>
    <row r="94" spans="3:7" ht="15.75" x14ac:dyDescent="0.2">
      <c r="C94" s="25">
        <v>5</v>
      </c>
      <c r="D94" s="19">
        <f>LOOKUP(C94,Hoja2!$B$8:$B$20,Hoja2!$E$8:$E$20)</f>
        <v>1.552</v>
      </c>
      <c r="E94" s="25">
        <v>6.56</v>
      </c>
      <c r="F94" s="25">
        <v>16</v>
      </c>
      <c r="G94" s="110">
        <f t="shared" si="3"/>
        <v>162.89792</v>
      </c>
    </row>
    <row r="95" spans="3:7" ht="15.75" x14ac:dyDescent="0.2">
      <c r="C95" s="25">
        <v>6</v>
      </c>
      <c r="D95" s="19">
        <f>LOOKUP(C95,Hoja2!$B$8:$B$20,Hoja2!$E$8:$E$20)</f>
        <v>2.2349999999999999</v>
      </c>
      <c r="E95" s="25">
        <v>6.56</v>
      </c>
      <c r="F95" s="25">
        <v>2</v>
      </c>
      <c r="G95" s="110">
        <f t="shared" si="3"/>
        <v>29.323199999999996</v>
      </c>
    </row>
    <row r="96" spans="3:7" ht="15.75" x14ac:dyDescent="0.2">
      <c r="C96" s="25">
        <v>6</v>
      </c>
      <c r="D96" s="19">
        <f>LOOKUP(C96,Hoja2!$B$8:$B$20,Hoja2!$E$8:$E$20)</f>
        <v>2.2349999999999999</v>
      </c>
      <c r="E96" s="25">
        <v>5.75</v>
      </c>
      <c r="F96" s="25">
        <v>31</v>
      </c>
      <c r="G96" s="110">
        <f t="shared" si="3"/>
        <v>398.38874999999996</v>
      </c>
    </row>
    <row r="97" spans="3:7" ht="15.75" x14ac:dyDescent="0.2">
      <c r="C97" s="25">
        <v>6</v>
      </c>
      <c r="D97" s="19">
        <f>LOOKUP(C97,Hoja2!$B$8:$B$20,Hoja2!$E$8:$E$20)</f>
        <v>2.2349999999999999</v>
      </c>
      <c r="E97" s="25">
        <v>4.43</v>
      </c>
      <c r="F97" s="25">
        <v>28</v>
      </c>
      <c r="G97" s="110">
        <f t="shared" si="3"/>
        <v>277.22939999999994</v>
      </c>
    </row>
    <row r="98" spans="3:7" ht="15.75" x14ac:dyDescent="0.2">
      <c r="C98" s="25">
        <v>6</v>
      </c>
      <c r="D98" s="19">
        <f>LOOKUP(C98,Hoja2!$B$8:$B$20,Hoja2!$E$8:$E$20)</f>
        <v>2.2349999999999999</v>
      </c>
      <c r="E98" s="25">
        <v>5.97</v>
      </c>
      <c r="F98" s="25">
        <v>31</v>
      </c>
      <c r="G98" s="110">
        <f t="shared" si="3"/>
        <v>413.63144999999997</v>
      </c>
    </row>
    <row r="99" spans="3:7" ht="15.75" x14ac:dyDescent="0.2">
      <c r="C99" s="25">
        <v>5</v>
      </c>
      <c r="D99" s="19">
        <f>LOOKUP(C99,Hoja2!$B$8:$B$20,Hoja2!$E$8:$E$20)</f>
        <v>1.552</v>
      </c>
      <c r="E99" s="25">
        <v>4.43</v>
      </c>
      <c r="F99" s="25">
        <v>16</v>
      </c>
      <c r="G99" s="110">
        <f t="shared" si="3"/>
        <v>110.00576</v>
      </c>
    </row>
    <row r="100" spans="3:7" ht="15.75" x14ac:dyDescent="0.2">
      <c r="C100" s="25">
        <v>6</v>
      </c>
      <c r="D100" s="19">
        <f>LOOKUP(C100,Hoja2!$B$8:$B$20,Hoja2!$E$8:$E$20)</f>
        <v>2.2349999999999999</v>
      </c>
      <c r="E100" s="25">
        <v>4.43</v>
      </c>
      <c r="F100" s="25">
        <v>2</v>
      </c>
      <c r="G100" s="110">
        <f t="shared" si="3"/>
        <v>19.802099999999999</v>
      </c>
    </row>
    <row r="101" spans="3:7" ht="15.75" x14ac:dyDescent="0.2">
      <c r="C101" s="25">
        <v>6</v>
      </c>
      <c r="D101" s="19">
        <f>LOOKUP(C101,Hoja2!$B$8:$B$20,Hoja2!$E$8:$E$20)</f>
        <v>2.2349999999999999</v>
      </c>
      <c r="E101" s="25">
        <v>5.75</v>
      </c>
      <c r="F101" s="25">
        <v>35</v>
      </c>
      <c r="G101" s="110">
        <f t="shared" si="3"/>
        <v>449.79374999999999</v>
      </c>
    </row>
    <row r="102" spans="3:7" ht="15.75" x14ac:dyDescent="0.2">
      <c r="C102" s="25">
        <v>6</v>
      </c>
      <c r="D102" s="19">
        <f>LOOKUP(C102,Hoja2!$B$8:$B$20,Hoja2!$E$8:$E$20)</f>
        <v>2.2349999999999999</v>
      </c>
      <c r="E102" s="25">
        <v>5.07</v>
      </c>
      <c r="F102" s="25">
        <v>28</v>
      </c>
      <c r="G102" s="110">
        <f t="shared" si="3"/>
        <v>317.28059999999999</v>
      </c>
    </row>
    <row r="103" spans="3:7" ht="15.75" x14ac:dyDescent="0.2">
      <c r="C103" s="25">
        <v>6</v>
      </c>
      <c r="D103" s="19">
        <f>LOOKUP(C103,Hoja2!$B$8:$B$20,Hoja2!$E$8:$E$20)</f>
        <v>2.2349999999999999</v>
      </c>
      <c r="E103" s="25">
        <v>5.97</v>
      </c>
      <c r="F103" s="25">
        <v>35</v>
      </c>
      <c r="G103" s="110">
        <f t="shared" si="3"/>
        <v>467.00324999999992</v>
      </c>
    </row>
    <row r="104" spans="3:7" ht="15.75" x14ac:dyDescent="0.2">
      <c r="C104" s="25">
        <v>5</v>
      </c>
      <c r="D104" s="19">
        <f>LOOKUP(C104,Hoja2!$B$8:$B$20,Hoja2!$E$8:$E$20)</f>
        <v>1.552</v>
      </c>
      <c r="E104" s="25">
        <v>5.07</v>
      </c>
      <c r="F104" s="25">
        <v>16</v>
      </c>
      <c r="G104" s="110">
        <f t="shared" si="3"/>
        <v>125.89824000000002</v>
      </c>
    </row>
    <row r="105" spans="3:7" ht="15.75" x14ac:dyDescent="0.2">
      <c r="C105" s="25">
        <v>6</v>
      </c>
      <c r="D105" s="19">
        <f>LOOKUP(C105,Hoja2!$B$8:$B$20,Hoja2!$E$8:$E$20)</f>
        <v>2.2349999999999999</v>
      </c>
      <c r="E105" s="25">
        <v>5.07</v>
      </c>
      <c r="F105" s="25">
        <v>2</v>
      </c>
      <c r="G105" s="110">
        <f t="shared" si="3"/>
        <v>22.6629</v>
      </c>
    </row>
    <row r="106" spans="3:7" ht="15.75" x14ac:dyDescent="0.2">
      <c r="C106" s="25">
        <v>18</v>
      </c>
      <c r="D106" s="19">
        <f>LOOKUP(C106,Hoja2!$B$8:$B$20,Hoja2!$E$8:$E$20)</f>
        <v>1.996</v>
      </c>
      <c r="E106" s="25">
        <v>3.55</v>
      </c>
      <c r="F106" s="25">
        <v>18</v>
      </c>
      <c r="G106" s="110">
        <f t="shared" si="3"/>
        <v>127.5444</v>
      </c>
    </row>
    <row r="107" spans="3:7" ht="15.75" x14ac:dyDescent="0.2">
      <c r="C107" s="25">
        <v>4</v>
      </c>
      <c r="D107" s="19">
        <f>LOOKUP(C107,Hoja2!$B$8:$B$20,Hoja2!$E$8:$E$20)</f>
        <v>0.99399999999999999</v>
      </c>
      <c r="E107" s="25">
        <v>2.64</v>
      </c>
      <c r="F107" s="25">
        <v>10</v>
      </c>
      <c r="G107" s="110">
        <f t="shared" si="3"/>
        <v>26.241600000000002</v>
      </c>
    </row>
    <row r="108" spans="3:7" ht="15.75" x14ac:dyDescent="0.2">
      <c r="C108" s="25">
        <v>18</v>
      </c>
      <c r="D108" s="19">
        <f>LOOKUP(C108,Hoja2!$B$8:$B$20,Hoja2!$E$8:$E$20)</f>
        <v>1.996</v>
      </c>
      <c r="E108" s="25">
        <f>(4.55+2.15)/2</f>
        <v>3.3499999999999996</v>
      </c>
      <c r="F108" s="25">
        <v>18</v>
      </c>
      <c r="G108" s="110">
        <f t="shared" si="3"/>
        <v>120.35879999999999</v>
      </c>
    </row>
    <row r="109" spans="3:7" ht="15.75" x14ac:dyDescent="0.2">
      <c r="C109" s="25">
        <v>4</v>
      </c>
      <c r="D109" s="19">
        <f>LOOKUP(C109,Hoja2!$B$8:$B$20,Hoja2!$E$8:$E$20)</f>
        <v>0.99399999999999999</v>
      </c>
      <c r="E109" s="25">
        <v>2.64</v>
      </c>
      <c r="F109" s="25">
        <v>8</v>
      </c>
      <c r="G109" s="110">
        <f t="shared" si="3"/>
        <v>20.993280000000002</v>
      </c>
    </row>
    <row r="110" spans="3:7" ht="15.75" x14ac:dyDescent="0.2">
      <c r="C110" s="25">
        <v>18</v>
      </c>
      <c r="D110" s="19">
        <f>LOOKUP(C110,Hoja2!$B$8:$B$20,Hoja2!$E$8:$E$20)</f>
        <v>1.996</v>
      </c>
      <c r="E110" s="25">
        <v>2.64</v>
      </c>
      <c r="F110" s="25">
        <v>2</v>
      </c>
      <c r="G110" s="110">
        <f t="shared" si="3"/>
        <v>10.538880000000001</v>
      </c>
    </row>
    <row r="111" spans="3:7" ht="15.75" x14ac:dyDescent="0.2">
      <c r="C111" s="25">
        <v>18</v>
      </c>
      <c r="D111" s="19">
        <f>LOOKUP(C111,Hoja2!$B$8:$B$20,Hoja2!$E$8:$E$20)</f>
        <v>1.996</v>
      </c>
      <c r="E111" s="25">
        <v>3.55</v>
      </c>
      <c r="F111" s="25">
        <v>47</v>
      </c>
      <c r="G111" s="110">
        <f t="shared" si="3"/>
        <v>333.0326</v>
      </c>
    </row>
    <row r="112" spans="3:7" ht="15.75" x14ac:dyDescent="0.2">
      <c r="C112" s="25">
        <v>4</v>
      </c>
      <c r="D112" s="19">
        <f>LOOKUP(C112,Hoja2!$B$8:$B$20,Hoja2!$E$8:$E$20)</f>
        <v>0.99399999999999999</v>
      </c>
      <c r="E112" s="25">
        <v>7.02</v>
      </c>
      <c r="F112" s="25">
        <v>10</v>
      </c>
      <c r="G112" s="110">
        <f t="shared" si="3"/>
        <v>69.77879999999999</v>
      </c>
    </row>
    <row r="113" spans="3:7" ht="15.75" x14ac:dyDescent="0.2">
      <c r="C113" s="25">
        <v>18</v>
      </c>
      <c r="D113" s="19">
        <f>LOOKUP(C113,Hoja2!$B$8:$B$20,Hoja2!$E$8:$E$20)</f>
        <v>1.996</v>
      </c>
      <c r="E113" s="25">
        <v>3.25</v>
      </c>
      <c r="F113" s="25">
        <v>47</v>
      </c>
      <c r="G113" s="110">
        <f t="shared" si="3"/>
        <v>304.88900000000001</v>
      </c>
    </row>
    <row r="114" spans="3:7" ht="15.75" x14ac:dyDescent="0.2">
      <c r="C114" s="25">
        <v>4</v>
      </c>
      <c r="D114" s="19">
        <f>LOOKUP(C114,Hoja2!$B$8:$B$20,Hoja2!$E$8:$E$20)</f>
        <v>0.99399999999999999</v>
      </c>
      <c r="E114" s="25">
        <v>7.02</v>
      </c>
      <c r="F114" s="25">
        <v>10</v>
      </c>
      <c r="G114" s="110">
        <f t="shared" si="3"/>
        <v>69.77879999999999</v>
      </c>
    </row>
    <row r="115" spans="3:7" ht="15.75" x14ac:dyDescent="0.2">
      <c r="C115" s="25">
        <v>18</v>
      </c>
      <c r="D115" s="19">
        <f>LOOKUP(C115,Hoja2!$B$8:$B$20,Hoja2!$E$8:$E$20)</f>
        <v>1.996</v>
      </c>
      <c r="E115" s="25">
        <v>7.02</v>
      </c>
      <c r="F115" s="25">
        <v>2</v>
      </c>
      <c r="G115" s="110">
        <f t="shared" si="3"/>
        <v>28.02384</v>
      </c>
    </row>
    <row r="116" spans="3:7" ht="15.75" x14ac:dyDescent="0.2">
      <c r="C116" s="25">
        <v>18</v>
      </c>
      <c r="D116" s="19">
        <f>LOOKUP(C116,Hoja2!$B$8:$B$20,Hoja2!$E$8:$E$20)</f>
        <v>1.996</v>
      </c>
      <c r="E116" s="25">
        <v>3.55</v>
      </c>
      <c r="F116" s="25">
        <v>27</v>
      </c>
      <c r="G116" s="110">
        <f t="shared" si="3"/>
        <v>191.31659999999999</v>
      </c>
    </row>
    <row r="117" spans="3:7" ht="15.75" x14ac:dyDescent="0.2">
      <c r="C117" s="25">
        <v>4</v>
      </c>
      <c r="D117" s="19">
        <f>LOOKUP(C117,Hoja2!$B$8:$B$20,Hoja2!$E$8:$E$20)</f>
        <v>0.99399999999999999</v>
      </c>
      <c r="E117" s="25">
        <v>3.86</v>
      </c>
      <c r="F117" s="25">
        <v>10</v>
      </c>
      <c r="G117" s="110">
        <f t="shared" si="3"/>
        <v>38.368400000000001</v>
      </c>
    </row>
    <row r="118" spans="3:7" ht="15.75" x14ac:dyDescent="0.2">
      <c r="C118" s="25">
        <v>18</v>
      </c>
      <c r="D118" s="19">
        <f>LOOKUP(C118,Hoja2!$B$8:$B$20,Hoja2!$E$8:$E$20)</f>
        <v>1.996</v>
      </c>
      <c r="E118" s="25">
        <f>(4.75+2.35)/2</f>
        <v>3.55</v>
      </c>
      <c r="F118" s="25">
        <v>27</v>
      </c>
      <c r="G118" s="110">
        <f t="shared" ref="G118:G130" si="5">F118*E118*D118</f>
        <v>191.31659999999999</v>
      </c>
    </row>
    <row r="119" spans="3:7" ht="15.75" x14ac:dyDescent="0.2">
      <c r="C119" s="25">
        <v>4</v>
      </c>
      <c r="D119" s="19">
        <f>LOOKUP(C119,Hoja2!$B$8:$B$20,Hoja2!$E$8:$E$20)</f>
        <v>0.99399999999999999</v>
      </c>
      <c r="E119" s="25">
        <v>3.86</v>
      </c>
      <c r="F119" s="25">
        <v>8</v>
      </c>
      <c r="G119" s="110">
        <f t="shared" si="5"/>
        <v>30.69472</v>
      </c>
    </row>
    <row r="120" spans="3:7" ht="15.75" x14ac:dyDescent="0.2">
      <c r="C120" s="25">
        <v>18</v>
      </c>
      <c r="D120" s="19">
        <f>LOOKUP(C120,Hoja2!$B$8:$B$20,Hoja2!$E$8:$E$20)</f>
        <v>1.996</v>
      </c>
      <c r="E120" s="25">
        <v>3.86</v>
      </c>
      <c r="F120" s="25">
        <v>2</v>
      </c>
      <c r="G120" s="110">
        <f t="shared" si="5"/>
        <v>15.40912</v>
      </c>
    </row>
    <row r="121" spans="3:7" ht="15.75" x14ac:dyDescent="0.2">
      <c r="C121" s="25">
        <v>18</v>
      </c>
      <c r="D121" s="19">
        <f>LOOKUP(C121,Hoja2!$B$8:$B$20,Hoja2!$E$8:$E$20)</f>
        <v>1.996</v>
      </c>
      <c r="E121" s="25">
        <v>3.55</v>
      </c>
      <c r="F121" s="25">
        <v>28</v>
      </c>
      <c r="G121" s="110">
        <f t="shared" si="5"/>
        <v>198.40239999999997</v>
      </c>
    </row>
    <row r="122" spans="3:7" ht="15.75" x14ac:dyDescent="0.2">
      <c r="C122" s="25">
        <v>4</v>
      </c>
      <c r="D122" s="19">
        <f>LOOKUP(C122,Hoja2!$B$8:$B$20,Hoja2!$E$8:$E$20)</f>
        <v>0.99399999999999999</v>
      </c>
      <c r="E122" s="25">
        <v>4.1100000000000003</v>
      </c>
      <c r="F122" s="25">
        <v>10</v>
      </c>
      <c r="G122" s="110">
        <f t="shared" si="5"/>
        <v>40.853400000000001</v>
      </c>
    </row>
    <row r="123" spans="3:7" ht="15.75" x14ac:dyDescent="0.2">
      <c r="C123" s="25">
        <v>18</v>
      </c>
      <c r="D123" s="19">
        <f>LOOKUP(C123,Hoja2!$B$8:$B$20,Hoja2!$E$8:$E$20)</f>
        <v>1.996</v>
      </c>
      <c r="E123" s="25">
        <f>(4.15+2.15)/2</f>
        <v>3.1500000000000004</v>
      </c>
      <c r="F123" s="25">
        <v>28</v>
      </c>
      <c r="G123" s="110">
        <f t="shared" si="5"/>
        <v>176.04720000000003</v>
      </c>
    </row>
    <row r="124" spans="3:7" ht="15.75" x14ac:dyDescent="0.2">
      <c r="C124" s="25">
        <v>4</v>
      </c>
      <c r="D124" s="19">
        <f>LOOKUP(C124,Hoja2!$B$8:$B$20,Hoja2!$E$8:$E$20)</f>
        <v>0.99399999999999999</v>
      </c>
      <c r="E124" s="25">
        <v>4.1100000000000003</v>
      </c>
      <c r="F124" s="25">
        <v>10</v>
      </c>
      <c r="G124" s="110">
        <f t="shared" si="5"/>
        <v>40.853400000000001</v>
      </c>
    </row>
    <row r="125" spans="3:7" ht="15.75" x14ac:dyDescent="0.2">
      <c r="C125" s="25">
        <v>18</v>
      </c>
      <c r="D125" s="19">
        <f>LOOKUP(C125,Hoja2!$B$8:$B$20,Hoja2!$E$8:$E$20)</f>
        <v>1.996</v>
      </c>
      <c r="E125" s="25">
        <v>4.1100000000000003</v>
      </c>
      <c r="F125" s="25">
        <v>2</v>
      </c>
      <c r="G125" s="110">
        <f t="shared" si="5"/>
        <v>16.407120000000003</v>
      </c>
    </row>
    <row r="126" spans="3:7" ht="15.75" x14ac:dyDescent="0.2">
      <c r="C126" s="25">
        <v>18</v>
      </c>
      <c r="D126" s="19">
        <f>LOOKUP(C126,Hoja2!$B$8:$B$20,Hoja2!$E$8:$E$20)</f>
        <v>1.996</v>
      </c>
      <c r="E126" s="25">
        <v>3.55</v>
      </c>
      <c r="F126" s="25">
        <v>28</v>
      </c>
      <c r="G126" s="110">
        <f t="shared" si="5"/>
        <v>198.40239999999997</v>
      </c>
    </row>
    <row r="127" spans="3:7" ht="15.75" x14ac:dyDescent="0.2">
      <c r="C127" s="25">
        <v>4</v>
      </c>
      <c r="D127" s="19">
        <f>LOOKUP(C127,Hoja2!$B$8:$B$20,Hoja2!$E$8:$E$20)</f>
        <v>0.99399999999999999</v>
      </c>
      <c r="E127" s="25">
        <v>4.1100000000000003</v>
      </c>
      <c r="F127" s="25">
        <v>10</v>
      </c>
      <c r="G127" s="110">
        <f t="shared" si="5"/>
        <v>40.853400000000001</v>
      </c>
    </row>
    <row r="128" spans="3:7" ht="15.75" x14ac:dyDescent="0.2">
      <c r="C128" s="25">
        <v>18</v>
      </c>
      <c r="D128" s="19">
        <f>LOOKUP(C128,Hoja2!$B$8:$B$20,Hoja2!$E$8:$E$20)</f>
        <v>1.996</v>
      </c>
      <c r="E128" s="25">
        <f>(5.55+4.15)/2</f>
        <v>4.8499999999999996</v>
      </c>
      <c r="F128" s="25">
        <v>28</v>
      </c>
      <c r="G128" s="110">
        <f t="shared" si="5"/>
        <v>271.05679999999995</v>
      </c>
    </row>
    <row r="129" spans="3:7" ht="15.75" x14ac:dyDescent="0.2">
      <c r="C129" s="25">
        <v>4</v>
      </c>
      <c r="D129" s="19">
        <f>LOOKUP(C129,Hoja2!$B$8:$B$20,Hoja2!$E$8:$E$20)</f>
        <v>0.99399999999999999</v>
      </c>
      <c r="E129" s="25">
        <v>4.1100000000000003</v>
      </c>
      <c r="F129" s="25">
        <v>16</v>
      </c>
      <c r="G129" s="110">
        <f t="shared" si="5"/>
        <v>65.365440000000007</v>
      </c>
    </row>
    <row r="130" spans="3:7" ht="15.75" x14ac:dyDescent="0.2">
      <c r="C130" s="25">
        <v>18</v>
      </c>
      <c r="D130" s="19">
        <f>LOOKUP(C130,Hoja2!$B$8:$B$20,Hoja2!$E$8:$E$20)</f>
        <v>1.996</v>
      </c>
      <c r="E130" s="25">
        <v>4.1100000000000003</v>
      </c>
      <c r="F130" s="25">
        <v>2</v>
      </c>
      <c r="G130" s="110">
        <f t="shared" si="5"/>
        <v>16.407120000000003</v>
      </c>
    </row>
    <row r="131" spans="3:7" ht="15" x14ac:dyDescent="0.25">
      <c r="G131" s="111">
        <f>SUM(G53:G130)</f>
        <v>21048.250779999991</v>
      </c>
    </row>
  </sheetData>
  <mergeCells count="2">
    <mergeCell ref="E7:I7"/>
    <mergeCell ref="A11:D11"/>
  </mergeCells>
  <pageMargins left="0.7" right="0.7" top="0.75" bottom="0.75" header="0.3" footer="0.3"/>
  <pageSetup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5093-8BA0-40BA-8B23-ADF29E41C2F4}">
  <sheetPr>
    <tabColor rgb="FFFFFF00"/>
  </sheetPr>
  <dimension ref="A2:O77"/>
  <sheetViews>
    <sheetView view="pageBreakPreview" topLeftCell="A27" zoomScale="85" zoomScaleNormal="85" zoomScaleSheetLayoutView="85" workbookViewId="0">
      <selection activeCell="D32" sqref="D32"/>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78</v>
      </c>
      <c r="F7" s="150"/>
      <c r="G7" s="150"/>
      <c r="H7" s="150"/>
      <c r="I7" s="150"/>
    </row>
    <row r="10" spans="1:9" ht="38.25" x14ac:dyDescent="0.2">
      <c r="A10" s="28" t="s">
        <v>26</v>
      </c>
      <c r="B10" s="32" t="s">
        <v>27</v>
      </c>
      <c r="C10" s="29" t="s">
        <v>28</v>
      </c>
      <c r="D10" s="37" t="s">
        <v>79</v>
      </c>
    </row>
    <row r="11" spans="1:9" x14ac:dyDescent="0.2">
      <c r="A11" s="151" t="s">
        <v>57</v>
      </c>
      <c r="B11" s="152"/>
      <c r="C11" s="152"/>
      <c r="D11" s="153"/>
    </row>
    <row r="12" spans="1:9" ht="63" x14ac:dyDescent="0.2">
      <c r="A12" s="31">
        <v>6021</v>
      </c>
      <c r="B12" s="30" t="s">
        <v>58</v>
      </c>
      <c r="C12" s="40" t="s">
        <v>29</v>
      </c>
      <c r="D12" s="43">
        <f>(2.3*E40*0.05)+(0.6*G40*0.05)+(1.8*H40*0.05)+(1*J40*0.05)+(3*D40*0.05)+(1.5*I40*0.05)</f>
        <v>6.9261000000000008</v>
      </c>
    </row>
    <row r="13" spans="1:9" ht="47.25" x14ac:dyDescent="0.2">
      <c r="A13" s="31" t="s">
        <v>38</v>
      </c>
      <c r="B13" s="30" t="s">
        <v>59</v>
      </c>
      <c r="C13" s="31" t="s">
        <v>29</v>
      </c>
      <c r="D13" s="56">
        <f>SUM(D14:D17)</f>
        <v>126.46809999999999</v>
      </c>
      <c r="E13" s="47"/>
    </row>
    <row r="14" spans="1:9" ht="15.75" x14ac:dyDescent="0.2">
      <c r="A14" s="31"/>
      <c r="B14" s="55" t="s">
        <v>63</v>
      </c>
      <c r="C14" s="31"/>
      <c r="D14" s="45">
        <f>SUM(K57:O57)</f>
        <v>121.77609999999999</v>
      </c>
      <c r="E14" s="47"/>
    </row>
    <row r="15" spans="1:9" ht="15.75" x14ac:dyDescent="0.2">
      <c r="A15" s="31"/>
      <c r="B15" s="65" t="s">
        <v>64</v>
      </c>
      <c r="C15" s="31"/>
      <c r="D15" s="67">
        <f>(0.01*36*1.6*2)</f>
        <v>1.1519999999999999</v>
      </c>
      <c r="E15" s="47"/>
    </row>
    <row r="16" spans="1:9" ht="15.75" x14ac:dyDescent="0.2">
      <c r="A16" s="31"/>
      <c r="B16" s="65" t="s">
        <v>66</v>
      </c>
      <c r="C16" s="31"/>
      <c r="D16" s="70">
        <v>3.54</v>
      </c>
      <c r="E16" s="47"/>
    </row>
    <row r="17" spans="1:7" ht="15.75" x14ac:dyDescent="0.2">
      <c r="A17" s="31"/>
      <c r="B17" s="65" t="s">
        <v>65</v>
      </c>
      <c r="C17" s="31"/>
      <c r="D17" s="70">
        <v>0</v>
      </c>
      <c r="E17" s="47"/>
    </row>
    <row r="18" spans="1:7" ht="126" x14ac:dyDescent="0.2">
      <c r="A18" s="31">
        <v>3708</v>
      </c>
      <c r="B18" s="53" t="s">
        <v>39</v>
      </c>
      <c r="C18" s="31" t="s">
        <v>30</v>
      </c>
      <c r="D18" s="68">
        <f>SUM(D19:D22)</f>
        <v>19408.230459999999</v>
      </c>
    </row>
    <row r="19" spans="1:7" ht="15.75" x14ac:dyDescent="0.2">
      <c r="A19" s="31"/>
      <c r="B19" s="65" t="s">
        <v>63</v>
      </c>
      <c r="C19" s="31"/>
      <c r="D19" s="69">
        <f>G77</f>
        <v>18747.63046</v>
      </c>
    </row>
    <row r="20" spans="1:7" ht="15.75" x14ac:dyDescent="0.2">
      <c r="A20" s="31"/>
      <c r="B20" s="65" t="s">
        <v>64</v>
      </c>
      <c r="C20" s="31"/>
      <c r="D20" s="69">
        <f>(36*1.6*0.25*2)+126</f>
        <v>154.80000000000001</v>
      </c>
    </row>
    <row r="21" spans="1:7" ht="15.75" x14ac:dyDescent="0.2">
      <c r="A21" s="31"/>
      <c r="B21" s="65" t="s">
        <v>66</v>
      </c>
      <c r="C21" s="31"/>
      <c r="D21" s="71">
        <v>505.8</v>
      </c>
    </row>
    <row r="22" spans="1:7" ht="15.75" x14ac:dyDescent="0.2">
      <c r="A22" s="31"/>
      <c r="B22" s="65" t="s">
        <v>65</v>
      </c>
      <c r="C22" s="31"/>
      <c r="D22" s="71">
        <v>0</v>
      </c>
    </row>
    <row r="23" spans="1:7" ht="31.5" x14ac:dyDescent="0.2">
      <c r="A23" s="34">
        <v>3464</v>
      </c>
      <c r="B23" s="53" t="s">
        <v>117</v>
      </c>
      <c r="C23" s="31" t="s">
        <v>29</v>
      </c>
      <c r="D23" s="67">
        <f>(1.6*1*G40)+(2.8*0.6*H40)+(2*1.2*J40)+(4*1.7*D40)+(3.3*1.5*E40)</f>
        <v>195.29639999999998</v>
      </c>
    </row>
    <row r="24" spans="1:7" ht="84" customHeight="1" x14ac:dyDescent="0.2">
      <c r="A24" s="34">
        <v>3017</v>
      </c>
      <c r="B24" s="35" t="s">
        <v>33</v>
      </c>
      <c r="C24" s="31" t="s">
        <v>29</v>
      </c>
      <c r="D24" s="45">
        <f>D23</f>
        <v>195.29639999999998</v>
      </c>
    </row>
    <row r="25" spans="1:7" ht="72" customHeight="1" x14ac:dyDescent="0.2">
      <c r="A25" s="100">
        <v>7364</v>
      </c>
      <c r="B25" s="101" t="s">
        <v>118</v>
      </c>
      <c r="C25" s="31" t="s">
        <v>29</v>
      </c>
      <c r="D25" s="45">
        <f>D23-D13</f>
        <v>68.828299999999984</v>
      </c>
    </row>
    <row r="26" spans="1:7" ht="31.5" x14ac:dyDescent="0.2">
      <c r="A26" s="102"/>
      <c r="B26" s="53" t="s">
        <v>119</v>
      </c>
      <c r="C26" s="54" t="s">
        <v>34</v>
      </c>
      <c r="D26" s="67">
        <f>27.9*1.6</f>
        <v>44.64</v>
      </c>
    </row>
    <row r="27" spans="1:7" ht="266.25" customHeight="1" x14ac:dyDescent="0.2">
      <c r="A27" s="52"/>
      <c r="B27" s="53" t="s">
        <v>104</v>
      </c>
      <c r="C27" s="84" t="s">
        <v>75</v>
      </c>
      <c r="D27" s="67">
        <v>75.3</v>
      </c>
      <c r="E27" s="2"/>
      <c r="F27" s="2"/>
      <c r="G27" s="2"/>
    </row>
    <row r="28" spans="1:7" ht="31.5" x14ac:dyDescent="0.2">
      <c r="A28" s="54">
        <v>4009</v>
      </c>
      <c r="B28" s="53" t="s">
        <v>74</v>
      </c>
      <c r="C28" s="54" t="s">
        <v>34</v>
      </c>
      <c r="D28" s="67">
        <v>161.94</v>
      </c>
      <c r="E28" s="2"/>
      <c r="F28" s="2"/>
      <c r="G28" s="2"/>
    </row>
    <row r="29" spans="1:7" ht="31.5" x14ac:dyDescent="0.2">
      <c r="A29" s="54">
        <v>5412</v>
      </c>
      <c r="B29" s="53" t="s">
        <v>230</v>
      </c>
      <c r="C29" s="83" t="s">
        <v>29</v>
      </c>
      <c r="D29" s="67">
        <v>24.3</v>
      </c>
      <c r="E29" s="2"/>
      <c r="F29" s="2"/>
      <c r="G29" s="2"/>
    </row>
    <row r="30" spans="1:7" ht="31.5" x14ac:dyDescent="0.2">
      <c r="A30" s="54">
        <v>3905</v>
      </c>
      <c r="B30" s="53" t="s">
        <v>73</v>
      </c>
      <c r="C30" s="54" t="s">
        <v>75</v>
      </c>
      <c r="D30" s="67">
        <v>75.3</v>
      </c>
      <c r="E30" s="2"/>
      <c r="F30" s="2"/>
      <c r="G30" s="2"/>
    </row>
    <row r="31" spans="1:7" ht="31.5" x14ac:dyDescent="0.2">
      <c r="A31" s="54">
        <v>3904</v>
      </c>
      <c r="B31" s="53" t="s">
        <v>229</v>
      </c>
      <c r="C31" s="84" t="s">
        <v>75</v>
      </c>
      <c r="D31" s="67">
        <f>25*0.3</f>
        <v>7.5</v>
      </c>
      <c r="E31" s="2"/>
      <c r="F31" s="2"/>
      <c r="G31" s="2"/>
    </row>
    <row r="32" spans="1:7" ht="15.75" x14ac:dyDescent="0.2">
      <c r="A32" s="50"/>
      <c r="B32" s="41"/>
      <c r="C32" s="42"/>
      <c r="D32" s="51"/>
      <c r="E32" s="2"/>
      <c r="F32" s="2"/>
      <c r="G32" s="2"/>
    </row>
    <row r="33" spans="1:10" ht="15.75" x14ac:dyDescent="0.2">
      <c r="A33" s="50"/>
      <c r="B33" s="41"/>
      <c r="C33" s="42"/>
      <c r="D33" s="51"/>
      <c r="E33" s="2"/>
      <c r="F33" s="2"/>
      <c r="G33" s="2"/>
    </row>
    <row r="34" spans="1:10" ht="15.75" x14ac:dyDescent="0.2">
      <c r="D34" s="19" t="s">
        <v>70</v>
      </c>
      <c r="E34" s="19" t="s">
        <v>43</v>
      </c>
      <c r="F34" s="19" t="s">
        <v>41</v>
      </c>
      <c r="G34" s="19" t="s">
        <v>42</v>
      </c>
      <c r="H34" s="25" t="s">
        <v>55</v>
      </c>
      <c r="I34" s="25" t="s">
        <v>56</v>
      </c>
      <c r="J34" s="25" t="s">
        <v>54</v>
      </c>
    </row>
    <row r="35" spans="1:10" ht="15.75" x14ac:dyDescent="0.2">
      <c r="D35" s="19"/>
      <c r="E35" s="19"/>
      <c r="F35" s="19"/>
      <c r="G35" s="19"/>
    </row>
    <row r="36" spans="1:10" ht="15.75" x14ac:dyDescent="0.2">
      <c r="D36" s="19"/>
      <c r="E36" s="19"/>
      <c r="F36" s="19"/>
      <c r="G36" s="19"/>
    </row>
    <row r="37" spans="1:10" ht="15.75" x14ac:dyDescent="0.2">
      <c r="D37" s="19"/>
      <c r="E37" s="19"/>
      <c r="F37" s="19"/>
      <c r="G37" s="19"/>
    </row>
    <row r="38" spans="1:10" ht="15.75" x14ac:dyDescent="0.2">
      <c r="D38" s="19"/>
      <c r="E38" s="19"/>
      <c r="F38" s="19"/>
      <c r="G38" s="19"/>
      <c r="H38" s="25">
        <f>8.18+5.9+5.9</f>
        <v>19.98</v>
      </c>
    </row>
    <row r="39" spans="1:10" ht="15.75" x14ac:dyDescent="0.2">
      <c r="D39" s="19"/>
      <c r="E39" s="19">
        <f>4.89+4.89+4.89+4.89</f>
        <v>19.559999999999999</v>
      </c>
      <c r="F39" s="19"/>
      <c r="G39" s="19"/>
      <c r="H39" s="25">
        <f>5.55+5.55+5.55+5.55+5.55</f>
        <v>27.75</v>
      </c>
      <c r="J39" s="25">
        <v>7.62</v>
      </c>
    </row>
    <row r="40" spans="1:10" ht="28.5" x14ac:dyDescent="0.2">
      <c r="C40" s="38" t="s">
        <v>51</v>
      </c>
      <c r="D40" s="36">
        <f t="shared" ref="D40:J40" si="0">SUM(D35:D39)</f>
        <v>0</v>
      </c>
      <c r="E40" s="36">
        <f t="shared" si="0"/>
        <v>19.559999999999999</v>
      </c>
      <c r="F40" s="36">
        <f t="shared" si="0"/>
        <v>0</v>
      </c>
      <c r="G40" s="36">
        <f t="shared" si="0"/>
        <v>0</v>
      </c>
      <c r="H40" s="36">
        <f t="shared" si="0"/>
        <v>47.730000000000004</v>
      </c>
      <c r="I40" s="36">
        <f t="shared" si="0"/>
        <v>0</v>
      </c>
      <c r="J40" s="36">
        <f t="shared" si="0"/>
        <v>7.62</v>
      </c>
    </row>
    <row r="42" spans="1:10" x14ac:dyDescent="0.2">
      <c r="C42" s="25" t="s">
        <v>52</v>
      </c>
      <c r="D42" s="39">
        <f>1.78*D40</f>
        <v>0</v>
      </c>
      <c r="E42" s="39">
        <f>1.08*E40</f>
        <v>21.1248</v>
      </c>
      <c r="F42" s="39">
        <v>0</v>
      </c>
      <c r="G42" s="39">
        <f>0.12*G40</f>
        <v>0</v>
      </c>
      <c r="H42" s="39">
        <f>0.63*H40</f>
        <v>30.069900000000004</v>
      </c>
      <c r="I42" s="39">
        <f>0.64*I40</f>
        <v>0</v>
      </c>
      <c r="J42" s="59">
        <f>0.3*J40</f>
        <v>2.286</v>
      </c>
    </row>
    <row r="43" spans="1:10" x14ac:dyDescent="0.2">
      <c r="C43" s="25" t="s">
        <v>53</v>
      </c>
      <c r="D43" s="59">
        <f>1.5*D40</f>
        <v>0</v>
      </c>
      <c r="E43" s="59">
        <f>1.17*E40</f>
        <v>22.885199999999998</v>
      </c>
      <c r="F43" s="59">
        <f>4*0.3*F40</f>
        <v>0</v>
      </c>
      <c r="G43" s="59">
        <f>1.4*0.2*G40</f>
        <v>0</v>
      </c>
      <c r="H43" s="39">
        <f>2.65*0.3*H40</f>
        <v>37.945349999999998</v>
      </c>
      <c r="I43" s="25">
        <v>0</v>
      </c>
      <c r="J43" s="60">
        <f>0.9*0.2*J40</f>
        <v>1.3716000000000002</v>
      </c>
    </row>
    <row r="44" spans="1:10" ht="15" x14ac:dyDescent="0.25">
      <c r="D44" s="44">
        <f t="shared" ref="D44:J44" si="1">D42+D43</f>
        <v>0</v>
      </c>
      <c r="E44" s="44">
        <f t="shared" si="1"/>
        <v>44.01</v>
      </c>
      <c r="F44" s="44">
        <f t="shared" si="1"/>
        <v>0</v>
      </c>
      <c r="G44" s="44">
        <f t="shared" si="1"/>
        <v>0</v>
      </c>
      <c r="H44" s="44">
        <f t="shared" si="1"/>
        <v>68.015250000000009</v>
      </c>
      <c r="I44" s="44">
        <f t="shared" si="1"/>
        <v>0</v>
      </c>
      <c r="J44" s="44">
        <f t="shared" si="1"/>
        <v>3.6576000000000004</v>
      </c>
    </row>
    <row r="47" spans="1:10" x14ac:dyDescent="0.2">
      <c r="C47" s="25" t="s">
        <v>60</v>
      </c>
      <c r="D47" s="47">
        <f>269*D40</f>
        <v>0</v>
      </c>
      <c r="E47" s="47">
        <f>128*E40</f>
        <v>2503.6799999999998</v>
      </c>
      <c r="G47" s="47">
        <f>14*G40</f>
        <v>0</v>
      </c>
      <c r="H47" s="47">
        <f>55*H40</f>
        <v>2625.15</v>
      </c>
      <c r="J47" s="47">
        <f>43*J40</f>
        <v>327.66000000000003</v>
      </c>
    </row>
    <row r="48" spans="1:10" x14ac:dyDescent="0.2">
      <c r="C48" s="25" t="s">
        <v>61</v>
      </c>
      <c r="D48" s="47">
        <f>314*D40</f>
        <v>0</v>
      </c>
      <c r="E48" s="47">
        <f>149*E40</f>
        <v>2914.4399999999996</v>
      </c>
      <c r="F48" s="47">
        <f>234*F40</f>
        <v>0</v>
      </c>
      <c r="G48" s="47">
        <f>23*G40</f>
        <v>0</v>
      </c>
      <c r="H48" s="47">
        <f>132*H40</f>
        <v>6300.3600000000006</v>
      </c>
      <c r="I48" s="47">
        <f>47*I40</f>
        <v>0</v>
      </c>
      <c r="J48" s="47">
        <f>38*J40</f>
        <v>289.56</v>
      </c>
    </row>
    <row r="49" spans="3:15" ht="15" x14ac:dyDescent="0.25">
      <c r="D49" s="48">
        <f t="shared" ref="D49:J49" si="2">SUM(D47:D48)</f>
        <v>0</v>
      </c>
      <c r="E49" s="48">
        <f t="shared" si="2"/>
        <v>5418.119999999999</v>
      </c>
      <c r="F49" s="48">
        <f t="shared" si="2"/>
        <v>0</v>
      </c>
      <c r="G49" s="48">
        <f t="shared" si="2"/>
        <v>0</v>
      </c>
      <c r="H49" s="48">
        <f t="shared" si="2"/>
        <v>8925.51</v>
      </c>
      <c r="I49" s="48">
        <f t="shared" si="2"/>
        <v>0</v>
      </c>
      <c r="J49" s="48">
        <f t="shared" si="2"/>
        <v>617.22</v>
      </c>
    </row>
    <row r="52" spans="3:15" ht="15.75" x14ac:dyDescent="0.2">
      <c r="C52" s="25" t="s">
        <v>122</v>
      </c>
      <c r="D52" s="19" t="s">
        <v>145</v>
      </c>
      <c r="E52" s="19" t="s">
        <v>146</v>
      </c>
      <c r="F52" s="19" t="s">
        <v>147</v>
      </c>
      <c r="G52" s="19" t="s">
        <v>148</v>
      </c>
      <c r="K52" s="25" t="s">
        <v>54</v>
      </c>
      <c r="L52" s="22" t="s">
        <v>166</v>
      </c>
      <c r="M52" s="22" t="s">
        <v>164</v>
      </c>
      <c r="N52" s="22" t="s">
        <v>161</v>
      </c>
      <c r="O52" s="22" t="s">
        <v>173</v>
      </c>
    </row>
    <row r="53" spans="3:15" ht="15.75" x14ac:dyDescent="0.2">
      <c r="C53" s="25">
        <v>6</v>
      </c>
      <c r="D53" s="19">
        <f>LOOKUP(C53,Hoja2!$B$8:$B$20,Hoja2!$E$8:$E$20)</f>
        <v>2.2349999999999999</v>
      </c>
      <c r="E53" s="19">
        <v>5.75</v>
      </c>
      <c r="F53" s="19">
        <v>39</v>
      </c>
      <c r="G53" s="110">
        <f>F53*E53*D53</f>
        <v>501.19874999999996</v>
      </c>
      <c r="H53" s="154">
        <f>SUM(G53:G57)</f>
        <v>1558.07034</v>
      </c>
      <c r="K53" s="25">
        <f>0.48*11.32</f>
        <v>5.4336000000000002</v>
      </c>
      <c r="L53" s="22">
        <f>1.73*4.89</f>
        <v>8.4596999999999998</v>
      </c>
      <c r="M53" s="114">
        <f>1.73*(8.18+5.88)</f>
        <v>24.323799999999999</v>
      </c>
      <c r="N53" s="114">
        <f>1.73*(5.88+5.55)</f>
        <v>19.773899999999998</v>
      </c>
      <c r="O53" s="22">
        <f>1.73*5.55</f>
        <v>9.6014999999999997</v>
      </c>
    </row>
    <row r="54" spans="3:15" ht="15.75" x14ac:dyDescent="0.2">
      <c r="C54" s="25">
        <v>6</v>
      </c>
      <c r="D54" s="19">
        <f>LOOKUP(C54,Hoja2!$B$8:$B$20,Hoja2!$E$8:$E$20)</f>
        <v>2.2349999999999999</v>
      </c>
      <c r="E54" s="25">
        <v>5.82</v>
      </c>
      <c r="F54" s="25">
        <v>28</v>
      </c>
      <c r="G54" s="110">
        <f t="shared" ref="G54:G76" si="3">F54*E54*D54</f>
        <v>364.21559999999999</v>
      </c>
      <c r="H54" s="155"/>
      <c r="L54" s="22">
        <f>1.73*4.89</f>
        <v>8.4596999999999998</v>
      </c>
      <c r="M54" s="114"/>
      <c r="N54" s="114"/>
      <c r="O54" s="22">
        <f>1.73*5.55</f>
        <v>9.6014999999999997</v>
      </c>
    </row>
    <row r="55" spans="3:15" ht="15.75" x14ac:dyDescent="0.2">
      <c r="C55" s="25">
        <v>6</v>
      </c>
      <c r="D55" s="19">
        <f>LOOKUP(C55,Hoja2!$B$8:$B$20,Hoja2!$E$8:$E$20)</f>
        <v>2.2349999999999999</v>
      </c>
      <c r="E55" s="25">
        <v>5.99</v>
      </c>
      <c r="F55" s="25">
        <v>39</v>
      </c>
      <c r="G55" s="110">
        <f t="shared" si="3"/>
        <v>522.11834999999996</v>
      </c>
      <c r="H55" s="155"/>
      <c r="I55" s="25" t="s">
        <v>149</v>
      </c>
      <c r="L55" s="22">
        <f>1.73*4.89</f>
        <v>8.4596999999999998</v>
      </c>
      <c r="O55" s="22">
        <f>1.73*5.55</f>
        <v>9.6014999999999997</v>
      </c>
    </row>
    <row r="56" spans="3:15" ht="15.75" x14ac:dyDescent="0.2">
      <c r="C56" s="25">
        <v>5</v>
      </c>
      <c r="D56" s="19">
        <f>LOOKUP(C56,Hoja2!$B$8:$B$20,Hoja2!$E$8:$E$20)</f>
        <v>1.552</v>
      </c>
      <c r="E56" s="25">
        <v>5.82</v>
      </c>
      <c r="F56" s="25">
        <v>16</v>
      </c>
      <c r="G56" s="110">
        <f t="shared" si="3"/>
        <v>144.52224000000001</v>
      </c>
      <c r="H56" s="155"/>
      <c r="L56" s="22">
        <f>1.73*4.89</f>
        <v>8.4596999999999998</v>
      </c>
      <c r="O56" s="22">
        <f>1.73*5.55</f>
        <v>9.6014999999999997</v>
      </c>
    </row>
    <row r="57" spans="3:15" ht="15.75" x14ac:dyDescent="0.2">
      <c r="C57" s="25">
        <v>6</v>
      </c>
      <c r="D57" s="19">
        <f>LOOKUP(C57,Hoja2!$B$8:$B$20,Hoja2!$E$8:$E$20)</f>
        <v>2.2349999999999999</v>
      </c>
      <c r="E57" s="25">
        <v>5.82</v>
      </c>
      <c r="F57" s="25">
        <v>2</v>
      </c>
      <c r="G57" s="110">
        <f t="shared" si="3"/>
        <v>26.0154</v>
      </c>
      <c r="H57" s="155"/>
      <c r="K57" s="25">
        <f>SUM(K53:K56)</f>
        <v>5.4336000000000002</v>
      </c>
      <c r="L57" s="25">
        <f t="shared" ref="L57:O57" si="4">SUM(L53:L56)</f>
        <v>33.838799999999999</v>
      </c>
      <c r="M57" s="25">
        <f t="shared" si="4"/>
        <v>24.323799999999999</v>
      </c>
      <c r="N57" s="25">
        <f t="shared" si="4"/>
        <v>19.773899999999998</v>
      </c>
      <c r="O57" s="25">
        <f t="shared" si="4"/>
        <v>38.405999999999999</v>
      </c>
    </row>
    <row r="58" spans="3:15" ht="15.75" x14ac:dyDescent="0.2">
      <c r="C58" s="25">
        <v>6</v>
      </c>
      <c r="D58" s="19">
        <f>LOOKUP(C58,Hoja2!$B$8:$B$20,Hoja2!$E$8:$E$20)</f>
        <v>2.2349999999999999</v>
      </c>
      <c r="E58" s="25">
        <v>5.75</v>
      </c>
      <c r="F58" s="25">
        <v>55</v>
      </c>
      <c r="G58" s="110">
        <f t="shared" si="3"/>
        <v>706.81874999999991</v>
      </c>
    </row>
    <row r="59" spans="3:15" ht="15.75" x14ac:dyDescent="0.2">
      <c r="C59" s="25">
        <v>6</v>
      </c>
      <c r="D59" s="19">
        <f>LOOKUP(C59,Hoja2!$B$8:$B$20,Hoja2!$E$8:$E$20)</f>
        <v>2.2349999999999999</v>
      </c>
      <c r="E59" s="25">
        <v>8.1199999999999992</v>
      </c>
      <c r="F59" s="25">
        <v>28</v>
      </c>
      <c r="G59" s="110">
        <f t="shared" si="3"/>
        <v>508.14959999999996</v>
      </c>
    </row>
    <row r="60" spans="3:15" ht="15.75" x14ac:dyDescent="0.2">
      <c r="C60" s="25">
        <v>6</v>
      </c>
      <c r="D60" s="19">
        <f>LOOKUP(C60,Hoja2!$B$8:$B$20,Hoja2!$E$8:$E$20)</f>
        <v>2.2349999999999999</v>
      </c>
      <c r="E60" s="25">
        <v>5.99</v>
      </c>
      <c r="F60" s="25">
        <v>55</v>
      </c>
      <c r="G60" s="110">
        <f t="shared" si="3"/>
        <v>736.32074999999998</v>
      </c>
    </row>
    <row r="61" spans="3:15" ht="15.75" x14ac:dyDescent="0.2">
      <c r="C61" s="25">
        <v>5</v>
      </c>
      <c r="D61" s="19">
        <f>LOOKUP(C61,Hoja2!$B$8:$B$20,Hoja2!$E$8:$E$20)</f>
        <v>1.552</v>
      </c>
      <c r="E61" s="25">
        <v>8.1199999999999992</v>
      </c>
      <c r="F61" s="25">
        <v>16</v>
      </c>
      <c r="G61" s="110">
        <f t="shared" si="3"/>
        <v>201.63583999999997</v>
      </c>
    </row>
    <row r="62" spans="3:15" ht="15.75" x14ac:dyDescent="0.2">
      <c r="C62" s="25">
        <v>6</v>
      </c>
      <c r="D62" s="19">
        <f>LOOKUP(C62,Hoja2!$B$8:$B$20,Hoja2!$E$8:$E$20)</f>
        <v>2.2349999999999999</v>
      </c>
      <c r="E62" s="25">
        <v>8.1199999999999992</v>
      </c>
      <c r="F62" s="25">
        <v>2</v>
      </c>
      <c r="G62" s="110">
        <f t="shared" si="3"/>
        <v>36.296399999999991</v>
      </c>
    </row>
    <row r="63" spans="3:15" ht="15.75" x14ac:dyDescent="0.2">
      <c r="C63" s="25">
        <v>6</v>
      </c>
      <c r="D63" s="19">
        <f>LOOKUP(C63,Hoja2!$B$8:$B$20,Hoja2!$E$8:$E$20)</f>
        <v>2.2349999999999999</v>
      </c>
      <c r="E63" s="25">
        <v>5.75</v>
      </c>
      <c r="F63" s="25">
        <v>33</v>
      </c>
      <c r="G63" s="110">
        <f t="shared" si="3"/>
        <v>424.09125</v>
      </c>
      <c r="H63" s="154">
        <f>SUM(G63:G67)</f>
        <v>1309.6737600000001</v>
      </c>
    </row>
    <row r="64" spans="3:15" ht="15.75" x14ac:dyDescent="0.2">
      <c r="C64" s="25">
        <v>6</v>
      </c>
      <c r="D64" s="19">
        <f>LOOKUP(C64,Hoja2!$B$8:$B$20,Hoja2!$E$8:$E$20)</f>
        <v>2.2349999999999999</v>
      </c>
      <c r="E64" s="25">
        <v>4.83</v>
      </c>
      <c r="F64" s="25">
        <v>28</v>
      </c>
      <c r="G64" s="110">
        <f t="shared" si="3"/>
        <v>302.26139999999998</v>
      </c>
      <c r="H64" s="155"/>
    </row>
    <row r="65" spans="3:9" ht="15.75" x14ac:dyDescent="0.2">
      <c r="C65" s="25">
        <v>6</v>
      </c>
      <c r="D65" s="19">
        <f>LOOKUP(C65,Hoja2!$B$8:$B$20,Hoja2!$E$8:$E$20)</f>
        <v>2.2349999999999999</v>
      </c>
      <c r="E65" s="25">
        <v>5.99</v>
      </c>
      <c r="F65" s="25">
        <v>33</v>
      </c>
      <c r="G65" s="110">
        <f t="shared" si="3"/>
        <v>441.79245000000003</v>
      </c>
      <c r="H65" s="155"/>
      <c r="I65" s="25" t="s">
        <v>150</v>
      </c>
    </row>
    <row r="66" spans="3:9" ht="15.75" x14ac:dyDescent="0.2">
      <c r="C66" s="25">
        <v>5</v>
      </c>
      <c r="D66" s="19">
        <f>LOOKUP(C66,Hoja2!$B$8:$B$20,Hoja2!$E$8:$E$20)</f>
        <v>1.552</v>
      </c>
      <c r="E66" s="25">
        <v>4.83</v>
      </c>
      <c r="F66" s="25">
        <v>16</v>
      </c>
      <c r="G66" s="110">
        <f t="shared" si="3"/>
        <v>119.93856000000001</v>
      </c>
      <c r="H66" s="155"/>
    </row>
    <row r="67" spans="3:9" ht="15.75" x14ac:dyDescent="0.2">
      <c r="C67" s="25">
        <v>6</v>
      </c>
      <c r="D67" s="19">
        <f>LOOKUP(C67,Hoja2!$B$8:$B$20,Hoja2!$E$8:$E$20)</f>
        <v>2.2349999999999999</v>
      </c>
      <c r="E67" s="25">
        <v>4.83</v>
      </c>
      <c r="F67" s="25">
        <v>2</v>
      </c>
      <c r="G67" s="110">
        <f t="shared" si="3"/>
        <v>21.5901</v>
      </c>
      <c r="H67" s="155"/>
    </row>
    <row r="68" spans="3:9" ht="15.75" x14ac:dyDescent="0.2">
      <c r="C68" s="25">
        <v>6</v>
      </c>
      <c r="D68" s="19">
        <f>LOOKUP(C68,Hoja2!$B$8:$B$20,Hoja2!$E$8:$E$20)</f>
        <v>2.2349999999999999</v>
      </c>
      <c r="E68" s="25">
        <v>5.75</v>
      </c>
      <c r="F68" s="25">
        <v>37</v>
      </c>
      <c r="G68" s="110">
        <f t="shared" si="3"/>
        <v>475.49624999999997</v>
      </c>
      <c r="H68" s="154">
        <f>SUM(G68:G72)</f>
        <v>1475.2714799999999</v>
      </c>
    </row>
    <row r="69" spans="3:9" ht="15.75" x14ac:dyDescent="0.2">
      <c r="C69" s="25">
        <v>6</v>
      </c>
      <c r="D69" s="19">
        <f>LOOKUP(C69,Hoja2!$B$8:$B$20,Hoja2!$E$8:$E$20)</f>
        <v>2.2349999999999999</v>
      </c>
      <c r="E69" s="25">
        <v>5.49</v>
      </c>
      <c r="F69" s="25">
        <v>28</v>
      </c>
      <c r="G69" s="110">
        <f t="shared" si="3"/>
        <v>343.56419999999997</v>
      </c>
      <c r="H69" s="155"/>
    </row>
    <row r="70" spans="3:9" ht="15.75" x14ac:dyDescent="0.2">
      <c r="C70" s="25">
        <v>6</v>
      </c>
      <c r="D70" s="19">
        <f>LOOKUP(C70,Hoja2!$B$8:$B$20,Hoja2!$E$8:$E$20)</f>
        <v>2.2349999999999999</v>
      </c>
      <c r="E70" s="25">
        <v>5.99</v>
      </c>
      <c r="F70" s="25">
        <v>37</v>
      </c>
      <c r="G70" s="110">
        <f t="shared" si="3"/>
        <v>495.34304999999995</v>
      </c>
      <c r="H70" s="155"/>
      <c r="I70" s="25" t="s">
        <v>151</v>
      </c>
    </row>
    <row r="71" spans="3:9" ht="15.75" x14ac:dyDescent="0.2">
      <c r="C71" s="25">
        <v>5</v>
      </c>
      <c r="D71" s="19">
        <f>LOOKUP(C71,Hoja2!$B$8:$B$20,Hoja2!$E$8:$E$20)</f>
        <v>1.552</v>
      </c>
      <c r="E71" s="25">
        <v>5.49</v>
      </c>
      <c r="F71" s="25">
        <v>16</v>
      </c>
      <c r="G71" s="110">
        <f t="shared" si="3"/>
        <v>136.32768000000002</v>
      </c>
      <c r="H71" s="155"/>
    </row>
    <row r="72" spans="3:9" ht="15.75" x14ac:dyDescent="0.2">
      <c r="C72" s="25">
        <v>6</v>
      </c>
      <c r="D72" s="19">
        <f>LOOKUP(C72,Hoja2!$B$8:$B$20,Hoja2!$E$8:$E$20)</f>
        <v>2.2349999999999999</v>
      </c>
      <c r="E72" s="25">
        <v>5.49</v>
      </c>
      <c r="F72" s="25">
        <v>2</v>
      </c>
      <c r="G72" s="110">
        <f t="shared" si="3"/>
        <v>24.540299999999998</v>
      </c>
      <c r="H72" s="155"/>
    </row>
    <row r="73" spans="3:9" ht="15.75" x14ac:dyDescent="0.2">
      <c r="C73" s="25">
        <v>5</v>
      </c>
      <c r="D73" s="19">
        <f>LOOKUP(C73,Hoja2!$B$8:$B$20,Hoja2!$E$8:$E$20)</f>
        <v>1.552</v>
      </c>
      <c r="E73" s="25">
        <v>2.65</v>
      </c>
      <c r="F73" s="25">
        <v>57</v>
      </c>
      <c r="G73" s="110">
        <f t="shared" si="3"/>
        <v>234.42959999999999</v>
      </c>
    </row>
    <row r="74" spans="3:9" ht="15.75" x14ac:dyDescent="0.2">
      <c r="C74" s="25">
        <v>5</v>
      </c>
      <c r="D74" s="19">
        <f>LOOKUP(C74,Hoja2!$B$8:$B$20,Hoja2!$E$8:$E$20)</f>
        <v>1.552</v>
      </c>
      <c r="E74" s="25">
        <v>11.26</v>
      </c>
      <c r="F74" s="25">
        <v>12</v>
      </c>
      <c r="G74" s="110">
        <f t="shared" si="3"/>
        <v>209.70624000000001</v>
      </c>
    </row>
    <row r="75" spans="3:9" ht="15.75" x14ac:dyDescent="0.2">
      <c r="C75" s="25">
        <v>5</v>
      </c>
      <c r="D75" s="19">
        <f>LOOKUP(C75,Hoja2!$B$8:$B$20,Hoja2!$E$8:$E$20)</f>
        <v>1.552</v>
      </c>
      <c r="E75" s="25">
        <v>2.75</v>
      </c>
      <c r="F75" s="25">
        <v>57</v>
      </c>
      <c r="G75" s="110">
        <f t="shared" si="3"/>
        <v>243.27600000000001</v>
      </c>
    </row>
    <row r="76" spans="3:9" ht="15.75" x14ac:dyDescent="0.2">
      <c r="C76" s="25">
        <v>5</v>
      </c>
      <c r="D76" s="19">
        <f>LOOKUP(C76,Hoja2!$B$8:$B$20,Hoja2!$E$8:$E$20)</f>
        <v>1.552</v>
      </c>
      <c r="E76" s="25">
        <v>11.26</v>
      </c>
      <c r="F76" s="25">
        <v>8</v>
      </c>
      <c r="G76" s="110">
        <f t="shared" si="3"/>
        <v>139.80416</v>
      </c>
    </row>
    <row r="77" spans="3:9" ht="15" x14ac:dyDescent="0.25">
      <c r="G77" s="111">
        <f>SUM(G53:G76)+(H53)+(H63*3)+(H68*4)</f>
        <v>18747.63046</v>
      </c>
    </row>
  </sheetData>
  <mergeCells count="5">
    <mergeCell ref="E7:I7"/>
    <mergeCell ref="A11:D11"/>
    <mergeCell ref="H53:H57"/>
    <mergeCell ref="H63:H67"/>
    <mergeCell ref="H68:H72"/>
  </mergeCells>
  <pageMargins left="0.7" right="0.7" top="0.75" bottom="0.75" header="0.3" footer="0.3"/>
  <pageSetup scale="4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793D9-2ED9-457D-973C-B6BAAB58AFFA}">
  <sheetPr>
    <tabColor rgb="FFFFFF00"/>
  </sheetPr>
  <dimension ref="A2:K62"/>
  <sheetViews>
    <sheetView view="pageBreakPreview" topLeftCell="A25" zoomScale="85" zoomScaleNormal="85" zoomScaleSheetLayoutView="85" workbookViewId="0">
      <selection activeCell="D32" sqref="D32"/>
    </sheetView>
  </sheetViews>
  <sheetFormatPr baseColWidth="10" defaultRowHeight="14.25" x14ac:dyDescent="0.2"/>
  <cols>
    <col min="1" max="1" width="9.7109375" style="22" customWidth="1"/>
    <col min="2" max="2" width="45.42578125" style="22" customWidth="1"/>
    <col min="3" max="3" width="12.28515625" style="25" customWidth="1"/>
    <col min="4" max="4" width="12.85546875" style="25" customWidth="1"/>
    <col min="5" max="5" width="28.7109375" style="25" bestFit="1" customWidth="1"/>
    <col min="6" max="7" width="11.42578125" style="25"/>
    <col min="8" max="8" width="28.7109375" style="25" customWidth="1"/>
    <col min="9" max="10" width="11.42578125" style="25"/>
    <col min="11" max="11" width="28.7109375" style="25" customWidth="1"/>
    <col min="12" max="16384" width="11.42578125" style="22"/>
  </cols>
  <sheetData>
    <row r="2" spans="1:9" ht="16.5" x14ac:dyDescent="0.2">
      <c r="C2" s="23"/>
      <c r="D2" s="23"/>
      <c r="E2" s="24" t="s">
        <v>23</v>
      </c>
      <c r="F2" s="23"/>
      <c r="G2" s="23"/>
    </row>
    <row r="3" spans="1:9" ht="16.5" x14ac:dyDescent="0.3">
      <c r="C3" s="23"/>
      <c r="D3" s="23"/>
      <c r="E3" s="21" t="s">
        <v>24</v>
      </c>
      <c r="F3" s="23"/>
      <c r="G3" s="23"/>
    </row>
    <row r="4" spans="1:9" ht="16.5" x14ac:dyDescent="0.2">
      <c r="C4" s="23"/>
      <c r="D4" s="23"/>
      <c r="E4" s="26"/>
      <c r="F4" s="23"/>
      <c r="G4" s="23"/>
    </row>
    <row r="5" spans="1:9" ht="16.5" x14ac:dyDescent="0.3">
      <c r="C5" s="23"/>
      <c r="D5" s="23"/>
      <c r="E5" s="27" t="s">
        <v>25</v>
      </c>
      <c r="F5" s="23"/>
      <c r="G5" s="23"/>
    </row>
    <row r="7" spans="1:9" ht="16.5" x14ac:dyDescent="0.3">
      <c r="E7" s="150" t="s">
        <v>80</v>
      </c>
      <c r="F7" s="150"/>
      <c r="G7" s="150"/>
      <c r="H7" s="150"/>
      <c r="I7" s="150"/>
    </row>
    <row r="10" spans="1:9" ht="38.25" x14ac:dyDescent="0.2">
      <c r="A10" s="28" t="s">
        <v>26</v>
      </c>
      <c r="B10" s="32" t="s">
        <v>27</v>
      </c>
      <c r="C10" s="29" t="s">
        <v>28</v>
      </c>
      <c r="D10" s="37" t="s">
        <v>81</v>
      </c>
    </row>
    <row r="11" spans="1:9" x14ac:dyDescent="0.2">
      <c r="A11" s="151" t="s">
        <v>57</v>
      </c>
      <c r="B11" s="152"/>
      <c r="C11" s="152"/>
      <c r="D11" s="153"/>
    </row>
    <row r="12" spans="1:9" ht="63" x14ac:dyDescent="0.2">
      <c r="A12" s="31">
        <v>6021</v>
      </c>
      <c r="B12" s="30" t="s">
        <v>58</v>
      </c>
      <c r="C12" s="40" t="s">
        <v>29</v>
      </c>
      <c r="D12" s="43">
        <f>(2.3*E40*0.05)+(0.6*G40*0.05)+(1.8*H40*0.05)+(1*J40*0.05)+(3*D40*0.05)+(1.5*I40*0.05)</f>
        <v>1.9215</v>
      </c>
    </row>
    <row r="13" spans="1:9" ht="47.25" x14ac:dyDescent="0.2">
      <c r="A13" s="31" t="s">
        <v>38</v>
      </c>
      <c r="B13" s="30" t="s">
        <v>59</v>
      </c>
      <c r="C13" s="31" t="s">
        <v>29</v>
      </c>
      <c r="D13" s="61">
        <f>SUM(D14:D17)</f>
        <v>22.673000000000002</v>
      </c>
      <c r="E13" s="47"/>
    </row>
    <row r="14" spans="1:9" ht="15.75" x14ac:dyDescent="0.2">
      <c r="A14" s="31"/>
      <c r="B14" s="65" t="s">
        <v>63</v>
      </c>
      <c r="C14" s="31"/>
      <c r="D14" s="67">
        <f>SUM(J58:K58)</f>
        <v>18.353000000000002</v>
      </c>
      <c r="E14" s="47"/>
    </row>
    <row r="15" spans="1:9" ht="15.75" x14ac:dyDescent="0.2">
      <c r="A15" s="31"/>
      <c r="B15" s="65" t="s">
        <v>64</v>
      </c>
      <c r="C15" s="31"/>
      <c r="D15" s="67">
        <f>(0.01*50*2.5*2)</f>
        <v>2.5</v>
      </c>
      <c r="E15" s="47"/>
    </row>
    <row r="16" spans="1:9" ht="15.75" x14ac:dyDescent="0.2">
      <c r="A16" s="31"/>
      <c r="B16" s="65" t="s">
        <v>66</v>
      </c>
      <c r="C16" s="31"/>
      <c r="D16" s="70">
        <v>1.82</v>
      </c>
      <c r="E16" s="47"/>
    </row>
    <row r="17" spans="1:7" ht="15.75" x14ac:dyDescent="0.2">
      <c r="A17" s="31"/>
      <c r="B17" s="65" t="s">
        <v>65</v>
      </c>
      <c r="C17" s="31"/>
      <c r="D17" s="70">
        <v>0</v>
      </c>
      <c r="E17" s="47"/>
    </row>
    <row r="18" spans="1:7" ht="126" x14ac:dyDescent="0.2">
      <c r="A18" s="31">
        <v>3708</v>
      </c>
      <c r="B18" s="53" t="s">
        <v>39</v>
      </c>
      <c r="C18" s="31" t="s">
        <v>30</v>
      </c>
      <c r="D18" s="68">
        <f>SUM(D19:D22)</f>
        <v>3442.2401599999998</v>
      </c>
    </row>
    <row r="19" spans="1:7" ht="15.75" x14ac:dyDescent="0.2">
      <c r="A19" s="31"/>
      <c r="B19" s="65" t="s">
        <v>63</v>
      </c>
      <c r="C19" s="31"/>
      <c r="D19" s="69">
        <f>G62</f>
        <v>2864.3401599999997</v>
      </c>
    </row>
    <row r="20" spans="1:7" ht="15.75" x14ac:dyDescent="0.2">
      <c r="A20" s="31"/>
      <c r="B20" s="65" t="s">
        <v>64</v>
      </c>
      <c r="C20" s="31"/>
      <c r="D20" s="69">
        <f>(50*2.5*0.25*2)+254</f>
        <v>316.5</v>
      </c>
    </row>
    <row r="21" spans="1:7" ht="15.75" x14ac:dyDescent="0.2">
      <c r="A21" s="31"/>
      <c r="B21" s="65" t="s">
        <v>66</v>
      </c>
      <c r="C21" s="31"/>
      <c r="D21" s="71">
        <v>261.39999999999998</v>
      </c>
    </row>
    <row r="22" spans="1:7" ht="15.75" x14ac:dyDescent="0.2">
      <c r="A22" s="31"/>
      <c r="B22" s="65" t="s">
        <v>65</v>
      </c>
      <c r="C22" s="31"/>
      <c r="D22" s="71">
        <v>0</v>
      </c>
    </row>
    <row r="23" spans="1:7" ht="31.5" x14ac:dyDescent="0.2">
      <c r="A23" s="34">
        <v>3464</v>
      </c>
      <c r="B23" s="53" t="s">
        <v>117</v>
      </c>
      <c r="C23" s="31" t="s">
        <v>29</v>
      </c>
      <c r="D23" s="67">
        <f>(1.6*1*G40)+(2.8*0.6*H40)+(2*1.2*J40)+(4*1.7*D40)+(3.3*1.5*E40)</f>
        <v>92.231999999999999</v>
      </c>
    </row>
    <row r="24" spans="1:7" ht="84" customHeight="1" x14ac:dyDescent="0.2">
      <c r="A24" s="34">
        <v>3017</v>
      </c>
      <c r="B24" s="53" t="s">
        <v>33</v>
      </c>
      <c r="C24" s="31" t="s">
        <v>29</v>
      </c>
      <c r="D24" s="67">
        <f>D23</f>
        <v>92.231999999999999</v>
      </c>
    </row>
    <row r="25" spans="1:7" ht="69.75" customHeight="1" x14ac:dyDescent="0.2">
      <c r="A25" s="100">
        <v>7364</v>
      </c>
      <c r="B25" s="101" t="s">
        <v>118</v>
      </c>
      <c r="C25" s="31" t="s">
        <v>29</v>
      </c>
      <c r="D25" s="45">
        <f>D23-D13</f>
        <v>69.558999999999997</v>
      </c>
    </row>
    <row r="26" spans="1:7" ht="31.5" x14ac:dyDescent="0.2">
      <c r="A26" s="102"/>
      <c r="B26" s="53" t="s">
        <v>119</v>
      </c>
      <c r="C26" s="54" t="s">
        <v>34</v>
      </c>
      <c r="D26" s="67">
        <f>27.9*1.6</f>
        <v>44.64</v>
      </c>
    </row>
    <row r="27" spans="1:7" ht="254.25" customHeight="1" x14ac:dyDescent="0.2">
      <c r="A27" s="52"/>
      <c r="B27" s="53" t="s">
        <v>104</v>
      </c>
      <c r="C27" s="84" t="s">
        <v>75</v>
      </c>
      <c r="D27" s="67">
        <v>38.799999999999997</v>
      </c>
      <c r="E27" s="2"/>
      <c r="F27" s="2"/>
      <c r="G27" s="2"/>
    </row>
    <row r="28" spans="1:7" ht="31.5" x14ac:dyDescent="0.2">
      <c r="A28" s="54">
        <v>4009</v>
      </c>
      <c r="B28" s="53" t="s">
        <v>74</v>
      </c>
      <c r="C28" s="54" t="s">
        <v>34</v>
      </c>
      <c r="D28" s="67">
        <v>34.9</v>
      </c>
      <c r="E28" s="2"/>
      <c r="F28" s="2"/>
      <c r="G28" s="2"/>
    </row>
    <row r="29" spans="1:7" ht="31.5" x14ac:dyDescent="0.2">
      <c r="A29" s="54">
        <v>5412</v>
      </c>
      <c r="B29" s="53" t="s">
        <v>230</v>
      </c>
      <c r="C29" s="83" t="s">
        <v>29</v>
      </c>
      <c r="D29" s="67">
        <v>5.2</v>
      </c>
      <c r="E29" s="2"/>
      <c r="F29" s="2"/>
      <c r="G29" s="2"/>
    </row>
    <row r="30" spans="1:7" ht="31.5" x14ac:dyDescent="0.2">
      <c r="A30" s="54">
        <v>3905</v>
      </c>
      <c r="B30" s="53" t="s">
        <v>73</v>
      </c>
      <c r="C30" s="54" t="s">
        <v>75</v>
      </c>
      <c r="D30" s="67">
        <v>38.799999999999997</v>
      </c>
      <c r="E30" s="2"/>
      <c r="F30" s="2"/>
      <c r="G30" s="2"/>
    </row>
    <row r="31" spans="1:7" ht="31.5" x14ac:dyDescent="0.2">
      <c r="A31" s="54">
        <v>3904</v>
      </c>
      <c r="B31" s="53" t="s">
        <v>229</v>
      </c>
      <c r="C31" s="84" t="s">
        <v>75</v>
      </c>
      <c r="D31" s="67">
        <f>13*0.3</f>
        <v>3.9</v>
      </c>
      <c r="E31" s="2"/>
      <c r="F31" s="2"/>
      <c r="G31" s="2"/>
    </row>
    <row r="32" spans="1:7" ht="15.75" x14ac:dyDescent="0.2">
      <c r="A32" s="50"/>
      <c r="B32" s="41"/>
      <c r="C32" s="42"/>
      <c r="D32" s="51"/>
      <c r="E32" s="2"/>
      <c r="F32" s="2"/>
      <c r="G32" s="2"/>
    </row>
    <row r="33" spans="1:10" ht="15.75" x14ac:dyDescent="0.2">
      <c r="A33" s="50"/>
      <c r="B33" s="41"/>
      <c r="C33" s="42"/>
      <c r="D33" s="51"/>
      <c r="E33" s="2"/>
      <c r="F33" s="2"/>
      <c r="G33" s="2"/>
    </row>
    <row r="34" spans="1:10" ht="15.75" x14ac:dyDescent="0.2">
      <c r="D34" s="19" t="s">
        <v>70</v>
      </c>
      <c r="E34" s="19" t="s">
        <v>43</v>
      </c>
      <c r="F34" s="19" t="s">
        <v>41</v>
      </c>
      <c r="G34" s="19" t="s">
        <v>42</v>
      </c>
      <c r="H34" s="25" t="s">
        <v>55</v>
      </c>
      <c r="I34" s="25" t="s">
        <v>56</v>
      </c>
      <c r="J34" s="25" t="s">
        <v>54</v>
      </c>
    </row>
    <row r="35" spans="1:10" ht="15.75" x14ac:dyDescent="0.2">
      <c r="D35" s="19"/>
      <c r="E35" s="19"/>
      <c r="F35" s="19"/>
      <c r="G35" s="19"/>
    </row>
    <row r="36" spans="1:10" ht="15.75" x14ac:dyDescent="0.2">
      <c r="D36" s="19"/>
      <c r="E36" s="19"/>
      <c r="F36" s="19"/>
      <c r="G36" s="19"/>
    </row>
    <row r="37" spans="1:10" ht="15.75" x14ac:dyDescent="0.2">
      <c r="D37" s="19"/>
      <c r="E37" s="19"/>
      <c r="F37" s="19"/>
      <c r="G37" s="19"/>
    </row>
    <row r="38" spans="1:10" ht="15.75" x14ac:dyDescent="0.2">
      <c r="D38" s="19"/>
      <c r="E38" s="19"/>
      <c r="F38" s="19"/>
      <c r="G38" s="19"/>
    </row>
    <row r="39" spans="1:10" ht="15.75" x14ac:dyDescent="0.2">
      <c r="D39" s="19"/>
      <c r="E39" s="19"/>
      <c r="F39" s="19"/>
      <c r="G39" s="19"/>
      <c r="J39" s="25">
        <f>7*5.49</f>
        <v>38.43</v>
      </c>
    </row>
    <row r="40" spans="1:10" ht="28.5" x14ac:dyDescent="0.2">
      <c r="C40" s="38" t="s">
        <v>51</v>
      </c>
      <c r="D40" s="36">
        <f t="shared" ref="D40:J40" si="0">SUM(D35:D39)</f>
        <v>0</v>
      </c>
      <c r="E40" s="36">
        <f t="shared" si="0"/>
        <v>0</v>
      </c>
      <c r="F40" s="36">
        <f t="shared" si="0"/>
        <v>0</v>
      </c>
      <c r="G40" s="36">
        <f t="shared" si="0"/>
        <v>0</v>
      </c>
      <c r="H40" s="36">
        <f t="shared" si="0"/>
        <v>0</v>
      </c>
      <c r="I40" s="36">
        <f t="shared" si="0"/>
        <v>0</v>
      </c>
      <c r="J40" s="36">
        <f t="shared" si="0"/>
        <v>38.43</v>
      </c>
    </row>
    <row r="42" spans="1:10" x14ac:dyDescent="0.2">
      <c r="C42" s="25" t="s">
        <v>52</v>
      </c>
      <c r="D42" s="39">
        <f>1.78*D40</f>
        <v>0</v>
      </c>
      <c r="E42" s="39">
        <f>1.08*E40</f>
        <v>0</v>
      </c>
      <c r="F42" s="39">
        <v>0</v>
      </c>
      <c r="G42" s="39">
        <f>0.12*G40</f>
        <v>0</v>
      </c>
      <c r="H42" s="39">
        <f>0.63*H40</f>
        <v>0</v>
      </c>
      <c r="I42" s="39">
        <f>0.64*I40</f>
        <v>0</v>
      </c>
      <c r="J42" s="59">
        <f>0.3*J40</f>
        <v>11.529</v>
      </c>
    </row>
    <row r="43" spans="1:10" x14ac:dyDescent="0.2">
      <c r="C43" s="25" t="s">
        <v>53</v>
      </c>
      <c r="D43" s="59">
        <f>1.5*D40</f>
        <v>0</v>
      </c>
      <c r="E43" s="59">
        <f>1.17*E40</f>
        <v>0</v>
      </c>
      <c r="F43" s="59">
        <f>4*0.3*F40</f>
        <v>0</v>
      </c>
      <c r="G43" s="59">
        <f>1.4*0.2*G40</f>
        <v>0</v>
      </c>
      <c r="H43" s="39">
        <f>2.65*0.3*H40</f>
        <v>0</v>
      </c>
      <c r="I43" s="25">
        <v>0</v>
      </c>
      <c r="J43" s="60">
        <f>0.9*0.2*J40</f>
        <v>6.9174000000000007</v>
      </c>
    </row>
    <row r="44" spans="1:10" ht="15" x14ac:dyDescent="0.25">
      <c r="D44" s="44">
        <f t="shared" ref="D44:J44" si="1">D42+D43</f>
        <v>0</v>
      </c>
      <c r="E44" s="44">
        <f t="shared" si="1"/>
        <v>0</v>
      </c>
      <c r="F44" s="44">
        <f t="shared" si="1"/>
        <v>0</v>
      </c>
      <c r="G44" s="44">
        <f t="shared" si="1"/>
        <v>0</v>
      </c>
      <c r="H44" s="44">
        <f t="shared" si="1"/>
        <v>0</v>
      </c>
      <c r="I44" s="44">
        <f t="shared" si="1"/>
        <v>0</v>
      </c>
      <c r="J44" s="44">
        <f t="shared" si="1"/>
        <v>18.446400000000001</v>
      </c>
    </row>
    <row r="47" spans="1:10" x14ac:dyDescent="0.2">
      <c r="C47" s="25" t="s">
        <v>60</v>
      </c>
      <c r="D47" s="47">
        <f>269*D40</f>
        <v>0</v>
      </c>
      <c r="E47" s="47">
        <f>128*E40</f>
        <v>0</v>
      </c>
      <c r="G47" s="47">
        <f>14*G40</f>
        <v>0</v>
      </c>
      <c r="H47" s="47">
        <f>55*H40</f>
        <v>0</v>
      </c>
      <c r="J47" s="47">
        <f>43*J40</f>
        <v>1652.49</v>
      </c>
    </row>
    <row r="48" spans="1:10" x14ac:dyDescent="0.2">
      <c r="C48" s="25" t="s">
        <v>61</v>
      </c>
      <c r="D48" s="47">
        <f>314*D40</f>
        <v>0</v>
      </c>
      <c r="E48" s="47">
        <f>149*E40</f>
        <v>0</v>
      </c>
      <c r="F48" s="47">
        <f>234*F40</f>
        <v>0</v>
      </c>
      <c r="G48" s="47">
        <f>23*G40</f>
        <v>0</v>
      </c>
      <c r="H48" s="47">
        <f>132*H40</f>
        <v>0</v>
      </c>
      <c r="I48" s="47">
        <f>47*I40</f>
        <v>0</v>
      </c>
      <c r="J48" s="47">
        <f>38*J40</f>
        <v>1460.34</v>
      </c>
    </row>
    <row r="49" spans="3:11" ht="15" x14ac:dyDescent="0.25">
      <c r="D49" s="48">
        <f t="shared" ref="D49:J49" si="2">SUM(D47:D48)</f>
        <v>0</v>
      </c>
      <c r="E49" s="48">
        <f t="shared" si="2"/>
        <v>0</v>
      </c>
      <c r="F49" s="48">
        <f t="shared" si="2"/>
        <v>0</v>
      </c>
      <c r="G49" s="48">
        <f t="shared" si="2"/>
        <v>0</v>
      </c>
      <c r="H49" s="48">
        <f t="shared" si="2"/>
        <v>0</v>
      </c>
      <c r="I49" s="48">
        <f t="shared" si="2"/>
        <v>0</v>
      </c>
      <c r="J49" s="48">
        <f t="shared" si="2"/>
        <v>3112.83</v>
      </c>
    </row>
    <row r="53" spans="3:11" ht="15.75" x14ac:dyDescent="0.2">
      <c r="C53" s="25" t="s">
        <v>122</v>
      </c>
      <c r="D53" s="19" t="s">
        <v>145</v>
      </c>
      <c r="E53" s="19" t="s">
        <v>146</v>
      </c>
      <c r="F53" s="19" t="s">
        <v>147</v>
      </c>
      <c r="G53" s="19" t="s">
        <v>148</v>
      </c>
      <c r="J53" s="25" t="s">
        <v>199</v>
      </c>
      <c r="K53" s="25" t="s">
        <v>172</v>
      </c>
    </row>
    <row r="54" spans="3:11" ht="15.75" x14ac:dyDescent="0.2">
      <c r="C54" s="25">
        <v>5</v>
      </c>
      <c r="D54" s="19">
        <f>LOOKUP(C54,Hoja2!$B$8:$B$20,Hoja2!$E$8:$E$20)</f>
        <v>1.552</v>
      </c>
      <c r="E54" s="19">
        <v>2.65</v>
      </c>
      <c r="F54" s="19">
        <v>28</v>
      </c>
      <c r="G54" s="110">
        <f>F54*E54*D54</f>
        <v>115.15840000000001</v>
      </c>
      <c r="H54" s="154">
        <f>SUM(G54:G57)</f>
        <v>394.51839999999999</v>
      </c>
      <c r="J54" s="25">
        <f>(4.39*0.2)+(5.49*1*0.3)</f>
        <v>2.5249999999999999</v>
      </c>
      <c r="K54" s="25">
        <f>(5.52*0.2)+(5.49*1*0.3)</f>
        <v>2.7509999999999999</v>
      </c>
    </row>
    <row r="55" spans="3:11" ht="15.75" x14ac:dyDescent="0.2">
      <c r="C55" s="25">
        <v>5</v>
      </c>
      <c r="D55" s="19">
        <f>LOOKUP(C55,Hoja2!$B$8:$B$20,Hoja2!$E$8:$E$20)</f>
        <v>1.552</v>
      </c>
      <c r="E55" s="25">
        <v>5.43</v>
      </c>
      <c r="F55" s="25">
        <v>12</v>
      </c>
      <c r="G55" s="110">
        <f t="shared" ref="G55:G61" si="3">F55*E55*D55</f>
        <v>101.12832</v>
      </c>
      <c r="H55" s="155"/>
      <c r="J55" s="25">
        <f>(4.39*0.2)+(5.49*1*0.3)</f>
        <v>2.5249999999999999</v>
      </c>
      <c r="K55" s="25">
        <f>(5.52*0.2)+(5.49*1*0.3)</f>
        <v>2.7509999999999999</v>
      </c>
    </row>
    <row r="56" spans="3:11" ht="15.75" x14ac:dyDescent="0.2">
      <c r="C56" s="25">
        <v>5</v>
      </c>
      <c r="D56" s="19">
        <f>LOOKUP(C56,Hoja2!$B$8:$B$20,Hoja2!$E$8:$E$20)</f>
        <v>1.552</v>
      </c>
      <c r="E56" s="25">
        <f>(2.75+2.35)/2</f>
        <v>2.5499999999999998</v>
      </c>
      <c r="F56" s="25">
        <v>28</v>
      </c>
      <c r="G56" s="110">
        <f t="shared" si="3"/>
        <v>110.8128</v>
      </c>
      <c r="H56" s="155"/>
      <c r="J56" s="25">
        <f>(4.39*0.2)+(5.49*1*0.3)</f>
        <v>2.5249999999999999</v>
      </c>
      <c r="K56" s="25">
        <f>(5.52*0.2)+(5.49*1*0.3)</f>
        <v>2.7509999999999999</v>
      </c>
    </row>
    <row r="57" spans="3:11" ht="15.75" x14ac:dyDescent="0.2">
      <c r="C57" s="25">
        <v>5</v>
      </c>
      <c r="D57" s="19">
        <f>LOOKUP(C57,Hoja2!$B$8:$B$20,Hoja2!$E$8:$E$20)</f>
        <v>1.552</v>
      </c>
      <c r="E57" s="25">
        <v>5.43</v>
      </c>
      <c r="F57" s="25">
        <v>8</v>
      </c>
      <c r="G57" s="110">
        <f t="shared" si="3"/>
        <v>67.418880000000001</v>
      </c>
      <c r="H57" s="155"/>
      <c r="J57" s="25">
        <f>(4.39*0.2)+(5.49*1*0.3)</f>
        <v>2.5249999999999999</v>
      </c>
    </row>
    <row r="58" spans="3:11" ht="15.75" x14ac:dyDescent="0.2">
      <c r="C58" s="25">
        <v>5</v>
      </c>
      <c r="D58" s="19">
        <f>LOOKUP(C58,Hoja2!$B$8:$B$20,Hoja2!$E$8:$E$20)</f>
        <v>1.552</v>
      </c>
      <c r="E58" s="25">
        <v>2.65</v>
      </c>
      <c r="F58" s="25">
        <v>28</v>
      </c>
      <c r="G58" s="110">
        <f t="shared" si="3"/>
        <v>115.15840000000001</v>
      </c>
      <c r="H58" s="154">
        <f>SUM(G58:G61)</f>
        <v>428.75552000000005</v>
      </c>
      <c r="J58" s="25">
        <f>SUM(J54:J57)</f>
        <v>10.1</v>
      </c>
      <c r="K58" s="25">
        <f>SUM(K54:K57)</f>
        <v>8.2530000000000001</v>
      </c>
    </row>
    <row r="59" spans="3:11" ht="15.75" x14ac:dyDescent="0.2">
      <c r="C59" s="25">
        <v>5</v>
      </c>
      <c r="D59" s="19">
        <f>LOOKUP(C59,Hoja2!$B$8:$B$20,Hoja2!$E$8:$E$20)</f>
        <v>1.552</v>
      </c>
      <c r="E59" s="25">
        <v>5.43</v>
      </c>
      <c r="F59" s="25">
        <v>12</v>
      </c>
      <c r="G59" s="110">
        <f t="shared" si="3"/>
        <v>101.12832</v>
      </c>
      <c r="H59" s="155"/>
    </row>
    <row r="60" spans="3:11" ht="15.75" x14ac:dyDescent="0.2">
      <c r="C60" s="25">
        <v>5</v>
      </c>
      <c r="D60" s="19">
        <f>LOOKUP(C60,Hoja2!$B$8:$B$20,Hoja2!$E$8:$E$20)</f>
        <v>1.552</v>
      </c>
      <c r="E60" s="25">
        <f>(3.15+2.75)/2</f>
        <v>2.95</v>
      </c>
      <c r="F60" s="25">
        <v>28</v>
      </c>
      <c r="G60" s="110">
        <f t="shared" si="3"/>
        <v>128.19520000000003</v>
      </c>
      <c r="H60" s="155"/>
    </row>
    <row r="61" spans="3:11" ht="15.75" x14ac:dyDescent="0.2">
      <c r="C61" s="25">
        <v>5</v>
      </c>
      <c r="D61" s="19">
        <f>LOOKUP(C61,Hoja2!$B$8:$B$20,Hoja2!$E$8:$E$20)</f>
        <v>1.552</v>
      </c>
      <c r="E61" s="25">
        <v>5.43</v>
      </c>
      <c r="F61" s="25">
        <v>10</v>
      </c>
      <c r="G61" s="110">
        <f t="shared" si="3"/>
        <v>84.273600000000002</v>
      </c>
      <c r="H61" s="155"/>
    </row>
    <row r="62" spans="3:11" ht="15" x14ac:dyDescent="0.25">
      <c r="G62" s="111">
        <f>SUM(G54:G61)+(H54*3)+(H58*2)</f>
        <v>2864.3401599999997</v>
      </c>
    </row>
  </sheetData>
  <mergeCells count="4">
    <mergeCell ref="E7:I7"/>
    <mergeCell ref="A11:D11"/>
    <mergeCell ref="H54:H57"/>
    <mergeCell ref="H58:H61"/>
  </mergeCells>
  <pageMargins left="0.7" right="0.7" top="0.75" bottom="0.75" header="0.3" footer="0.3"/>
  <pageSetup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Cantidades</vt:lpstr>
      <vt:lpstr>MC P1</vt:lpstr>
      <vt:lpstr>MC P3</vt:lpstr>
      <vt:lpstr>MC P4</vt:lpstr>
      <vt:lpstr>MC P5</vt:lpstr>
      <vt:lpstr>MC P6</vt:lpstr>
      <vt:lpstr>MC P8</vt:lpstr>
      <vt:lpstr>MC P9</vt:lpstr>
      <vt:lpstr>MC P14</vt:lpstr>
      <vt:lpstr>MC P15</vt:lpstr>
      <vt:lpstr>MC P17</vt:lpstr>
      <vt:lpstr>MC P18</vt:lpstr>
      <vt:lpstr>MC P19</vt:lpstr>
      <vt:lpstr>MC P20</vt:lpstr>
      <vt:lpstr>MC P21-P22</vt:lpstr>
      <vt:lpstr>Hoja2</vt:lpstr>
      <vt:lpstr>Cantidades!Área_de_impresión</vt:lpstr>
      <vt:lpstr>'MC P1'!Área_de_impresión</vt:lpstr>
      <vt:lpstr>'MC P14'!Área_de_impresión</vt:lpstr>
      <vt:lpstr>'MC P15'!Área_de_impresión</vt:lpstr>
      <vt:lpstr>'MC P17'!Área_de_impresión</vt:lpstr>
      <vt:lpstr>'MC P18'!Área_de_impresión</vt:lpstr>
      <vt:lpstr>'MC P19'!Área_de_impresión</vt:lpstr>
      <vt:lpstr>'MC P20'!Área_de_impresión</vt:lpstr>
      <vt:lpstr>'MC P21-P22'!Área_de_impresión</vt:lpstr>
      <vt:lpstr>'MC P3'!Área_de_impresión</vt:lpstr>
      <vt:lpstr>'MC P4'!Área_de_impresión</vt:lpstr>
      <vt:lpstr>'MC P5'!Área_de_impresión</vt:lpstr>
      <vt:lpstr>'MC P6'!Área_de_impresión</vt:lpstr>
      <vt:lpstr>'MC P8'!Área_de_impresión</vt:lpstr>
      <vt:lpstr>'MC P9'!Área_de_impresión</vt:lpstr>
      <vt:lpstr>Cantidades!Títulos_a_imprimir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Maryary Suned Quinche Sanchez</dc:creator>
  <cp:lastModifiedBy>Cal y Mayor</cp:lastModifiedBy>
  <cp:lastPrinted>2018-06-29T21:20:17Z</cp:lastPrinted>
  <dcterms:created xsi:type="dcterms:W3CDTF">2018-06-18T21:48:50Z</dcterms:created>
  <dcterms:modified xsi:type="dcterms:W3CDTF">2022-04-25T17:00:49Z</dcterms:modified>
</cp:coreProperties>
</file>