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ymsc-my.sharepoint.com/personal/alugo_calymayor_com_mx/Documents/Documentos/2021/Cable San Cristobal/Info Mástiles/Sección 2/Marzo/"/>
    </mc:Choice>
  </mc:AlternateContent>
  <xr:revisionPtr revIDLastSave="151" documentId="11_CF750C080D84D48A4DB09295BE4797C0F13A9666" xr6:coauthVersionLast="47" xr6:coauthVersionMax="47" xr10:uidLastSave="{EF3D9417-DD62-4FBD-930B-713D7796C725}"/>
  <bookViews>
    <workbookView xWindow="-120" yWindow="-120" windowWidth="29040" windowHeight="15840" tabRatio="729" xr2:uid="{00000000-000D-0000-FFFF-FFFF00000000}"/>
  </bookViews>
  <sheets>
    <sheet name="Cantidades" sheetId="1" r:id="rId1"/>
    <sheet name="Pilona 12 Y 13" sheetId="17" r:id="rId2"/>
    <sheet name="Pilona 14" sheetId="18" r:id="rId3"/>
    <sheet name="Pilona 15" sheetId="19" r:id="rId4"/>
    <sheet name="Pilona 16" sheetId="20" r:id="rId5"/>
    <sheet name="Pilona 17+" sheetId="21" r:id="rId6"/>
    <sheet name="Pilona 18" sheetId="22" r:id="rId7"/>
    <sheet name="Pilona 19" sheetId="23" r:id="rId8"/>
    <sheet name="Pilona 20" sheetId="24" r:id="rId9"/>
    <sheet name="Pilona 21+" sheetId="25" r:id="rId10"/>
    <sheet name="Pilona 22+" sheetId="26" r:id="rId11"/>
  </sheets>
  <externalReferences>
    <externalReference r:id="rId12"/>
  </externalReferences>
  <definedNames>
    <definedName name="_xlnm._FilterDatabase" localSheetId="0" hidden="1">Cantidades!$G$1:$G$111</definedName>
    <definedName name="_xlnm.Print_Area" localSheetId="0">Cantidades!$A$1:$L$15</definedName>
    <definedName name="_xlnm.Print_Titles" localSheetId="0">Cantidades!$1:$7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N9" i="1"/>
  <c r="N14" i="1"/>
  <c r="N17" i="1"/>
  <c r="N12" i="1"/>
  <c r="N16" i="1"/>
  <c r="N10" i="1"/>
  <c r="N11" i="1"/>
  <c r="N15" i="1"/>
  <c r="D34" i="24"/>
  <c r="F21" i="25"/>
  <c r="C13" i="26"/>
  <c r="C13" i="25"/>
  <c r="C13" i="22"/>
  <c r="C13" i="20"/>
  <c r="C13" i="19"/>
  <c r="C13" i="18"/>
  <c r="C13" i="17"/>
  <c r="J106" i="1"/>
  <c r="J104" i="1"/>
  <c r="J103" i="1"/>
  <c r="J102" i="1"/>
  <c r="J101" i="1"/>
  <c r="J100" i="1"/>
  <c r="I106" i="1"/>
  <c r="I105" i="1"/>
  <c r="I104" i="1"/>
  <c r="I103" i="1"/>
  <c r="I102" i="1"/>
  <c r="I101" i="1"/>
  <c r="I100" i="1"/>
  <c r="I99" i="1"/>
  <c r="I98" i="1"/>
  <c r="H106" i="1"/>
  <c r="H105" i="1"/>
  <c r="H104" i="1"/>
  <c r="H103" i="1"/>
  <c r="H102" i="1"/>
  <c r="H101" i="1"/>
  <c r="H100" i="1"/>
  <c r="H99" i="1"/>
  <c r="H98" i="1"/>
  <c r="G106" i="1"/>
  <c r="G105" i="1"/>
  <c r="G104" i="1"/>
  <c r="G103" i="1"/>
  <c r="G102" i="1"/>
  <c r="G101" i="1"/>
  <c r="G100" i="1"/>
  <c r="G99" i="1"/>
  <c r="G98" i="1"/>
  <c r="J96" i="1"/>
  <c r="J94" i="1"/>
  <c r="J93" i="1"/>
  <c r="I96" i="1"/>
  <c r="I95" i="1"/>
  <c r="I94" i="1"/>
  <c r="I93" i="1"/>
  <c r="I92" i="1"/>
  <c r="I91" i="1"/>
  <c r="I90" i="1"/>
  <c r="I89" i="1"/>
  <c r="I88" i="1"/>
  <c r="H96" i="1"/>
  <c r="H95" i="1"/>
  <c r="H94" i="1"/>
  <c r="H93" i="1"/>
  <c r="H92" i="1"/>
  <c r="H91" i="1"/>
  <c r="H90" i="1"/>
  <c r="H89" i="1"/>
  <c r="H88" i="1"/>
  <c r="G88" i="1"/>
  <c r="G96" i="1"/>
  <c r="G95" i="1"/>
  <c r="G94" i="1"/>
  <c r="G93" i="1"/>
  <c r="G92" i="1"/>
  <c r="G91" i="1"/>
  <c r="G90" i="1"/>
  <c r="G89" i="1"/>
  <c r="J86" i="1"/>
  <c r="J82" i="1"/>
  <c r="I86" i="1"/>
  <c r="I85" i="1"/>
  <c r="I84" i="1"/>
  <c r="I83" i="1"/>
  <c r="I82" i="1"/>
  <c r="I81" i="1"/>
  <c r="I80" i="1"/>
  <c r="I79" i="1"/>
  <c r="I78" i="1"/>
  <c r="H86" i="1"/>
  <c r="H85" i="1"/>
  <c r="H84" i="1"/>
  <c r="H83" i="1"/>
  <c r="H82" i="1"/>
  <c r="H81" i="1"/>
  <c r="H80" i="1"/>
  <c r="H79" i="1"/>
  <c r="H78" i="1"/>
  <c r="G86" i="1"/>
  <c r="G85" i="1"/>
  <c r="G84" i="1"/>
  <c r="G83" i="1"/>
  <c r="G82" i="1"/>
  <c r="G81" i="1"/>
  <c r="G80" i="1"/>
  <c r="G79" i="1"/>
  <c r="G78" i="1"/>
  <c r="J76" i="1"/>
  <c r="J72" i="1"/>
  <c r="J70" i="1"/>
  <c r="I76" i="1"/>
  <c r="I75" i="1"/>
  <c r="I74" i="1"/>
  <c r="I73" i="1"/>
  <c r="I72" i="1"/>
  <c r="I71" i="1"/>
  <c r="I70" i="1"/>
  <c r="I69" i="1"/>
  <c r="I68" i="1"/>
  <c r="H76" i="1"/>
  <c r="H75" i="1"/>
  <c r="H74" i="1"/>
  <c r="H73" i="1"/>
  <c r="H72" i="1"/>
  <c r="H71" i="1"/>
  <c r="H70" i="1"/>
  <c r="H69" i="1"/>
  <c r="H68" i="1"/>
  <c r="G76" i="1"/>
  <c r="G75" i="1"/>
  <c r="G74" i="1"/>
  <c r="G73" i="1"/>
  <c r="G72" i="1"/>
  <c r="G71" i="1"/>
  <c r="G70" i="1"/>
  <c r="G69" i="1"/>
  <c r="G68" i="1"/>
  <c r="J66" i="1"/>
  <c r="J62" i="1"/>
  <c r="J60" i="1"/>
  <c r="I66" i="1"/>
  <c r="I65" i="1"/>
  <c r="I64" i="1"/>
  <c r="I63" i="1"/>
  <c r="I62" i="1"/>
  <c r="I61" i="1"/>
  <c r="I60" i="1"/>
  <c r="I59" i="1"/>
  <c r="I58" i="1"/>
  <c r="H66" i="1"/>
  <c r="H65" i="1"/>
  <c r="H64" i="1"/>
  <c r="H63" i="1"/>
  <c r="H62" i="1"/>
  <c r="H61" i="1"/>
  <c r="H60" i="1"/>
  <c r="H59" i="1"/>
  <c r="H58" i="1"/>
  <c r="G66" i="1"/>
  <c r="G65" i="1"/>
  <c r="G64" i="1"/>
  <c r="G63" i="1"/>
  <c r="G62" i="1"/>
  <c r="G61" i="1"/>
  <c r="G60" i="1"/>
  <c r="G59" i="1"/>
  <c r="G58" i="1"/>
  <c r="J56" i="1"/>
  <c r="J55" i="1"/>
  <c r="J54" i="1"/>
  <c r="J53" i="1"/>
  <c r="J52" i="1"/>
  <c r="J51" i="1"/>
  <c r="J50" i="1"/>
  <c r="I56" i="1"/>
  <c r="I55" i="1"/>
  <c r="I54" i="1"/>
  <c r="I53" i="1"/>
  <c r="I52" i="1"/>
  <c r="I51" i="1"/>
  <c r="I50" i="1"/>
  <c r="I48" i="1"/>
  <c r="H56" i="1"/>
  <c r="H55" i="1"/>
  <c r="H54" i="1"/>
  <c r="H53" i="1"/>
  <c r="H52" i="1"/>
  <c r="H51" i="1"/>
  <c r="H50" i="1"/>
  <c r="H49" i="1"/>
  <c r="H48" i="1"/>
  <c r="G56" i="1"/>
  <c r="G55" i="1"/>
  <c r="G54" i="1"/>
  <c r="G53" i="1"/>
  <c r="G52" i="1"/>
  <c r="G51" i="1"/>
  <c r="G50" i="1"/>
  <c r="G49" i="1"/>
  <c r="G48" i="1"/>
  <c r="I49" i="1"/>
  <c r="J46" i="1"/>
  <c r="J45" i="1"/>
  <c r="J44" i="1"/>
  <c r="J43" i="1"/>
  <c r="J42" i="1"/>
  <c r="J41" i="1"/>
  <c r="I46" i="1"/>
  <c r="I45" i="1"/>
  <c r="I44" i="1"/>
  <c r="I43" i="1"/>
  <c r="I42" i="1"/>
  <c r="I41" i="1"/>
  <c r="I40" i="1"/>
  <c r="I39" i="1"/>
  <c r="H46" i="1"/>
  <c r="H45" i="1"/>
  <c r="H44" i="1"/>
  <c r="H43" i="1"/>
  <c r="H42" i="1"/>
  <c r="H41" i="1"/>
  <c r="H40" i="1"/>
  <c r="H39" i="1"/>
  <c r="G46" i="1"/>
  <c r="G45" i="1"/>
  <c r="G44" i="1"/>
  <c r="G43" i="1"/>
  <c r="G42" i="1"/>
  <c r="G41" i="1"/>
  <c r="G40" i="1"/>
  <c r="G39" i="1"/>
  <c r="J37" i="1"/>
  <c r="J33" i="1"/>
  <c r="J31" i="1"/>
  <c r="I29" i="1"/>
  <c r="I37" i="1"/>
  <c r="I36" i="1"/>
  <c r="I35" i="1"/>
  <c r="I34" i="1"/>
  <c r="I33" i="1"/>
  <c r="I32" i="1"/>
  <c r="I31" i="1"/>
  <c r="I30" i="1"/>
  <c r="H37" i="1"/>
  <c r="H36" i="1"/>
  <c r="H35" i="1"/>
  <c r="H34" i="1"/>
  <c r="H33" i="1"/>
  <c r="H32" i="1"/>
  <c r="H31" i="1"/>
  <c r="H30" i="1"/>
  <c r="H29" i="1"/>
  <c r="G36" i="1"/>
  <c r="G35" i="1"/>
  <c r="G34" i="1"/>
  <c r="G33" i="1"/>
  <c r="G32" i="1"/>
  <c r="G31" i="1"/>
  <c r="G30" i="1"/>
  <c r="G29" i="1"/>
  <c r="G37" i="1"/>
  <c r="J27" i="1"/>
  <c r="J23" i="1"/>
  <c r="J21" i="1"/>
  <c r="I27" i="1"/>
  <c r="I26" i="1"/>
  <c r="I25" i="1"/>
  <c r="I24" i="1"/>
  <c r="I23" i="1"/>
  <c r="I22" i="1"/>
  <c r="I21" i="1"/>
  <c r="I20" i="1"/>
  <c r="I19" i="1"/>
  <c r="H27" i="1"/>
  <c r="H26" i="1"/>
  <c r="H25" i="1"/>
  <c r="H24" i="1"/>
  <c r="H23" i="1"/>
  <c r="H22" i="1"/>
  <c r="H21" i="1"/>
  <c r="H20" i="1"/>
  <c r="H19" i="1"/>
  <c r="G27" i="1"/>
  <c r="G26" i="1"/>
  <c r="G25" i="1"/>
  <c r="G24" i="1"/>
  <c r="G23" i="1"/>
  <c r="G22" i="1"/>
  <c r="G21" i="1"/>
  <c r="G20" i="1"/>
  <c r="G19" i="1"/>
  <c r="J17" i="1" l="1"/>
  <c r="J16" i="1"/>
  <c r="J15" i="1"/>
  <c r="J14" i="1"/>
  <c r="J13" i="1"/>
  <c r="J12" i="1"/>
  <c r="I17" i="1"/>
  <c r="I16" i="1"/>
  <c r="I15" i="1"/>
  <c r="I14" i="1"/>
  <c r="I13" i="1"/>
  <c r="I12" i="1"/>
  <c r="H17" i="1"/>
  <c r="H16" i="1"/>
  <c r="H15" i="1"/>
  <c r="H14" i="1"/>
  <c r="H13" i="1"/>
  <c r="H12" i="1"/>
  <c r="G17" i="1"/>
  <c r="G16" i="1"/>
  <c r="G15" i="1"/>
  <c r="G14" i="1"/>
  <c r="G13" i="1"/>
  <c r="G12" i="1"/>
  <c r="J11" i="1"/>
  <c r="I11" i="1"/>
  <c r="I10" i="1"/>
  <c r="I9" i="1"/>
  <c r="H11" i="1"/>
  <c r="H10" i="1"/>
  <c r="H9" i="1"/>
  <c r="G11" i="1"/>
  <c r="G10" i="1"/>
  <c r="G9" i="1"/>
  <c r="D43" i="26" l="1"/>
  <c r="D42" i="26"/>
  <c r="D41" i="26"/>
  <c r="D40" i="26"/>
  <c r="D39" i="26" s="1"/>
  <c r="D34" i="26"/>
  <c r="J98" i="1" s="1"/>
  <c r="L29" i="26"/>
  <c r="I29" i="26"/>
  <c r="L28" i="26"/>
  <c r="I27" i="26"/>
  <c r="L26" i="26"/>
  <c r="C26" i="26"/>
  <c r="I25" i="26"/>
  <c r="C25" i="26"/>
  <c r="L22" i="26"/>
  <c r="C22" i="26"/>
  <c r="L21" i="26"/>
  <c r="C21" i="26"/>
  <c r="I20" i="26"/>
  <c r="I21" i="26" s="1"/>
  <c r="F20" i="26"/>
  <c r="F21" i="26" s="1"/>
  <c r="C20" i="26"/>
  <c r="D47" i="26" s="1"/>
  <c r="L19" i="26"/>
  <c r="I18" i="26"/>
  <c r="F18" i="26"/>
  <c r="L17" i="26"/>
  <c r="L16" i="26"/>
  <c r="I16" i="26"/>
  <c r="L14" i="26"/>
  <c r="I14" i="26"/>
  <c r="F14" i="26"/>
  <c r="I13" i="26"/>
  <c r="F13" i="26"/>
  <c r="D43" i="25"/>
  <c r="J92" i="1" s="1"/>
  <c r="D42" i="25"/>
  <c r="J91" i="1" s="1"/>
  <c r="D41" i="25"/>
  <c r="D40" i="25"/>
  <c r="D34" i="25"/>
  <c r="J88" i="1" s="1"/>
  <c r="L29" i="25"/>
  <c r="I29" i="25"/>
  <c r="L28" i="25"/>
  <c r="I27" i="25"/>
  <c r="L26" i="25"/>
  <c r="C26" i="25"/>
  <c r="I25" i="25"/>
  <c r="C25" i="25"/>
  <c r="L22" i="25"/>
  <c r="C22" i="25"/>
  <c r="L21" i="25"/>
  <c r="C21" i="25"/>
  <c r="I20" i="25"/>
  <c r="I21" i="25" s="1"/>
  <c r="F20" i="25"/>
  <c r="C20" i="25"/>
  <c r="D47" i="25" s="1"/>
  <c r="L19" i="25"/>
  <c r="I18" i="25"/>
  <c r="F18" i="25"/>
  <c r="L17" i="25"/>
  <c r="L16" i="25"/>
  <c r="I16" i="25"/>
  <c r="L14" i="25"/>
  <c r="I14" i="25"/>
  <c r="F14" i="25"/>
  <c r="I13" i="25"/>
  <c r="F13" i="25"/>
  <c r="D43" i="24"/>
  <c r="D42" i="24"/>
  <c r="J81" i="1" s="1"/>
  <c r="D41" i="24"/>
  <c r="D40" i="24"/>
  <c r="J78" i="1"/>
  <c r="L29" i="24"/>
  <c r="I29" i="24"/>
  <c r="L28" i="24"/>
  <c r="I27" i="24"/>
  <c r="L26" i="24"/>
  <c r="C26" i="24"/>
  <c r="I25" i="24"/>
  <c r="C25" i="24"/>
  <c r="L22" i="24"/>
  <c r="C22" i="24"/>
  <c r="L21" i="24"/>
  <c r="C21" i="24"/>
  <c r="I20" i="24"/>
  <c r="I21" i="24" s="1"/>
  <c r="F20" i="24"/>
  <c r="F21" i="24" s="1"/>
  <c r="C20" i="24"/>
  <c r="D47" i="24" s="1"/>
  <c r="L19" i="24"/>
  <c r="I18" i="24"/>
  <c r="F18" i="24"/>
  <c r="L17" i="24"/>
  <c r="L16" i="24"/>
  <c r="I16" i="24"/>
  <c r="L14" i="24"/>
  <c r="I14" i="24"/>
  <c r="F14" i="24"/>
  <c r="I13" i="24"/>
  <c r="F13" i="24"/>
  <c r="D43" i="23"/>
  <c r="D42" i="23"/>
  <c r="J71" i="1" s="1"/>
  <c r="D41" i="23"/>
  <c r="D40" i="23"/>
  <c r="D39" i="23" s="1"/>
  <c r="D34" i="23"/>
  <c r="J68" i="1" s="1"/>
  <c r="L29" i="23"/>
  <c r="I29" i="23"/>
  <c r="L28" i="23"/>
  <c r="I27" i="23"/>
  <c r="L26" i="23"/>
  <c r="C26" i="23"/>
  <c r="I25" i="23"/>
  <c r="C25" i="23"/>
  <c r="L22" i="23"/>
  <c r="C22" i="23"/>
  <c r="L21" i="23"/>
  <c r="C21" i="23"/>
  <c r="I20" i="23"/>
  <c r="I21" i="23" s="1"/>
  <c r="F20" i="23"/>
  <c r="F21" i="23" s="1"/>
  <c r="C20" i="23"/>
  <c r="D47" i="23" s="1"/>
  <c r="L19" i="23"/>
  <c r="I18" i="23"/>
  <c r="F18" i="23"/>
  <c r="L17" i="23"/>
  <c r="L16" i="23"/>
  <c r="I16" i="23"/>
  <c r="L14" i="23"/>
  <c r="I14" i="23"/>
  <c r="F14" i="23"/>
  <c r="I13" i="23"/>
  <c r="F13" i="23"/>
  <c r="D43" i="22"/>
  <c r="D42" i="22"/>
  <c r="J61" i="1" s="1"/>
  <c r="D41" i="22"/>
  <c r="D40" i="22"/>
  <c r="D39" i="22" s="1"/>
  <c r="D34" i="22"/>
  <c r="J58" i="1" s="1"/>
  <c r="L29" i="22"/>
  <c r="I29" i="22"/>
  <c r="L28" i="22"/>
  <c r="I27" i="22"/>
  <c r="L26" i="22"/>
  <c r="C26" i="22"/>
  <c r="I25" i="22"/>
  <c r="C25" i="22"/>
  <c r="L22" i="22"/>
  <c r="C22" i="22"/>
  <c r="L21" i="22"/>
  <c r="C21" i="22"/>
  <c r="I20" i="22"/>
  <c r="I21" i="22" s="1"/>
  <c r="F20" i="22"/>
  <c r="F21" i="22" s="1"/>
  <c r="C20" i="22"/>
  <c r="D47" i="22" s="1"/>
  <c r="L19" i="22"/>
  <c r="I18" i="22"/>
  <c r="F18" i="22"/>
  <c r="L17" i="22"/>
  <c r="L16" i="22"/>
  <c r="I16" i="22"/>
  <c r="L14" i="22"/>
  <c r="I14" i="22"/>
  <c r="F14" i="22"/>
  <c r="I13" i="22"/>
  <c r="F13" i="22"/>
  <c r="D43" i="21"/>
  <c r="D42" i="21"/>
  <c r="D41" i="21"/>
  <c r="D40" i="21"/>
  <c r="D39" i="21" s="1"/>
  <c r="D34" i="21"/>
  <c r="J48" i="1" s="1"/>
  <c r="L29" i="21"/>
  <c r="I29" i="21"/>
  <c r="L28" i="21"/>
  <c r="I27" i="21"/>
  <c r="L26" i="21"/>
  <c r="C26" i="21"/>
  <c r="I25" i="21"/>
  <c r="C25" i="21"/>
  <c r="L22" i="21"/>
  <c r="C22" i="21"/>
  <c r="L21" i="21"/>
  <c r="C21" i="21"/>
  <c r="I20" i="21"/>
  <c r="I21" i="21" s="1"/>
  <c r="F20" i="21"/>
  <c r="F21" i="21" s="1"/>
  <c r="C20" i="21"/>
  <c r="D47" i="21" s="1"/>
  <c r="L19" i="21"/>
  <c r="I18" i="21"/>
  <c r="F18" i="21"/>
  <c r="L17" i="21"/>
  <c r="L16" i="21"/>
  <c r="L14" i="21"/>
  <c r="I14" i="21"/>
  <c r="F14" i="21"/>
  <c r="I13" i="21"/>
  <c r="F13" i="21"/>
  <c r="D42" i="20"/>
  <c r="D41" i="20"/>
  <c r="D40" i="20"/>
  <c r="D39" i="20" s="1"/>
  <c r="D34" i="20"/>
  <c r="J39" i="1" s="1"/>
  <c r="L29" i="20"/>
  <c r="I29" i="20"/>
  <c r="L28" i="20"/>
  <c r="I27" i="20"/>
  <c r="L26" i="20"/>
  <c r="C26" i="20"/>
  <c r="I25" i="20"/>
  <c r="C25" i="20"/>
  <c r="D43" i="20" s="1"/>
  <c r="L22" i="20"/>
  <c r="C22" i="20"/>
  <c r="L21" i="20"/>
  <c r="F21" i="20"/>
  <c r="C21" i="20"/>
  <c r="I20" i="20"/>
  <c r="I21" i="20" s="1"/>
  <c r="F20" i="20"/>
  <c r="C20" i="20"/>
  <c r="D44" i="20" s="1"/>
  <c r="L19" i="20"/>
  <c r="I18" i="20"/>
  <c r="F18" i="20"/>
  <c r="L17" i="20"/>
  <c r="L16" i="20"/>
  <c r="L14" i="20"/>
  <c r="I14" i="20"/>
  <c r="F14" i="20"/>
  <c r="I13" i="20"/>
  <c r="F13" i="20"/>
  <c r="D42" i="19"/>
  <c r="J32" i="1" s="1"/>
  <c r="D41" i="19"/>
  <c r="D40" i="19"/>
  <c r="D39" i="19"/>
  <c r="D34" i="19"/>
  <c r="J29" i="1" s="1"/>
  <c r="L29" i="19"/>
  <c r="I29" i="19"/>
  <c r="L28" i="19"/>
  <c r="I27" i="19"/>
  <c r="L26" i="19"/>
  <c r="C26" i="19"/>
  <c r="I25" i="19"/>
  <c r="C25" i="19"/>
  <c r="D43" i="19" s="1"/>
  <c r="L22" i="19"/>
  <c r="C22" i="19"/>
  <c r="L21" i="19"/>
  <c r="F21" i="19"/>
  <c r="C21" i="19"/>
  <c r="I20" i="19"/>
  <c r="I21" i="19" s="1"/>
  <c r="F20" i="19"/>
  <c r="C20" i="19"/>
  <c r="D47" i="19" s="1"/>
  <c r="L19" i="19"/>
  <c r="I18" i="19"/>
  <c r="F18" i="19"/>
  <c r="L17" i="19"/>
  <c r="L16" i="19"/>
  <c r="L14" i="19"/>
  <c r="I14" i="19"/>
  <c r="F14" i="19"/>
  <c r="I13" i="19"/>
  <c r="F13" i="19"/>
  <c r="D42" i="18"/>
  <c r="J22" i="1" s="1"/>
  <c r="D41" i="18"/>
  <c r="D40" i="18"/>
  <c r="D39" i="18"/>
  <c r="D34" i="18"/>
  <c r="J19" i="1" s="1"/>
  <c r="L29" i="18"/>
  <c r="I29" i="18"/>
  <c r="L28" i="18"/>
  <c r="I27" i="18"/>
  <c r="L26" i="18"/>
  <c r="C26" i="18"/>
  <c r="I25" i="18"/>
  <c r="C25" i="18"/>
  <c r="D43" i="18" s="1"/>
  <c r="L22" i="18"/>
  <c r="C22" i="18"/>
  <c r="L21" i="18"/>
  <c r="C21" i="18"/>
  <c r="D44" i="18" s="1"/>
  <c r="J24" i="1" s="1"/>
  <c r="I20" i="18"/>
  <c r="I21" i="18" s="1"/>
  <c r="F20" i="18"/>
  <c r="F21" i="18" s="1"/>
  <c r="C20" i="18"/>
  <c r="D47" i="18" s="1"/>
  <c r="L19" i="18"/>
  <c r="I18" i="18"/>
  <c r="F18" i="18"/>
  <c r="L17" i="18"/>
  <c r="L16" i="18"/>
  <c r="L14" i="18"/>
  <c r="I14" i="18"/>
  <c r="F14" i="18"/>
  <c r="I13" i="18"/>
  <c r="F13" i="18"/>
  <c r="D43" i="17"/>
  <c r="D42" i="17"/>
  <c r="D40" i="17"/>
  <c r="D34" i="17"/>
  <c r="J9" i="1" s="1"/>
  <c r="L29" i="17"/>
  <c r="C29" i="17"/>
  <c r="D41" i="17" s="1"/>
  <c r="L28" i="17"/>
  <c r="I27" i="17"/>
  <c r="L26" i="17"/>
  <c r="C26" i="17"/>
  <c r="C25" i="17"/>
  <c r="L22" i="17"/>
  <c r="C22" i="17"/>
  <c r="D44" i="17" s="1"/>
  <c r="L21" i="17"/>
  <c r="I21" i="17"/>
  <c r="C21" i="17"/>
  <c r="I20" i="17"/>
  <c r="F20" i="17"/>
  <c r="F21" i="17" s="1"/>
  <c r="C20" i="17"/>
  <c r="D47" i="17" s="1"/>
  <c r="L19" i="17"/>
  <c r="I18" i="17"/>
  <c r="F18" i="17"/>
  <c r="L17" i="17"/>
  <c r="L16" i="17"/>
  <c r="I14" i="17"/>
  <c r="F14" i="17"/>
  <c r="I13" i="17"/>
  <c r="F13" i="17"/>
  <c r="D39" i="24" l="1"/>
  <c r="J80" i="1" s="1"/>
  <c r="D39" i="25"/>
  <c r="J90" i="1" s="1"/>
  <c r="D44" i="19"/>
  <c r="J34" i="1" s="1"/>
  <c r="D37" i="18"/>
  <c r="D37" i="19"/>
  <c r="D37" i="20"/>
  <c r="D36" i="25"/>
  <c r="D36" i="20"/>
  <c r="D37" i="17"/>
  <c r="D37" i="24"/>
  <c r="D38" i="24"/>
  <c r="D37" i="25"/>
  <c r="D36" i="26"/>
  <c r="D38" i="19"/>
  <c r="D38" i="17"/>
  <c r="D38" i="26"/>
  <c r="D38" i="25"/>
  <c r="D37" i="26"/>
  <c r="D36" i="19"/>
  <c r="D37" i="21"/>
  <c r="D36" i="21"/>
  <c r="D38" i="20"/>
  <c r="D37" i="22"/>
  <c r="D36" i="18"/>
  <c r="D37" i="23"/>
  <c r="D46" i="17"/>
  <c r="D45" i="17"/>
  <c r="D36" i="17"/>
  <c r="D39" i="17"/>
  <c r="D38" i="21"/>
  <c r="D38" i="22"/>
  <c r="D36" i="24"/>
  <c r="D36" i="23"/>
  <c r="D38" i="23"/>
  <c r="D38" i="18"/>
  <c r="D46" i="18"/>
  <c r="J26" i="1" s="1"/>
  <c r="D45" i="18"/>
  <c r="J25" i="1" s="1"/>
  <c r="D45" i="20"/>
  <c r="D46" i="20"/>
  <c r="D36" i="22"/>
  <c r="D44" i="21"/>
  <c r="D44" i="22"/>
  <c r="J63" i="1" s="1"/>
  <c r="D44" i="23"/>
  <c r="J73" i="1" s="1"/>
  <c r="D44" i="24"/>
  <c r="J83" i="1" s="1"/>
  <c r="D44" i="25"/>
  <c r="D44" i="26"/>
  <c r="D46" i="19" l="1"/>
  <c r="J36" i="1" s="1"/>
  <c r="D45" i="19"/>
  <c r="J35" i="1" s="1"/>
  <c r="D35" i="24"/>
  <c r="J79" i="1" s="1"/>
  <c r="D35" i="26"/>
  <c r="J99" i="1" s="1"/>
  <c r="D35" i="19"/>
  <c r="J30" i="1"/>
  <c r="D35" i="17"/>
  <c r="J10" i="1" s="1"/>
  <c r="D35" i="25"/>
  <c r="J89" i="1" s="1"/>
  <c r="D35" i="20"/>
  <c r="J40" i="1" s="1"/>
  <c r="D35" i="21"/>
  <c r="J49" i="1" s="1"/>
  <c r="D35" i="18"/>
  <c r="J20" i="1" s="1"/>
  <c r="D46" i="26"/>
  <c r="J105" i="1" s="1"/>
  <c r="D45" i="26"/>
  <c r="D46" i="25"/>
  <c r="J95" i="1" s="1"/>
  <c r="D45" i="25"/>
  <c r="D46" i="21"/>
  <c r="D45" i="21"/>
  <c r="D46" i="24"/>
  <c r="J85" i="1" s="1"/>
  <c r="D45" i="24"/>
  <c r="J84" i="1" s="1"/>
  <c r="D35" i="22"/>
  <c r="J59" i="1" s="1"/>
  <c r="D46" i="23"/>
  <c r="J75" i="1" s="1"/>
  <c r="D45" i="23"/>
  <c r="J74" i="1" s="1"/>
  <c r="D46" i="22"/>
  <c r="J65" i="1" s="1"/>
  <c r="D45" i="22"/>
  <c r="J64" i="1" s="1"/>
  <c r="D35" i="23"/>
  <c r="J69" i="1" s="1"/>
</calcChain>
</file>

<file path=xl/sharedStrings.xml><?xml version="1.0" encoding="utf-8"?>
<sst xmlns="http://schemas.openxmlformats.org/spreadsheetml/2006/main" count="2106" uniqueCount="120">
  <si>
    <t>RESUMEN CANTIDADES POR ESPECIALIDAD</t>
  </si>
  <si>
    <t>ESPECIALIDAD</t>
  </si>
  <si>
    <t>RESPONSABLE</t>
  </si>
  <si>
    <t>CÓDIGO</t>
  </si>
  <si>
    <t>FECHA</t>
  </si>
  <si>
    <t>UNIDAD</t>
  </si>
  <si>
    <t>ESPECIFICACIÓN TECNICA DE CONSTRUCCIÓN</t>
  </si>
  <si>
    <t>FO-AC-07</t>
  </si>
  <si>
    <t>VERSIÓN</t>
  </si>
  <si>
    <t xml:space="preserve">CANTIDAD </t>
  </si>
  <si>
    <t>N° ITEM</t>
  </si>
  <si>
    <r>
      <t xml:space="preserve">CÓDIGO 
ÍTEM IDU
</t>
    </r>
    <r>
      <rPr>
        <sz val="10"/>
        <rFont val="Times New Roman"/>
        <family val="1"/>
      </rPr>
      <t>(Si no existe dejar en Blanco)</t>
    </r>
  </si>
  <si>
    <r>
      <t xml:space="preserve">DESCRIPCIÓN
</t>
    </r>
    <r>
      <rPr>
        <sz val="10"/>
        <rFont val="Times New Roman"/>
        <family val="1"/>
      </rPr>
      <t>(Colocar la descripción del ítem tomado de la lista ítems IDU. Si no existe colocar la descripción completa del ítem nuevo)</t>
    </r>
  </si>
  <si>
    <r>
      <t xml:space="preserve">OBSERVACIONES 
</t>
    </r>
    <r>
      <rPr>
        <sz val="10"/>
        <rFont val="Times New Roman"/>
        <family val="1"/>
      </rPr>
      <t>(Colocar el documento de referencia de donde se tomo la cantidad. Ej: plano, reporte, etc.)</t>
    </r>
  </si>
  <si>
    <t>SUBESPECIALIDAD</t>
  </si>
  <si>
    <t>ABSCISA FINAL</t>
  </si>
  <si>
    <t xml:space="preserve">TRAMO </t>
  </si>
  <si>
    <r>
      <t xml:space="preserve">PROCESO
</t>
    </r>
    <r>
      <rPr>
        <sz val="12"/>
        <rFont val="Times New Roman"/>
        <family val="1"/>
      </rPr>
      <t>CANTIDADES DE OBRA</t>
    </r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</si>
  <si>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FORMATO</t>
    </r>
    <r>
      <rPr>
        <sz val="12"/>
        <rFont val="Times New Roman"/>
        <family val="1"/>
      </rPr>
      <t xml:space="preserve">
Contrato IDU  1630 de 16 de dicembre de 2020
AJUSTES, ACTUALIZACIÓN Y COMPLEMENTACIÓN DE LA FACTIBILIDAD Y ESTUDIOS Y DISEÑOS
DEL CABLE AÉREO EN SAN CRISTÓBAL, EN BOGOTÁ D.C.</t>
    </r>
  </si>
  <si>
    <t>PUNTO INICIAL INICIAL</t>
  </si>
  <si>
    <t>ALTERNATIVA</t>
  </si>
  <si>
    <t>ESTACIÓN DE SALIDA</t>
  </si>
  <si>
    <t>ESTACIÓN DE LLEGADA</t>
  </si>
  <si>
    <t>m</t>
  </si>
  <si>
    <t>ACTUALIZACIÓN, AJUSTES Y COMPLEMENTACIÓN DE LA FACTIBILIDAD Y LOS ESTUDIOS</t>
  </si>
  <si>
    <t xml:space="preserve"> Y DISEÑOS DEL CABLE AÉREO EN SAN CRISTÓBAL, EN BOGOTÁ D.C.</t>
  </si>
  <si>
    <t>CONTRATO DE CONSULTORÍA No. 1630 DE 2020</t>
  </si>
  <si>
    <t>Datos Geometria:</t>
  </si>
  <si>
    <t>Datos Refuerzo:</t>
  </si>
  <si>
    <t>Pilotes</t>
  </si>
  <si>
    <t>Pedestal</t>
  </si>
  <si>
    <t>Zapata</t>
  </si>
  <si>
    <t>Número de pilas:</t>
  </si>
  <si>
    <t>pzas</t>
  </si>
  <si>
    <t>Número de varillas principales:</t>
  </si>
  <si>
    <t>Separación de varillas principales</t>
  </si>
  <si>
    <t>cm</t>
  </si>
  <si>
    <t>Diametro:</t>
  </si>
  <si>
    <t>Varillas principales del #:</t>
  </si>
  <si>
    <t>c</t>
  </si>
  <si>
    <t>Número de paquetes:</t>
  </si>
  <si>
    <t>Profundidad:</t>
  </si>
  <si>
    <t>Peso de varillas principales:</t>
  </si>
  <si>
    <t>Kg/m</t>
  </si>
  <si>
    <t>Recubrimiento:</t>
  </si>
  <si>
    <t>Longitud de varillas principales:</t>
  </si>
  <si>
    <t>Ancho:</t>
  </si>
  <si>
    <t>Separación de estribos a cada:</t>
  </si>
  <si>
    <t>Largo:</t>
  </si>
  <si>
    <t>Número de estribos:</t>
  </si>
  <si>
    <t>Peralte:</t>
  </si>
  <si>
    <t>Estribos del #:</t>
  </si>
  <si>
    <t>Relleno</t>
  </si>
  <si>
    <t>Peso de estribos</t>
  </si>
  <si>
    <t>Separación de varillas temperatura</t>
  </si>
  <si>
    <t>Excavación</t>
  </si>
  <si>
    <t>Número de varillas temperatura:</t>
  </si>
  <si>
    <t>(Considerando 1m más a cada lado)          Ancho:</t>
  </si>
  <si>
    <t>Varillas temperatura del #:</t>
  </si>
  <si>
    <t>(Considerando 1m más a cada lado)           Largo:</t>
  </si>
  <si>
    <t>Longitud de estribos:</t>
  </si>
  <si>
    <t>Peso de varillas temperatura:</t>
  </si>
  <si>
    <t>Longitud de varillas temperatura:</t>
  </si>
  <si>
    <t>Concreto de Limpieza</t>
  </si>
  <si>
    <t>Bastones en columna</t>
  </si>
  <si>
    <t>Estribos zapata</t>
  </si>
  <si>
    <t>Columna</t>
  </si>
  <si>
    <t>Número de parrillas:</t>
  </si>
  <si>
    <t>Longitud de varillas:</t>
  </si>
  <si>
    <t>Altura:</t>
  </si>
  <si>
    <t>CODIGO 
IDU</t>
  </si>
  <si>
    <t>Concepto</t>
  </si>
  <si>
    <t>Unidad</t>
  </si>
  <si>
    <t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t>
  </si>
  <si>
    <t>m3</t>
  </si>
  <si>
    <t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t>
  </si>
  <si>
    <t>kg</t>
  </si>
  <si>
    <t>Concreto 4000 psi, premezclado, grava común (incluye suministro, formaleteo en madera, bombeo, colocación y curado. No incluye refuerzo), en:</t>
  </si>
  <si>
    <t>Descabece de pilotes (incluye transporte y disposición final de escombros en sitio autorizado a 21 km.</t>
  </si>
  <si>
    <t>Relleno con material de banco, incluye acarreo, equipo, herramienta, mano de obra y todo lo necesario para su correcta ejecución, P.U.O.T.</t>
  </si>
  <si>
    <t>Estructuras</t>
  </si>
  <si>
    <t>Electromecánico</t>
  </si>
  <si>
    <t>GPI001</t>
  </si>
  <si>
    <t>Plano</t>
  </si>
  <si>
    <t>GPI002</t>
  </si>
  <si>
    <t>GPI003</t>
  </si>
  <si>
    <t>GPI004</t>
  </si>
  <si>
    <t>Concreto de nivelación 2000 psi grava común (140 kg/cm2) (premezclado. incluye suministro, fundida y nivelación y colocación. no incluye refuerzo, curado).</t>
  </si>
  <si>
    <t>Excavación mecánica para dados (nivel de funcionamiento, incluye cargue)</t>
  </si>
  <si>
    <t>Transporte y disposición final de escombros en sitio autorizado (distancia de transporte 21 km) a distancia mayor del acarreo libre (90m) en sitio autorizado por la entidad ambiental competente.</t>
  </si>
  <si>
    <t>GPI005</t>
  </si>
  <si>
    <t>GPI007</t>
  </si>
  <si>
    <t>GPI008</t>
  </si>
  <si>
    <t>GPI009</t>
  </si>
  <si>
    <t>GPI010</t>
  </si>
  <si>
    <t>Distancia a paño primer varilla</t>
  </si>
  <si>
    <t>Demolición de concreto: espesores 8cm a 15cm. (incluye retiro de material, transporte y disposición final de escombros en sitio autorizado)</t>
  </si>
  <si>
    <t>Ancho: 2.5 m x 4.198 Area:</t>
  </si>
  <si>
    <t>Altura promedio:</t>
  </si>
  <si>
    <t>Cimentación 
Pilona No. 12 y 13</t>
  </si>
  <si>
    <t>Cimentación 
Pilona No. 14</t>
  </si>
  <si>
    <t>Cimentación 
Pilona No. 15</t>
  </si>
  <si>
    <t>Cimentación 
Pilona No. 16</t>
  </si>
  <si>
    <t>Cimentación 
Pilona No. 17</t>
  </si>
  <si>
    <t>Cimentación 
Pilona No. 18</t>
  </si>
  <si>
    <t>Cimentación 
Pilona No. 19</t>
  </si>
  <si>
    <t>Cimentación 
Pilona No. 20</t>
  </si>
  <si>
    <t>Cimentación 
Pilona No. 21</t>
  </si>
  <si>
    <t>Cimentación 
Pilona No. 22</t>
  </si>
  <si>
    <t>ESTRUCTURAL PILONAS SECCIÓN 2</t>
  </si>
  <si>
    <t>Pilona 12 - 13</t>
  </si>
  <si>
    <t>Pilona 14</t>
  </si>
  <si>
    <t>Pilona 15</t>
  </si>
  <si>
    <t>Pilona 16</t>
  </si>
  <si>
    <t>Pilona 17</t>
  </si>
  <si>
    <t>Pilona 18</t>
  </si>
  <si>
    <t>Pilona 19</t>
  </si>
  <si>
    <t>Pilona 20</t>
  </si>
  <si>
    <t>Pilona 21</t>
  </si>
  <si>
    <t>Pilona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</si>
</sst>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(* #,##0.0_);_(* \(#,##0.0\);_(* &quot;-&quot;??_);_(@_)"/>
    <numFmt numFmtId="166" formatCode="d/mm/yyyy;@"/>
    <numFmt numFmtId="167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8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3" fillId="0" borderId="0"/>
    <xf numFmtId="0" fontId="18" fillId="0" borderId="0"/>
    <xf numFmtId="0" fontId="13" fillId="0" borderId="0"/>
  </cellStyleXfs>
  <cellXfs count="121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66" fontId="7" fillId="0" borderId="9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4" fontId="9" fillId="0" borderId="0" xfId="0" applyNumberFormat="1" applyFont="1" applyFill="1" applyBorder="1" applyAlignment="1">
      <alignment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64" fontId="11" fillId="0" borderId="0" xfId="2" applyFont="1" applyAlignment="1">
      <alignment horizontal="left" indent="9"/>
    </xf>
    <xf numFmtId="0" fontId="13" fillId="0" borderId="0" xfId="3"/>
    <xf numFmtId="0" fontId="13" fillId="0" borderId="0" xfId="3" applyAlignment="1">
      <alignment vertical="center"/>
    </xf>
    <xf numFmtId="0" fontId="12" fillId="0" borderId="0" xfId="3" applyFont="1" applyAlignment="1">
      <alignment horizontal="left" vertical="center" indent="4"/>
    </xf>
    <xf numFmtId="0" fontId="13" fillId="0" borderId="0" xfId="3" applyAlignment="1">
      <alignment horizontal="center"/>
    </xf>
    <xf numFmtId="0" fontId="1" fillId="0" borderId="0" xfId="3" applyFont="1" applyAlignment="1">
      <alignment horizontal="left" vertical="center" wrapText="1" indent="4"/>
    </xf>
    <xf numFmtId="0" fontId="11" fillId="0" borderId="0" xfId="3" applyFont="1" applyAlignment="1">
      <alignment horizontal="left" indent="14"/>
    </xf>
    <xf numFmtId="0" fontId="15" fillId="0" borderId="0" xfId="3" applyFont="1" applyAlignment="1">
      <alignment horizontal="left"/>
    </xf>
    <xf numFmtId="0" fontId="15" fillId="0" borderId="19" xfId="3" applyFont="1" applyBorder="1" applyAlignment="1">
      <alignment horizontal="center"/>
    </xf>
    <xf numFmtId="167" fontId="17" fillId="0" borderId="19" xfId="3" applyNumberFormat="1" applyFont="1" applyBorder="1" applyAlignment="1">
      <alignment horizontal="center"/>
    </xf>
    <xf numFmtId="0" fontId="14" fillId="0" borderId="18" xfId="3" applyFont="1" applyBorder="1" applyAlignment="1">
      <alignment horizontal="right"/>
    </xf>
    <xf numFmtId="0" fontId="17" fillId="0" borderId="19" xfId="3" applyFont="1" applyBorder="1" applyAlignment="1">
      <alignment horizontal="center"/>
    </xf>
    <xf numFmtId="0" fontId="18" fillId="0" borderId="19" xfId="3" applyFont="1" applyBorder="1" applyAlignment="1">
      <alignment horizontal="center"/>
    </xf>
    <xf numFmtId="167" fontId="18" fillId="0" borderId="19" xfId="3" applyNumberFormat="1" applyFont="1" applyBorder="1" applyAlignment="1">
      <alignment horizontal="center"/>
    </xf>
    <xf numFmtId="0" fontId="13" fillId="0" borderId="0" xfId="3" applyAlignment="1">
      <alignment horizontal="left"/>
    </xf>
    <xf numFmtId="1" fontId="14" fillId="0" borderId="19" xfId="3" applyNumberFormat="1" applyFont="1" applyBorder="1" applyAlignment="1">
      <alignment horizontal="center"/>
    </xf>
    <xf numFmtId="2" fontId="18" fillId="0" borderId="19" xfId="3" applyNumberFormat="1" applyFont="1" applyBorder="1" applyAlignment="1">
      <alignment horizontal="center"/>
    </xf>
    <xf numFmtId="0" fontId="14" fillId="0" borderId="20" xfId="3" applyFont="1" applyBorder="1" applyAlignment="1">
      <alignment horizontal="right"/>
    </xf>
    <xf numFmtId="2" fontId="18" fillId="0" borderId="21" xfId="3" applyNumberFormat="1" applyFont="1" applyBorder="1" applyAlignment="1">
      <alignment horizontal="center"/>
    </xf>
    <xf numFmtId="167" fontId="18" fillId="0" borderId="21" xfId="3" applyNumberFormat="1" applyFont="1" applyBorder="1" applyAlignment="1">
      <alignment horizontal="center"/>
    </xf>
    <xf numFmtId="0" fontId="17" fillId="0" borderId="21" xfId="3" applyFont="1" applyBorder="1" applyAlignment="1">
      <alignment horizontal="center"/>
    </xf>
    <xf numFmtId="0" fontId="14" fillId="0" borderId="0" xfId="3" applyFont="1" applyAlignment="1">
      <alignment horizontal="right"/>
    </xf>
    <xf numFmtId="2" fontId="18" fillId="0" borderId="0" xfId="3" applyNumberFormat="1" applyFont="1" applyAlignment="1">
      <alignment horizontal="center"/>
    </xf>
    <xf numFmtId="0" fontId="17" fillId="0" borderId="0" xfId="3" applyFont="1" applyAlignment="1">
      <alignment horizontal="center"/>
    </xf>
    <xf numFmtId="0" fontId="16" fillId="0" borderId="1" xfId="3" applyFont="1" applyBorder="1" applyAlignment="1">
      <alignment horizontal="center" vertical="center" wrapText="1"/>
    </xf>
    <xf numFmtId="0" fontId="19" fillId="2" borderId="1" xfId="4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18" fillId="2" borderId="1" xfId="4" applyFill="1" applyBorder="1" applyAlignment="1">
      <alignment vertical="center" wrapText="1"/>
    </xf>
    <xf numFmtId="0" fontId="18" fillId="2" borderId="1" xfId="4" applyFill="1" applyBorder="1" applyAlignment="1">
      <alignment horizontal="center" vertical="center"/>
    </xf>
    <xf numFmtId="2" fontId="19" fillId="0" borderId="1" xfId="4" applyNumberFormat="1" applyFont="1" applyBorder="1" applyAlignment="1">
      <alignment horizontal="center" vertical="center" wrapText="1"/>
    </xf>
    <xf numFmtId="0" fontId="18" fillId="2" borderId="0" xfId="4" applyFill="1" applyAlignment="1">
      <alignment vertical="center" wrapText="1"/>
    </xf>
    <xf numFmtId="0" fontId="18" fillId="0" borderId="0" xfId="4" applyAlignment="1">
      <alignment vertical="center" wrapText="1"/>
    </xf>
    <xf numFmtId="3" fontId="19" fillId="0" borderId="1" xfId="4" applyNumberFormat="1" applyFont="1" applyBorder="1" applyAlignment="1">
      <alignment horizontal="center" vertical="center" wrapText="1"/>
    </xf>
    <xf numFmtId="0" fontId="18" fillId="2" borderId="1" xfId="4" applyFill="1" applyBorder="1" applyAlignment="1">
      <alignment horizontal="right" vertical="center" wrapText="1"/>
    </xf>
    <xf numFmtId="3" fontId="20" fillId="2" borderId="1" xfId="3" applyNumberFormat="1" applyFont="1" applyFill="1" applyBorder="1" applyAlignment="1">
      <alignment horizontal="center" vertical="center"/>
    </xf>
    <xf numFmtId="3" fontId="20" fillId="0" borderId="1" xfId="3" applyNumberFormat="1" applyFont="1" applyBorder="1" applyAlignment="1">
      <alignment horizontal="center" vertical="center"/>
    </xf>
    <xf numFmtId="4" fontId="21" fillId="2" borderId="1" xfId="3" applyNumberFormat="1" applyFont="1" applyFill="1" applyBorder="1" applyAlignment="1">
      <alignment horizontal="center" vertical="center"/>
    </xf>
    <xf numFmtId="2" fontId="18" fillId="2" borderId="1" xfId="4" applyNumberFormat="1" applyFill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8" fillId="0" borderId="1" xfId="4" applyBorder="1" applyAlignment="1">
      <alignment vertical="center" wrapText="1"/>
    </xf>
    <xf numFmtId="2" fontId="17" fillId="0" borderId="19" xfId="3" applyNumberFormat="1" applyFont="1" applyBorder="1" applyAlignment="1">
      <alignment horizontal="center"/>
    </xf>
    <xf numFmtId="0" fontId="19" fillId="0" borderId="1" xfId="3" applyFont="1" applyBorder="1" applyAlignment="1">
      <alignment horizontal="center" vertical="center"/>
    </xf>
    <xf numFmtId="2" fontId="18" fillId="0" borderId="1" xfId="4" applyNumberFormat="1" applyBorder="1" applyAlignment="1">
      <alignment horizontal="center" vertical="center" wrapText="1"/>
    </xf>
    <xf numFmtId="0" fontId="13" fillId="0" borderId="0" xfId="3" applyAlignment="1">
      <alignment horizontal="center" vertical="center"/>
    </xf>
    <xf numFmtId="0" fontId="14" fillId="0" borderId="19" xfId="3" applyFont="1" applyBorder="1" applyAlignment="1">
      <alignment horizontal="center"/>
    </xf>
    <xf numFmtId="0" fontId="16" fillId="0" borderId="1" xfId="3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0" fontId="16" fillId="0" borderId="18" xfId="3" applyFont="1" applyBorder="1" applyAlignment="1">
      <alignment horizontal="left"/>
    </xf>
    <xf numFmtId="2" fontId="14" fillId="0" borderId="21" xfId="3" applyNumberFormat="1" applyFont="1" applyBorder="1" applyAlignment="1">
      <alignment horizontal="center"/>
    </xf>
    <xf numFmtId="167" fontId="18" fillId="3" borderId="19" xfId="3" applyNumberFormat="1" applyFont="1" applyFill="1" applyBorder="1" applyAlignment="1">
      <alignment horizontal="center"/>
    </xf>
    <xf numFmtId="2" fontId="14" fillId="2" borderId="1" xfId="4" applyNumberFormat="1" applyFont="1" applyFill="1" applyBorder="1" applyAlignment="1">
      <alignment horizontal="center" vertical="center" wrapText="1"/>
    </xf>
    <xf numFmtId="2" fontId="14" fillId="0" borderId="1" xfId="4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165" fontId="5" fillId="0" borderId="7" xfId="1" applyNumberFormat="1" applyFont="1" applyFill="1" applyBorder="1" applyAlignment="1" applyProtection="1">
      <alignment horizontal="center" vertical="center" wrapText="1"/>
    </xf>
    <xf numFmtId="165" fontId="5" fillId="0" borderId="9" xfId="1" applyNumberFormat="1" applyFont="1" applyFill="1" applyBorder="1" applyAlignment="1" applyProtection="1">
      <alignment horizontal="center" vertical="center" wrapText="1"/>
    </xf>
    <xf numFmtId="0" fontId="14" fillId="0" borderId="16" xfId="3" applyFont="1" applyBorder="1" applyAlignment="1">
      <alignment horizontal="center"/>
    </xf>
    <xf numFmtId="0" fontId="14" fillId="0" borderId="17" xfId="3" applyFont="1" applyBorder="1" applyAlignment="1">
      <alignment horizontal="center"/>
    </xf>
    <xf numFmtId="0" fontId="16" fillId="0" borderId="1" xfId="3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0" fontId="11" fillId="0" borderId="0" xfId="3" applyFont="1" applyAlignment="1">
      <alignment horizontal="center"/>
    </xf>
    <xf numFmtId="0" fontId="14" fillId="0" borderId="14" xfId="3" applyFont="1" applyBorder="1" applyAlignment="1">
      <alignment horizontal="center"/>
    </xf>
    <xf numFmtId="0" fontId="14" fillId="0" borderId="15" xfId="3" applyFont="1" applyBorder="1" applyAlignment="1">
      <alignment horizontal="center"/>
    </xf>
    <xf numFmtId="0" fontId="16" fillId="0" borderId="18" xfId="3" applyFont="1" applyBorder="1" applyAlignment="1">
      <alignment horizontal="left"/>
    </xf>
    <xf numFmtId="0" fontId="16" fillId="0" borderId="19" xfId="3" applyFont="1" applyBorder="1" applyAlignment="1">
      <alignment horizontal="left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4" fontId="6" fillId="3" borderId="0" xfId="0" applyNumberFormat="1" applyFont="1" applyFill="1" applyAlignment="1">
      <alignment vertical="center"/>
    </xf>
    <xf numFmtId="2" fontId="6" fillId="3" borderId="0" xfId="0" applyNumberFormat="1" applyFont="1" applyFill="1" applyAlignment="1">
      <alignment vertical="center"/>
    </xf>
  </cellXfs>
  <cellStyles count="6">
    <cellStyle name="Millares" xfId="1" builtinId="3"/>
    <cellStyle name="Millares 2 10 2" xfId="4" xr:uid="{96FD902E-CCFC-4247-A07B-A17A36E7C842}"/>
    <cellStyle name="Millares 5" xfId="2" xr:uid="{00000000-0005-0000-0000-000001000000}"/>
    <cellStyle name="Normal" xfId="0" builtinId="0"/>
    <cellStyle name="Normal 2" xfId="3" xr:uid="{D3D59410-3E7B-4E45-9793-CDA04BA781D8}"/>
    <cellStyle name="Normal 4" xfId="5" xr:uid="{F8B1C004-081B-47AD-B2E4-C0D11284DDB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186615</xdr:colOff>
      <xdr:row>0</xdr:row>
      <xdr:rowOff>77881</xdr:rowOff>
    </xdr:from>
    <xdr:to>
      <xdr:col>11</xdr:col>
      <xdr:colOff>1259541</xdr:colOff>
      <xdr:row>2</xdr:row>
      <xdr:rowOff>115982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1" t="73633" r="88985" b="14561"/>
        <a:stretch>
          <a:fillRect/>
        </a:stretch>
      </xdr:blipFill>
      <xdr:spPr bwMode="auto">
        <a:xfrm>
          <a:off x="13431968" y="77881"/>
          <a:ext cx="1072926" cy="1136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120015</xdr:rowOff>
    </xdr:from>
    <xdr:to>
      <xdr:col>11</xdr:col>
      <xdr:colOff>413722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79BD5F3-DADC-4289-8CE1-6BBB20E0809A}"/>
            </a:ext>
          </a:extLst>
        </xdr:cNvPr>
        <xdr:cNvGrpSpPr/>
      </xdr:nvGrpSpPr>
      <xdr:grpSpPr>
        <a:xfrm>
          <a:off x="12335435" y="299309"/>
          <a:ext cx="2152875" cy="77193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8B540A5-022B-4E2E-A52B-DEB108704BB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4570A794-6799-4280-9A95-6AABA41F2C9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DD37B09C-7169-4CE7-B0C6-11B1D0E87E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3CCC3AAC-9136-4F30-9759-266A8D1F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1450"/>
          <a:ext cx="961989" cy="10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121920</xdr:rowOff>
    </xdr:from>
    <xdr:to>
      <xdr:col>11</xdr:col>
      <xdr:colOff>411817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75B5DCC-0945-4814-BBB8-4A4DADAE65EC}"/>
            </a:ext>
          </a:extLst>
        </xdr:cNvPr>
        <xdr:cNvGrpSpPr/>
      </xdr:nvGrpSpPr>
      <xdr:grpSpPr>
        <a:xfrm>
          <a:off x="12335435" y="301214"/>
          <a:ext cx="2061323" cy="770030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8A6E6E4-5C95-47E2-8BF5-4D89DEA5A53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00CE955-BC07-41FE-8B60-4206012F89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2FDF17BE-E0E7-47A2-B455-3B8BF9868E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29BDFE02-654E-4E50-8708-9F8B2E59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1450"/>
          <a:ext cx="961989" cy="10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121920</xdr:rowOff>
    </xdr:from>
    <xdr:to>
      <xdr:col>11</xdr:col>
      <xdr:colOff>411817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F577317-6020-4293-AE4E-76C657D79E14}"/>
            </a:ext>
          </a:extLst>
        </xdr:cNvPr>
        <xdr:cNvGrpSpPr/>
      </xdr:nvGrpSpPr>
      <xdr:grpSpPr>
        <a:xfrm>
          <a:off x="12335435" y="301214"/>
          <a:ext cx="2061323" cy="770030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631ECCA-22BA-4965-AE6C-24D636A5A51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4FBA3270-0E84-40D3-A0DD-50B2FA7D6B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4845845F-C084-4B4F-8E7D-9A9A35A0C9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CA172FA9-3D20-474E-AEDA-E298725D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1450"/>
          <a:ext cx="961989" cy="10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121920</xdr:rowOff>
    </xdr:from>
    <xdr:to>
      <xdr:col>11</xdr:col>
      <xdr:colOff>411817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C78C8C0-054D-4425-A596-1D6AC86A058B}"/>
            </a:ext>
          </a:extLst>
        </xdr:cNvPr>
        <xdr:cNvGrpSpPr/>
      </xdr:nvGrpSpPr>
      <xdr:grpSpPr>
        <a:xfrm>
          <a:off x="12335435" y="301214"/>
          <a:ext cx="2061323" cy="770030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6741AFA-C0D3-4DAC-9DB7-30A05801D0D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6C079FC-402A-4BB4-9217-31462B908E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93A972F6-C03D-4B3D-837E-26ADA2C2DC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1516EAB3-62DF-42B7-866E-78C6B5F4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1450"/>
          <a:ext cx="961989" cy="10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121920</xdr:rowOff>
    </xdr:from>
    <xdr:to>
      <xdr:col>11</xdr:col>
      <xdr:colOff>411817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B373D42-A089-4461-91AA-3728DAA3CBB7}"/>
            </a:ext>
          </a:extLst>
        </xdr:cNvPr>
        <xdr:cNvGrpSpPr/>
      </xdr:nvGrpSpPr>
      <xdr:grpSpPr>
        <a:xfrm>
          <a:off x="12335435" y="301214"/>
          <a:ext cx="2061323" cy="770030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5805B68-1C00-4C4D-8ADB-2781779E692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F2B513E-0A2B-4B5F-BAF7-47DC5E25FC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B5A150E2-0C3E-48C8-B15D-A105B9A763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C4981FBA-3F81-4368-90D5-B75EDE8A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1450"/>
          <a:ext cx="961989" cy="10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121920</xdr:rowOff>
    </xdr:from>
    <xdr:to>
      <xdr:col>11</xdr:col>
      <xdr:colOff>411817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9449C5D-8A8E-4632-B61F-1333DA934A3D}"/>
            </a:ext>
          </a:extLst>
        </xdr:cNvPr>
        <xdr:cNvGrpSpPr/>
      </xdr:nvGrpSpPr>
      <xdr:grpSpPr>
        <a:xfrm>
          <a:off x="12335435" y="301214"/>
          <a:ext cx="2061323" cy="770030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CCDC679-AB17-4DBC-9C20-74B3E9DADA1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6711475B-075E-4E17-A13D-B6BD5EAA55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99AEC4D3-8ED0-417B-B707-791C32445E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17A07C24-7EA0-4FD9-BFC4-6A14D457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1450"/>
          <a:ext cx="961989" cy="10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121920</xdr:rowOff>
    </xdr:from>
    <xdr:to>
      <xdr:col>11</xdr:col>
      <xdr:colOff>411817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9B27525-80EC-4141-BA03-8C1DCECBC10F}"/>
            </a:ext>
          </a:extLst>
        </xdr:cNvPr>
        <xdr:cNvGrpSpPr/>
      </xdr:nvGrpSpPr>
      <xdr:grpSpPr>
        <a:xfrm>
          <a:off x="12335435" y="301214"/>
          <a:ext cx="2061323" cy="770030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5426CFD-5C44-404F-BF30-6E084C7068C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7EF9BB4-A980-4E90-B138-0160882306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D2BA6200-4933-4A88-9DFD-D28A69DC8D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01C48923-1C4A-4877-91E6-1D6FB1C5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1450"/>
          <a:ext cx="961989" cy="10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120015</xdr:rowOff>
    </xdr:from>
    <xdr:to>
      <xdr:col>11</xdr:col>
      <xdr:colOff>413722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1F5A7CE-9A11-4C87-95C6-5B6610243975}"/>
            </a:ext>
          </a:extLst>
        </xdr:cNvPr>
        <xdr:cNvGrpSpPr/>
      </xdr:nvGrpSpPr>
      <xdr:grpSpPr>
        <a:xfrm>
          <a:off x="12335435" y="299309"/>
          <a:ext cx="2063228" cy="77193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4CFDCCB-5EFB-4818-AD45-D8383C5D46A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C605CBED-8527-48CE-AB2B-7576C301BC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3378CA6B-01A6-48F7-85C6-AAB371307D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320E5F07-67A4-4D70-8761-33E25EDC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1450"/>
          <a:ext cx="961989" cy="10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120015</xdr:rowOff>
    </xdr:from>
    <xdr:to>
      <xdr:col>11</xdr:col>
      <xdr:colOff>413722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4BA068B-36B7-426A-AC7C-2DDB75535E81}"/>
            </a:ext>
          </a:extLst>
        </xdr:cNvPr>
        <xdr:cNvGrpSpPr/>
      </xdr:nvGrpSpPr>
      <xdr:grpSpPr>
        <a:xfrm>
          <a:off x="12335435" y="299309"/>
          <a:ext cx="2063228" cy="77193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CD4B837-39C3-4BCE-8F1D-9BC937F7ADB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49AF09B-90A4-4467-8C6C-75FD82D7B4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B3E6D18B-6D26-478E-A390-913684B14A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81FCFFC8-C531-4570-88AF-88D66B811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1450"/>
          <a:ext cx="961989" cy="10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118110</xdr:rowOff>
    </xdr:from>
    <xdr:to>
      <xdr:col>11</xdr:col>
      <xdr:colOff>415627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87039BA-FDD9-4D8E-A3BD-5CAD91EEDD59}"/>
            </a:ext>
          </a:extLst>
        </xdr:cNvPr>
        <xdr:cNvGrpSpPr/>
      </xdr:nvGrpSpPr>
      <xdr:grpSpPr>
        <a:xfrm>
          <a:off x="12335435" y="297404"/>
          <a:ext cx="2065133" cy="773840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971FD66-1AEA-45F5-8572-F87B02EC1D5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602E28FB-D0A3-4034-B206-FACE73C518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D737D17-1090-4BF0-963E-507EBAFE18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79F8B30F-77DC-4AAE-AB02-09213D00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1450"/>
          <a:ext cx="961989" cy="10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talogo%20Pilonas_v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Pilona 1"/>
      <sheetName val="Pilona 2"/>
      <sheetName val="Pilona 3"/>
      <sheetName val="Pilona 4"/>
      <sheetName val="Pilona 5"/>
      <sheetName val="Pilona 6"/>
      <sheetName val="Pilona 7"/>
      <sheetName val="Pilona 8"/>
      <sheetName val="Pilona 9"/>
      <sheetName val="Pilona 10"/>
      <sheetName val="Pilona 11"/>
      <sheetName val="Pilona 12 Y 13"/>
      <sheetName val="Pilona 14"/>
      <sheetName val="Pilona 15"/>
      <sheetName val="Pilona 16"/>
      <sheetName val="Pilona 17+"/>
      <sheetName val="Pilona 18"/>
      <sheetName val="Pilona 19"/>
      <sheetName val="Pilona 20"/>
      <sheetName val="Pilona 21+"/>
      <sheetName val="Pilona 22+"/>
    </sheetNames>
    <sheetDataSet>
      <sheetData sheetId="0" refreshError="1">
        <row r="6">
          <cell r="B6">
            <v>0</v>
          </cell>
          <cell r="E6">
            <v>0</v>
          </cell>
        </row>
        <row r="7">
          <cell r="B7">
            <v>1</v>
          </cell>
          <cell r="E7">
            <v>0</v>
          </cell>
        </row>
        <row r="8">
          <cell r="B8">
            <v>2</v>
          </cell>
          <cell r="E8">
            <v>0.25</v>
          </cell>
        </row>
        <row r="9">
          <cell r="B9">
            <v>3</v>
          </cell>
          <cell r="E9">
            <v>0.56000000000000005</v>
          </cell>
          <cell r="H9">
            <v>9</v>
          </cell>
        </row>
        <row r="10">
          <cell r="B10">
            <v>4</v>
          </cell>
          <cell r="E10">
            <v>0.99399999999999999</v>
          </cell>
          <cell r="H10">
            <v>12</v>
          </cell>
          <cell r="I10">
            <v>7</v>
          </cell>
        </row>
        <row r="11">
          <cell r="B11">
            <v>5</v>
          </cell>
          <cell r="E11">
            <v>1.552</v>
          </cell>
          <cell r="H11">
            <v>16</v>
          </cell>
        </row>
        <row r="12">
          <cell r="B12">
            <v>6</v>
          </cell>
          <cell r="E12">
            <v>2.2349999999999999</v>
          </cell>
          <cell r="H12">
            <v>19</v>
          </cell>
        </row>
        <row r="13">
          <cell r="B13">
            <v>7</v>
          </cell>
          <cell r="E13">
            <v>3.0419999999999998</v>
          </cell>
        </row>
        <row r="14">
          <cell r="B14">
            <v>8</v>
          </cell>
          <cell r="E14">
            <v>3.9729999999999999</v>
          </cell>
          <cell r="H14">
            <v>24</v>
          </cell>
        </row>
        <row r="15">
          <cell r="B15">
            <v>9</v>
          </cell>
          <cell r="E15">
            <v>5.0599999999999996</v>
          </cell>
        </row>
        <row r="16">
          <cell r="B16">
            <v>10</v>
          </cell>
          <cell r="E16">
            <v>6.4039999999999999</v>
          </cell>
          <cell r="H16">
            <v>38</v>
          </cell>
        </row>
        <row r="17">
          <cell r="B17">
            <v>11</v>
          </cell>
          <cell r="E17">
            <v>7.907</v>
          </cell>
        </row>
        <row r="18">
          <cell r="B18">
            <v>14</v>
          </cell>
          <cell r="E18">
            <v>11.38</v>
          </cell>
          <cell r="H18">
            <v>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zoomScale="70" zoomScaleNormal="70" zoomScaleSheetLayoutView="85" workbookViewId="0">
      <pane xSplit="3" ySplit="8" topLeftCell="D12" activePane="bottomRight" state="frozen"/>
      <selection pane="topRight" activeCell="D1" sqref="D1"/>
      <selection pane="bottomLeft" activeCell="A9" sqref="A9"/>
      <selection pane="bottomRight" activeCell="N17" sqref="N17"/>
    </sheetView>
  </sheetViews>
  <sheetFormatPr baseColWidth="10" defaultColWidth="11.42578125" defaultRowHeight="15.75" x14ac:dyDescent="0.25"/>
  <cols>
    <col min="1" max="2" width="21.140625" style="2" customWidth="1"/>
    <col min="3" max="3" width="18.7109375" style="23" customWidth="1"/>
    <col min="4" max="4" width="18.7109375" style="2" customWidth="1"/>
    <col min="5" max="5" width="22.28515625" style="2" customWidth="1"/>
    <col min="6" max="6" width="11.140625" style="2" customWidth="1"/>
    <col min="7" max="7" width="12.140625" style="2" customWidth="1"/>
    <col min="8" max="8" width="57" style="5" bestFit="1" customWidth="1"/>
    <col min="9" max="9" width="10.28515625" style="2" bestFit="1" customWidth="1"/>
    <col min="10" max="10" width="16.85546875" style="16" customWidth="1"/>
    <col min="11" max="11" width="34.7109375" style="2" customWidth="1"/>
    <col min="12" max="12" width="21.42578125" style="2" customWidth="1"/>
    <col min="13" max="13" width="8.140625" style="2" bestFit="1" customWidth="1"/>
    <col min="14" max="14" width="14.85546875" style="116" customWidth="1"/>
    <col min="15" max="16384" width="11.42578125" style="2"/>
  </cols>
  <sheetData>
    <row r="1" spans="1:14" ht="70.5" customHeight="1" x14ac:dyDescent="0.25">
      <c r="A1" s="91" t="s">
        <v>18</v>
      </c>
      <c r="B1" s="92"/>
      <c r="C1" s="92"/>
      <c r="D1" s="92"/>
      <c r="E1" s="92"/>
      <c r="F1" s="92"/>
      <c r="G1" s="92"/>
      <c r="H1" s="92"/>
      <c r="I1" s="92"/>
      <c r="J1" s="92"/>
      <c r="K1" s="93"/>
      <c r="L1" s="88"/>
    </row>
    <row r="2" spans="1:14" ht="15.75" customHeight="1" x14ac:dyDescent="0.25">
      <c r="A2" s="10" t="s">
        <v>3</v>
      </c>
      <c r="B2" s="94" t="s">
        <v>17</v>
      </c>
      <c r="C2" s="95"/>
      <c r="D2" s="95"/>
      <c r="E2" s="95"/>
      <c r="F2" s="95"/>
      <c r="G2" s="95"/>
      <c r="H2" s="95"/>
      <c r="I2" s="95"/>
      <c r="J2" s="96"/>
      <c r="K2" s="1" t="s">
        <v>8</v>
      </c>
      <c r="L2" s="89"/>
    </row>
    <row r="3" spans="1:14" ht="15.75" customHeight="1" x14ac:dyDescent="0.25">
      <c r="A3" s="11" t="s">
        <v>7</v>
      </c>
      <c r="B3" s="97"/>
      <c r="C3" s="98"/>
      <c r="D3" s="98"/>
      <c r="E3" s="98"/>
      <c r="F3" s="98"/>
      <c r="G3" s="98"/>
      <c r="H3" s="98"/>
      <c r="I3" s="98"/>
      <c r="J3" s="99"/>
      <c r="K3" s="12">
        <v>0</v>
      </c>
      <c r="L3" s="90"/>
    </row>
    <row r="4" spans="1:14" ht="15.75" customHeight="1" x14ac:dyDescent="0.25">
      <c r="B4" s="6"/>
      <c r="C4" s="22"/>
      <c r="D4" s="6"/>
      <c r="E4" s="6"/>
      <c r="F4" s="3"/>
      <c r="G4" s="3"/>
      <c r="H4" s="4"/>
      <c r="I4" s="3"/>
      <c r="J4" s="13"/>
      <c r="K4" s="3"/>
      <c r="L4" s="3"/>
    </row>
    <row r="5" spans="1:14" ht="17.25" customHeight="1" x14ac:dyDescent="0.25">
      <c r="A5" s="100" t="s">
        <v>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</row>
    <row r="6" spans="1:14" ht="31.5" customHeight="1" x14ac:dyDescent="0.25">
      <c r="A6" s="103" t="s">
        <v>2</v>
      </c>
      <c r="B6" s="103"/>
      <c r="C6" s="103"/>
      <c r="D6" s="104"/>
      <c r="E6" s="104"/>
      <c r="F6" s="104"/>
      <c r="G6" s="17" t="s">
        <v>3</v>
      </c>
      <c r="H6" s="105"/>
      <c r="I6" s="106"/>
      <c r="J6" s="14"/>
      <c r="K6" s="17" t="s">
        <v>4</v>
      </c>
      <c r="L6" s="8"/>
    </row>
    <row r="7" spans="1:14" ht="80.25" customHeight="1" x14ac:dyDescent="0.25">
      <c r="A7" s="9" t="s">
        <v>16</v>
      </c>
      <c r="B7" s="9" t="s">
        <v>19</v>
      </c>
      <c r="C7" s="9" t="s">
        <v>15</v>
      </c>
      <c r="D7" s="9" t="s">
        <v>1</v>
      </c>
      <c r="E7" s="9" t="s">
        <v>14</v>
      </c>
      <c r="F7" s="9" t="s">
        <v>10</v>
      </c>
      <c r="G7" s="9" t="s">
        <v>11</v>
      </c>
      <c r="H7" s="9" t="s">
        <v>12</v>
      </c>
      <c r="I7" s="9" t="s">
        <v>5</v>
      </c>
      <c r="J7" s="15" t="s">
        <v>9</v>
      </c>
      <c r="K7" s="9" t="s">
        <v>6</v>
      </c>
      <c r="L7" s="9" t="s">
        <v>13</v>
      </c>
    </row>
    <row r="8" spans="1:14" ht="80.25" customHeight="1" x14ac:dyDescent="0.25">
      <c r="A8" s="9" t="s">
        <v>21</v>
      </c>
      <c r="B8" s="9" t="s">
        <v>22</v>
      </c>
      <c r="C8" s="9" t="s">
        <v>20</v>
      </c>
      <c r="D8" s="9" t="s">
        <v>1</v>
      </c>
      <c r="E8" s="9" t="s">
        <v>14</v>
      </c>
      <c r="F8" s="9" t="s">
        <v>10</v>
      </c>
      <c r="G8" s="9" t="s">
        <v>11</v>
      </c>
      <c r="H8" s="9" t="s">
        <v>12</v>
      </c>
      <c r="I8" s="9" t="s">
        <v>5</v>
      </c>
      <c r="J8" s="15" t="s">
        <v>9</v>
      </c>
      <c r="K8" s="9" t="s">
        <v>6</v>
      </c>
      <c r="L8" s="9" t="s">
        <v>13</v>
      </c>
    </row>
    <row r="9" spans="1:14" s="21" customFormat="1" ht="96" customHeight="1" x14ac:dyDescent="0.25">
      <c r="A9" s="67" t="s">
        <v>110</v>
      </c>
      <c r="B9" s="67"/>
      <c r="C9" s="24"/>
      <c r="D9" s="24" t="s">
        <v>80</v>
      </c>
      <c r="E9" s="24" t="s">
        <v>81</v>
      </c>
      <c r="F9" s="24" t="s">
        <v>82</v>
      </c>
      <c r="G9" s="68">
        <f>'Pilona 12 Y 13'!$A$34</f>
        <v>6007</v>
      </c>
      <c r="H9" s="67" t="str">
        <f>'Pilona 12 Y 13'!$B$34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9" s="68" t="str">
        <f>'Pilona 12 Y 13'!$C$34</f>
        <v>m3</v>
      </c>
      <c r="J9" s="69">
        <f>'Pilona 12 Y 13'!$D$34</f>
        <v>80.699661289087814</v>
      </c>
      <c r="K9" s="68"/>
      <c r="L9" s="24" t="s">
        <v>83</v>
      </c>
      <c r="N9" s="119">
        <f>+J9+J19+J29+J39+J48+J58+J68+J78+J88+J98</f>
        <v>615.52439463621431</v>
      </c>
    </row>
    <row r="10" spans="1:14" s="21" customFormat="1" ht="126.75" customHeight="1" x14ac:dyDescent="0.25">
      <c r="A10" s="67" t="s">
        <v>110</v>
      </c>
      <c r="B10" s="67"/>
      <c r="C10" s="24"/>
      <c r="D10" s="24" t="s">
        <v>80</v>
      </c>
      <c r="E10" s="24" t="s">
        <v>81</v>
      </c>
      <c r="F10" s="24" t="s">
        <v>84</v>
      </c>
      <c r="G10" s="68">
        <f>'Pilona 12 Y 13'!$A$35</f>
        <v>3708</v>
      </c>
      <c r="H10" s="67" t="str">
        <f>'Pilona 12 Y 13'!$B$35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10" s="68" t="str">
        <f>'Pilona 12 Y 13'!$C$35</f>
        <v>kg</v>
      </c>
      <c r="J10" s="69">
        <f>'Pilona 12 Y 13'!$D$35</f>
        <v>19597.383527698301</v>
      </c>
      <c r="K10" s="68"/>
      <c r="L10" s="24" t="s">
        <v>83</v>
      </c>
      <c r="N10" s="119">
        <f>+J10+J20+J30+J40+J49+J59+J69+J79+J89+J99</f>
        <v>147217.24902202681</v>
      </c>
    </row>
    <row r="11" spans="1:14" s="21" customFormat="1" ht="55.5" customHeight="1" x14ac:dyDescent="0.25">
      <c r="A11" s="67" t="s">
        <v>110</v>
      </c>
      <c r="B11" s="67"/>
      <c r="C11" s="24"/>
      <c r="D11" s="24" t="s">
        <v>80</v>
      </c>
      <c r="E11" s="24" t="s">
        <v>81</v>
      </c>
      <c r="F11" s="24" t="s">
        <v>85</v>
      </c>
      <c r="G11" s="68">
        <f>'Pilona 12 Y 13'!$A$39</f>
        <v>3637</v>
      </c>
      <c r="H11" s="67" t="str">
        <f>'Pilona 12 Y 13'!$B$39</f>
        <v>Concreto 4000 psi, premezclado, grava común (incluye suministro, formaleteo en madera, bombeo, colocación y curado. No incluye refuerzo), en:</v>
      </c>
      <c r="I11" s="68" t="str">
        <f>'Pilona 12 Y 13'!$C$39</f>
        <v>m3</v>
      </c>
      <c r="J11" s="69">
        <f>'Pilona 12 Y 13'!$D$39</f>
        <v>78.421864999999997</v>
      </c>
      <c r="K11" s="68"/>
      <c r="L11" s="24" t="s">
        <v>83</v>
      </c>
      <c r="N11" s="119">
        <f>+J11+J21+J31+J41+J50+J60+J70+J80+J90+J100</f>
        <v>662.40796734485241</v>
      </c>
    </row>
    <row r="12" spans="1:14" s="21" customFormat="1" ht="55.5" customHeight="1" x14ac:dyDescent="0.25">
      <c r="A12" s="67" t="s">
        <v>110</v>
      </c>
      <c r="B12" s="19"/>
      <c r="C12" s="20"/>
      <c r="D12" s="24" t="s">
        <v>80</v>
      </c>
      <c r="E12" s="24" t="s">
        <v>81</v>
      </c>
      <c r="F12" s="24" t="s">
        <v>86</v>
      </c>
      <c r="G12" s="68">
        <f>'Pilona 12 Y 13'!$A$42</f>
        <v>5055</v>
      </c>
      <c r="H12" s="67" t="str">
        <f>'Pilona 12 Y 13'!$B$42</f>
        <v>Descabece de pilotes (incluye transporte y disposición final de escombros en sitio autorizado a 21 km.</v>
      </c>
      <c r="I12" s="68" t="str">
        <f>'Pilona 12 Y 13'!$C$42</f>
        <v>m3</v>
      </c>
      <c r="J12" s="71">
        <f>'Pilona 12 Y 13'!$D$42</f>
        <v>10.013826583317464</v>
      </c>
      <c r="K12" s="68"/>
      <c r="L12" s="24" t="s">
        <v>83</v>
      </c>
      <c r="N12" s="120">
        <f>+J12+J22+J32+J42+J51+J61+J71+J81+J91+J101</f>
        <v>78.695325176097512</v>
      </c>
    </row>
    <row r="13" spans="1:14" ht="63" customHeight="1" x14ac:dyDescent="0.25">
      <c r="A13" s="67" t="s">
        <v>110</v>
      </c>
      <c r="B13" s="25"/>
      <c r="C13" s="26"/>
      <c r="D13" s="24" t="s">
        <v>80</v>
      </c>
      <c r="E13" s="24" t="s">
        <v>81</v>
      </c>
      <c r="F13" s="24" t="s">
        <v>90</v>
      </c>
      <c r="G13" s="68">
        <f>'Pilona 12 Y 13'!$A$43</f>
        <v>6021</v>
      </c>
      <c r="H13" s="67" t="str">
        <f>'Pilona 12 Y 13'!$B$43</f>
        <v>Concreto de nivelación 2000 psi grava común (140 kg/cm2) (premezclado. incluye suministro, fundida y nivelación y colocación. no incluye refuerzo, curado).</v>
      </c>
      <c r="I13" s="68" t="str">
        <f>'Pilona 12 Y 13'!$C$43</f>
        <v>m3</v>
      </c>
      <c r="J13" s="71">
        <f>'Pilona 12 Y 13'!$D$43</f>
        <v>1.4073009183012759</v>
      </c>
      <c r="K13" s="70"/>
      <c r="L13" s="24" t="s">
        <v>83</v>
      </c>
      <c r="N13" s="120">
        <f>+J13+J23+J33+J43+J52+J62+J72+J82+J92+J102</f>
        <v>12.054137453312514</v>
      </c>
    </row>
    <row r="14" spans="1:14" ht="39" customHeight="1" x14ac:dyDescent="0.25">
      <c r="A14" s="67" t="s">
        <v>110</v>
      </c>
      <c r="B14" s="7"/>
      <c r="C14" s="18"/>
      <c r="D14" s="24" t="s">
        <v>80</v>
      </c>
      <c r="E14" s="24" t="s">
        <v>81</v>
      </c>
      <c r="F14" s="24" t="s">
        <v>91</v>
      </c>
      <c r="G14" s="68">
        <f>'Pilona 12 Y 13'!$A$44</f>
        <v>5416</v>
      </c>
      <c r="H14" s="67" t="str">
        <f>'Pilona 12 Y 13'!$B$44</f>
        <v>Excavación mecánica para dados (nivel de funcionamiento, incluye cargue)</v>
      </c>
      <c r="I14" s="68" t="str">
        <f>'Pilona 12 Y 13'!$C$44</f>
        <v>m3</v>
      </c>
      <c r="J14" s="71">
        <f>'Pilona 12 Y 13'!$D$44</f>
        <v>166.39999999999998</v>
      </c>
      <c r="K14" s="68"/>
      <c r="L14" s="24" t="s">
        <v>83</v>
      </c>
      <c r="N14" s="120">
        <f>+J14+J24+J34+J44+J53+J63+J73+J83+J93+J103</f>
        <v>1381.85</v>
      </c>
    </row>
    <row r="15" spans="1:14" ht="69.75" customHeight="1" x14ac:dyDescent="0.25">
      <c r="A15" s="67" t="s">
        <v>110</v>
      </c>
      <c r="B15" s="7"/>
      <c r="C15" s="18"/>
      <c r="D15" s="24" t="s">
        <v>80</v>
      </c>
      <c r="E15" s="24" t="s">
        <v>81</v>
      </c>
      <c r="F15" s="24" t="s">
        <v>92</v>
      </c>
      <c r="G15" s="68">
        <f>'Pilona 12 Y 13'!$A$45</f>
        <v>3017</v>
      </c>
      <c r="H15" s="67" t="str">
        <f>'Pilona 12 Y 13'!$B$45</f>
        <v>Transporte y disposición final de escombros en sitio autorizado (distancia de transporte 21 km) a distancia mayor del acarreo libre (90m) en sitio autorizado por la entidad ambiental competente.</v>
      </c>
      <c r="I15" s="68" t="str">
        <f>'Pilona 12 Y 13'!$C$45</f>
        <v>m3</v>
      </c>
      <c r="J15" s="71">
        <f>'Pilona 12 Y 13'!$D$45</f>
        <v>166.39999999999998</v>
      </c>
      <c r="K15" s="68"/>
      <c r="L15" s="24" t="s">
        <v>83</v>
      </c>
      <c r="N15" s="119">
        <f>J15+J25+J35+J45+J54+J64+J74+J84+J94+J104</f>
        <v>1381.85</v>
      </c>
    </row>
    <row r="16" spans="1:14" ht="55.5" customHeight="1" x14ac:dyDescent="0.25">
      <c r="A16" s="67" t="s">
        <v>110</v>
      </c>
      <c r="B16" s="7"/>
      <c r="C16" s="18"/>
      <c r="D16" s="24" t="s">
        <v>80</v>
      </c>
      <c r="E16" s="24" t="s">
        <v>81</v>
      </c>
      <c r="F16" s="24" t="s">
        <v>93</v>
      </c>
      <c r="G16" s="68">
        <f>'Pilona 12 Y 13'!$A$46</f>
        <v>4908</v>
      </c>
      <c r="H16" s="67" t="str">
        <f>'Pilona 12 Y 13'!$B$46</f>
        <v>Relleno con material de banco, incluye acarreo, equipo, herramienta, mano de obra y todo lo necesario para su correcta ejecución, P.U.O.T.</v>
      </c>
      <c r="I16" s="68" t="str">
        <f>'Pilona 12 Y 13'!$C$46</f>
        <v>m3</v>
      </c>
      <c r="J16" s="71">
        <f>'Pilona 12 Y 13'!$D$46</f>
        <v>19.766914640515623</v>
      </c>
      <c r="K16" s="68"/>
      <c r="L16" s="24" t="s">
        <v>83</v>
      </c>
      <c r="N16" s="120">
        <f>+J16+J26+J36+J46+J55+J65+J75+J85+J95+J105</f>
        <v>823.77311295712798</v>
      </c>
    </row>
    <row r="17" spans="1:14" ht="112.5" customHeight="1" x14ac:dyDescent="0.25">
      <c r="A17" s="67" t="s">
        <v>110</v>
      </c>
      <c r="B17" s="7"/>
      <c r="C17" s="18"/>
      <c r="D17" s="24" t="s">
        <v>80</v>
      </c>
      <c r="E17" s="24" t="s">
        <v>81</v>
      </c>
      <c r="F17" s="24" t="s">
        <v>94</v>
      </c>
      <c r="G17" s="68">
        <f>'Pilona 12 Y 13'!$A$47</f>
        <v>5196</v>
      </c>
      <c r="H17" s="67" t="str">
        <f>'Pilona 12 Y 13'!$B$47</f>
        <v>Demolición de concreto: espesores 8cm a 15cm. (incluye retiro de material, transporte y disposición final de escombros en sitio autorizado)</v>
      </c>
      <c r="I17" s="68" t="str">
        <f>'Pilona 12 Y 13'!$C$47</f>
        <v>m3</v>
      </c>
      <c r="J17" s="71">
        <f>'Pilona 12 Y 13'!$D$47</f>
        <v>9.6</v>
      </c>
      <c r="K17" s="68"/>
      <c r="L17" s="24" t="s">
        <v>83</v>
      </c>
      <c r="N17" s="118">
        <f>+J17+J27+J37+J56+J66+J76+J86+J96+J106</f>
        <v>77.099999999999994</v>
      </c>
    </row>
    <row r="18" spans="1:14" x14ac:dyDescent="0.25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7"/>
    </row>
    <row r="19" spans="1:14" ht="78.75" x14ac:dyDescent="0.25">
      <c r="A19" s="67" t="s">
        <v>111</v>
      </c>
      <c r="B19" s="67"/>
      <c r="C19" s="24"/>
      <c r="D19" s="24" t="s">
        <v>80</v>
      </c>
      <c r="E19" s="24" t="s">
        <v>81</v>
      </c>
      <c r="F19" s="24" t="s">
        <v>82</v>
      </c>
      <c r="G19" s="68">
        <f>'Pilona 14'!$A$34</f>
        <v>6007</v>
      </c>
      <c r="H19" s="67" t="str">
        <f>'Pilona 14'!$B$34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19" s="68" t="str">
        <f>'Pilona 14'!$C$34</f>
        <v>m3</v>
      </c>
      <c r="J19" s="69">
        <f>'Pilona 14'!$D$34</f>
        <v>64.968136076236917</v>
      </c>
      <c r="K19" s="68"/>
      <c r="L19" s="24" t="s">
        <v>83</v>
      </c>
      <c r="N19" s="117"/>
    </row>
    <row r="20" spans="1:14" ht="94.5" x14ac:dyDescent="0.25">
      <c r="A20" s="67" t="s">
        <v>111</v>
      </c>
      <c r="B20" s="67"/>
      <c r="C20" s="24"/>
      <c r="D20" s="24" t="s">
        <v>80</v>
      </c>
      <c r="E20" s="24" t="s">
        <v>81</v>
      </c>
      <c r="F20" s="24" t="s">
        <v>84</v>
      </c>
      <c r="G20" s="68">
        <f>'Pilona 14'!$A$35</f>
        <v>3708</v>
      </c>
      <c r="H20" s="67" t="str">
        <f>'Pilona 14'!$B$35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20" s="68" t="str">
        <f>'Pilona 14'!$C$35</f>
        <v>kg</v>
      </c>
      <c r="J20" s="69">
        <f>'Pilona 14'!$D$35</f>
        <v>13480.251892778881</v>
      </c>
      <c r="K20" s="68"/>
      <c r="L20" s="24" t="s">
        <v>83</v>
      </c>
    </row>
    <row r="21" spans="1:14" ht="47.25" x14ac:dyDescent="0.25">
      <c r="A21" s="67" t="s">
        <v>111</v>
      </c>
      <c r="B21" s="67"/>
      <c r="C21" s="24"/>
      <c r="D21" s="24" t="s">
        <v>80</v>
      </c>
      <c r="E21" s="24" t="s">
        <v>81</v>
      </c>
      <c r="F21" s="24" t="s">
        <v>85</v>
      </c>
      <c r="G21" s="68">
        <f>'Pilona 14'!$A$39</f>
        <v>3637</v>
      </c>
      <c r="H21" s="67" t="str">
        <f>'Pilona 14'!$B$39</f>
        <v>Concreto 4000 psi, premezclado, grava común (incluye suministro, formaleteo en madera, bombeo, colocación y curado. No incluye refuerzo), en:</v>
      </c>
      <c r="I21" s="68" t="str">
        <f>'Pilona 14'!$C$39</f>
        <v>m3</v>
      </c>
      <c r="J21" s="69">
        <f>'Pilona 14'!$D$39</f>
        <v>61.573837120072369</v>
      </c>
      <c r="K21" s="68"/>
      <c r="L21" s="24" t="s">
        <v>83</v>
      </c>
    </row>
    <row r="22" spans="1:14" ht="31.5" x14ac:dyDescent="0.25">
      <c r="A22" s="67" t="s">
        <v>111</v>
      </c>
      <c r="B22" s="19"/>
      <c r="C22" s="20"/>
      <c r="D22" s="24" t="s">
        <v>80</v>
      </c>
      <c r="E22" s="24" t="s">
        <v>81</v>
      </c>
      <c r="F22" s="24" t="s">
        <v>86</v>
      </c>
      <c r="G22" s="68">
        <f>'Pilona 14'!$A$42</f>
        <v>5055</v>
      </c>
      <c r="H22" s="67" t="str">
        <f>'Pilona 14'!$B$42</f>
        <v>Descabece de pilotes (incluye transporte y disposición final de escombros en sitio autorizado a 21 km.</v>
      </c>
      <c r="I22" s="68" t="str">
        <f>'Pilona 14'!$C$42</f>
        <v>m3</v>
      </c>
      <c r="J22" s="71">
        <f>'Pilona 14'!$D$42</f>
        <v>7.8539816339744828</v>
      </c>
      <c r="K22" s="68"/>
      <c r="L22" s="24" t="s">
        <v>83</v>
      </c>
    </row>
    <row r="23" spans="1:14" ht="47.25" x14ac:dyDescent="0.25">
      <c r="A23" s="67" t="s">
        <v>111</v>
      </c>
      <c r="B23" s="25"/>
      <c r="C23" s="26"/>
      <c r="D23" s="24" t="s">
        <v>80</v>
      </c>
      <c r="E23" s="24" t="s">
        <v>81</v>
      </c>
      <c r="F23" s="24" t="s">
        <v>90</v>
      </c>
      <c r="G23" s="68">
        <f>'Pilona 14'!$A$43</f>
        <v>6021</v>
      </c>
      <c r="H23" s="67" t="str">
        <f>'Pilona 14'!$B$43</f>
        <v>Concreto de nivelación 2000 psi grava común (140 kg/cm2) (premezclado. incluye suministro, fundida y nivelación y colocación. no incluye refuerzo, curado).</v>
      </c>
      <c r="I23" s="68" t="str">
        <f>'Pilona 14'!$C$43</f>
        <v>m3</v>
      </c>
      <c r="J23" s="71">
        <f>'Pilona 14'!$D$43</f>
        <v>1.1983407346410209</v>
      </c>
      <c r="K23" s="70"/>
      <c r="L23" s="24" t="s">
        <v>83</v>
      </c>
    </row>
    <row r="24" spans="1:14" ht="31.5" x14ac:dyDescent="0.25">
      <c r="A24" s="67" t="s">
        <v>111</v>
      </c>
      <c r="B24" s="7"/>
      <c r="C24" s="18"/>
      <c r="D24" s="24" t="s">
        <v>80</v>
      </c>
      <c r="E24" s="24" t="s">
        <v>81</v>
      </c>
      <c r="F24" s="24" t="s">
        <v>91</v>
      </c>
      <c r="G24" s="68">
        <f>'Pilona 14'!$A$44</f>
        <v>5416</v>
      </c>
      <c r="H24" s="67" t="str">
        <f>'Pilona 14'!$B$44</f>
        <v>Excavación mecánica para dados (nivel de funcionamiento, incluye cargue)</v>
      </c>
      <c r="I24" s="68" t="str">
        <f>'Pilona 14'!$C$44</f>
        <v>m3</v>
      </c>
      <c r="J24" s="71">
        <f>'Pilona 14'!$D$44</f>
        <v>143.4375</v>
      </c>
      <c r="K24" s="68"/>
      <c r="L24" s="24" t="s">
        <v>83</v>
      </c>
    </row>
    <row r="25" spans="1:14" ht="63" x14ac:dyDescent="0.25">
      <c r="A25" s="67" t="s">
        <v>111</v>
      </c>
      <c r="B25" s="7"/>
      <c r="C25" s="18"/>
      <c r="D25" s="24" t="s">
        <v>80</v>
      </c>
      <c r="E25" s="24" t="s">
        <v>81</v>
      </c>
      <c r="F25" s="24" t="s">
        <v>92</v>
      </c>
      <c r="G25" s="68">
        <f>'Pilona 14'!$A$45</f>
        <v>3017</v>
      </c>
      <c r="H25" s="67" t="str">
        <f>'Pilona 14'!$B$45</f>
        <v>Transporte y disposición final de escombros en sitio autorizado (distancia de transporte 21 km) a distancia mayor del acarreo libre (90m) en sitio autorizado por la entidad ambiental competente.</v>
      </c>
      <c r="I25" s="68" t="str">
        <f>'Pilona 14'!$C$45</f>
        <v>m3</v>
      </c>
      <c r="J25" s="71">
        <f>'Pilona 14'!$D$45</f>
        <v>143.4375</v>
      </c>
      <c r="K25" s="68"/>
      <c r="L25" s="24" t="s">
        <v>83</v>
      </c>
    </row>
    <row r="26" spans="1:14" ht="47.25" x14ac:dyDescent="0.25">
      <c r="A26" s="67" t="s">
        <v>111</v>
      </c>
      <c r="B26" s="7"/>
      <c r="C26" s="18"/>
      <c r="D26" s="24" t="s">
        <v>80</v>
      </c>
      <c r="E26" s="24" t="s">
        <v>81</v>
      </c>
      <c r="F26" s="24" t="s">
        <v>93</v>
      </c>
      <c r="G26" s="68">
        <f>'Pilona 14'!$A$46</f>
        <v>4908</v>
      </c>
      <c r="H26" s="67" t="str">
        <f>'Pilona 14'!$B$46</f>
        <v>Relleno con material de banco, incluye acarreo, equipo, herramienta, mano de obra y todo lo necesario para su correcta ejecución, P.U.O.T.</v>
      </c>
      <c r="I26" s="68" t="str">
        <f>'Pilona 14'!$C$46</f>
        <v>m3</v>
      </c>
      <c r="J26" s="71">
        <f>'Pilona 14'!$D$46</f>
        <v>91.641261478765955</v>
      </c>
      <c r="K26" s="68"/>
      <c r="L26" s="24" t="s">
        <v>83</v>
      </c>
    </row>
    <row r="27" spans="1:14" ht="47.25" x14ac:dyDescent="0.25">
      <c r="A27" s="67" t="s">
        <v>111</v>
      </c>
      <c r="B27" s="7"/>
      <c r="C27" s="18"/>
      <c r="D27" s="24" t="s">
        <v>80</v>
      </c>
      <c r="E27" s="24" t="s">
        <v>81</v>
      </c>
      <c r="F27" s="24" t="s">
        <v>94</v>
      </c>
      <c r="G27" s="68">
        <f>'Pilona 14'!$A$47</f>
        <v>5196</v>
      </c>
      <c r="H27" s="67" t="str">
        <f>'Pilona 14'!$B$47</f>
        <v>Demolición de concreto: espesores 8cm a 15cm. (incluye retiro de material, transporte y disposición final de escombros en sitio autorizado)</v>
      </c>
      <c r="I27" s="68" t="str">
        <f>'Pilona 14'!$C$47</f>
        <v>m3</v>
      </c>
      <c r="J27" s="71">
        <f>'Pilona 14'!$D$47</f>
        <v>8.4375</v>
      </c>
      <c r="K27" s="68"/>
      <c r="L27" s="24" t="s">
        <v>83</v>
      </c>
    </row>
    <row r="28" spans="1:14" x14ac:dyDescent="0.2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7"/>
    </row>
    <row r="29" spans="1:14" ht="78.75" x14ac:dyDescent="0.25">
      <c r="A29" s="67" t="s">
        <v>112</v>
      </c>
      <c r="B29" s="67"/>
      <c r="C29" s="24"/>
      <c r="D29" s="24" t="s">
        <v>80</v>
      </c>
      <c r="E29" s="24" t="s">
        <v>81</v>
      </c>
      <c r="F29" s="24" t="s">
        <v>82</v>
      </c>
      <c r="G29" s="68">
        <f>'Pilona 15'!$A$34</f>
        <v>6007</v>
      </c>
      <c r="H29" s="67" t="str">
        <f>'Pilona 15'!$B$34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29" s="68" t="str">
        <f>'Pilona 15'!$C$34</f>
        <v>m3</v>
      </c>
      <c r="J29" s="69">
        <f>'Pilona 15'!$D$34</f>
        <v>69.900436542372901</v>
      </c>
      <c r="K29" s="68"/>
      <c r="L29" s="24" t="s">
        <v>83</v>
      </c>
      <c r="N29" s="117"/>
    </row>
    <row r="30" spans="1:14" ht="94.5" x14ac:dyDescent="0.25">
      <c r="A30" s="67" t="s">
        <v>112</v>
      </c>
      <c r="B30" s="67"/>
      <c r="C30" s="24"/>
      <c r="D30" s="24" t="s">
        <v>80</v>
      </c>
      <c r="E30" s="24" t="s">
        <v>81</v>
      </c>
      <c r="F30" s="24" t="s">
        <v>84</v>
      </c>
      <c r="G30" s="68">
        <f>'Pilona 15'!$A$35</f>
        <v>3708</v>
      </c>
      <c r="H30" s="67" t="str">
        <f>'Pilona 15'!$B$35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30" s="68" t="str">
        <f>'Pilona 15'!$C$35</f>
        <v>kg</v>
      </c>
      <c r="J30" s="69">
        <f>'Pilona 15'!$D$35</f>
        <v>15336.264855738907</v>
      </c>
      <c r="K30" s="68"/>
      <c r="L30" s="24" t="s">
        <v>83</v>
      </c>
    </row>
    <row r="31" spans="1:14" ht="47.25" x14ac:dyDescent="0.25">
      <c r="A31" s="67" t="s">
        <v>112</v>
      </c>
      <c r="B31" s="67"/>
      <c r="C31" s="24"/>
      <c r="D31" s="24" t="s">
        <v>80</v>
      </c>
      <c r="E31" s="24" t="s">
        <v>81</v>
      </c>
      <c r="F31" s="24" t="s">
        <v>85</v>
      </c>
      <c r="G31" s="68">
        <f>'Pilona 15'!$A$39</f>
        <v>3637</v>
      </c>
      <c r="H31" s="67" t="str">
        <f>'Pilona 15'!$B$39</f>
        <v>Concreto 4000 psi, premezclado, grava común (incluye suministro, formaleteo en madera, bombeo, colocación y curado. No incluye refuerzo), en:</v>
      </c>
      <c r="I31" s="68" t="str">
        <f>'Pilona 15'!$C$39</f>
        <v>m3</v>
      </c>
      <c r="J31" s="69">
        <f>'Pilona 15'!$D$39</f>
        <v>70.821900494077326</v>
      </c>
      <c r="K31" s="68"/>
      <c r="L31" s="24" t="s">
        <v>83</v>
      </c>
    </row>
    <row r="32" spans="1:14" ht="31.5" x14ac:dyDescent="0.25">
      <c r="A32" s="67" t="s">
        <v>112</v>
      </c>
      <c r="B32" s="19"/>
      <c r="C32" s="20"/>
      <c r="D32" s="24" t="s">
        <v>80</v>
      </c>
      <c r="E32" s="24" t="s">
        <v>81</v>
      </c>
      <c r="F32" s="24" t="s">
        <v>86</v>
      </c>
      <c r="G32" s="68">
        <f>'Pilona 15'!$A$42</f>
        <v>5055</v>
      </c>
      <c r="H32" s="67" t="str">
        <f>'Pilona 15'!$B$42</f>
        <v>Descabece de pilotes (incluye transporte y disposición final de escombros en sitio autorizado a 21 km.</v>
      </c>
      <c r="I32" s="68" t="str">
        <f>'Pilona 15'!$C$42</f>
        <v>m3</v>
      </c>
      <c r="J32" s="71">
        <f>'Pilona 15'!$D$42</f>
        <v>9.6446894465206654</v>
      </c>
      <c r="K32" s="68"/>
      <c r="L32" s="24" t="s">
        <v>83</v>
      </c>
    </row>
    <row r="33" spans="1:14" ht="47.25" x14ac:dyDescent="0.25">
      <c r="A33" s="67" t="s">
        <v>112</v>
      </c>
      <c r="B33" s="25"/>
      <c r="C33" s="26"/>
      <c r="D33" s="24" t="s">
        <v>80</v>
      </c>
      <c r="E33" s="24" t="s">
        <v>81</v>
      </c>
      <c r="F33" s="24" t="s">
        <v>90</v>
      </c>
      <c r="G33" s="68">
        <f>'Pilona 15'!$A$43</f>
        <v>6021</v>
      </c>
      <c r="H33" s="67" t="str">
        <f>'Pilona 15'!$B$43</f>
        <v>Concreto de nivelación 2000 psi grava común (140 kg/cm2) (premezclado. incluye suministro, fundida y nivelación y colocación. no incluye refuerzo, curado).</v>
      </c>
      <c r="I33" s="68" t="str">
        <f>'Pilona 15'!$C$43</f>
        <v>m3</v>
      </c>
      <c r="J33" s="71">
        <f>'Pilona 15'!$D$43</f>
        <v>1.1983407346410209</v>
      </c>
      <c r="K33" s="70"/>
      <c r="L33" s="24" t="s">
        <v>83</v>
      </c>
    </row>
    <row r="34" spans="1:14" ht="31.5" x14ac:dyDescent="0.25">
      <c r="A34" s="67" t="s">
        <v>112</v>
      </c>
      <c r="B34" s="7"/>
      <c r="C34" s="18"/>
      <c r="D34" s="24" t="s">
        <v>80</v>
      </c>
      <c r="E34" s="24" t="s">
        <v>81</v>
      </c>
      <c r="F34" s="24" t="s">
        <v>91</v>
      </c>
      <c r="G34" s="68">
        <f>'Pilona 15'!$A$44</f>
        <v>5416</v>
      </c>
      <c r="H34" s="67" t="str">
        <f>'Pilona 15'!$B$44</f>
        <v>Excavación mecánica para dados (nivel de funcionamiento, incluye cargue)</v>
      </c>
      <c r="I34" s="68" t="str">
        <f>'Pilona 15'!$C$44</f>
        <v>m3</v>
      </c>
      <c r="J34" s="71">
        <f>'Pilona 15'!$D$44</f>
        <v>175.5</v>
      </c>
      <c r="K34" s="68"/>
      <c r="L34" s="24" t="s">
        <v>83</v>
      </c>
    </row>
    <row r="35" spans="1:14" ht="63" x14ac:dyDescent="0.25">
      <c r="A35" s="67" t="s">
        <v>112</v>
      </c>
      <c r="B35" s="7"/>
      <c r="C35" s="18"/>
      <c r="D35" s="24" t="s">
        <v>80</v>
      </c>
      <c r="E35" s="24" t="s">
        <v>81</v>
      </c>
      <c r="F35" s="24" t="s">
        <v>92</v>
      </c>
      <c r="G35" s="68">
        <f>'Pilona 15'!$A$45</f>
        <v>3017</v>
      </c>
      <c r="H35" s="67" t="str">
        <f>'Pilona 15'!$B$45</f>
        <v>Transporte y disposición final de escombros en sitio autorizado (distancia de transporte 21 km) a distancia mayor del acarreo libre (90m) en sitio autorizado por la entidad ambiental competente.</v>
      </c>
      <c r="I35" s="68" t="str">
        <f>'Pilona 15'!$C$45</f>
        <v>m3</v>
      </c>
      <c r="J35" s="71">
        <f>'Pilona 15'!$D$45</f>
        <v>175.5</v>
      </c>
      <c r="K35" s="68"/>
      <c r="L35" s="24" t="s">
        <v>83</v>
      </c>
    </row>
    <row r="36" spans="1:14" ht="47.25" x14ac:dyDescent="0.25">
      <c r="A36" s="67" t="s">
        <v>112</v>
      </c>
      <c r="B36" s="7"/>
      <c r="C36" s="18"/>
      <c r="D36" s="24" t="s">
        <v>80</v>
      </c>
      <c r="E36" s="24" t="s">
        <v>81</v>
      </c>
      <c r="F36" s="24" t="s">
        <v>93</v>
      </c>
      <c r="G36" s="68">
        <f>'Pilona 15'!$A$46</f>
        <v>4908</v>
      </c>
      <c r="H36" s="67" t="str">
        <f>'Pilona 15'!$B$46</f>
        <v>Relleno con material de banco, incluye acarreo, equipo, herramienta, mano de obra y todo lo necesario para su correcta ejecución, P.U.O.T.</v>
      </c>
      <c r="I36" s="68" t="str">
        <f>'Pilona 15'!$C$46</f>
        <v>m3</v>
      </c>
      <c r="J36" s="71">
        <f>'Pilona 15'!$D$46</f>
        <v>117.51482395119407</v>
      </c>
      <c r="K36" s="68"/>
      <c r="L36" s="24" t="s">
        <v>83</v>
      </c>
    </row>
    <row r="37" spans="1:14" ht="47.25" x14ac:dyDescent="0.25">
      <c r="A37" s="67" t="s">
        <v>112</v>
      </c>
      <c r="B37" s="7"/>
      <c r="C37" s="18"/>
      <c r="D37" s="24" t="s">
        <v>80</v>
      </c>
      <c r="E37" s="24" t="s">
        <v>81</v>
      </c>
      <c r="F37" s="24" t="s">
        <v>94</v>
      </c>
      <c r="G37" s="68">
        <f>'Pilona 15'!$A$47</f>
        <v>5196</v>
      </c>
      <c r="H37" s="67" t="str">
        <f>'Pilona 15'!$B$47</f>
        <v>Demolición de concreto: espesores 8cm a 15cm. (incluye retiro de material, transporte y disposición final de escombros en sitio autorizado)</v>
      </c>
      <c r="I37" s="68" t="str">
        <f>'Pilona 15'!$C$47</f>
        <v>m3</v>
      </c>
      <c r="J37" s="71">
        <f>'Pilona 15'!$D$47</f>
        <v>8.4375</v>
      </c>
      <c r="K37" s="68"/>
      <c r="L37" s="24" t="s">
        <v>83</v>
      </c>
    </row>
    <row r="38" spans="1:14" x14ac:dyDescent="0.2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7"/>
    </row>
    <row r="39" spans="1:14" ht="78.75" x14ac:dyDescent="0.25">
      <c r="A39" s="67" t="s">
        <v>113</v>
      </c>
      <c r="B39" s="67"/>
      <c r="C39" s="24"/>
      <c r="D39" s="24" t="s">
        <v>80</v>
      </c>
      <c r="E39" s="24" t="s">
        <v>81</v>
      </c>
      <c r="F39" s="24" t="s">
        <v>82</v>
      </c>
      <c r="G39" s="68">
        <f>'Pilona 16'!$A$34</f>
        <v>6007</v>
      </c>
      <c r="H39" s="67" t="str">
        <f>'Pilona 16'!$B$34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39" s="68" t="str">
        <f>'Pilona 16'!$C$34</f>
        <v>m3</v>
      </c>
      <c r="J39" s="69">
        <f>'Pilona 16'!$D$34</f>
        <v>55.354862556252158</v>
      </c>
      <c r="K39" s="68"/>
      <c r="L39" s="24" t="s">
        <v>83</v>
      </c>
      <c r="N39" s="117"/>
    </row>
    <row r="40" spans="1:14" ht="94.5" x14ac:dyDescent="0.25">
      <c r="A40" s="67" t="s">
        <v>113</v>
      </c>
      <c r="B40" s="67"/>
      <c r="C40" s="24"/>
      <c r="D40" s="24" t="s">
        <v>80</v>
      </c>
      <c r="E40" s="24" t="s">
        <v>81</v>
      </c>
      <c r="F40" s="24" t="s">
        <v>84</v>
      </c>
      <c r="G40" s="68">
        <f>'Pilona 16'!$A$35</f>
        <v>3708</v>
      </c>
      <c r="H40" s="67" t="str">
        <f>'Pilona 16'!$B$35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40" s="68" t="str">
        <f>'Pilona 16'!$C$35</f>
        <v>kg</v>
      </c>
      <c r="J40" s="69">
        <f>'Pilona 16'!$D$35</f>
        <v>13989.747211180606</v>
      </c>
      <c r="K40" s="68"/>
      <c r="L40" s="24" t="s">
        <v>83</v>
      </c>
    </row>
    <row r="41" spans="1:14" ht="47.25" x14ac:dyDescent="0.25">
      <c r="A41" s="67" t="s">
        <v>113</v>
      </c>
      <c r="B41" s="67"/>
      <c r="C41" s="24"/>
      <c r="D41" s="24" t="s">
        <v>80</v>
      </c>
      <c r="E41" s="24" t="s">
        <v>81</v>
      </c>
      <c r="F41" s="24" t="s">
        <v>85</v>
      </c>
      <c r="G41" s="68">
        <f>'Pilona 16'!$A$39</f>
        <v>3637</v>
      </c>
      <c r="H41" s="67" t="str">
        <f>'Pilona 16'!$B$39</f>
        <v>Concreto 4000 psi, premezclado, grava común (incluye suministro, formaleteo en madera, bombeo, colocación y curado. No incluye refuerzo), en:</v>
      </c>
      <c r="I41" s="68" t="str">
        <f>'Pilona 16'!$C$39</f>
        <v>m3</v>
      </c>
      <c r="J41" s="69">
        <f>'Pilona 16'!$D$39</f>
        <v>66.580750411731103</v>
      </c>
      <c r="K41" s="68"/>
      <c r="L41" s="24" t="s">
        <v>83</v>
      </c>
    </row>
    <row r="42" spans="1:14" ht="31.5" x14ac:dyDescent="0.25">
      <c r="A42" s="67" t="s">
        <v>113</v>
      </c>
      <c r="B42" s="19"/>
      <c r="C42" s="20"/>
      <c r="D42" s="24" t="s">
        <v>80</v>
      </c>
      <c r="E42" s="24" t="s">
        <v>81</v>
      </c>
      <c r="F42" s="24" t="s">
        <v>86</v>
      </c>
      <c r="G42" s="68">
        <f>'Pilona 16'!$A$42</f>
        <v>5055</v>
      </c>
      <c r="H42" s="67" t="str">
        <f>'Pilona 16'!$B$42</f>
        <v>Descabece de pilotes (incluye transporte y disposición final de escombros en sitio autorizado a 21 km.</v>
      </c>
      <c r="I42" s="68" t="str">
        <f>'Pilona 16'!$C$42</f>
        <v>m3</v>
      </c>
      <c r="J42" s="71">
        <f>'Pilona 16'!$D$42</f>
        <v>8.2309727524052576</v>
      </c>
      <c r="K42" s="68"/>
      <c r="L42" s="24" t="s">
        <v>83</v>
      </c>
    </row>
    <row r="43" spans="1:14" ht="47.25" x14ac:dyDescent="0.25">
      <c r="A43" s="67" t="s">
        <v>113</v>
      </c>
      <c r="B43" s="25"/>
      <c r="C43" s="26"/>
      <c r="D43" s="24" t="s">
        <v>80</v>
      </c>
      <c r="E43" s="24" t="s">
        <v>81</v>
      </c>
      <c r="F43" s="24" t="s">
        <v>90</v>
      </c>
      <c r="G43" s="68">
        <f>'Pilona 16'!$A$43</f>
        <v>6021</v>
      </c>
      <c r="H43" s="67" t="str">
        <f>'Pilona 16'!$B$43</f>
        <v>Concreto de nivelación 2000 psi grava común (140 kg/cm2) (premezclado. incluye suministro, fundida y nivelación y colocación. no incluye refuerzo, curado).</v>
      </c>
      <c r="I43" s="68" t="str">
        <f>'Pilona 16'!$C$43</f>
        <v>m3</v>
      </c>
      <c r="J43" s="71">
        <f>'Pilona 16'!$D$43</f>
        <v>1.1983407346410209</v>
      </c>
      <c r="K43" s="70"/>
      <c r="L43" s="24" t="s">
        <v>83</v>
      </c>
    </row>
    <row r="44" spans="1:14" ht="31.5" x14ac:dyDescent="0.25">
      <c r="A44" s="67" t="s">
        <v>113</v>
      </c>
      <c r="B44" s="7"/>
      <c r="C44" s="18"/>
      <c r="D44" s="24" t="s">
        <v>80</v>
      </c>
      <c r="E44" s="24" t="s">
        <v>81</v>
      </c>
      <c r="F44" s="24" t="s">
        <v>91</v>
      </c>
      <c r="G44" s="68">
        <f>'Pilona 16'!$A$44</f>
        <v>5416</v>
      </c>
      <c r="H44" s="67" t="str">
        <f>'Pilona 16'!$B$44</f>
        <v>Excavación mecánica para dados (nivel de funcionamiento, incluye cargue)</v>
      </c>
      <c r="I44" s="68" t="str">
        <f>'Pilona 16'!$C$44</f>
        <v>m3</v>
      </c>
      <c r="J44" s="71">
        <f>'Pilona 16'!$D$44</f>
        <v>150.1875</v>
      </c>
      <c r="K44" s="68"/>
      <c r="L44" s="24" t="s">
        <v>83</v>
      </c>
    </row>
    <row r="45" spans="1:14" ht="63" x14ac:dyDescent="0.25">
      <c r="A45" s="67" t="s">
        <v>113</v>
      </c>
      <c r="B45" s="7"/>
      <c r="C45" s="18"/>
      <c r="D45" s="24" t="s">
        <v>80</v>
      </c>
      <c r="E45" s="24" t="s">
        <v>81</v>
      </c>
      <c r="F45" s="24" t="s">
        <v>92</v>
      </c>
      <c r="G45" s="68">
        <f>'Pilona 16'!$A$45</f>
        <v>3017</v>
      </c>
      <c r="H45" s="67" t="str">
        <f>'Pilona 16'!$B$45</f>
        <v>Transporte y disposición final de escombros en sitio autorizado (distancia de transporte 21 km) a distancia mayor del acarreo libre (90m) en sitio autorizado por la entidad ambiental competente.</v>
      </c>
      <c r="I45" s="68" t="str">
        <f>'Pilona 16'!$C$45</f>
        <v>m3</v>
      </c>
      <c r="J45" s="71">
        <f>'Pilona 16'!$D$45</f>
        <v>150.1875</v>
      </c>
      <c r="K45" s="68"/>
      <c r="L45" s="24" t="s">
        <v>83</v>
      </c>
    </row>
    <row r="46" spans="1:14" ht="47.25" x14ac:dyDescent="0.25">
      <c r="A46" s="67" t="s">
        <v>113</v>
      </c>
      <c r="B46" s="7"/>
      <c r="C46" s="18"/>
      <c r="D46" s="24" t="s">
        <v>80</v>
      </c>
      <c r="E46" s="24" t="s">
        <v>81</v>
      </c>
      <c r="F46" s="24" t="s">
        <v>93</v>
      </c>
      <c r="G46" s="68">
        <f>'Pilona 16'!$A$46</f>
        <v>4908</v>
      </c>
      <c r="H46" s="67" t="str">
        <f>'Pilona 16'!$B$46</f>
        <v>Relleno con material de banco, incluye acarreo, equipo, herramienta, mano de obra y todo lo necesario para su correcta ejecución, P.U.O.T.</v>
      </c>
      <c r="I46" s="68" t="str">
        <f>'Pilona 16'!$C$46</f>
        <v>m3</v>
      </c>
      <c r="J46" s="71">
        <f>'Pilona 16'!$D$46</f>
        <v>95.383186512953728</v>
      </c>
      <c r="K46" s="68"/>
      <c r="L46" s="24" t="s">
        <v>83</v>
      </c>
    </row>
    <row r="47" spans="1:14" x14ac:dyDescent="0.25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7"/>
    </row>
    <row r="48" spans="1:14" ht="78.75" x14ac:dyDescent="0.25">
      <c r="A48" s="67" t="s">
        <v>114</v>
      </c>
      <c r="B48" s="67"/>
      <c r="C48" s="24"/>
      <c r="D48" s="24" t="s">
        <v>80</v>
      </c>
      <c r="E48" s="24" t="s">
        <v>81</v>
      </c>
      <c r="F48" s="24" t="s">
        <v>82</v>
      </c>
      <c r="G48" s="68">
        <f>'Pilona 17+'!$A$34</f>
        <v>6007</v>
      </c>
      <c r="H48" s="67" t="str">
        <f>'Pilona 17+'!$B$34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48" s="68" t="str">
        <f>'Pilona 17+'!$C$34</f>
        <v>m3</v>
      </c>
      <c r="J48" s="69">
        <f>'Pilona 17+'!$D$34</f>
        <v>49.354420587895653</v>
      </c>
      <c r="K48" s="68"/>
      <c r="L48" s="24" t="s">
        <v>83</v>
      </c>
      <c r="N48" s="117"/>
    </row>
    <row r="49" spans="1:14" ht="94.5" x14ac:dyDescent="0.25">
      <c r="A49" s="67" t="s">
        <v>114</v>
      </c>
      <c r="B49" s="67"/>
      <c r="C49" s="24"/>
      <c r="D49" s="24" t="s">
        <v>80</v>
      </c>
      <c r="E49" s="24" t="s">
        <v>81</v>
      </c>
      <c r="F49" s="24" t="s">
        <v>84</v>
      </c>
      <c r="G49" s="68">
        <f>'Pilona 17+'!$A$35</f>
        <v>3708</v>
      </c>
      <c r="H49" s="67" t="str">
        <f>'Pilona 17+'!$B$35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49" s="68" t="str">
        <f>'Pilona 15'!$C$35</f>
        <v>kg</v>
      </c>
      <c r="J49" s="69">
        <f>'Pilona 17+'!$D$35</f>
        <v>12977.645486278021</v>
      </c>
      <c r="K49" s="68"/>
      <c r="L49" s="24" t="s">
        <v>83</v>
      </c>
    </row>
    <row r="50" spans="1:14" ht="47.25" x14ac:dyDescent="0.25">
      <c r="A50" s="67" t="s">
        <v>114</v>
      </c>
      <c r="B50" s="67"/>
      <c r="C50" s="24"/>
      <c r="D50" s="24" t="s">
        <v>80</v>
      </c>
      <c r="E50" s="24" t="s">
        <v>81</v>
      </c>
      <c r="F50" s="24" t="s">
        <v>85</v>
      </c>
      <c r="G50" s="68">
        <f>'Pilona 17+'!$A$39</f>
        <v>3637</v>
      </c>
      <c r="H50" s="67" t="str">
        <f>'Pilona 17+'!$B$39</f>
        <v>Concreto 4000 psi, premezclado, grava común (incluye suministro, formaleteo en madera, bombeo, colocación y curado. No incluye refuerzo), en:</v>
      </c>
      <c r="I50" s="68" t="str">
        <f>'Pilona 17+'!$C$39</f>
        <v>m3</v>
      </c>
      <c r="J50" s="69">
        <f>'Pilona 17+'!$D$39</f>
        <v>59.512166941154071</v>
      </c>
      <c r="K50" s="68"/>
      <c r="L50" s="24" t="s">
        <v>83</v>
      </c>
    </row>
    <row r="51" spans="1:14" ht="31.5" x14ac:dyDescent="0.25">
      <c r="A51" s="67" t="s">
        <v>114</v>
      </c>
      <c r="B51" s="19"/>
      <c r="C51" s="20"/>
      <c r="D51" s="24" t="s">
        <v>80</v>
      </c>
      <c r="E51" s="24" t="s">
        <v>81</v>
      </c>
      <c r="F51" s="24" t="s">
        <v>86</v>
      </c>
      <c r="G51" s="68">
        <f>'Pilona 17+'!$A$42</f>
        <v>5055</v>
      </c>
      <c r="H51" s="67" t="str">
        <f>'Pilona 17+'!$B$42</f>
        <v>Descabece de pilotes (incluye transporte y disposición final de escombros en sitio autorizado a 21 km.</v>
      </c>
      <c r="I51" s="68" t="str">
        <f>'Pilona 17+'!$C$42</f>
        <v>m3</v>
      </c>
      <c r="J51" s="71">
        <f>'Pilona 17+'!$D$42</f>
        <v>5.3721234376385461</v>
      </c>
      <c r="K51" s="68"/>
      <c r="L51" s="24" t="s">
        <v>83</v>
      </c>
    </row>
    <row r="52" spans="1:14" ht="47.25" x14ac:dyDescent="0.25">
      <c r="A52" s="67" t="s">
        <v>114</v>
      </c>
      <c r="B52" s="25"/>
      <c r="C52" s="26"/>
      <c r="D52" s="24" t="s">
        <v>80</v>
      </c>
      <c r="E52" s="24" t="s">
        <v>81</v>
      </c>
      <c r="F52" s="24" t="s">
        <v>90</v>
      </c>
      <c r="G52" s="68">
        <f>'Pilona 17+'!$A$43</f>
        <v>6021</v>
      </c>
      <c r="H52" s="67" t="str">
        <f>'Pilona 17+'!$B$43</f>
        <v>Concreto de nivelación 2000 psi grava común (140 kg/cm2) (premezclado. incluye suministro, fundida y nivelación y colocación. no incluye refuerzo, curado).</v>
      </c>
      <c r="I52" s="68" t="str">
        <f>'Pilona 17+'!$C$43</f>
        <v>m3</v>
      </c>
      <c r="J52" s="71">
        <f>'Pilona 17+'!$D$43</f>
        <v>1.1983407346410209</v>
      </c>
      <c r="K52" s="70"/>
      <c r="L52" s="24" t="s">
        <v>83</v>
      </c>
    </row>
    <row r="53" spans="1:14" ht="31.5" x14ac:dyDescent="0.25">
      <c r="A53" s="67" t="s">
        <v>114</v>
      </c>
      <c r="B53" s="7"/>
      <c r="C53" s="18"/>
      <c r="D53" s="24" t="s">
        <v>80</v>
      </c>
      <c r="E53" s="24" t="s">
        <v>81</v>
      </c>
      <c r="F53" s="24" t="s">
        <v>91</v>
      </c>
      <c r="G53" s="68">
        <f>'Pilona 17+'!$A$44</f>
        <v>5416</v>
      </c>
      <c r="H53" s="67" t="str">
        <f>'Pilona 17+'!$B$44</f>
        <v>Excavación mecánica para dados (nivel de funcionamiento, incluye cargue)</v>
      </c>
      <c r="I53" s="68" t="str">
        <f>'Pilona 17+'!$C$44</f>
        <v>m3</v>
      </c>
      <c r="J53" s="71">
        <f>'Pilona 17+'!$D$44</f>
        <v>99</v>
      </c>
      <c r="K53" s="68"/>
      <c r="L53" s="24" t="s">
        <v>83</v>
      </c>
    </row>
    <row r="54" spans="1:14" ht="63" x14ac:dyDescent="0.25">
      <c r="A54" s="67" t="s">
        <v>114</v>
      </c>
      <c r="B54" s="7"/>
      <c r="C54" s="18"/>
      <c r="D54" s="24" t="s">
        <v>80</v>
      </c>
      <c r="E54" s="24" t="s">
        <v>81</v>
      </c>
      <c r="F54" s="24" t="s">
        <v>92</v>
      </c>
      <c r="G54" s="68">
        <f>'Pilona 17+'!$A$45</f>
        <v>3017</v>
      </c>
      <c r="H54" s="67" t="str">
        <f>'Pilona 17+'!$B$45</f>
        <v>Transporte y disposición final de escombros en sitio autorizado (distancia de transporte 21 km) a distancia mayor del acarreo libre (90m) en sitio autorizado por la entidad ambiental competente.</v>
      </c>
      <c r="I54" s="68" t="str">
        <f>'Pilona 17+'!$C$45</f>
        <v>m3</v>
      </c>
      <c r="J54" s="71">
        <f>'Pilona 17+'!$D$45</f>
        <v>99</v>
      </c>
      <c r="K54" s="68"/>
      <c r="L54" s="24" t="s">
        <v>83</v>
      </c>
    </row>
    <row r="55" spans="1:14" ht="47.25" x14ac:dyDescent="0.25">
      <c r="A55" s="67" t="s">
        <v>114</v>
      </c>
      <c r="B55" s="7"/>
      <c r="C55" s="18"/>
      <c r="D55" s="24" t="s">
        <v>80</v>
      </c>
      <c r="E55" s="24" t="s">
        <v>81</v>
      </c>
      <c r="F55" s="24" t="s">
        <v>93</v>
      </c>
      <c r="G55" s="68">
        <f>'Pilona 17+'!$A$46</f>
        <v>4908</v>
      </c>
      <c r="H55" s="67" t="str">
        <f>'Pilona 17+'!$B$46</f>
        <v>Relleno con material de banco, incluye acarreo, equipo, herramienta, mano de obra y todo lo necesario para su correcta ejecución, P.U.O.T.</v>
      </c>
      <c r="I55" s="68" t="str">
        <f>'Pilona 17+'!$C$46</f>
        <v>m3</v>
      </c>
      <c r="J55" s="71">
        <f>'Pilona 17+'!$D$46</f>
        <v>79.4649</v>
      </c>
      <c r="K55" s="68"/>
      <c r="L55" s="24" t="s">
        <v>83</v>
      </c>
    </row>
    <row r="56" spans="1:14" ht="47.25" x14ac:dyDescent="0.25">
      <c r="A56" s="67" t="s">
        <v>114</v>
      </c>
      <c r="B56" s="7"/>
      <c r="C56" s="18"/>
      <c r="D56" s="24" t="s">
        <v>80</v>
      </c>
      <c r="E56" s="24" t="s">
        <v>81</v>
      </c>
      <c r="F56" s="24" t="s">
        <v>94</v>
      </c>
      <c r="G56" s="68">
        <f>'Pilona 17+'!$A$47</f>
        <v>5196</v>
      </c>
      <c r="H56" s="67" t="str">
        <f>'Pilona 17+'!$B$47</f>
        <v>Demolición de concreto: espesores 8cm a 15cm. (incluye retiro de material, transporte y disposición final de escombros en sitio autorizado)</v>
      </c>
      <c r="I56" s="68" t="str">
        <f>'Pilona 17+'!$C$47</f>
        <v>m3</v>
      </c>
      <c r="J56" s="71">
        <f>'Pilona 17+'!$D$47</f>
        <v>8.4375</v>
      </c>
      <c r="K56" s="68"/>
      <c r="L56" s="24" t="s">
        <v>83</v>
      </c>
    </row>
    <row r="57" spans="1:14" x14ac:dyDescent="0.25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7"/>
    </row>
    <row r="58" spans="1:14" ht="78.75" x14ac:dyDescent="0.25">
      <c r="A58" s="67" t="s">
        <v>115</v>
      </c>
      <c r="B58" s="67"/>
      <c r="C58" s="24"/>
      <c r="D58" s="24" t="s">
        <v>80</v>
      </c>
      <c r="E58" s="24" t="s">
        <v>81</v>
      </c>
      <c r="F58" s="24" t="s">
        <v>82</v>
      </c>
      <c r="G58" s="68">
        <f>'Pilona 18'!$A$34</f>
        <v>6007</v>
      </c>
      <c r="H58" s="67" t="str">
        <f>'Pilona 18'!$B$34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58" s="68" t="str">
        <f>'Pilona 18'!$C$34</f>
        <v>m3</v>
      </c>
      <c r="J58" s="69">
        <f>'Pilona 18'!$D$34</f>
        <v>44.956190872869939</v>
      </c>
      <c r="K58" s="68"/>
      <c r="L58" s="24" t="s">
        <v>83</v>
      </c>
      <c r="N58" s="117"/>
    </row>
    <row r="59" spans="1:14" ht="94.5" x14ac:dyDescent="0.25">
      <c r="A59" s="67" t="s">
        <v>115</v>
      </c>
      <c r="B59" s="67"/>
      <c r="C59" s="24"/>
      <c r="D59" s="24" t="s">
        <v>80</v>
      </c>
      <c r="E59" s="24" t="s">
        <v>81</v>
      </c>
      <c r="F59" s="24" t="s">
        <v>84</v>
      </c>
      <c r="G59" s="68">
        <f>'Pilona 18'!$A$35</f>
        <v>3708</v>
      </c>
      <c r="H59" s="67" t="str">
        <f>'Pilona 18'!$B$35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59" s="68" t="str">
        <f>'Pilona 18'!$C$35</f>
        <v>kg</v>
      </c>
      <c r="J59" s="69">
        <f>'Pilona 18'!$D$35</f>
        <v>12910.985268859233</v>
      </c>
      <c r="K59" s="68"/>
      <c r="L59" s="24" t="s">
        <v>83</v>
      </c>
    </row>
    <row r="60" spans="1:14" ht="47.25" x14ac:dyDescent="0.25">
      <c r="A60" s="67" t="s">
        <v>115</v>
      </c>
      <c r="B60" s="67"/>
      <c r="C60" s="24"/>
      <c r="D60" s="24" t="s">
        <v>80</v>
      </c>
      <c r="E60" s="24" t="s">
        <v>81</v>
      </c>
      <c r="F60" s="24" t="s">
        <v>85</v>
      </c>
      <c r="G60" s="68">
        <f>'Pilona 18'!$A$39</f>
        <v>3637</v>
      </c>
      <c r="H60" s="67" t="str">
        <f>'Pilona 18'!$B$39</f>
        <v>Concreto 4000 psi, premezclado, grava común (incluye suministro, formaleteo en madera, bombeo, colocación y curado. No incluye refuerzo), en:</v>
      </c>
      <c r="I60" s="68" t="str">
        <f>'Pilona 18'!$C$39</f>
        <v>m3</v>
      </c>
      <c r="J60" s="69">
        <f>'Pilona 18'!$D$39</f>
        <v>66.580750411731103</v>
      </c>
      <c r="K60" s="68"/>
      <c r="L60" s="24" t="s">
        <v>83</v>
      </c>
    </row>
    <row r="61" spans="1:14" ht="31.5" x14ac:dyDescent="0.25">
      <c r="A61" s="67" t="s">
        <v>115</v>
      </c>
      <c r="B61" s="19"/>
      <c r="C61" s="20"/>
      <c r="D61" s="24" t="s">
        <v>80</v>
      </c>
      <c r="E61" s="24" t="s">
        <v>81</v>
      </c>
      <c r="F61" s="24" t="s">
        <v>86</v>
      </c>
      <c r="G61" s="68">
        <f>'Pilona 18'!$A$42</f>
        <v>5055</v>
      </c>
      <c r="H61" s="67" t="str">
        <f>'Pilona 18'!$B$42</f>
        <v>Descabece de pilotes (incluye transporte y disposición final de escombros en sitio autorizado a 21 km.</v>
      </c>
      <c r="I61" s="68" t="str">
        <f>'Pilona 18'!$C$42</f>
        <v>m3</v>
      </c>
      <c r="J61" s="71">
        <f>'Pilona 18'!$D$42</f>
        <v>7.6592028894519144</v>
      </c>
      <c r="K61" s="68"/>
      <c r="L61" s="24" t="s">
        <v>83</v>
      </c>
    </row>
    <row r="62" spans="1:14" ht="47.25" x14ac:dyDescent="0.25">
      <c r="A62" s="67" t="s">
        <v>115</v>
      </c>
      <c r="B62" s="25"/>
      <c r="C62" s="26"/>
      <c r="D62" s="24" t="s">
        <v>80</v>
      </c>
      <c r="E62" s="24" t="s">
        <v>81</v>
      </c>
      <c r="F62" s="24" t="s">
        <v>90</v>
      </c>
      <c r="G62" s="68">
        <f>'Pilona 18'!$A$43</f>
        <v>6021</v>
      </c>
      <c r="H62" s="67" t="str">
        <f>'Pilona 18'!$B$43</f>
        <v>Concreto de nivelación 2000 psi grava común (140 kg/cm2) (premezclado. incluye suministro, fundida y nivelación y colocación. no incluye refuerzo, curado).</v>
      </c>
      <c r="I62" s="68" t="str">
        <f>'Pilona 18'!$C$43</f>
        <v>m3</v>
      </c>
      <c r="J62" s="71">
        <f>'Pilona 18'!$D$43</f>
        <v>1.1983407346410209</v>
      </c>
      <c r="K62" s="70"/>
      <c r="L62" s="24" t="s">
        <v>83</v>
      </c>
    </row>
    <row r="63" spans="1:14" ht="31.5" x14ac:dyDescent="0.25">
      <c r="A63" s="67" t="s">
        <v>115</v>
      </c>
      <c r="B63" s="7"/>
      <c r="C63" s="18"/>
      <c r="D63" s="24" t="s">
        <v>80</v>
      </c>
      <c r="E63" s="24" t="s">
        <v>81</v>
      </c>
      <c r="F63" s="24" t="s">
        <v>91</v>
      </c>
      <c r="G63" s="68">
        <f>'Pilona 18'!$A$44</f>
        <v>5416</v>
      </c>
      <c r="H63" s="67" t="str">
        <f>'Pilona 18'!$B$44</f>
        <v>Excavación mecánica para dados (nivel de funcionamiento, incluye cargue)</v>
      </c>
      <c r="I63" s="68" t="str">
        <f>'Pilona 18'!$C$44</f>
        <v>m3</v>
      </c>
      <c r="J63" s="71">
        <f>'Pilona 18'!$D$44</f>
        <v>139.94999999999999</v>
      </c>
      <c r="K63" s="68"/>
      <c r="L63" s="24" t="s">
        <v>83</v>
      </c>
    </row>
    <row r="64" spans="1:14" ht="63" x14ac:dyDescent="0.25">
      <c r="A64" s="67" t="s">
        <v>115</v>
      </c>
      <c r="B64" s="7"/>
      <c r="C64" s="18"/>
      <c r="D64" s="24" t="s">
        <v>80</v>
      </c>
      <c r="E64" s="24" t="s">
        <v>81</v>
      </c>
      <c r="F64" s="24" t="s">
        <v>92</v>
      </c>
      <c r="G64" s="68">
        <f>'Pilona 18'!$A$45</f>
        <v>3017</v>
      </c>
      <c r="H64" s="67" t="str">
        <f>'Pilona 18'!$B$45</f>
        <v>Transporte y disposición final de escombros en sitio autorizado (distancia de transporte 21 km) a distancia mayor del acarreo libre (90m) en sitio autorizado por la entidad ambiental competente.</v>
      </c>
      <c r="I64" s="68" t="str">
        <f>'Pilona 18'!$C$45</f>
        <v>m3</v>
      </c>
      <c r="J64" s="71">
        <f>'Pilona 18'!$D$45</f>
        <v>139.94999999999999</v>
      </c>
      <c r="K64" s="68"/>
      <c r="L64" s="24" t="s">
        <v>83</v>
      </c>
    </row>
    <row r="65" spans="1:14" ht="47.25" x14ac:dyDescent="0.25">
      <c r="A65" s="67" t="s">
        <v>115</v>
      </c>
      <c r="B65" s="7"/>
      <c r="C65" s="18"/>
      <c r="D65" s="24" t="s">
        <v>80</v>
      </c>
      <c r="E65" s="24" t="s">
        <v>81</v>
      </c>
      <c r="F65" s="24" t="s">
        <v>93</v>
      </c>
      <c r="G65" s="68">
        <f>'Pilona 18'!$A$46</f>
        <v>4908</v>
      </c>
      <c r="H65" s="67" t="str">
        <f>'Pilona 18'!$B$46</f>
        <v>Relleno con material de banco, incluye acarreo, equipo, herramienta, mano de obra y todo lo necesario para su correcta ejecución, P.U.O.T.</v>
      </c>
      <c r="I65" s="68" t="str">
        <f>'Pilona 18'!$C$46</f>
        <v>m3</v>
      </c>
      <c r="J65" s="71">
        <f>'Pilona 18'!$D$46</f>
        <v>86.432168704598737</v>
      </c>
      <c r="K65" s="68"/>
      <c r="L65" s="24" t="s">
        <v>83</v>
      </c>
    </row>
    <row r="66" spans="1:14" ht="47.25" x14ac:dyDescent="0.25">
      <c r="A66" s="67" t="s">
        <v>115</v>
      </c>
      <c r="B66" s="7"/>
      <c r="C66" s="18"/>
      <c r="D66" s="24" t="s">
        <v>80</v>
      </c>
      <c r="E66" s="24" t="s">
        <v>81</v>
      </c>
      <c r="F66" s="24" t="s">
        <v>94</v>
      </c>
      <c r="G66" s="68">
        <f>'Pilona 18'!$A$47</f>
        <v>5196</v>
      </c>
      <c r="H66" s="67" t="str">
        <f>'Pilona 18'!$B$47</f>
        <v>Demolición de concreto: espesores 8cm a 15cm. (incluye retiro de material, transporte y disposición final de escombros en sitio autorizado)</v>
      </c>
      <c r="I66" s="68" t="str">
        <f>'Pilona 18'!$C$47</f>
        <v>m3</v>
      </c>
      <c r="J66" s="71">
        <f>'Pilona 18'!$D$47</f>
        <v>8.4375</v>
      </c>
      <c r="K66" s="68"/>
      <c r="L66" s="24" t="s">
        <v>83</v>
      </c>
    </row>
    <row r="67" spans="1:14" x14ac:dyDescent="0.25">
      <c r="A67" s="85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7"/>
    </row>
    <row r="68" spans="1:14" ht="78.75" x14ac:dyDescent="0.25">
      <c r="A68" s="67" t="s">
        <v>116</v>
      </c>
      <c r="B68" s="67"/>
      <c r="C68" s="24"/>
      <c r="D68" s="24" t="s">
        <v>80</v>
      </c>
      <c r="E68" s="24" t="s">
        <v>81</v>
      </c>
      <c r="F68" s="24" t="s">
        <v>82</v>
      </c>
      <c r="G68" s="68">
        <f>'Pilona 19'!$A$34</f>
        <v>6007</v>
      </c>
      <c r="H68" s="67" t="str">
        <f>'Pilona 19'!$B$34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68" s="68" t="str">
        <f>'Pilona 19'!$C$34</f>
        <v>m3</v>
      </c>
      <c r="J68" s="69">
        <f>'Pilona 19'!$D$34</f>
        <v>51.050880620834135</v>
      </c>
      <c r="K68" s="68"/>
      <c r="L68" s="24" t="s">
        <v>83</v>
      </c>
      <c r="N68" s="117"/>
    </row>
    <row r="69" spans="1:14" ht="94.5" x14ac:dyDescent="0.25">
      <c r="A69" s="67" t="s">
        <v>116</v>
      </c>
      <c r="B69" s="67"/>
      <c r="C69" s="24"/>
      <c r="D69" s="24" t="s">
        <v>80</v>
      </c>
      <c r="E69" s="24" t="s">
        <v>81</v>
      </c>
      <c r="F69" s="24" t="s">
        <v>84</v>
      </c>
      <c r="G69" s="68">
        <f>'Pilona 19'!$A$35</f>
        <v>3708</v>
      </c>
      <c r="H69" s="67" t="str">
        <f>'Pilona 19'!$B$35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69" s="68" t="str">
        <f>'Pilona 19'!$C$35</f>
        <v>kg</v>
      </c>
      <c r="J69" s="69">
        <f>'Pilona 19'!$D$35</f>
        <v>15713.54081733382</v>
      </c>
      <c r="K69" s="68"/>
      <c r="L69" s="24" t="s">
        <v>83</v>
      </c>
    </row>
    <row r="70" spans="1:14" ht="47.25" x14ac:dyDescent="0.25">
      <c r="A70" s="67" t="s">
        <v>116</v>
      </c>
      <c r="B70" s="67"/>
      <c r="C70" s="24"/>
      <c r="D70" s="24" t="s">
        <v>80</v>
      </c>
      <c r="E70" s="24" t="s">
        <v>81</v>
      </c>
      <c r="F70" s="24" t="s">
        <v>85</v>
      </c>
      <c r="G70" s="68">
        <f>'Pilona 19'!$A$39</f>
        <v>3637</v>
      </c>
      <c r="H70" s="67" t="str">
        <f>'Pilona 19'!$B$39</f>
        <v>Concreto 4000 psi, premezclado, grava común (incluye suministro, formaleteo en madera, bombeo, colocación y curado. No incluye refuerzo), en:</v>
      </c>
      <c r="I70" s="68" t="str">
        <f>'Pilona 19'!$C$39</f>
        <v>m3</v>
      </c>
      <c r="J70" s="69">
        <f>'Pilona 19'!$D$39</f>
        <v>77.631302570733197</v>
      </c>
      <c r="K70" s="68"/>
      <c r="L70" s="24" t="s">
        <v>83</v>
      </c>
    </row>
    <row r="71" spans="1:14" ht="31.5" x14ac:dyDescent="0.25">
      <c r="A71" s="67" t="s">
        <v>116</v>
      </c>
      <c r="B71" s="19"/>
      <c r="C71" s="20"/>
      <c r="D71" s="24" t="s">
        <v>80</v>
      </c>
      <c r="E71" s="24" t="s">
        <v>81</v>
      </c>
      <c r="F71" s="24" t="s">
        <v>86</v>
      </c>
      <c r="G71" s="68">
        <f>'Pilona 19'!$A$42</f>
        <v>5055</v>
      </c>
      <c r="H71" s="67" t="str">
        <f>'Pilona 19'!$B$42</f>
        <v>Descabece de pilotes (incluye transporte y disposición final de escombros en sitio autorizado a 21 km.</v>
      </c>
      <c r="I71" s="68" t="str">
        <f>'Pilona 19'!$C$42</f>
        <v>m3</v>
      </c>
      <c r="J71" s="71">
        <f>'Pilona 19'!$D$42</f>
        <v>8.2309727524052576</v>
      </c>
      <c r="K71" s="68"/>
      <c r="L71" s="24" t="s">
        <v>83</v>
      </c>
    </row>
    <row r="72" spans="1:14" ht="47.25" x14ac:dyDescent="0.25">
      <c r="A72" s="67" t="s">
        <v>116</v>
      </c>
      <c r="B72" s="25"/>
      <c r="C72" s="26"/>
      <c r="D72" s="24" t="s">
        <v>80</v>
      </c>
      <c r="E72" s="24" t="s">
        <v>81</v>
      </c>
      <c r="F72" s="24" t="s">
        <v>90</v>
      </c>
      <c r="G72" s="68">
        <f>'Pilona 19'!$A$43</f>
        <v>6021</v>
      </c>
      <c r="H72" s="67" t="str">
        <f>'Pilona 19'!$B$43</f>
        <v>Concreto de nivelación 2000 psi grava común (140 kg/cm2) (premezclado. incluye suministro, fundida y nivelación y colocación. no incluye refuerzo, curado).</v>
      </c>
      <c r="I72" s="68" t="str">
        <f>'Pilona 19'!$C$43</f>
        <v>m3</v>
      </c>
      <c r="J72" s="71">
        <f>'Pilona 19'!$D$43</f>
        <v>1.1983407346410209</v>
      </c>
      <c r="K72" s="70"/>
      <c r="L72" s="24" t="s">
        <v>83</v>
      </c>
    </row>
    <row r="73" spans="1:14" ht="31.5" x14ac:dyDescent="0.25">
      <c r="A73" s="67" t="s">
        <v>116</v>
      </c>
      <c r="B73" s="7"/>
      <c r="C73" s="18"/>
      <c r="D73" s="24" t="s">
        <v>80</v>
      </c>
      <c r="E73" s="24" t="s">
        <v>81</v>
      </c>
      <c r="F73" s="24" t="s">
        <v>91</v>
      </c>
      <c r="G73" s="68">
        <f>'Pilona 19'!$A$44</f>
        <v>5416</v>
      </c>
      <c r="H73" s="67" t="str">
        <f>'Pilona 19'!$B$44</f>
        <v>Excavación mecánica para dados (nivel de funcionamiento, incluye cargue)</v>
      </c>
      <c r="I73" s="68" t="str">
        <f>'Pilona 19'!$C$44</f>
        <v>m3</v>
      </c>
      <c r="J73" s="71">
        <f>'Pilona 19'!$D$44</f>
        <v>150.1875</v>
      </c>
      <c r="K73" s="68"/>
      <c r="L73" s="24" t="s">
        <v>83</v>
      </c>
    </row>
    <row r="74" spans="1:14" ht="63" x14ac:dyDescent="0.25">
      <c r="A74" s="67" t="s">
        <v>116</v>
      </c>
      <c r="B74" s="7"/>
      <c r="C74" s="18"/>
      <c r="D74" s="24" t="s">
        <v>80</v>
      </c>
      <c r="E74" s="24" t="s">
        <v>81</v>
      </c>
      <c r="F74" s="24" t="s">
        <v>92</v>
      </c>
      <c r="G74" s="68">
        <f>'Pilona 19'!$A$45</f>
        <v>3017</v>
      </c>
      <c r="H74" s="67" t="str">
        <f>'Pilona 19'!$B$45</f>
        <v>Transporte y disposición final de escombros en sitio autorizado (distancia de transporte 21 km) a distancia mayor del acarreo libre (90m) en sitio autorizado por la entidad ambiental competente.</v>
      </c>
      <c r="I74" s="68" t="str">
        <f>'Pilona 19'!$C$45</f>
        <v>m3</v>
      </c>
      <c r="J74" s="71">
        <f>'Pilona 19'!$D$45</f>
        <v>150.1875</v>
      </c>
      <c r="K74" s="68"/>
      <c r="L74" s="24" t="s">
        <v>83</v>
      </c>
    </row>
    <row r="75" spans="1:14" ht="47.25" x14ac:dyDescent="0.25">
      <c r="A75" s="67" t="s">
        <v>116</v>
      </c>
      <c r="B75" s="7"/>
      <c r="C75" s="18"/>
      <c r="D75" s="24" t="s">
        <v>80</v>
      </c>
      <c r="E75" s="24" t="s">
        <v>81</v>
      </c>
      <c r="F75" s="24" t="s">
        <v>93</v>
      </c>
      <c r="G75" s="68">
        <f>'Pilona 19'!$A$46</f>
        <v>4908</v>
      </c>
      <c r="H75" s="67" t="str">
        <f>'Pilona 19'!$B$46</f>
        <v>Relleno con material de banco, incluye acarreo, equipo, herramienta, mano de obra y todo lo necesario para su correcta ejecución, P.U.O.T.</v>
      </c>
      <c r="I75" s="68" t="str">
        <f>'Pilona 19'!$C$46</f>
        <v>m3</v>
      </c>
      <c r="J75" s="71">
        <f>'Pilona 19'!$D$46</f>
        <v>91.257647040259613</v>
      </c>
      <c r="K75" s="68"/>
      <c r="L75" s="24" t="s">
        <v>83</v>
      </c>
    </row>
    <row r="76" spans="1:14" ht="47.25" x14ac:dyDescent="0.25">
      <c r="A76" s="67" t="s">
        <v>116</v>
      </c>
      <c r="B76" s="7"/>
      <c r="C76" s="18"/>
      <c r="D76" s="24" t="s">
        <v>80</v>
      </c>
      <c r="E76" s="24" t="s">
        <v>81</v>
      </c>
      <c r="F76" s="24" t="s">
        <v>94</v>
      </c>
      <c r="G76" s="68">
        <f>'Pilona 19'!$A$47</f>
        <v>5196</v>
      </c>
      <c r="H76" s="67" t="str">
        <f>'Pilona 19'!$B$47</f>
        <v>Demolición de concreto: espesores 8cm a 15cm. (incluye retiro de material, transporte y disposición final de escombros en sitio autorizado)</v>
      </c>
      <c r="I76" s="68" t="str">
        <f>'Pilona 19'!$C$47</f>
        <v>m3</v>
      </c>
      <c r="J76" s="71">
        <f>'Pilona 19'!$D$47</f>
        <v>8.4375</v>
      </c>
      <c r="K76" s="68"/>
      <c r="L76" s="24" t="s">
        <v>83</v>
      </c>
    </row>
    <row r="77" spans="1:14" x14ac:dyDescent="0.25">
      <c r="A77" s="85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7"/>
    </row>
    <row r="78" spans="1:14" ht="78.75" x14ac:dyDescent="0.25">
      <c r="A78" s="67" t="s">
        <v>117</v>
      </c>
      <c r="B78" s="67"/>
      <c r="C78" s="24"/>
      <c r="D78" s="24" t="s">
        <v>80</v>
      </c>
      <c r="E78" s="24" t="s">
        <v>81</v>
      </c>
      <c r="F78" s="24" t="s">
        <v>82</v>
      </c>
      <c r="G78" s="68">
        <f>'Pilona 20'!$A$34</f>
        <v>6007</v>
      </c>
      <c r="H78" s="67" t="str">
        <f>'Pilona 20'!$B$34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78" s="68" t="str">
        <f>'Pilona 20'!$C$34</f>
        <v>m3</v>
      </c>
      <c r="J78" s="69">
        <f>'Pilona 20'!$D$34</f>
        <v>56.517251838080377</v>
      </c>
      <c r="K78" s="68"/>
      <c r="L78" s="24" t="s">
        <v>83</v>
      </c>
      <c r="N78" s="117"/>
    </row>
    <row r="79" spans="1:14" ht="94.5" x14ac:dyDescent="0.25">
      <c r="A79" s="67" t="s">
        <v>117</v>
      </c>
      <c r="B79" s="67"/>
      <c r="C79" s="24"/>
      <c r="D79" s="24" t="s">
        <v>80</v>
      </c>
      <c r="E79" s="24" t="s">
        <v>81</v>
      </c>
      <c r="F79" s="24" t="s">
        <v>84</v>
      </c>
      <c r="G79" s="68">
        <f>'Pilona 20'!$A$35</f>
        <v>3708</v>
      </c>
      <c r="H79" s="67" t="str">
        <f>'Pilona 20'!$B$35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79" s="68" t="str">
        <f>'Pilona 20'!$C$35</f>
        <v>kg</v>
      </c>
      <c r="J79" s="69">
        <f>'Pilona 20'!$D$35</f>
        <v>14690.330395518722</v>
      </c>
      <c r="K79" s="68"/>
      <c r="L79" s="24" t="s">
        <v>83</v>
      </c>
    </row>
    <row r="80" spans="1:14" ht="47.25" x14ac:dyDescent="0.25">
      <c r="A80" s="67" t="s">
        <v>117</v>
      </c>
      <c r="B80" s="67"/>
      <c r="C80" s="24"/>
      <c r="D80" s="24" t="s">
        <v>80</v>
      </c>
      <c r="E80" s="24" t="s">
        <v>81</v>
      </c>
      <c r="F80" s="24" t="s">
        <v>85</v>
      </c>
      <c r="G80" s="68">
        <f>'Pilona 20'!$A$39</f>
        <v>3637</v>
      </c>
      <c r="H80" s="67" t="str">
        <f>'Pilona 20'!$B$39</f>
        <v>Concreto 4000 psi, premezclado, grava común (incluye suministro, formaleteo en madera, bombeo, colocación y curado. No incluye refuerzo), en:</v>
      </c>
      <c r="I80" s="68" t="str">
        <f>'Pilona 20'!$C$39</f>
        <v>m3</v>
      </c>
      <c r="J80" s="69">
        <f>'Pilona 20'!$D$39</f>
        <v>66.580750411731103</v>
      </c>
      <c r="K80" s="68"/>
      <c r="L80" s="24" t="s">
        <v>83</v>
      </c>
    </row>
    <row r="81" spans="1:14" ht="31.5" x14ac:dyDescent="0.25">
      <c r="A81" s="67" t="s">
        <v>117</v>
      </c>
      <c r="B81" s="19"/>
      <c r="C81" s="20"/>
      <c r="D81" s="24" t="s">
        <v>80</v>
      </c>
      <c r="E81" s="24" t="s">
        <v>81</v>
      </c>
      <c r="F81" s="24" t="s">
        <v>86</v>
      </c>
      <c r="G81" s="68">
        <f>'Pilona 20'!$A$42</f>
        <v>5055</v>
      </c>
      <c r="H81" s="67" t="str">
        <f>'Pilona 20'!$B$42</f>
        <v>Descabece de pilotes (incluye transporte y disposición final de escombros en sitio autorizado a 21 km.</v>
      </c>
      <c r="I81" s="68" t="str">
        <f>'Pilona 20'!$C$42</f>
        <v>m3</v>
      </c>
      <c r="J81" s="71">
        <f>'Pilona 20'!$D$42</f>
        <v>9.3933620342334816</v>
      </c>
      <c r="K81" s="68"/>
      <c r="L81" s="24" t="s">
        <v>83</v>
      </c>
    </row>
    <row r="82" spans="1:14" ht="47.25" x14ac:dyDescent="0.25">
      <c r="A82" s="67" t="s">
        <v>117</v>
      </c>
      <c r="B82" s="25"/>
      <c r="C82" s="26"/>
      <c r="D82" s="24" t="s">
        <v>80</v>
      </c>
      <c r="E82" s="24" t="s">
        <v>81</v>
      </c>
      <c r="F82" s="24" t="s">
        <v>90</v>
      </c>
      <c r="G82" s="68">
        <f>'Pilona 20'!$A$43</f>
        <v>6021</v>
      </c>
      <c r="H82" s="67" t="str">
        <f>'Pilona 20'!$B$43</f>
        <v>Concreto de nivelación 2000 psi grava común (140 kg/cm2) (premezclado. incluye suministro, fundida y nivelación y colocación. no incluye refuerzo, curado).</v>
      </c>
      <c r="I82" s="68" t="str">
        <f>'Pilona 20'!$C$43</f>
        <v>m3</v>
      </c>
      <c r="J82" s="71">
        <f>'Pilona 20'!$D$43</f>
        <v>1.1983407346410209</v>
      </c>
      <c r="K82" s="70"/>
      <c r="L82" s="24" t="s">
        <v>83</v>
      </c>
    </row>
    <row r="83" spans="1:14" ht="31.5" x14ac:dyDescent="0.25">
      <c r="A83" s="67" t="s">
        <v>117</v>
      </c>
      <c r="B83" s="7"/>
      <c r="C83" s="18"/>
      <c r="D83" s="24" t="s">
        <v>80</v>
      </c>
      <c r="E83" s="24" t="s">
        <v>81</v>
      </c>
      <c r="F83" s="24" t="s">
        <v>91</v>
      </c>
      <c r="G83" s="68">
        <f>'Pilona 20'!$A$44</f>
        <v>5416</v>
      </c>
      <c r="H83" s="67" t="str">
        <f>'Pilona 20'!$B$44</f>
        <v>Excavación mecánica para dados (nivel de funcionamiento, incluye cargue)</v>
      </c>
      <c r="I83" s="68" t="str">
        <f>'Pilona 20'!$C$44</f>
        <v>m3</v>
      </c>
      <c r="J83" s="71">
        <f>'Pilona 20'!$D$44</f>
        <v>171</v>
      </c>
      <c r="K83" s="68"/>
      <c r="L83" s="24" t="s">
        <v>83</v>
      </c>
    </row>
    <row r="84" spans="1:14" ht="63" x14ac:dyDescent="0.25">
      <c r="A84" s="67" t="s">
        <v>117</v>
      </c>
      <c r="B84" s="7"/>
      <c r="C84" s="18"/>
      <c r="D84" s="24" t="s">
        <v>80</v>
      </c>
      <c r="E84" s="24" t="s">
        <v>81</v>
      </c>
      <c r="F84" s="24" t="s">
        <v>92</v>
      </c>
      <c r="G84" s="68">
        <f>'Pilona 20'!$A$45</f>
        <v>3017</v>
      </c>
      <c r="H84" s="67" t="str">
        <f>'Pilona 20'!$B$45</f>
        <v>Transporte y disposición final de escombros en sitio autorizado (distancia de transporte 21 km) a distancia mayor del acarreo libre (90m) en sitio autorizado por la entidad ambiental competente.</v>
      </c>
      <c r="I84" s="68" t="str">
        <f>'Pilona 20'!$C$45</f>
        <v>m3</v>
      </c>
      <c r="J84" s="71">
        <f>'Pilona 20'!$D$45</f>
        <v>171</v>
      </c>
      <c r="K84" s="68"/>
      <c r="L84" s="24" t="s">
        <v>83</v>
      </c>
    </row>
    <row r="85" spans="1:14" ht="47.25" x14ac:dyDescent="0.25">
      <c r="A85" s="67" t="s">
        <v>117</v>
      </c>
      <c r="B85" s="7"/>
      <c r="C85" s="18"/>
      <c r="D85" s="24" t="s">
        <v>80</v>
      </c>
      <c r="E85" s="24" t="s">
        <v>81</v>
      </c>
      <c r="F85" s="24" t="s">
        <v>93</v>
      </c>
      <c r="G85" s="68">
        <f>'Pilona 20'!$A$46</f>
        <v>4908</v>
      </c>
      <c r="H85" s="67" t="str">
        <f>'Pilona 20'!$B$46</f>
        <v>Relleno con material de banco, incluye acarreo, equipo, herramienta, mano de obra y todo lo necesario para su correcta ejecución, P.U.O.T.</v>
      </c>
      <c r="I85" s="68" t="str">
        <f>'Pilona 20'!$C$46</f>
        <v>m3</v>
      </c>
      <c r="J85" s="71">
        <f>'Pilona 20'!$D$46</f>
        <v>113.58031062884024</v>
      </c>
      <c r="K85" s="68"/>
      <c r="L85" s="24" t="s">
        <v>83</v>
      </c>
    </row>
    <row r="86" spans="1:14" ht="47.25" x14ac:dyDescent="0.25">
      <c r="A86" s="67" t="s">
        <v>117</v>
      </c>
      <c r="B86" s="7"/>
      <c r="C86" s="18"/>
      <c r="D86" s="24" t="s">
        <v>80</v>
      </c>
      <c r="E86" s="24" t="s">
        <v>81</v>
      </c>
      <c r="F86" s="24" t="s">
        <v>94</v>
      </c>
      <c r="G86" s="68">
        <f>'Pilona 20'!$A$47</f>
        <v>5196</v>
      </c>
      <c r="H86" s="67" t="str">
        <f>'Pilona 20'!$B$47</f>
        <v>Demolición de concreto: espesores 8cm a 15cm. (incluye retiro de material, transporte y disposición final de escombros en sitio autorizado)</v>
      </c>
      <c r="I86" s="68" t="str">
        <f>'Pilona 20'!$C$47</f>
        <v>m3</v>
      </c>
      <c r="J86" s="71">
        <f>'Pilona 20'!$D$47</f>
        <v>8.4375</v>
      </c>
      <c r="K86" s="68"/>
      <c r="L86" s="24" t="s">
        <v>83</v>
      </c>
    </row>
    <row r="87" spans="1:14" x14ac:dyDescent="0.25">
      <c r="A87" s="85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7"/>
    </row>
    <row r="88" spans="1:14" ht="78.75" x14ac:dyDescent="0.25">
      <c r="A88" s="67" t="s">
        <v>118</v>
      </c>
      <c r="B88" s="67"/>
      <c r="C88" s="24"/>
      <c r="D88" s="24" t="s">
        <v>80</v>
      </c>
      <c r="E88" s="24" t="s">
        <v>81</v>
      </c>
      <c r="F88" s="24" t="s">
        <v>82</v>
      </c>
      <c r="G88" s="68">
        <f>'Pilona 21+'!$A$34</f>
        <v>6007</v>
      </c>
      <c r="H88" s="67" t="str">
        <f>'Pilona 21+'!$B$34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88" s="68" t="str">
        <f>'Pilona 21+'!$C$34</f>
        <v>m3</v>
      </c>
      <c r="J88" s="69">
        <f>'Pilona 21+'!$D$34</f>
        <v>70.120348028124184</v>
      </c>
      <c r="K88" s="68"/>
      <c r="L88" s="24" t="s">
        <v>83</v>
      </c>
      <c r="N88" s="117"/>
    </row>
    <row r="89" spans="1:14" ht="94.5" x14ac:dyDescent="0.25">
      <c r="A89" s="67" t="s">
        <v>118</v>
      </c>
      <c r="B89" s="67"/>
      <c r="C89" s="24"/>
      <c r="D89" s="24" t="s">
        <v>80</v>
      </c>
      <c r="E89" s="24" t="s">
        <v>81</v>
      </c>
      <c r="F89" s="24" t="s">
        <v>84</v>
      </c>
      <c r="G89" s="68">
        <f>'Pilona 21+'!$A$35</f>
        <v>3708</v>
      </c>
      <c r="H89" s="67" t="str">
        <f>'Pilona 21+'!$B$35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89" s="68" t="str">
        <f>'Pilona 21+'!$C$35</f>
        <v>kg</v>
      </c>
      <c r="J89" s="69">
        <f>'Pilona 21+'!$D$35</f>
        <v>14544.445543438909</v>
      </c>
      <c r="K89" s="68"/>
      <c r="L89" s="24" t="s">
        <v>83</v>
      </c>
    </row>
    <row r="90" spans="1:14" ht="47.25" x14ac:dyDescent="0.25">
      <c r="A90" s="67" t="s">
        <v>118</v>
      </c>
      <c r="B90" s="67"/>
      <c r="C90" s="24"/>
      <c r="D90" s="24" t="s">
        <v>80</v>
      </c>
      <c r="E90" s="24" t="s">
        <v>81</v>
      </c>
      <c r="F90" s="24" t="s">
        <v>85</v>
      </c>
      <c r="G90" s="68">
        <f>'Pilona 21+'!$A$39</f>
        <v>3637</v>
      </c>
      <c r="H90" s="67" t="str">
        <f>'Pilona 21+'!$B$39</f>
        <v>Concreto 4000 psi, premezclado, grava común (incluye suministro, formaleteo en madera, bombeo, colocación y curado. No incluye refuerzo), en:</v>
      </c>
      <c r="I90" s="68" t="str">
        <f>'Pilona 21+'!$C$39</f>
        <v>m3</v>
      </c>
      <c r="J90" s="69">
        <f>'Pilona 21+'!$D$39</f>
        <v>59.512166941154071</v>
      </c>
      <c r="K90" s="68"/>
      <c r="L90" s="24" t="s">
        <v>83</v>
      </c>
    </row>
    <row r="91" spans="1:14" ht="31.5" x14ac:dyDescent="0.25">
      <c r="A91" s="67" t="s">
        <v>118</v>
      </c>
      <c r="B91" s="19"/>
      <c r="C91" s="20"/>
      <c r="D91" s="24" t="s">
        <v>80</v>
      </c>
      <c r="E91" s="24" t="s">
        <v>81</v>
      </c>
      <c r="F91" s="24" t="s">
        <v>86</v>
      </c>
      <c r="G91" s="68">
        <f>'Pilona 21+'!$A$42</f>
        <v>5055</v>
      </c>
      <c r="H91" s="67" t="str">
        <f>'Pilona 21+'!$B$42</f>
        <v>Descabece de pilotes (incluye transporte y disposición final de escombros en sitio autorizado a 21 km.</v>
      </c>
      <c r="I91" s="68" t="str">
        <f>'Pilona 21+'!$C$42</f>
        <v>m3</v>
      </c>
      <c r="J91" s="71">
        <f>'Pilona 21+'!$D$42</f>
        <v>7.2382294738708843</v>
      </c>
      <c r="K91" s="68"/>
      <c r="L91" s="24" t="s">
        <v>83</v>
      </c>
    </row>
    <row r="92" spans="1:14" ht="47.25" x14ac:dyDescent="0.25">
      <c r="A92" s="67" t="s">
        <v>118</v>
      </c>
      <c r="B92" s="25"/>
      <c r="C92" s="26"/>
      <c r="D92" s="24" t="s">
        <v>80</v>
      </c>
      <c r="E92" s="24" t="s">
        <v>81</v>
      </c>
      <c r="F92" s="24" t="s">
        <v>90</v>
      </c>
      <c r="G92" s="68">
        <f>'Pilona 21+'!$A$43</f>
        <v>6021</v>
      </c>
      <c r="H92" s="67" t="str">
        <f>'Pilona 21+'!$B$43</f>
        <v>Concreto de nivelación 2000 psi grava común (140 kg/cm2) (premezclado. incluye suministro, fundida y nivelación y colocación. no incluye refuerzo, curado).</v>
      </c>
      <c r="I92" s="68" t="str">
        <f>'Pilona 21+'!$C$43</f>
        <v>m3</v>
      </c>
      <c r="J92" s="71">
        <f>'Pilona 21+'!$D$43</f>
        <v>1.0601106578830699</v>
      </c>
      <c r="K92" s="70"/>
      <c r="L92" s="24" t="s">
        <v>83</v>
      </c>
    </row>
    <row r="93" spans="1:14" ht="31.5" x14ac:dyDescent="0.25">
      <c r="A93" s="67" t="s">
        <v>118</v>
      </c>
      <c r="B93" s="7"/>
      <c r="C93" s="18"/>
      <c r="D93" s="24" t="s">
        <v>80</v>
      </c>
      <c r="E93" s="24" t="s">
        <v>81</v>
      </c>
      <c r="F93" s="24" t="s">
        <v>91</v>
      </c>
      <c r="G93" s="68">
        <f>'Pilona 21+'!$A$44</f>
        <v>5416</v>
      </c>
      <c r="H93" s="67" t="str">
        <f>'Pilona 21+'!$B$44</f>
        <v>Excavación mecánica para dados (nivel de funcionamiento, incluye cargue)</v>
      </c>
      <c r="I93" s="68" t="str">
        <f>'Pilona 21+'!$C$44</f>
        <v>m3</v>
      </c>
      <c r="J93" s="71">
        <f>'Pilona 21+'!$D$44</f>
        <v>92.812500000000014</v>
      </c>
      <c r="K93" s="68"/>
      <c r="L93" s="24" t="s">
        <v>83</v>
      </c>
    </row>
    <row r="94" spans="1:14" ht="63" x14ac:dyDescent="0.25">
      <c r="A94" s="67" t="s">
        <v>118</v>
      </c>
      <c r="B94" s="7"/>
      <c r="C94" s="18"/>
      <c r="D94" s="24" t="s">
        <v>80</v>
      </c>
      <c r="E94" s="24" t="s">
        <v>81</v>
      </c>
      <c r="F94" s="24" t="s">
        <v>92</v>
      </c>
      <c r="G94" s="68">
        <f>'Pilona 21+'!$A$45</f>
        <v>3017</v>
      </c>
      <c r="H94" s="67" t="str">
        <f>'Pilona 21+'!$B$45</f>
        <v>Transporte y disposición final de escombros en sitio autorizado (distancia de transporte 21 km) a distancia mayor del acarreo libre (90m) en sitio autorizado por la entidad ambiental competente.</v>
      </c>
      <c r="I94" s="68" t="str">
        <f>'Pilona 21+'!$C$45</f>
        <v>m3</v>
      </c>
      <c r="J94" s="71">
        <f>'Pilona 21+'!$D$45</f>
        <v>92.812500000000014</v>
      </c>
      <c r="K94" s="68"/>
      <c r="L94" s="24" t="s">
        <v>83</v>
      </c>
    </row>
    <row r="95" spans="1:14" ht="47.25" x14ac:dyDescent="0.25">
      <c r="A95" s="67" t="s">
        <v>118</v>
      </c>
      <c r="B95" s="7"/>
      <c r="C95" s="18"/>
      <c r="D95" s="24" t="s">
        <v>80</v>
      </c>
      <c r="E95" s="24" t="s">
        <v>81</v>
      </c>
      <c r="F95" s="24" t="s">
        <v>93</v>
      </c>
      <c r="G95" s="68">
        <f>'Pilona 21+'!$A$46</f>
        <v>4908</v>
      </c>
      <c r="H95" s="67" t="str">
        <f>'Pilona 21+'!$B$46</f>
        <v>Relleno con material de banco, incluye acarreo, equipo, herramienta, mano de obra y todo lo necesario para su correcta ejecución, P.U.O.T.</v>
      </c>
      <c r="I95" s="68" t="str">
        <f>'Pilona 21+'!$C$46</f>
        <v>m3</v>
      </c>
      <c r="J95" s="71">
        <f>'Pilona 21+'!$D$46</f>
        <v>66.787000000000006</v>
      </c>
      <c r="K95" s="68"/>
      <c r="L95" s="24" t="s">
        <v>83</v>
      </c>
    </row>
    <row r="96" spans="1:14" ht="47.25" x14ac:dyDescent="0.25">
      <c r="A96" s="67" t="s">
        <v>118</v>
      </c>
      <c r="B96" s="7"/>
      <c r="C96" s="18"/>
      <c r="D96" s="24" t="s">
        <v>80</v>
      </c>
      <c r="E96" s="24" t="s">
        <v>81</v>
      </c>
      <c r="F96" s="24" t="s">
        <v>94</v>
      </c>
      <c r="G96" s="68">
        <f>'Pilona 21+'!$A$47</f>
        <v>5196</v>
      </c>
      <c r="H96" s="67" t="str">
        <f>'Pilona 21+'!$B$47</f>
        <v>Demolición de concreto: espesores 8cm a 15cm. (incluye retiro de material, transporte y disposición final de escombros en sitio autorizado)</v>
      </c>
      <c r="I96" s="68" t="str">
        <f>'Pilona 21+'!$C$47</f>
        <v>m3</v>
      </c>
      <c r="J96" s="71">
        <f>'Pilona 21+'!$D$47</f>
        <v>8.4375</v>
      </c>
      <c r="K96" s="68"/>
      <c r="L96" s="24" t="s">
        <v>83</v>
      </c>
    </row>
    <row r="97" spans="1:14" x14ac:dyDescent="0.25">
      <c r="A97" s="85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7"/>
    </row>
    <row r="98" spans="1:14" ht="78.75" x14ac:dyDescent="0.25">
      <c r="A98" s="67" t="s">
        <v>119</v>
      </c>
      <c r="B98" s="67"/>
      <c r="C98" s="24"/>
      <c r="D98" s="24" t="s">
        <v>80</v>
      </c>
      <c r="E98" s="24" t="s">
        <v>81</v>
      </c>
      <c r="F98" s="24" t="s">
        <v>82</v>
      </c>
      <c r="G98" s="68">
        <f>'Pilona 22+'!$A$34</f>
        <v>6007</v>
      </c>
      <c r="H98" s="67" t="str">
        <f>'Pilona 22+'!$B$34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98" s="68" t="str">
        <f>'Pilona 22+'!$C$34</f>
        <v>m3</v>
      </c>
      <c r="J98" s="69">
        <f>'Pilona 22+'!$D$34</f>
        <v>72.602206224460119</v>
      </c>
      <c r="K98" s="68"/>
      <c r="L98" s="24" t="s">
        <v>83</v>
      </c>
      <c r="N98" s="117"/>
    </row>
    <row r="99" spans="1:14" ht="107.25" customHeight="1" x14ac:dyDescent="0.25">
      <c r="A99" s="67" t="s">
        <v>119</v>
      </c>
      <c r="B99" s="67"/>
      <c r="C99" s="24"/>
      <c r="D99" s="24" t="s">
        <v>80</v>
      </c>
      <c r="E99" s="24" t="s">
        <v>81</v>
      </c>
      <c r="F99" s="24" t="s">
        <v>84</v>
      </c>
      <c r="G99" s="68">
        <f>'Pilona 22+'!$A$35</f>
        <v>3708</v>
      </c>
      <c r="H99" s="67" t="str">
        <f>'Pilona 22+'!$B$35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99" s="68" t="str">
        <f>'Pilona 22+'!$C$35</f>
        <v>kg</v>
      </c>
      <c r="J99" s="69">
        <f>'Pilona 22+'!$D$35</f>
        <v>13976.654023201421</v>
      </c>
      <c r="K99" s="68"/>
      <c r="L99" s="24" t="s">
        <v>83</v>
      </c>
    </row>
    <row r="100" spans="1:14" ht="47.25" x14ac:dyDescent="0.25">
      <c r="A100" s="67" t="s">
        <v>119</v>
      </c>
      <c r="B100" s="67"/>
      <c r="C100" s="24"/>
      <c r="D100" s="24" t="s">
        <v>80</v>
      </c>
      <c r="E100" s="24" t="s">
        <v>81</v>
      </c>
      <c r="F100" s="24" t="s">
        <v>85</v>
      </c>
      <c r="G100" s="68">
        <f>'Pilona 22+'!$A$39</f>
        <v>3637</v>
      </c>
      <c r="H100" s="67" t="str">
        <f>'Pilona 22+'!$B$39</f>
        <v>Concreto 4000 psi, premezclado, grava común (incluye suministro, formaleteo en madera, bombeo, colocación y curado. No incluye refuerzo), en:</v>
      </c>
      <c r="I100" s="68" t="str">
        <f>'Pilona 22+'!$C$39</f>
        <v>m3</v>
      </c>
      <c r="J100" s="69">
        <f>'Pilona 22+'!$D$39</f>
        <v>55.192477042468106</v>
      </c>
      <c r="K100" s="68"/>
      <c r="L100" s="24" t="s">
        <v>83</v>
      </c>
    </row>
    <row r="101" spans="1:14" ht="31.5" x14ac:dyDescent="0.25">
      <c r="A101" s="67" t="s">
        <v>119</v>
      </c>
      <c r="B101" s="19"/>
      <c r="C101" s="20"/>
      <c r="D101" s="24" t="s">
        <v>80</v>
      </c>
      <c r="E101" s="24" t="s">
        <v>81</v>
      </c>
      <c r="F101" s="24" t="s">
        <v>86</v>
      </c>
      <c r="G101" s="68">
        <f>'Pilona 22+'!$A$42</f>
        <v>5055</v>
      </c>
      <c r="H101" s="67" t="str">
        <f>'Pilona 22+'!$B$42</f>
        <v>Descabece de pilotes (incluye transporte y disposición final de escombros en sitio autorizado a 21 km.</v>
      </c>
      <c r="I101" s="68" t="str">
        <f>'Pilona 22+'!$C$42</f>
        <v>m3</v>
      </c>
      <c r="J101" s="71">
        <f>'Pilona 22+'!$D$42</f>
        <v>5.0579641722795676</v>
      </c>
      <c r="K101" s="68"/>
      <c r="L101" s="24" t="s">
        <v>83</v>
      </c>
    </row>
    <row r="102" spans="1:14" ht="47.25" x14ac:dyDescent="0.25">
      <c r="A102" s="67" t="s">
        <v>119</v>
      </c>
      <c r="B102" s="25"/>
      <c r="C102" s="26"/>
      <c r="D102" s="24" t="s">
        <v>80</v>
      </c>
      <c r="E102" s="24" t="s">
        <v>81</v>
      </c>
      <c r="F102" s="24" t="s">
        <v>90</v>
      </c>
      <c r="G102" s="68">
        <f>'Pilona 22+'!$A$43</f>
        <v>6021</v>
      </c>
      <c r="H102" s="67" t="str">
        <f>'Pilona 22+'!$B$43</f>
        <v>Concreto de nivelación 2000 psi grava común (140 kg/cm2) (premezclado. incluye suministro, fundida y nivelación y colocación. no incluye refuerzo, curado).</v>
      </c>
      <c r="I102" s="68" t="str">
        <f>'Pilona 22+'!$C$43</f>
        <v>m3</v>
      </c>
      <c r="J102" s="71">
        <f>'Pilona 22+'!$D$43</f>
        <v>1.1983407346410209</v>
      </c>
      <c r="K102" s="70"/>
      <c r="L102" s="24" t="s">
        <v>83</v>
      </c>
    </row>
    <row r="103" spans="1:14" ht="31.5" x14ac:dyDescent="0.25">
      <c r="A103" s="67" t="s">
        <v>119</v>
      </c>
      <c r="B103" s="7"/>
      <c r="C103" s="18"/>
      <c r="D103" s="24" t="s">
        <v>80</v>
      </c>
      <c r="E103" s="24" t="s">
        <v>81</v>
      </c>
      <c r="F103" s="24" t="s">
        <v>91</v>
      </c>
      <c r="G103" s="68">
        <f>'Pilona 22+'!$A$44</f>
        <v>5416</v>
      </c>
      <c r="H103" s="67" t="str">
        <f>'Pilona 22+'!$B$44</f>
        <v>Excavación mecánica para dados (nivel de funcionamiento, incluye cargue)</v>
      </c>
      <c r="I103" s="68" t="str">
        <f>'Pilona 22+'!$C$44</f>
        <v>m3</v>
      </c>
      <c r="J103" s="71">
        <f>'Pilona 22+'!$D$44</f>
        <v>93.375000000000014</v>
      </c>
      <c r="K103" s="68"/>
      <c r="L103" s="24" t="s">
        <v>83</v>
      </c>
    </row>
    <row r="104" spans="1:14" ht="63" x14ac:dyDescent="0.25">
      <c r="A104" s="67" t="s">
        <v>119</v>
      </c>
      <c r="B104" s="7"/>
      <c r="C104" s="18"/>
      <c r="D104" s="24" t="s">
        <v>80</v>
      </c>
      <c r="E104" s="24" t="s">
        <v>81</v>
      </c>
      <c r="F104" s="24" t="s">
        <v>92</v>
      </c>
      <c r="G104" s="68">
        <f>'Pilona 22+'!$A$45</f>
        <v>3017</v>
      </c>
      <c r="H104" s="67" t="str">
        <f>'Pilona 22+'!$B$45</f>
        <v>Transporte y disposición final de escombros en sitio autorizado (distancia de transporte 21 km) a distancia mayor del acarreo libre (90m) en sitio autorizado por la entidad ambiental competente.</v>
      </c>
      <c r="I104" s="68" t="str">
        <f>'Pilona 22+'!$C$45</f>
        <v>m3</v>
      </c>
      <c r="J104" s="71">
        <f>'Pilona 22+'!$D$45</f>
        <v>93.375000000000014</v>
      </c>
      <c r="K104" s="68"/>
      <c r="L104" s="24" t="s">
        <v>83</v>
      </c>
    </row>
    <row r="105" spans="1:14" ht="47.25" x14ac:dyDescent="0.25">
      <c r="A105" s="67" t="s">
        <v>119</v>
      </c>
      <c r="B105" s="7"/>
      <c r="C105" s="18"/>
      <c r="D105" s="24" t="s">
        <v>80</v>
      </c>
      <c r="E105" s="24" t="s">
        <v>81</v>
      </c>
      <c r="F105" s="24" t="s">
        <v>93</v>
      </c>
      <c r="G105" s="68">
        <f>'Pilona 22+'!$A$46</f>
        <v>4908</v>
      </c>
      <c r="H105" s="67" t="str">
        <f>'Pilona 22+'!$B$46</f>
        <v>Relleno con material de banco, incluye acarreo, equipo, herramienta, mano de obra y todo lo necesario para su correcta ejecución, P.U.O.T.</v>
      </c>
      <c r="I105" s="68" t="str">
        <f>'Pilona 22+'!$C$46</f>
        <v>m3</v>
      </c>
      <c r="J105" s="71">
        <f>'Pilona 22+'!$D$46</f>
        <v>61.944900000000011</v>
      </c>
      <c r="K105" s="68"/>
      <c r="L105" s="24" t="s">
        <v>83</v>
      </c>
    </row>
    <row r="106" spans="1:14" ht="47.25" x14ac:dyDescent="0.25">
      <c r="A106" s="67" t="s">
        <v>119</v>
      </c>
      <c r="B106" s="7"/>
      <c r="C106" s="18"/>
      <c r="D106" s="24" t="s">
        <v>80</v>
      </c>
      <c r="E106" s="24" t="s">
        <v>81</v>
      </c>
      <c r="F106" s="24" t="s">
        <v>94</v>
      </c>
      <c r="G106" s="68">
        <f>'Pilona 22+'!$A$47</f>
        <v>5196</v>
      </c>
      <c r="H106" s="67" t="str">
        <f>'Pilona 22+'!$B$47</f>
        <v>Demolición de concreto: espesores 8cm a 15cm. (incluye retiro de material, transporte y disposición final de escombros en sitio autorizado)</v>
      </c>
      <c r="I106" s="68" t="str">
        <f>'Pilona 22+'!$C$47</f>
        <v>m3</v>
      </c>
      <c r="J106" s="71">
        <f>'Pilona 22+'!$D$47</f>
        <v>8.4375</v>
      </c>
      <c r="K106" s="68"/>
      <c r="L106" s="24" t="s">
        <v>83</v>
      </c>
    </row>
    <row r="108" spans="1:14" x14ac:dyDescent="0.25">
      <c r="N108" s="117"/>
    </row>
  </sheetData>
  <autoFilter ref="G1:G111" xr:uid="{00000000-0001-0000-0000-000000000000}"/>
  <mergeCells count="16">
    <mergeCell ref="L1:L3"/>
    <mergeCell ref="A1:K1"/>
    <mergeCell ref="B2:J3"/>
    <mergeCell ref="A18:L18"/>
    <mergeCell ref="A5:L5"/>
    <mergeCell ref="A6:C6"/>
    <mergeCell ref="D6:F6"/>
    <mergeCell ref="H6:I6"/>
    <mergeCell ref="A67:L67"/>
    <mergeCell ref="A77:L77"/>
    <mergeCell ref="A87:L87"/>
    <mergeCell ref="A97:L97"/>
    <mergeCell ref="A28:L28"/>
    <mergeCell ref="A57:L57"/>
    <mergeCell ref="A38:L38"/>
    <mergeCell ref="A47:L47"/>
  </mergeCells>
  <phoneticPr fontId="22" type="noConversion"/>
  <conditionalFormatting sqref="A6 K6:K7">
    <cfRule type="cellIs" dxfId="1" priority="2" operator="equal">
      <formula>"CREAR ESPECIFICACIÓN"</formula>
    </cfRule>
  </conditionalFormatting>
  <conditionalFormatting sqref="K8">
    <cfRule type="cellIs" dxfId="0" priority="1" operator="equal">
      <formula>"CREAR ESPECIFICACIÓN"</formula>
    </cfRule>
  </conditionalFormatting>
  <printOptions horizontalCentered="1"/>
  <pageMargins left="0.39370078740157483" right="0.19685039370078741" top="0.39370078740157483" bottom="0.39370078740157483" header="0.31496062992125984" footer="0.31496062992125984"/>
  <pageSetup scale="60" orientation="landscape" r:id="rId1"/>
  <headerFooter>
    <oddFooter>&amp;CPágina &amp;P de &amp;N&amp;R&amp;A /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3011-019E-4479-B573-2FD2E7B84E01}">
  <sheetPr>
    <tabColor rgb="FFFFFF00"/>
  </sheetPr>
  <dimension ref="A2:M50"/>
  <sheetViews>
    <sheetView view="pageBreakPreview" topLeftCell="A4" zoomScale="85" zoomScaleNormal="85" zoomScaleSheetLayoutView="85" workbookViewId="0">
      <selection activeCell="E31" sqref="E31"/>
    </sheetView>
  </sheetViews>
  <sheetFormatPr baseColWidth="10" defaultRowHeight="14.25" x14ac:dyDescent="0.2"/>
  <cols>
    <col min="1" max="1" width="9.7109375" style="28" customWidth="1"/>
    <col min="2" max="2" width="42.85546875" style="28" customWidth="1"/>
    <col min="3" max="3" width="12.28515625" style="31" customWidth="1"/>
    <col min="4" max="4" width="12.85546875" style="31" customWidth="1"/>
    <col min="5" max="5" width="28.7109375" style="31" bestFit="1" customWidth="1"/>
    <col min="6" max="7" width="11.42578125" style="31"/>
    <col min="8" max="8" width="28.7109375" style="31" customWidth="1"/>
    <col min="9" max="10" width="11.42578125" style="31"/>
    <col min="11" max="11" width="30" style="31" customWidth="1"/>
    <col min="12" max="16384" width="11.42578125" style="28"/>
  </cols>
  <sheetData>
    <row r="2" spans="2:13" ht="16.5" x14ac:dyDescent="0.2">
      <c r="C2" s="29"/>
      <c r="D2" s="29"/>
      <c r="E2" s="30" t="s">
        <v>24</v>
      </c>
      <c r="F2" s="29"/>
      <c r="G2" s="29"/>
    </row>
    <row r="3" spans="2:13" ht="16.5" x14ac:dyDescent="0.3">
      <c r="C3" s="29"/>
      <c r="D3" s="29"/>
      <c r="E3" s="27" t="s">
        <v>25</v>
      </c>
      <c r="F3" s="29"/>
      <c r="G3" s="29"/>
    </row>
    <row r="4" spans="2:13" ht="16.5" x14ac:dyDescent="0.2">
      <c r="C4" s="29"/>
      <c r="D4" s="29"/>
      <c r="E4" s="32"/>
      <c r="F4" s="29"/>
      <c r="G4" s="29"/>
    </row>
    <row r="5" spans="2:13" ht="16.5" x14ac:dyDescent="0.3">
      <c r="C5" s="29"/>
      <c r="D5" s="29"/>
      <c r="E5" s="33" t="s">
        <v>26</v>
      </c>
      <c r="F5" s="29"/>
      <c r="G5" s="29"/>
    </row>
    <row r="7" spans="2:13" ht="16.5" x14ac:dyDescent="0.3">
      <c r="E7" s="111" t="s">
        <v>109</v>
      </c>
      <c r="F7" s="111"/>
      <c r="G7" s="111"/>
      <c r="H7" s="111"/>
      <c r="I7" s="111"/>
    </row>
    <row r="8" spans="2:13" ht="15" thickBot="1" x14ac:dyDescent="0.25"/>
    <row r="9" spans="2:13" x14ac:dyDescent="0.2">
      <c r="B9" s="112" t="s">
        <v>27</v>
      </c>
      <c r="C9" s="113"/>
      <c r="D9" s="34"/>
      <c r="E9" s="107" t="s">
        <v>28</v>
      </c>
      <c r="F9" s="108"/>
      <c r="G9" s="34"/>
      <c r="H9" s="107" t="s">
        <v>28</v>
      </c>
      <c r="I9" s="108"/>
      <c r="K9" s="107" t="s">
        <v>28</v>
      </c>
      <c r="L9" s="108"/>
    </row>
    <row r="10" spans="2:13" x14ac:dyDescent="0.2">
      <c r="B10" s="80" t="s">
        <v>29</v>
      </c>
      <c r="C10" s="35"/>
      <c r="D10" s="34"/>
      <c r="E10" s="80" t="s">
        <v>29</v>
      </c>
      <c r="F10" s="35"/>
      <c r="G10" s="34"/>
      <c r="H10" s="80" t="s">
        <v>30</v>
      </c>
      <c r="I10" s="36"/>
      <c r="J10" s="34"/>
      <c r="K10" s="80" t="s">
        <v>31</v>
      </c>
      <c r="L10" s="36"/>
    </row>
    <row r="11" spans="2:13" x14ac:dyDescent="0.2">
      <c r="B11" s="37" t="s">
        <v>32</v>
      </c>
      <c r="C11" s="38">
        <v>5</v>
      </c>
      <c r="D11" s="34" t="s">
        <v>33</v>
      </c>
      <c r="E11" s="37" t="s">
        <v>34</v>
      </c>
      <c r="F11" s="38">
        <v>16</v>
      </c>
      <c r="G11" s="34" t="s">
        <v>33</v>
      </c>
      <c r="H11" s="37" t="s">
        <v>34</v>
      </c>
      <c r="I11" s="38">
        <v>76</v>
      </c>
      <c r="J11" s="34" t="s">
        <v>33</v>
      </c>
      <c r="K11" s="37" t="s">
        <v>35</v>
      </c>
      <c r="L11" s="38">
        <v>20</v>
      </c>
      <c r="M11" s="28" t="s">
        <v>36</v>
      </c>
    </row>
    <row r="12" spans="2:13" x14ac:dyDescent="0.2">
      <c r="B12" s="37" t="s">
        <v>37</v>
      </c>
      <c r="C12" s="38">
        <v>100</v>
      </c>
      <c r="D12" s="34" t="s">
        <v>36</v>
      </c>
      <c r="E12" s="37" t="s">
        <v>38</v>
      </c>
      <c r="F12" s="38">
        <v>8</v>
      </c>
      <c r="G12" s="34" t="s">
        <v>39</v>
      </c>
      <c r="H12" s="37" t="s">
        <v>38</v>
      </c>
      <c r="I12" s="38">
        <v>14</v>
      </c>
      <c r="J12" s="34" t="s">
        <v>39</v>
      </c>
      <c r="K12" s="37" t="s">
        <v>40</v>
      </c>
      <c r="L12" s="38">
        <v>1</v>
      </c>
      <c r="M12" s="34"/>
    </row>
    <row r="13" spans="2:13" x14ac:dyDescent="0.2">
      <c r="B13" s="37" t="s">
        <v>41</v>
      </c>
      <c r="C13" s="38">
        <f>18+1.5+1.05</f>
        <v>20.55</v>
      </c>
      <c r="D13" s="34" t="s">
        <v>23</v>
      </c>
      <c r="E13" s="37" t="s">
        <v>42</v>
      </c>
      <c r="F13" s="39">
        <f>LOOKUP(F12,[1]Hoja2!$B$6:$B$18,[1]Hoja2!$E$6:$E$18)</f>
        <v>3.9729999999999999</v>
      </c>
      <c r="G13" s="34" t="s">
        <v>43</v>
      </c>
      <c r="H13" s="37" t="s">
        <v>42</v>
      </c>
      <c r="I13" s="39">
        <f>LOOKUP(I12,[1]Hoja2!$B$6:$B$18,[1]Hoja2!$E$6:$E$18)</f>
        <v>11.38</v>
      </c>
      <c r="J13" s="34" t="s">
        <v>43</v>
      </c>
      <c r="K13" s="37" t="s">
        <v>95</v>
      </c>
      <c r="L13" s="38">
        <v>17</v>
      </c>
      <c r="M13" s="34" t="s">
        <v>36</v>
      </c>
    </row>
    <row r="14" spans="2:13" x14ac:dyDescent="0.2">
      <c r="B14" s="80" t="s">
        <v>31</v>
      </c>
      <c r="C14" s="38"/>
      <c r="D14" s="34"/>
      <c r="E14" s="37" t="s">
        <v>45</v>
      </c>
      <c r="F14" s="40">
        <f>(C13-C18-0.5-0.15)+(IF(C12=100,1,1.2))</f>
        <v>19.850000000000001</v>
      </c>
      <c r="G14" s="34" t="s">
        <v>23</v>
      </c>
      <c r="H14" s="37" t="s">
        <v>45</v>
      </c>
      <c r="I14" s="40">
        <f>(C30+C17-0.3-0.15)+(2.4)</f>
        <v>5.7770000000000001</v>
      </c>
      <c r="J14" s="34" t="s">
        <v>23</v>
      </c>
      <c r="K14" s="37" t="s">
        <v>34</v>
      </c>
      <c r="L14" s="77">
        <v>27</v>
      </c>
      <c r="M14" s="28" t="s">
        <v>33</v>
      </c>
    </row>
    <row r="15" spans="2:13" x14ac:dyDescent="0.2">
      <c r="B15" s="37" t="s">
        <v>46</v>
      </c>
      <c r="C15" s="38">
        <v>6</v>
      </c>
      <c r="D15" s="34" t="s">
        <v>23</v>
      </c>
      <c r="E15" s="37" t="s">
        <v>47</v>
      </c>
      <c r="F15" s="36">
        <v>0.1</v>
      </c>
      <c r="G15" s="41" t="s">
        <v>23</v>
      </c>
      <c r="H15" s="37" t="s">
        <v>47</v>
      </c>
      <c r="I15" s="36">
        <v>0.1</v>
      </c>
      <c r="J15" s="41" t="s">
        <v>23</v>
      </c>
      <c r="K15" s="37" t="s">
        <v>38</v>
      </c>
      <c r="L15" s="38">
        <v>7</v>
      </c>
      <c r="M15" s="28" t="s">
        <v>39</v>
      </c>
    </row>
    <row r="16" spans="2:13" x14ac:dyDescent="0.2">
      <c r="B16" s="37" t="s">
        <v>48</v>
      </c>
      <c r="C16" s="38">
        <v>6</v>
      </c>
      <c r="D16" s="34" t="s">
        <v>23</v>
      </c>
      <c r="E16" s="37" t="s">
        <v>49</v>
      </c>
      <c r="F16" s="42">
        <v>118</v>
      </c>
      <c r="G16" s="34" t="s">
        <v>33</v>
      </c>
      <c r="H16" s="37" t="s">
        <v>49</v>
      </c>
      <c r="I16" s="77">
        <v>39</v>
      </c>
      <c r="J16" s="34" t="s">
        <v>33</v>
      </c>
      <c r="K16" s="37" t="s">
        <v>42</v>
      </c>
      <c r="L16" s="39">
        <f>LOOKUP(L15,[1]Hoja2!$B$6:$B$18,[1]Hoja2!$E$6:$E$18)</f>
        <v>3.0419999999999998</v>
      </c>
      <c r="M16" s="34" t="s">
        <v>43</v>
      </c>
    </row>
    <row r="17" spans="2:13" x14ac:dyDescent="0.2">
      <c r="B17" s="37" t="s">
        <v>50</v>
      </c>
      <c r="C17" s="38">
        <v>1.5</v>
      </c>
      <c r="D17" s="34" t="s">
        <v>23</v>
      </c>
      <c r="E17" s="37" t="s">
        <v>51</v>
      </c>
      <c r="F17" s="38">
        <v>4</v>
      </c>
      <c r="G17" s="34" t="s">
        <v>39</v>
      </c>
      <c r="H17" s="37" t="s">
        <v>51</v>
      </c>
      <c r="I17" s="38">
        <v>4</v>
      </c>
      <c r="J17" s="34" t="s">
        <v>39</v>
      </c>
      <c r="K17" s="37" t="s">
        <v>45</v>
      </c>
      <c r="L17" s="40">
        <f>(C15-(L13/100)-(L13/100))+0.9+0.9</f>
        <v>7.4600000000000009</v>
      </c>
      <c r="M17" s="34" t="s">
        <v>23</v>
      </c>
    </row>
    <row r="18" spans="2:13" x14ac:dyDescent="0.2">
      <c r="B18" s="37" t="s">
        <v>52</v>
      </c>
      <c r="C18" s="73">
        <v>1.05</v>
      </c>
      <c r="D18" s="34" t="s">
        <v>23</v>
      </c>
      <c r="E18" s="37" t="s">
        <v>53</v>
      </c>
      <c r="F18" s="39">
        <f>LOOKUP(F17,[1]Hoja2!$B$6:$B$18,[1]Hoja2!$E$6:$E$18)</f>
        <v>0.99399999999999999</v>
      </c>
      <c r="G18" s="34" t="s">
        <v>43</v>
      </c>
      <c r="H18" s="37" t="s">
        <v>53</v>
      </c>
      <c r="I18" s="39">
        <f>LOOKUP(I17,[1]Hoja2!$B$6:$B$18,[1]Hoja2!$E$6:$E$18)</f>
        <v>0.99399999999999999</v>
      </c>
      <c r="J18" s="34" t="s">
        <v>43</v>
      </c>
      <c r="K18" s="37" t="s">
        <v>54</v>
      </c>
      <c r="L18" s="38">
        <v>20</v>
      </c>
      <c r="M18" s="28" t="s">
        <v>36</v>
      </c>
    </row>
    <row r="19" spans="2:13" x14ac:dyDescent="0.2">
      <c r="B19" s="80" t="s">
        <v>55</v>
      </c>
      <c r="C19" s="38"/>
      <c r="D19" s="34"/>
      <c r="E19" s="37" t="s">
        <v>44</v>
      </c>
      <c r="F19" s="38">
        <v>10</v>
      </c>
      <c r="G19" s="34" t="s">
        <v>36</v>
      </c>
      <c r="H19" s="37" t="s">
        <v>44</v>
      </c>
      <c r="I19" s="38">
        <v>7</v>
      </c>
      <c r="J19" s="34" t="s">
        <v>36</v>
      </c>
      <c r="K19" s="37" t="s">
        <v>56</v>
      </c>
      <c r="L19" s="39">
        <f>ROUNDDOWN((C17-(25/100)-(25/100))/(L18/100)+1,0)</f>
        <v>6</v>
      </c>
      <c r="M19" s="28" t="s">
        <v>33</v>
      </c>
    </row>
    <row r="20" spans="2:13" x14ac:dyDescent="0.2">
      <c r="B20" s="37" t="s">
        <v>57</v>
      </c>
      <c r="C20" s="39">
        <f>+C15+1+1</f>
        <v>8</v>
      </c>
      <c r="D20" s="34" t="s">
        <v>23</v>
      </c>
      <c r="E20" s="37" t="s">
        <v>35</v>
      </c>
      <c r="F20" s="43">
        <f>(PI()*(C12-F19-F19))/F11</f>
        <v>15.707963267948966</v>
      </c>
      <c r="G20" s="34" t="s">
        <v>36</v>
      </c>
      <c r="H20" s="37" t="s">
        <v>35</v>
      </c>
      <c r="I20" s="43">
        <f>(PI()*(C29*(100)-I19-I19))/I11</f>
        <v>42.804199905160935</v>
      </c>
      <c r="J20" s="34" t="s">
        <v>36</v>
      </c>
      <c r="K20" s="37" t="s">
        <v>58</v>
      </c>
      <c r="L20" s="38">
        <v>6</v>
      </c>
      <c r="M20" s="28" t="s">
        <v>39</v>
      </c>
    </row>
    <row r="21" spans="2:13" ht="15" thickBot="1" x14ac:dyDescent="0.25">
      <c r="B21" s="37" t="s">
        <v>59</v>
      </c>
      <c r="C21" s="39">
        <f>+C16+1+1</f>
        <v>8</v>
      </c>
      <c r="D21" s="34" t="s">
        <v>23</v>
      </c>
      <c r="E21" s="44" t="s">
        <v>60</v>
      </c>
      <c r="F21" s="45">
        <f>((PI()*(C12-F19-F19))+(F20*(3)+F20*(3)+((LOOKUP(F17,[1]Hoja2!$B$6:$B$18,[1]Hoja2!$H$6:$H$18))*2)+20))/100</f>
        <v>3.8957519189487719</v>
      </c>
      <c r="G21" s="34" t="s">
        <v>23</v>
      </c>
      <c r="H21" s="44" t="s">
        <v>60</v>
      </c>
      <c r="I21" s="45">
        <f>(((2.5-0.14)+(4.2-0.14))*2)+([1]Hoja2!I10/100*2)+(0.2)</f>
        <v>13.18</v>
      </c>
      <c r="J21" s="34" t="s">
        <v>23</v>
      </c>
      <c r="K21" s="37" t="s">
        <v>61</v>
      </c>
      <c r="L21" s="39">
        <f>LOOKUP(L20,[1]Hoja2!$B$6:$B$18,[1]Hoja2!$E$6:$E$18)</f>
        <v>2.2349999999999999</v>
      </c>
      <c r="M21" s="34" t="s">
        <v>43</v>
      </c>
    </row>
    <row r="22" spans="2:13" ht="15" thickBot="1" x14ac:dyDescent="0.25">
      <c r="B22" s="37" t="s">
        <v>50</v>
      </c>
      <c r="C22" s="40">
        <f>+C18+C17+C27</f>
        <v>2.5999999999999996</v>
      </c>
      <c r="D22" s="34" t="s">
        <v>23</v>
      </c>
      <c r="K22" s="44" t="s">
        <v>62</v>
      </c>
      <c r="L22" s="46">
        <f>C15-(L13/100)-(L13/100)</f>
        <v>5.66</v>
      </c>
      <c r="M22" s="34" t="s">
        <v>23</v>
      </c>
    </row>
    <row r="23" spans="2:13" ht="15" thickBot="1" x14ac:dyDescent="0.25">
      <c r="B23" s="37"/>
      <c r="C23" s="36"/>
      <c r="D23" s="34"/>
      <c r="H23" s="107" t="s">
        <v>28</v>
      </c>
      <c r="I23" s="108"/>
    </row>
    <row r="24" spans="2:13" x14ac:dyDescent="0.2">
      <c r="B24" s="80" t="s">
        <v>63</v>
      </c>
      <c r="C24" s="38"/>
      <c r="D24" s="34"/>
      <c r="H24" s="114" t="s">
        <v>64</v>
      </c>
      <c r="I24" s="115"/>
      <c r="K24" s="107" t="s">
        <v>28</v>
      </c>
      <c r="L24" s="108"/>
      <c r="M24" s="31"/>
    </row>
    <row r="25" spans="2:13" x14ac:dyDescent="0.2">
      <c r="B25" s="37" t="s">
        <v>46</v>
      </c>
      <c r="C25" s="40">
        <f>+C15</f>
        <v>6</v>
      </c>
      <c r="D25" s="34" t="s">
        <v>23</v>
      </c>
      <c r="H25" s="37" t="s">
        <v>34</v>
      </c>
      <c r="I25" s="77">
        <v>33</v>
      </c>
      <c r="J25" s="34" t="s">
        <v>33</v>
      </c>
      <c r="K25" s="114" t="s">
        <v>65</v>
      </c>
      <c r="L25" s="115"/>
      <c r="M25" s="31"/>
    </row>
    <row r="26" spans="2:13" x14ac:dyDescent="0.2">
      <c r="B26" s="37" t="s">
        <v>48</v>
      </c>
      <c r="C26" s="40">
        <f>+C16</f>
        <v>6</v>
      </c>
      <c r="D26" s="34" t="s">
        <v>23</v>
      </c>
      <c r="H26" s="37" t="s">
        <v>38</v>
      </c>
      <c r="I26" s="38">
        <v>4</v>
      </c>
      <c r="J26" s="34" t="s">
        <v>39</v>
      </c>
      <c r="K26" s="37" t="s">
        <v>34</v>
      </c>
      <c r="L26" s="38">
        <f>21*4</f>
        <v>84</v>
      </c>
      <c r="M26" s="34" t="s">
        <v>33</v>
      </c>
    </row>
    <row r="27" spans="2:13" x14ac:dyDescent="0.2">
      <c r="B27" s="37" t="s">
        <v>50</v>
      </c>
      <c r="C27" s="38">
        <v>0.05</v>
      </c>
      <c r="D27" s="34" t="s">
        <v>23</v>
      </c>
      <c r="H27" s="37" t="s">
        <v>42</v>
      </c>
      <c r="I27" s="39">
        <f>LOOKUP(I26,[1]Hoja2!$B$6:$B$18,[1]Hoja2!$E$6:$E$18)</f>
        <v>0.99399999999999999</v>
      </c>
      <c r="J27" s="34" t="s">
        <v>43</v>
      </c>
      <c r="K27" s="37" t="s">
        <v>38</v>
      </c>
      <c r="L27" s="38">
        <v>4</v>
      </c>
      <c r="M27" s="34" t="s">
        <v>39</v>
      </c>
    </row>
    <row r="28" spans="2:13" x14ac:dyDescent="0.2">
      <c r="B28" s="80" t="s">
        <v>66</v>
      </c>
      <c r="C28" s="38"/>
      <c r="D28" s="34"/>
      <c r="H28" s="37" t="s">
        <v>67</v>
      </c>
      <c r="I28" s="38">
        <v>17</v>
      </c>
      <c r="J28" s="34"/>
      <c r="K28" s="37" t="s">
        <v>42</v>
      </c>
      <c r="L28" s="39">
        <f>LOOKUP(L27,[1]Hoja2!$B$6:$B$18,[1]Hoja2!$E$6:$E$18)</f>
        <v>0.99399999999999999</v>
      </c>
      <c r="M28" s="34" t="s">
        <v>43</v>
      </c>
    </row>
    <row r="29" spans="2:13" ht="15" thickBot="1" x14ac:dyDescent="0.25">
      <c r="B29" s="37" t="s">
        <v>97</v>
      </c>
      <c r="C29" s="38">
        <f>4.198*2.5</f>
        <v>10.495000000000001</v>
      </c>
      <c r="D29" s="34" t="s">
        <v>23</v>
      </c>
      <c r="H29" s="44" t="s">
        <v>68</v>
      </c>
      <c r="I29" s="81">
        <v>3.0150000000000001</v>
      </c>
      <c r="J29" s="34" t="s">
        <v>23</v>
      </c>
      <c r="K29" s="44" t="s">
        <v>68</v>
      </c>
      <c r="L29" s="45">
        <f>((0.6+1.235)*2)+0.21+0.24</f>
        <v>4.12</v>
      </c>
      <c r="M29" s="34" t="s">
        <v>23</v>
      </c>
    </row>
    <row r="30" spans="2:13" ht="15" thickBot="1" x14ac:dyDescent="0.25">
      <c r="B30" s="44" t="s">
        <v>98</v>
      </c>
      <c r="C30" s="47">
        <v>2.327</v>
      </c>
      <c r="D30" s="34" t="s">
        <v>23</v>
      </c>
      <c r="G30" s="34"/>
      <c r="K30" s="48"/>
      <c r="L30" s="49"/>
      <c r="M30" s="34"/>
    </row>
    <row r="31" spans="2:13" x14ac:dyDescent="0.2">
      <c r="B31" s="48"/>
      <c r="C31" s="50"/>
      <c r="D31" s="34"/>
      <c r="E31" s="48"/>
      <c r="F31" s="50"/>
      <c r="G31" s="34"/>
    </row>
    <row r="32" spans="2:13" x14ac:dyDescent="0.2">
      <c r="B32" s="48"/>
      <c r="C32" s="50"/>
      <c r="D32" s="34"/>
      <c r="E32" s="48"/>
      <c r="F32" s="50"/>
      <c r="G32" s="34"/>
    </row>
    <row r="33" spans="1:11" ht="38.25" x14ac:dyDescent="0.2">
      <c r="A33" s="51" t="s">
        <v>70</v>
      </c>
      <c r="B33" s="78" t="s">
        <v>71</v>
      </c>
      <c r="C33" s="52" t="s">
        <v>72</v>
      </c>
      <c r="D33" s="53" t="s">
        <v>99</v>
      </c>
      <c r="E33" s="54"/>
    </row>
    <row r="34" spans="1:11" ht="76.5" x14ac:dyDescent="0.2">
      <c r="A34" s="78">
        <v>6007</v>
      </c>
      <c r="B34" s="55" t="s">
        <v>73</v>
      </c>
      <c r="C34" s="79" t="s">
        <v>74</v>
      </c>
      <c r="D34" s="57">
        <f>((PI()*(C12*C12)/4/10000)*C13*C11)</f>
        <v>80.699661289087814</v>
      </c>
      <c r="E34" s="58"/>
      <c r="H34" s="59"/>
      <c r="K34" s="59"/>
    </row>
    <row r="35" spans="1:11" ht="102" x14ac:dyDescent="0.2">
      <c r="A35" s="109">
        <v>3708</v>
      </c>
      <c r="B35" s="55" t="s">
        <v>75</v>
      </c>
      <c r="C35" s="56" t="s">
        <v>76</v>
      </c>
      <c r="D35" s="60">
        <f>D36+D37+D38</f>
        <v>19597.383527698301</v>
      </c>
      <c r="H35" s="59"/>
      <c r="K35" s="59"/>
    </row>
    <row r="36" spans="1:11" x14ac:dyDescent="0.2">
      <c r="A36" s="109"/>
      <c r="B36" s="61" t="s">
        <v>29</v>
      </c>
      <c r="C36" s="110" t="s">
        <v>76</v>
      </c>
      <c r="D36" s="62">
        <f>((F14*F11*F13)+(F16*F18*F21))*C11*1.03</f>
        <v>8851.6414704982981</v>
      </c>
    </row>
    <row r="37" spans="1:11" x14ac:dyDescent="0.2">
      <c r="A37" s="109"/>
      <c r="B37" s="61" t="s">
        <v>31</v>
      </c>
      <c r="C37" s="110"/>
      <c r="D37" s="62">
        <f>(((L14*L16*L17*4)+(L19*L21*L22*4))+(L26*L28*L29))*1.03</f>
        <v>3191.4390144000004</v>
      </c>
    </row>
    <row r="38" spans="1:11" x14ac:dyDescent="0.2">
      <c r="A38" s="109"/>
      <c r="B38" s="61" t="s">
        <v>30</v>
      </c>
      <c r="C38" s="110"/>
      <c r="D38" s="63">
        <f>+(I11*I13*I14)+(I16*I18*I21)+(I25*I27*I29*I28)+(4.62*6.404*12)*1.03</f>
        <v>7554.3030428000011</v>
      </c>
    </row>
    <row r="39" spans="1:11" ht="51" x14ac:dyDescent="0.2">
      <c r="A39" s="109">
        <v>3637</v>
      </c>
      <c r="B39" s="55" t="s">
        <v>77</v>
      </c>
      <c r="C39" s="79" t="s">
        <v>74</v>
      </c>
      <c r="D39" s="64">
        <f>D40+D41</f>
        <v>78.421864999999997</v>
      </c>
      <c r="H39" s="58"/>
      <c r="K39" s="58"/>
    </row>
    <row r="40" spans="1:11" x14ac:dyDescent="0.2">
      <c r="A40" s="109"/>
      <c r="B40" s="61" t="s">
        <v>31</v>
      </c>
      <c r="C40" s="110" t="s">
        <v>74</v>
      </c>
      <c r="D40" s="65">
        <f>C15*C16*C17</f>
        <v>54</v>
      </c>
    </row>
    <row r="41" spans="1:11" x14ac:dyDescent="0.2">
      <c r="A41" s="109"/>
      <c r="B41" s="61" t="s">
        <v>30</v>
      </c>
      <c r="C41" s="110"/>
      <c r="D41" s="65">
        <f>C29*C30</f>
        <v>24.421865</v>
      </c>
    </row>
    <row r="42" spans="1:11" ht="38.25" x14ac:dyDescent="0.2">
      <c r="A42" s="78">
        <v>5055</v>
      </c>
      <c r="B42" s="55" t="s">
        <v>78</v>
      </c>
      <c r="C42" s="79" t="s">
        <v>74</v>
      </c>
      <c r="D42" s="65">
        <f>((PI()*(C12*C12)/4/10000)*(C17+C18)*C11)</f>
        <v>10.013826583317464</v>
      </c>
      <c r="H42" s="58"/>
      <c r="K42" s="58"/>
    </row>
    <row r="43" spans="1:11" ht="51" x14ac:dyDescent="0.2">
      <c r="A43" s="78">
        <v>6021</v>
      </c>
      <c r="B43" s="55" t="s">
        <v>87</v>
      </c>
      <c r="C43" s="79" t="s">
        <v>74</v>
      </c>
      <c r="D43" s="65">
        <f>(C25*C26*C27)-((PI()*C12*C12*0.1/4/10000)*C11)</f>
        <v>1.4073009183012759</v>
      </c>
      <c r="H43" s="58"/>
      <c r="K43" s="58"/>
    </row>
    <row r="44" spans="1:11" ht="25.5" x14ac:dyDescent="0.2">
      <c r="A44" s="74">
        <v>5416</v>
      </c>
      <c r="B44" s="72" t="s">
        <v>88</v>
      </c>
      <c r="C44" s="66" t="s">
        <v>74</v>
      </c>
      <c r="D44" s="75">
        <f>C20*C21*C22</f>
        <v>166.39999999999998</v>
      </c>
      <c r="E44" s="76"/>
      <c r="H44" s="59"/>
      <c r="K44" s="59"/>
    </row>
    <row r="45" spans="1:11" ht="51" x14ac:dyDescent="0.2">
      <c r="A45" s="74">
        <v>3017</v>
      </c>
      <c r="B45" s="72" t="s">
        <v>89</v>
      </c>
      <c r="C45" s="66" t="s">
        <v>74</v>
      </c>
      <c r="D45" s="65">
        <f>D44</f>
        <v>166.39999999999998</v>
      </c>
      <c r="E45" s="76"/>
      <c r="H45" s="58"/>
      <c r="K45" s="58"/>
    </row>
    <row r="46" spans="1:11" ht="38.25" x14ac:dyDescent="0.2">
      <c r="A46" s="74">
        <v>4908</v>
      </c>
      <c r="B46" s="55" t="s">
        <v>79</v>
      </c>
      <c r="C46" s="79" t="s">
        <v>74</v>
      </c>
      <c r="D46" s="65">
        <f>D44-(C25*C26*C27)-D40-((PI()*C29*C29/4)*C18)</f>
        <v>19.766914640515623</v>
      </c>
      <c r="K46" s="58"/>
    </row>
    <row r="47" spans="1:11" ht="51" x14ac:dyDescent="0.2">
      <c r="A47" s="74">
        <v>5196</v>
      </c>
      <c r="B47" s="72" t="s">
        <v>96</v>
      </c>
      <c r="C47" s="79" t="s">
        <v>74</v>
      </c>
      <c r="D47" s="65">
        <f>C20*C21*0.15</f>
        <v>9.6</v>
      </c>
    </row>
    <row r="48" spans="1:11" x14ac:dyDescent="0.2">
      <c r="A48" s="74"/>
    </row>
    <row r="49" spans="1:1" x14ac:dyDescent="0.2">
      <c r="A49" s="74"/>
    </row>
    <row r="50" spans="1:1" x14ac:dyDescent="0.2">
      <c r="A50" s="7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34153-E7AD-46BC-BB8F-8CA1EA67EA54}">
  <sheetPr>
    <tabColor rgb="FFFFFF00"/>
  </sheetPr>
  <dimension ref="A2:M50"/>
  <sheetViews>
    <sheetView view="pageBreakPreview" zoomScale="85" zoomScaleNormal="85" zoomScaleSheetLayoutView="85" workbookViewId="0">
      <selection activeCell="E25" sqref="E25"/>
    </sheetView>
  </sheetViews>
  <sheetFormatPr baseColWidth="10" defaultRowHeight="14.25" x14ac:dyDescent="0.2"/>
  <cols>
    <col min="1" max="1" width="9.7109375" style="28" customWidth="1"/>
    <col min="2" max="2" width="42.85546875" style="28" customWidth="1"/>
    <col min="3" max="3" width="12.28515625" style="31" customWidth="1"/>
    <col min="4" max="4" width="12.85546875" style="31" customWidth="1"/>
    <col min="5" max="5" width="28.7109375" style="31" bestFit="1" customWidth="1"/>
    <col min="6" max="7" width="11.42578125" style="31"/>
    <col min="8" max="8" width="28.7109375" style="31" customWidth="1"/>
    <col min="9" max="10" width="11.42578125" style="31"/>
    <col min="11" max="11" width="28.7109375" style="31" customWidth="1"/>
    <col min="12" max="16384" width="11.42578125" style="28"/>
  </cols>
  <sheetData>
    <row r="2" spans="2:13" ht="16.5" x14ac:dyDescent="0.2">
      <c r="C2" s="29"/>
      <c r="D2" s="29"/>
      <c r="E2" s="30" t="s">
        <v>24</v>
      </c>
      <c r="F2" s="29"/>
      <c r="G2" s="29"/>
    </row>
    <row r="3" spans="2:13" ht="16.5" x14ac:dyDescent="0.3">
      <c r="C3" s="29"/>
      <c r="D3" s="29"/>
      <c r="E3" s="27" t="s">
        <v>25</v>
      </c>
      <c r="F3" s="29"/>
      <c r="G3" s="29"/>
    </row>
    <row r="4" spans="2:13" ht="16.5" x14ac:dyDescent="0.2">
      <c r="C4" s="29"/>
      <c r="D4" s="29"/>
      <c r="E4" s="32"/>
      <c r="F4" s="29"/>
      <c r="G4" s="29"/>
    </row>
    <row r="5" spans="2:13" ht="16.5" x14ac:dyDescent="0.3">
      <c r="C5" s="29"/>
      <c r="D5" s="29"/>
      <c r="E5" s="33" t="s">
        <v>26</v>
      </c>
      <c r="F5" s="29"/>
      <c r="G5" s="29"/>
    </row>
    <row r="7" spans="2:13" ht="16.5" x14ac:dyDescent="0.3">
      <c r="E7" s="111" t="s">
        <v>109</v>
      </c>
      <c r="F7" s="111"/>
      <c r="G7" s="111"/>
      <c r="H7" s="111"/>
      <c r="I7" s="111"/>
    </row>
    <row r="8" spans="2:13" ht="15" thickBot="1" x14ac:dyDescent="0.25"/>
    <row r="9" spans="2:13" x14ac:dyDescent="0.2">
      <c r="B9" s="112" t="s">
        <v>27</v>
      </c>
      <c r="C9" s="113"/>
      <c r="D9" s="34"/>
      <c r="E9" s="107" t="s">
        <v>28</v>
      </c>
      <c r="F9" s="108"/>
      <c r="G9" s="34"/>
      <c r="H9" s="107" t="s">
        <v>28</v>
      </c>
      <c r="I9" s="108"/>
      <c r="K9" s="107" t="s">
        <v>28</v>
      </c>
      <c r="L9" s="108"/>
    </row>
    <row r="10" spans="2:13" x14ac:dyDescent="0.2">
      <c r="B10" s="80" t="s">
        <v>29</v>
      </c>
      <c r="C10" s="35"/>
      <c r="D10" s="34"/>
      <c r="E10" s="80" t="s">
        <v>29</v>
      </c>
      <c r="F10" s="35"/>
      <c r="G10" s="34"/>
      <c r="H10" s="80" t="s">
        <v>30</v>
      </c>
      <c r="I10" s="36"/>
      <c r="J10" s="34"/>
      <c r="K10" s="80" t="s">
        <v>31</v>
      </c>
      <c r="L10" s="36"/>
    </row>
    <row r="11" spans="2:13" x14ac:dyDescent="0.2">
      <c r="B11" s="37" t="s">
        <v>32</v>
      </c>
      <c r="C11" s="38">
        <v>4</v>
      </c>
      <c r="D11" s="34" t="s">
        <v>33</v>
      </c>
      <c r="E11" s="37" t="s">
        <v>34</v>
      </c>
      <c r="F11" s="38">
        <v>16</v>
      </c>
      <c r="G11" s="34" t="s">
        <v>33</v>
      </c>
      <c r="H11" s="37" t="s">
        <v>34</v>
      </c>
      <c r="I11" s="38">
        <v>64</v>
      </c>
      <c r="J11" s="34" t="s">
        <v>33</v>
      </c>
      <c r="K11" s="37" t="s">
        <v>35</v>
      </c>
      <c r="L11" s="38">
        <v>25</v>
      </c>
      <c r="M11" s="28" t="s">
        <v>36</v>
      </c>
    </row>
    <row r="12" spans="2:13" x14ac:dyDescent="0.2">
      <c r="B12" s="37" t="s">
        <v>37</v>
      </c>
      <c r="C12" s="38">
        <v>100</v>
      </c>
      <c r="D12" s="34" t="s">
        <v>36</v>
      </c>
      <c r="E12" s="37" t="s">
        <v>38</v>
      </c>
      <c r="F12" s="38">
        <v>8</v>
      </c>
      <c r="G12" s="34" t="s">
        <v>39</v>
      </c>
      <c r="H12" s="37" t="s">
        <v>38</v>
      </c>
      <c r="I12" s="38">
        <v>10</v>
      </c>
      <c r="J12" s="34" t="s">
        <v>39</v>
      </c>
      <c r="K12" s="37" t="s">
        <v>40</v>
      </c>
      <c r="L12" s="38">
        <v>1</v>
      </c>
      <c r="M12" s="34"/>
    </row>
    <row r="13" spans="2:13" x14ac:dyDescent="0.2">
      <c r="B13" s="37" t="s">
        <v>41</v>
      </c>
      <c r="C13" s="38">
        <f>18+1.5+1.18</f>
        <v>20.68</v>
      </c>
      <c r="D13" s="34" t="s">
        <v>23</v>
      </c>
      <c r="E13" s="37" t="s">
        <v>42</v>
      </c>
      <c r="F13" s="39">
        <f>LOOKUP(F12,[1]Hoja2!$B$6:$B$18,[1]Hoja2!$E$6:$E$18)</f>
        <v>3.9729999999999999</v>
      </c>
      <c r="G13" s="34" t="s">
        <v>43</v>
      </c>
      <c r="H13" s="37" t="s">
        <v>42</v>
      </c>
      <c r="I13" s="39">
        <f>LOOKUP(I12,[1]Hoja2!$B$6:$B$18,[1]Hoja2!$E$6:$E$18)</f>
        <v>6.4039999999999999</v>
      </c>
      <c r="J13" s="34" t="s">
        <v>43</v>
      </c>
      <c r="K13" s="37" t="s">
        <v>95</v>
      </c>
      <c r="L13" s="38">
        <v>17</v>
      </c>
      <c r="M13" s="34" t="s">
        <v>36</v>
      </c>
    </row>
    <row r="14" spans="2:13" x14ac:dyDescent="0.2">
      <c r="B14" s="80" t="s">
        <v>31</v>
      </c>
      <c r="C14" s="38"/>
      <c r="D14" s="34"/>
      <c r="E14" s="37" t="s">
        <v>45</v>
      </c>
      <c r="F14" s="40">
        <f>(C13-C18-0.5-0.15)+(IF(C12=100,1,1.2))</f>
        <v>20.03</v>
      </c>
      <c r="G14" s="34" t="s">
        <v>23</v>
      </c>
      <c r="H14" s="37" t="s">
        <v>45</v>
      </c>
      <c r="I14" s="40">
        <f>(C30+C17-0.3-0.15)+(2.4)</f>
        <v>6.75</v>
      </c>
      <c r="J14" s="34" t="s">
        <v>23</v>
      </c>
      <c r="K14" s="37" t="s">
        <v>34</v>
      </c>
      <c r="L14" s="39">
        <f>IF(L12=1,(ROUNDUP(((C15-(2*L13/100))*(L12)/(L11/100))+1,0)),(ROUNDUP(((C15-(2*L13/100))*(L12)/(L11/100))+2,0)))</f>
        <v>22</v>
      </c>
      <c r="M14" s="28" t="s">
        <v>33</v>
      </c>
    </row>
    <row r="15" spans="2:13" x14ac:dyDescent="0.2">
      <c r="B15" s="37" t="s">
        <v>46</v>
      </c>
      <c r="C15" s="38">
        <v>5.5</v>
      </c>
      <c r="D15" s="34" t="s">
        <v>23</v>
      </c>
      <c r="E15" s="37" t="s">
        <v>47</v>
      </c>
      <c r="F15" s="36">
        <v>0.1</v>
      </c>
      <c r="G15" s="41" t="s">
        <v>23</v>
      </c>
      <c r="H15" s="37" t="s">
        <v>47</v>
      </c>
      <c r="I15" s="36">
        <v>0.1</v>
      </c>
      <c r="J15" s="41" t="s">
        <v>23</v>
      </c>
      <c r="K15" s="37" t="s">
        <v>38</v>
      </c>
      <c r="L15" s="38">
        <v>7</v>
      </c>
      <c r="M15" s="28" t="s">
        <v>39</v>
      </c>
    </row>
    <row r="16" spans="2:13" x14ac:dyDescent="0.2">
      <c r="B16" s="37" t="s">
        <v>48</v>
      </c>
      <c r="C16" s="38">
        <v>5.5</v>
      </c>
      <c r="D16" s="34" t="s">
        <v>23</v>
      </c>
      <c r="E16" s="37" t="s">
        <v>49</v>
      </c>
      <c r="F16" s="42">
        <v>118</v>
      </c>
      <c r="G16" s="34" t="s">
        <v>33</v>
      </c>
      <c r="H16" s="37" t="s">
        <v>49</v>
      </c>
      <c r="I16" s="77">
        <v>47</v>
      </c>
      <c r="J16" s="34" t="s">
        <v>33</v>
      </c>
      <c r="K16" s="37" t="s">
        <v>42</v>
      </c>
      <c r="L16" s="39">
        <f>LOOKUP(L15,[1]Hoja2!$B$6:$B$18,[1]Hoja2!$E$6:$E$18)</f>
        <v>3.0419999999999998</v>
      </c>
      <c r="M16" s="34" t="s">
        <v>43</v>
      </c>
    </row>
    <row r="17" spans="2:13" x14ac:dyDescent="0.2">
      <c r="B17" s="37" t="s">
        <v>50</v>
      </c>
      <c r="C17" s="38">
        <v>1.5</v>
      </c>
      <c r="D17" s="34" t="s">
        <v>23</v>
      </c>
      <c r="E17" s="37" t="s">
        <v>51</v>
      </c>
      <c r="F17" s="38">
        <v>4</v>
      </c>
      <c r="G17" s="34" t="s">
        <v>39</v>
      </c>
      <c r="H17" s="37" t="s">
        <v>51</v>
      </c>
      <c r="I17" s="38">
        <v>4</v>
      </c>
      <c r="J17" s="34" t="s">
        <v>39</v>
      </c>
      <c r="K17" s="37" t="s">
        <v>45</v>
      </c>
      <c r="L17" s="40">
        <f>(C15-(L13/100)-(L13/100))+0.9+0.9</f>
        <v>6.9600000000000009</v>
      </c>
      <c r="M17" s="34" t="s">
        <v>23</v>
      </c>
    </row>
    <row r="18" spans="2:13" x14ac:dyDescent="0.2">
      <c r="B18" s="37" t="s">
        <v>52</v>
      </c>
      <c r="C18" s="73">
        <v>1</v>
      </c>
      <c r="D18" s="34" t="s">
        <v>23</v>
      </c>
      <c r="E18" s="37" t="s">
        <v>53</v>
      </c>
      <c r="F18" s="39">
        <f>LOOKUP(F17,[1]Hoja2!$B$6:$B$18,[1]Hoja2!$E$6:$E$18)</f>
        <v>0.99399999999999999</v>
      </c>
      <c r="G18" s="34" t="s">
        <v>43</v>
      </c>
      <c r="H18" s="37" t="s">
        <v>53</v>
      </c>
      <c r="I18" s="39">
        <f>LOOKUP(I17,[1]Hoja2!$B$6:$B$18,[1]Hoja2!$E$6:$E$18)</f>
        <v>0.99399999999999999</v>
      </c>
      <c r="J18" s="34" t="s">
        <v>43</v>
      </c>
      <c r="K18" s="37" t="s">
        <v>54</v>
      </c>
      <c r="L18" s="38">
        <v>20</v>
      </c>
      <c r="M18" s="28" t="s">
        <v>36</v>
      </c>
    </row>
    <row r="19" spans="2:13" x14ac:dyDescent="0.2">
      <c r="B19" s="80" t="s">
        <v>55</v>
      </c>
      <c r="C19" s="38"/>
      <c r="D19" s="34"/>
      <c r="E19" s="37" t="s">
        <v>44</v>
      </c>
      <c r="F19" s="38">
        <v>10</v>
      </c>
      <c r="G19" s="34" t="s">
        <v>36</v>
      </c>
      <c r="H19" s="37" t="s">
        <v>44</v>
      </c>
      <c r="I19" s="38">
        <v>7</v>
      </c>
      <c r="J19" s="34" t="s">
        <v>36</v>
      </c>
      <c r="K19" s="37" t="s">
        <v>56</v>
      </c>
      <c r="L19" s="39">
        <f>ROUNDDOWN((C17-(25/100)-(25/100))/(L18/100)+1,0)</f>
        <v>6</v>
      </c>
      <c r="M19" s="28" t="s">
        <v>33</v>
      </c>
    </row>
    <row r="20" spans="2:13" x14ac:dyDescent="0.2">
      <c r="B20" s="37" t="s">
        <v>57</v>
      </c>
      <c r="C20" s="39">
        <f>+C15+1+1</f>
        <v>7.5</v>
      </c>
      <c r="D20" s="34" t="s">
        <v>23</v>
      </c>
      <c r="E20" s="37" t="s">
        <v>35</v>
      </c>
      <c r="F20" s="43">
        <f>(PI()*(C12-F19-F19))/F11</f>
        <v>15.707963267948966</v>
      </c>
      <c r="G20" s="34" t="s">
        <v>36</v>
      </c>
      <c r="H20" s="37" t="s">
        <v>35</v>
      </c>
      <c r="I20" s="43">
        <f>(PI()*(C29*(100)-I19-I19))/I11</f>
        <v>11.584622910112362</v>
      </c>
      <c r="J20" s="34" t="s">
        <v>36</v>
      </c>
      <c r="K20" s="37" t="s">
        <v>58</v>
      </c>
      <c r="L20" s="38">
        <v>6</v>
      </c>
      <c r="M20" s="28" t="s">
        <v>39</v>
      </c>
    </row>
    <row r="21" spans="2:13" ht="15" thickBot="1" x14ac:dyDescent="0.25">
      <c r="B21" s="37" t="s">
        <v>59</v>
      </c>
      <c r="C21" s="39">
        <f>+C16+1+1</f>
        <v>7.5</v>
      </c>
      <c r="D21" s="34" t="s">
        <v>23</v>
      </c>
      <c r="E21" s="44" t="s">
        <v>60</v>
      </c>
      <c r="F21" s="45">
        <f>((PI()*(C12-F19-F19))+(F20*(3)+F20*(3)+((LOOKUP(F17,[1]Hoja2!$B$6:$B$18,[1]Hoja2!$H$6:$H$18))*2)+20))/100</f>
        <v>3.8957519189487719</v>
      </c>
      <c r="G21" s="34" t="s">
        <v>23</v>
      </c>
      <c r="H21" s="44" t="s">
        <v>60</v>
      </c>
      <c r="I21" s="45">
        <f>((PI()*(C29*(100)-I19-I19))+(I20*(3)+I20*(3)+((LOOKUP(I17,[1]Hoja2!$B$6:$B$18,[1]Hoja2!$H$6:$H$18))*2)+20))/100</f>
        <v>8.5492360370786535</v>
      </c>
      <c r="J21" s="34" t="s">
        <v>23</v>
      </c>
      <c r="K21" s="37" t="s">
        <v>61</v>
      </c>
      <c r="L21" s="39">
        <f>LOOKUP(L20,[1]Hoja2!$B$6:$B$18,[1]Hoja2!$E$6:$E$18)</f>
        <v>2.2349999999999999</v>
      </c>
      <c r="M21" s="34" t="s">
        <v>43</v>
      </c>
    </row>
    <row r="22" spans="2:13" ht="15" thickBot="1" x14ac:dyDescent="0.25">
      <c r="B22" s="37" t="s">
        <v>50</v>
      </c>
      <c r="C22" s="40">
        <f>+C18+C17+C27</f>
        <v>2.5499999999999998</v>
      </c>
      <c r="D22" s="34" t="s">
        <v>23</v>
      </c>
      <c r="K22" s="44" t="s">
        <v>62</v>
      </c>
      <c r="L22" s="46">
        <f>C15-(L13/100)-(L13/100)</f>
        <v>5.16</v>
      </c>
      <c r="M22" s="34" t="s">
        <v>23</v>
      </c>
    </row>
    <row r="23" spans="2:13" ht="15" thickBot="1" x14ac:dyDescent="0.25">
      <c r="B23" s="37"/>
      <c r="C23" s="36"/>
      <c r="D23" s="34"/>
      <c r="H23" s="107" t="s">
        <v>28</v>
      </c>
      <c r="I23" s="108"/>
    </row>
    <row r="24" spans="2:13" x14ac:dyDescent="0.2">
      <c r="B24" s="80" t="s">
        <v>63</v>
      </c>
      <c r="C24" s="38"/>
      <c r="D24" s="34"/>
      <c r="H24" s="114" t="s">
        <v>64</v>
      </c>
      <c r="I24" s="115"/>
      <c r="K24" s="107" t="s">
        <v>28</v>
      </c>
      <c r="L24" s="108"/>
      <c r="M24" s="31"/>
    </row>
    <row r="25" spans="2:13" x14ac:dyDescent="0.2">
      <c r="B25" s="37" t="s">
        <v>46</v>
      </c>
      <c r="C25" s="40">
        <f>+C15</f>
        <v>5.5</v>
      </c>
      <c r="D25" s="34" t="s">
        <v>23</v>
      </c>
      <c r="H25" s="37" t="s">
        <v>34</v>
      </c>
      <c r="I25" s="39">
        <f>IF(C29=2.5,12*2,IF(C29=3,13*2,IF(C29=3.7,14*2)))</f>
        <v>24</v>
      </c>
      <c r="J25" s="34" t="s">
        <v>33</v>
      </c>
      <c r="K25" s="114" t="s">
        <v>65</v>
      </c>
      <c r="L25" s="115"/>
      <c r="M25" s="31"/>
    </row>
    <row r="26" spans="2:13" x14ac:dyDescent="0.2">
      <c r="B26" s="37" t="s">
        <v>48</v>
      </c>
      <c r="C26" s="40">
        <f>+C16</f>
        <v>5.5</v>
      </c>
      <c r="D26" s="34" t="s">
        <v>23</v>
      </c>
      <c r="H26" s="37" t="s">
        <v>38</v>
      </c>
      <c r="I26" s="38">
        <v>4</v>
      </c>
      <c r="J26" s="34" t="s">
        <v>39</v>
      </c>
      <c r="K26" s="37" t="s">
        <v>34</v>
      </c>
      <c r="L26" s="38">
        <f>14*4</f>
        <v>56</v>
      </c>
      <c r="M26" s="34" t="s">
        <v>33</v>
      </c>
    </row>
    <row r="27" spans="2:13" x14ac:dyDescent="0.2">
      <c r="B27" s="37" t="s">
        <v>50</v>
      </c>
      <c r="C27" s="38">
        <v>0.05</v>
      </c>
      <c r="D27" s="34" t="s">
        <v>23</v>
      </c>
      <c r="H27" s="37" t="s">
        <v>42</v>
      </c>
      <c r="I27" s="39">
        <f>LOOKUP(I26,[1]Hoja2!$B$6:$B$18,[1]Hoja2!$E$6:$E$18)</f>
        <v>0.99399999999999999</v>
      </c>
      <c r="J27" s="34" t="s">
        <v>43</v>
      </c>
      <c r="K27" s="37" t="s">
        <v>38</v>
      </c>
      <c r="L27" s="38">
        <v>4</v>
      </c>
      <c r="M27" s="34" t="s">
        <v>39</v>
      </c>
    </row>
    <row r="28" spans="2:13" x14ac:dyDescent="0.2">
      <c r="B28" s="80" t="s">
        <v>66</v>
      </c>
      <c r="C28" s="38"/>
      <c r="D28" s="34"/>
      <c r="H28" s="37" t="s">
        <v>67</v>
      </c>
      <c r="I28" s="38">
        <v>13</v>
      </c>
      <c r="J28" s="34"/>
      <c r="K28" s="37" t="s">
        <v>42</v>
      </c>
      <c r="L28" s="39">
        <f>LOOKUP(L27,[1]Hoja2!$B$6:$B$18,[1]Hoja2!$E$6:$E$18)</f>
        <v>0.99399999999999999</v>
      </c>
      <c r="M28" s="34" t="s">
        <v>43</v>
      </c>
    </row>
    <row r="29" spans="2:13" ht="15" thickBot="1" x14ac:dyDescent="0.25">
      <c r="B29" s="37" t="s">
        <v>37</v>
      </c>
      <c r="C29" s="38">
        <v>2.5</v>
      </c>
      <c r="D29" s="34" t="s">
        <v>23</v>
      </c>
      <c r="H29" s="44" t="s">
        <v>68</v>
      </c>
      <c r="I29" s="45">
        <f>IF(C29=2.5,(1.8+([1]Hoja2!I10/100*4)+(0.2)),IF(C29=3,(2.09+([1]Hoja2!I10/100*4)+(0.2)),IF(C29=3.7,(2.07+([1]Hoja2!I10/100*4)+(0.2)))))</f>
        <v>2.2800000000000002</v>
      </c>
      <c r="J29" s="34" t="s">
        <v>23</v>
      </c>
      <c r="K29" s="44" t="s">
        <v>68</v>
      </c>
      <c r="L29" s="45">
        <f>((0.75+1.235)*2)+0.21+0.24</f>
        <v>4.4200000000000008</v>
      </c>
      <c r="M29" s="34" t="s">
        <v>23</v>
      </c>
    </row>
    <row r="30" spans="2:13" ht="15" thickBot="1" x14ac:dyDescent="0.25">
      <c r="B30" s="44" t="s">
        <v>69</v>
      </c>
      <c r="C30" s="47">
        <v>3.3</v>
      </c>
      <c r="D30" s="34" t="s">
        <v>23</v>
      </c>
      <c r="G30" s="34"/>
      <c r="K30" s="48"/>
      <c r="L30" s="49"/>
      <c r="M30" s="34"/>
    </row>
    <row r="31" spans="2:13" x14ac:dyDescent="0.2">
      <c r="B31" s="48"/>
      <c r="C31" s="50"/>
      <c r="D31" s="34"/>
      <c r="E31" s="48"/>
      <c r="F31" s="50"/>
      <c r="G31" s="34"/>
    </row>
    <row r="32" spans="2:13" x14ac:dyDescent="0.2">
      <c r="B32" s="48"/>
      <c r="C32" s="50"/>
      <c r="D32" s="34"/>
      <c r="E32" s="48"/>
      <c r="F32" s="50"/>
      <c r="G32" s="34"/>
    </row>
    <row r="33" spans="1:11" ht="38.25" x14ac:dyDescent="0.2">
      <c r="A33" s="51" t="s">
        <v>70</v>
      </c>
      <c r="B33" s="78" t="s">
        <v>71</v>
      </c>
      <c r="C33" s="52" t="s">
        <v>72</v>
      </c>
      <c r="D33" s="53" t="s">
        <v>100</v>
      </c>
      <c r="E33" s="54"/>
    </row>
    <row r="34" spans="1:11" ht="76.5" x14ac:dyDescent="0.2">
      <c r="A34" s="78">
        <v>6007</v>
      </c>
      <c r="B34" s="55" t="s">
        <v>73</v>
      </c>
      <c r="C34" s="79" t="s">
        <v>74</v>
      </c>
      <c r="D34" s="57">
        <f>((PI()*(C12*C12)/4/10000)*C13*C11)</f>
        <v>64.968136076236917</v>
      </c>
      <c r="E34" s="58"/>
      <c r="H34" s="59"/>
      <c r="K34" s="59"/>
    </row>
    <row r="35" spans="1:11" ht="102" x14ac:dyDescent="0.2">
      <c r="A35" s="109">
        <v>3708</v>
      </c>
      <c r="B35" s="55" t="s">
        <v>75</v>
      </c>
      <c r="C35" s="56" t="s">
        <v>76</v>
      </c>
      <c r="D35" s="60">
        <f>D36+D37+D38</f>
        <v>13480.251892778881</v>
      </c>
      <c r="H35" s="59"/>
      <c r="K35" s="59"/>
    </row>
    <row r="36" spans="1:11" x14ac:dyDescent="0.2">
      <c r="A36" s="109"/>
      <c r="B36" s="61" t="s">
        <v>29</v>
      </c>
      <c r="C36" s="110" t="s">
        <v>76</v>
      </c>
      <c r="D36" s="62">
        <f>((F14*F11*F13)+(F16*F18*F21))*C11*1.03</f>
        <v>7128.4552051986384</v>
      </c>
    </row>
    <row r="37" spans="1:11" x14ac:dyDescent="0.2">
      <c r="A37" s="109"/>
      <c r="B37" s="61" t="s">
        <v>31</v>
      </c>
      <c r="C37" s="110"/>
      <c r="D37" s="62">
        <f>(((L14*L16*L17*4)+(L19*L21*L22*4))+(L26*L28*L29))*1.03</f>
        <v>2457.5608832000003</v>
      </c>
    </row>
    <row r="38" spans="1:11" x14ac:dyDescent="0.2">
      <c r="A38" s="109"/>
      <c r="B38" s="61" t="s">
        <v>30</v>
      </c>
      <c r="C38" s="110"/>
      <c r="D38" s="63">
        <f>+(I11*I13*I14)+(I16*I18*I21)+(I25*I27*I29*I28)*1.03</f>
        <v>3894.2358043802406</v>
      </c>
    </row>
    <row r="39" spans="1:11" ht="51" x14ac:dyDescent="0.2">
      <c r="A39" s="109">
        <v>3637</v>
      </c>
      <c r="B39" s="55" t="s">
        <v>77</v>
      </c>
      <c r="C39" s="79" t="s">
        <v>74</v>
      </c>
      <c r="D39" s="64">
        <f>D40+D41</f>
        <v>61.573837120072369</v>
      </c>
      <c r="H39" s="58"/>
      <c r="K39" s="58"/>
    </row>
    <row r="40" spans="1:11" x14ac:dyDescent="0.2">
      <c r="A40" s="109"/>
      <c r="B40" s="61" t="s">
        <v>31</v>
      </c>
      <c r="C40" s="110" t="s">
        <v>74</v>
      </c>
      <c r="D40" s="65">
        <f>C15*C16*C17</f>
        <v>45.375</v>
      </c>
    </row>
    <row r="41" spans="1:11" x14ac:dyDescent="0.2">
      <c r="A41" s="109"/>
      <c r="B41" s="61" t="s">
        <v>30</v>
      </c>
      <c r="C41" s="110"/>
      <c r="D41" s="65">
        <f>(PI()*C29*C29/4)*C30</f>
        <v>16.198837120072369</v>
      </c>
    </row>
    <row r="42" spans="1:11" ht="38.25" x14ac:dyDescent="0.2">
      <c r="A42" s="78">
        <v>5055</v>
      </c>
      <c r="B42" s="55" t="s">
        <v>78</v>
      </c>
      <c r="C42" s="79" t="s">
        <v>74</v>
      </c>
      <c r="D42" s="65">
        <f>((PI()*(C12*C12)/4/10000)*(C17+C18)*C11)</f>
        <v>7.8539816339744828</v>
      </c>
      <c r="H42" s="58"/>
      <c r="K42" s="58"/>
    </row>
    <row r="43" spans="1:11" ht="51" x14ac:dyDescent="0.2">
      <c r="A43" s="78">
        <v>6021</v>
      </c>
      <c r="B43" s="55" t="s">
        <v>87</v>
      </c>
      <c r="C43" s="79" t="s">
        <v>74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74">
        <v>5416</v>
      </c>
      <c r="B44" s="72" t="s">
        <v>88</v>
      </c>
      <c r="C44" s="66" t="s">
        <v>74</v>
      </c>
      <c r="D44" s="75">
        <f>C20*C21*C22</f>
        <v>143.4375</v>
      </c>
      <c r="E44" s="76"/>
      <c r="H44" s="59"/>
      <c r="K44" s="59"/>
    </row>
    <row r="45" spans="1:11" ht="51" x14ac:dyDescent="0.2">
      <c r="A45" s="74">
        <v>3017</v>
      </c>
      <c r="B45" s="72" t="s">
        <v>89</v>
      </c>
      <c r="C45" s="66" t="s">
        <v>74</v>
      </c>
      <c r="D45" s="65">
        <f>D44</f>
        <v>143.4375</v>
      </c>
      <c r="E45" s="76"/>
      <c r="H45" s="58"/>
      <c r="K45" s="58"/>
    </row>
    <row r="46" spans="1:11" ht="38.25" x14ac:dyDescent="0.2">
      <c r="A46" s="74">
        <v>4908</v>
      </c>
      <c r="B46" s="55" t="s">
        <v>79</v>
      </c>
      <c r="C46" s="79" t="s">
        <v>74</v>
      </c>
      <c r="D46" s="65">
        <f>D44-(C25*C26*C27)-D40-((PI()*C29*C29/4)*C18)</f>
        <v>91.641261478765955</v>
      </c>
      <c r="K46" s="58"/>
    </row>
    <row r="47" spans="1:11" ht="51" x14ac:dyDescent="0.2">
      <c r="A47" s="74">
        <v>5196</v>
      </c>
      <c r="B47" s="72" t="s">
        <v>96</v>
      </c>
      <c r="C47" s="79" t="s">
        <v>74</v>
      </c>
      <c r="D47" s="65">
        <f>C20*C21*0.15</f>
        <v>8.4375</v>
      </c>
    </row>
    <row r="48" spans="1:11" x14ac:dyDescent="0.2">
      <c r="A48" s="74"/>
    </row>
    <row r="49" spans="1:1" x14ac:dyDescent="0.2">
      <c r="A49" s="74"/>
    </row>
    <row r="50" spans="1:1" x14ac:dyDescent="0.2">
      <c r="A50" s="7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7C0C8-D02F-42CF-BA37-93394BA21CBE}">
  <sheetPr>
    <tabColor rgb="FFFFFF00"/>
  </sheetPr>
  <dimension ref="A2:M50"/>
  <sheetViews>
    <sheetView view="pageBreakPreview" zoomScale="85" zoomScaleNormal="85" zoomScaleSheetLayoutView="85" workbookViewId="0">
      <selection activeCell="C14" sqref="C14"/>
    </sheetView>
  </sheetViews>
  <sheetFormatPr baseColWidth="10" defaultRowHeight="14.25" x14ac:dyDescent="0.2"/>
  <cols>
    <col min="1" max="1" width="9.7109375" style="28" customWidth="1"/>
    <col min="2" max="2" width="42.85546875" style="28" customWidth="1"/>
    <col min="3" max="3" width="12.28515625" style="31" customWidth="1"/>
    <col min="4" max="4" width="12.85546875" style="31" customWidth="1"/>
    <col min="5" max="5" width="28.7109375" style="31" bestFit="1" customWidth="1"/>
    <col min="6" max="7" width="11.42578125" style="31"/>
    <col min="8" max="8" width="28.7109375" style="31" customWidth="1"/>
    <col min="9" max="10" width="11.42578125" style="31"/>
    <col min="11" max="11" width="28.7109375" style="31" customWidth="1"/>
    <col min="12" max="16384" width="11.42578125" style="28"/>
  </cols>
  <sheetData>
    <row r="2" spans="2:13" ht="16.5" x14ac:dyDescent="0.2">
      <c r="C2" s="29"/>
      <c r="D2" s="29"/>
      <c r="E2" s="30" t="s">
        <v>24</v>
      </c>
      <c r="F2" s="29"/>
      <c r="G2" s="29"/>
    </row>
    <row r="3" spans="2:13" ht="16.5" x14ac:dyDescent="0.3">
      <c r="C3" s="29"/>
      <c r="D3" s="29"/>
      <c r="E3" s="27" t="s">
        <v>25</v>
      </c>
      <c r="F3" s="29"/>
      <c r="G3" s="29"/>
    </row>
    <row r="4" spans="2:13" ht="16.5" x14ac:dyDescent="0.2">
      <c r="C4" s="29"/>
      <c r="D4" s="29"/>
      <c r="E4" s="32"/>
      <c r="F4" s="29"/>
      <c r="G4" s="29"/>
    </row>
    <row r="5" spans="2:13" ht="16.5" x14ac:dyDescent="0.3">
      <c r="C5" s="29"/>
      <c r="D5" s="29"/>
      <c r="E5" s="33" t="s">
        <v>26</v>
      </c>
      <c r="F5" s="29"/>
      <c r="G5" s="29"/>
    </row>
    <row r="7" spans="2:13" ht="16.5" x14ac:dyDescent="0.3">
      <c r="E7" s="111" t="s">
        <v>109</v>
      </c>
      <c r="F7" s="111"/>
      <c r="G7" s="111"/>
      <c r="H7" s="111"/>
      <c r="I7" s="111"/>
    </row>
    <row r="8" spans="2:13" ht="15" thickBot="1" x14ac:dyDescent="0.25"/>
    <row r="9" spans="2:13" x14ac:dyDescent="0.2">
      <c r="B9" s="112" t="s">
        <v>27</v>
      </c>
      <c r="C9" s="113"/>
      <c r="D9" s="34"/>
      <c r="E9" s="107" t="s">
        <v>28</v>
      </c>
      <c r="F9" s="108"/>
      <c r="G9" s="34"/>
      <c r="H9" s="107" t="s">
        <v>28</v>
      </c>
      <c r="I9" s="108"/>
      <c r="K9" s="107" t="s">
        <v>28</v>
      </c>
      <c r="L9" s="108"/>
    </row>
    <row r="10" spans="2:13" x14ac:dyDescent="0.2">
      <c r="B10" s="80" t="s">
        <v>29</v>
      </c>
      <c r="C10" s="35"/>
      <c r="D10" s="34"/>
      <c r="E10" s="80" t="s">
        <v>29</v>
      </c>
      <c r="F10" s="35"/>
      <c r="G10" s="34"/>
      <c r="H10" s="80" t="s">
        <v>30</v>
      </c>
      <c r="I10" s="36"/>
      <c r="J10" s="34"/>
      <c r="K10" s="80" t="s">
        <v>31</v>
      </c>
      <c r="L10" s="36"/>
    </row>
    <row r="11" spans="2:13" x14ac:dyDescent="0.2">
      <c r="B11" s="37" t="s">
        <v>32</v>
      </c>
      <c r="C11" s="38">
        <v>4</v>
      </c>
      <c r="D11" s="34" t="s">
        <v>33</v>
      </c>
      <c r="E11" s="37" t="s">
        <v>34</v>
      </c>
      <c r="F11" s="38">
        <v>16</v>
      </c>
      <c r="G11" s="34" t="s">
        <v>33</v>
      </c>
      <c r="H11" s="37" t="s">
        <v>34</v>
      </c>
      <c r="I11" s="38">
        <v>72</v>
      </c>
      <c r="J11" s="34" t="s">
        <v>33</v>
      </c>
      <c r="K11" s="37" t="s">
        <v>35</v>
      </c>
      <c r="L11" s="38">
        <v>25</v>
      </c>
      <c r="M11" s="28" t="s">
        <v>36</v>
      </c>
    </row>
    <row r="12" spans="2:13" x14ac:dyDescent="0.2">
      <c r="B12" s="37" t="s">
        <v>37</v>
      </c>
      <c r="C12" s="38">
        <v>100</v>
      </c>
      <c r="D12" s="34" t="s">
        <v>36</v>
      </c>
      <c r="E12" s="37" t="s">
        <v>38</v>
      </c>
      <c r="F12" s="38">
        <v>8</v>
      </c>
      <c r="G12" s="34" t="s">
        <v>39</v>
      </c>
      <c r="H12" s="37" t="s">
        <v>38</v>
      </c>
      <c r="I12" s="38">
        <v>11</v>
      </c>
      <c r="J12" s="34" t="s">
        <v>39</v>
      </c>
      <c r="K12" s="37" t="s">
        <v>40</v>
      </c>
      <c r="L12" s="38">
        <v>1</v>
      </c>
      <c r="M12" s="34"/>
    </row>
    <row r="13" spans="2:13" x14ac:dyDescent="0.2">
      <c r="B13" s="37" t="s">
        <v>41</v>
      </c>
      <c r="C13" s="38">
        <f>19+1.5+1.75</f>
        <v>22.25</v>
      </c>
      <c r="D13" s="34" t="s">
        <v>23</v>
      </c>
      <c r="E13" s="37" t="s">
        <v>42</v>
      </c>
      <c r="F13" s="39">
        <f>LOOKUP(F12,[1]Hoja2!$B$6:$B$18,[1]Hoja2!$E$6:$E$18)</f>
        <v>3.9729999999999999</v>
      </c>
      <c r="G13" s="34" t="s">
        <v>43</v>
      </c>
      <c r="H13" s="37" t="s">
        <v>42</v>
      </c>
      <c r="I13" s="39">
        <f>LOOKUP(I12,[1]Hoja2!$B$6:$B$18,[1]Hoja2!$E$6:$E$18)</f>
        <v>7.907</v>
      </c>
      <c r="J13" s="34" t="s">
        <v>43</v>
      </c>
      <c r="K13" s="37" t="s">
        <v>95</v>
      </c>
      <c r="L13" s="38">
        <v>17</v>
      </c>
      <c r="M13" s="34" t="s">
        <v>36</v>
      </c>
    </row>
    <row r="14" spans="2:13" x14ac:dyDescent="0.2">
      <c r="B14" s="80" t="s">
        <v>31</v>
      </c>
      <c r="C14" s="38"/>
      <c r="D14" s="34"/>
      <c r="E14" s="37" t="s">
        <v>45</v>
      </c>
      <c r="F14" s="40">
        <f>(C13-C18-0.5-0.15)+(IF(C12=100,1,1.2))</f>
        <v>21.03</v>
      </c>
      <c r="G14" s="34" t="s">
        <v>23</v>
      </c>
      <c r="H14" s="37" t="s">
        <v>45</v>
      </c>
      <c r="I14" s="40">
        <f>(C30+C17-0.3-0.15)+(2.4)</f>
        <v>7.0499999999999989</v>
      </c>
      <c r="J14" s="34" t="s">
        <v>23</v>
      </c>
      <c r="K14" s="37" t="s">
        <v>34</v>
      </c>
      <c r="L14" s="39">
        <f>IF(L12=1,(ROUNDUP(((C15-(2*L13/100))*(L12)/(L11/100))+1,0)),(ROUNDUP(((C15-(2*L13/100))*(L12)/(L11/100))+2,0)))</f>
        <v>22</v>
      </c>
      <c r="M14" s="28" t="s">
        <v>33</v>
      </c>
    </row>
    <row r="15" spans="2:13" x14ac:dyDescent="0.2">
      <c r="B15" s="37" t="s">
        <v>46</v>
      </c>
      <c r="C15" s="38">
        <v>5.5</v>
      </c>
      <c r="D15" s="34" t="s">
        <v>23</v>
      </c>
      <c r="E15" s="37" t="s">
        <v>47</v>
      </c>
      <c r="F15" s="36">
        <v>0.1</v>
      </c>
      <c r="G15" s="41" t="s">
        <v>23</v>
      </c>
      <c r="H15" s="37" t="s">
        <v>47</v>
      </c>
      <c r="I15" s="36">
        <v>0.1</v>
      </c>
      <c r="J15" s="41" t="s">
        <v>23</v>
      </c>
      <c r="K15" s="37" t="s">
        <v>38</v>
      </c>
      <c r="L15" s="38">
        <v>7</v>
      </c>
      <c r="M15" s="28" t="s">
        <v>39</v>
      </c>
    </row>
    <row r="16" spans="2:13" x14ac:dyDescent="0.2">
      <c r="B16" s="37" t="s">
        <v>48</v>
      </c>
      <c r="C16" s="38">
        <v>5.5</v>
      </c>
      <c r="D16" s="34" t="s">
        <v>23</v>
      </c>
      <c r="E16" s="37" t="s">
        <v>49</v>
      </c>
      <c r="F16" s="42">
        <v>123</v>
      </c>
      <c r="G16" s="34" t="s">
        <v>33</v>
      </c>
      <c r="H16" s="37" t="s">
        <v>49</v>
      </c>
      <c r="I16" s="77">
        <v>50</v>
      </c>
      <c r="J16" s="34" t="s">
        <v>33</v>
      </c>
      <c r="K16" s="37" t="s">
        <v>42</v>
      </c>
      <c r="L16" s="39">
        <f>LOOKUP(L15,[1]Hoja2!$B$6:$B$18,[1]Hoja2!$E$6:$E$18)</f>
        <v>3.0419999999999998</v>
      </c>
      <c r="M16" s="34" t="s">
        <v>43</v>
      </c>
    </row>
    <row r="17" spans="2:13" x14ac:dyDescent="0.2">
      <c r="B17" s="37" t="s">
        <v>50</v>
      </c>
      <c r="C17" s="38">
        <v>1.5</v>
      </c>
      <c r="D17" s="34" t="s">
        <v>23</v>
      </c>
      <c r="E17" s="37" t="s">
        <v>51</v>
      </c>
      <c r="F17" s="38">
        <v>4</v>
      </c>
      <c r="G17" s="34" t="s">
        <v>39</v>
      </c>
      <c r="H17" s="37" t="s">
        <v>51</v>
      </c>
      <c r="I17" s="38">
        <v>4</v>
      </c>
      <c r="J17" s="34" t="s">
        <v>39</v>
      </c>
      <c r="K17" s="37" t="s">
        <v>45</v>
      </c>
      <c r="L17" s="40">
        <f>(C15-(L13/100)-(L13/100))+0.9+0.9</f>
        <v>6.9600000000000009</v>
      </c>
      <c r="M17" s="34" t="s">
        <v>23</v>
      </c>
    </row>
    <row r="18" spans="2:13" x14ac:dyDescent="0.2">
      <c r="B18" s="37" t="s">
        <v>52</v>
      </c>
      <c r="C18" s="73">
        <v>1.57</v>
      </c>
      <c r="D18" s="34" t="s">
        <v>23</v>
      </c>
      <c r="E18" s="37" t="s">
        <v>53</v>
      </c>
      <c r="F18" s="39">
        <f>LOOKUP(F17,[1]Hoja2!$B$6:$B$18,[1]Hoja2!$E$6:$E$18)</f>
        <v>0.99399999999999999</v>
      </c>
      <c r="G18" s="34" t="s">
        <v>43</v>
      </c>
      <c r="H18" s="37" t="s">
        <v>53</v>
      </c>
      <c r="I18" s="39">
        <f>LOOKUP(I17,[1]Hoja2!$B$6:$B$18,[1]Hoja2!$E$6:$E$18)</f>
        <v>0.99399999999999999</v>
      </c>
      <c r="J18" s="34" t="s">
        <v>43</v>
      </c>
      <c r="K18" s="37" t="s">
        <v>54</v>
      </c>
      <c r="L18" s="38">
        <v>20</v>
      </c>
      <c r="M18" s="28" t="s">
        <v>36</v>
      </c>
    </row>
    <row r="19" spans="2:13" x14ac:dyDescent="0.2">
      <c r="B19" s="80" t="s">
        <v>55</v>
      </c>
      <c r="C19" s="38"/>
      <c r="D19" s="34"/>
      <c r="E19" s="37" t="s">
        <v>44</v>
      </c>
      <c r="F19" s="38">
        <v>10</v>
      </c>
      <c r="G19" s="34" t="s">
        <v>36</v>
      </c>
      <c r="H19" s="37" t="s">
        <v>44</v>
      </c>
      <c r="I19" s="38">
        <v>7</v>
      </c>
      <c r="J19" s="34" t="s">
        <v>36</v>
      </c>
      <c r="K19" s="37" t="s">
        <v>56</v>
      </c>
      <c r="L19" s="39">
        <f>ROUNDDOWN((C17-(25/100)-(25/100))/(L18/100)+1,0)</f>
        <v>6</v>
      </c>
      <c r="M19" s="28" t="s">
        <v>33</v>
      </c>
    </row>
    <row r="20" spans="2:13" x14ac:dyDescent="0.2">
      <c r="B20" s="37" t="s">
        <v>57</v>
      </c>
      <c r="C20" s="39">
        <f>+C15+1+1</f>
        <v>7.5</v>
      </c>
      <c r="D20" s="34" t="s">
        <v>23</v>
      </c>
      <c r="E20" s="37" t="s">
        <v>35</v>
      </c>
      <c r="F20" s="43">
        <f>(PI()*(C12-F19-F19))/F11</f>
        <v>15.707963267948966</v>
      </c>
      <c r="G20" s="34" t="s">
        <v>36</v>
      </c>
      <c r="H20" s="37" t="s">
        <v>35</v>
      </c>
      <c r="I20" s="43">
        <f>(PI()*(C29*(100)-I19-I19))/I11</f>
        <v>12.479104151759456</v>
      </c>
      <c r="J20" s="34" t="s">
        <v>36</v>
      </c>
      <c r="K20" s="37" t="s">
        <v>58</v>
      </c>
      <c r="L20" s="38">
        <v>6</v>
      </c>
      <c r="M20" s="28" t="s">
        <v>39</v>
      </c>
    </row>
    <row r="21" spans="2:13" ht="15" thickBot="1" x14ac:dyDescent="0.25">
      <c r="B21" s="37" t="s">
        <v>59</v>
      </c>
      <c r="C21" s="39">
        <f>+C16+1+1</f>
        <v>7.5</v>
      </c>
      <c r="D21" s="34" t="s">
        <v>23</v>
      </c>
      <c r="E21" s="44" t="s">
        <v>60</v>
      </c>
      <c r="F21" s="45">
        <f>((PI()*(C12-F19-F19))+(F20*(3)+F20*(3)+((LOOKUP(F17,[1]Hoja2!$B$6:$B$18,[1]Hoja2!$H$6:$H$18))*2)+20))/100</f>
        <v>3.8957519189487719</v>
      </c>
      <c r="G21" s="34" t="s">
        <v>23</v>
      </c>
      <c r="H21" s="44" t="s">
        <v>60</v>
      </c>
      <c r="I21" s="45">
        <f>((PI()*(C29*(100)-I19-I19))+(I20*(3)+I20*(3)+((LOOKUP(I17,[1]Hoja2!$B$6:$B$18,[1]Hoja2!$H$6:$H$18))*2)+20))/100</f>
        <v>10.173701238372375</v>
      </c>
      <c r="J21" s="34" t="s">
        <v>23</v>
      </c>
      <c r="K21" s="37" t="s">
        <v>61</v>
      </c>
      <c r="L21" s="39">
        <f>LOOKUP(L20,[1]Hoja2!$B$6:$B$18,[1]Hoja2!$E$6:$E$18)</f>
        <v>2.2349999999999999</v>
      </c>
      <c r="M21" s="34" t="s">
        <v>43</v>
      </c>
    </row>
    <row r="22" spans="2:13" ht="15" thickBot="1" x14ac:dyDescent="0.25">
      <c r="B22" s="37" t="s">
        <v>50</v>
      </c>
      <c r="C22" s="40">
        <f>+C18+C17+C27</f>
        <v>3.12</v>
      </c>
      <c r="D22" s="34" t="s">
        <v>23</v>
      </c>
      <c r="K22" s="44" t="s">
        <v>62</v>
      </c>
      <c r="L22" s="46">
        <f>C15-(L13/100)-(L13/100)</f>
        <v>5.16</v>
      </c>
      <c r="M22" s="34" t="s">
        <v>23</v>
      </c>
    </row>
    <row r="23" spans="2:13" ht="15" thickBot="1" x14ac:dyDescent="0.25">
      <c r="B23" s="37"/>
      <c r="C23" s="36"/>
      <c r="D23" s="34"/>
      <c r="H23" s="107" t="s">
        <v>28</v>
      </c>
      <c r="I23" s="108"/>
    </row>
    <row r="24" spans="2:13" x14ac:dyDescent="0.2">
      <c r="B24" s="80" t="s">
        <v>63</v>
      </c>
      <c r="C24" s="38"/>
      <c r="D24" s="34"/>
      <c r="H24" s="114" t="s">
        <v>64</v>
      </c>
      <c r="I24" s="115"/>
      <c r="K24" s="107" t="s">
        <v>28</v>
      </c>
      <c r="L24" s="108"/>
      <c r="M24" s="31"/>
    </row>
    <row r="25" spans="2:13" x14ac:dyDescent="0.2">
      <c r="B25" s="37" t="s">
        <v>46</v>
      </c>
      <c r="C25" s="40">
        <f>+C15</f>
        <v>5.5</v>
      </c>
      <c r="D25" s="34" t="s">
        <v>23</v>
      </c>
      <c r="H25" s="37" t="s">
        <v>34</v>
      </c>
      <c r="I25" s="39">
        <f>IF(C29=2.5,12*2,IF(C29=3,13*2,IF(C29=3.7,14*2)))</f>
        <v>26</v>
      </c>
      <c r="J25" s="34" t="s">
        <v>33</v>
      </c>
      <c r="K25" s="114" t="s">
        <v>65</v>
      </c>
      <c r="L25" s="115"/>
      <c r="M25" s="31"/>
    </row>
    <row r="26" spans="2:13" x14ac:dyDescent="0.2">
      <c r="B26" s="37" t="s">
        <v>48</v>
      </c>
      <c r="C26" s="40">
        <f>+C16</f>
        <v>5.5</v>
      </c>
      <c r="D26" s="34" t="s">
        <v>23</v>
      </c>
      <c r="H26" s="37" t="s">
        <v>38</v>
      </c>
      <c r="I26" s="38">
        <v>4</v>
      </c>
      <c r="J26" s="34" t="s">
        <v>39</v>
      </c>
      <c r="K26" s="37" t="s">
        <v>34</v>
      </c>
      <c r="L26" s="38">
        <f>14*4</f>
        <v>56</v>
      </c>
      <c r="M26" s="34" t="s">
        <v>33</v>
      </c>
    </row>
    <row r="27" spans="2:13" x14ac:dyDescent="0.2">
      <c r="B27" s="37" t="s">
        <v>50</v>
      </c>
      <c r="C27" s="38">
        <v>0.05</v>
      </c>
      <c r="D27" s="34" t="s">
        <v>23</v>
      </c>
      <c r="H27" s="37" t="s">
        <v>42</v>
      </c>
      <c r="I27" s="39">
        <f>LOOKUP(I26,[1]Hoja2!$B$6:$B$18,[1]Hoja2!$E$6:$E$18)</f>
        <v>0.99399999999999999</v>
      </c>
      <c r="J27" s="34" t="s">
        <v>43</v>
      </c>
      <c r="K27" s="37" t="s">
        <v>38</v>
      </c>
      <c r="L27" s="38">
        <v>4</v>
      </c>
      <c r="M27" s="34" t="s">
        <v>39</v>
      </c>
    </row>
    <row r="28" spans="2:13" x14ac:dyDescent="0.2">
      <c r="B28" s="80" t="s">
        <v>66</v>
      </c>
      <c r="C28" s="38"/>
      <c r="D28" s="34"/>
      <c r="H28" s="37" t="s">
        <v>67</v>
      </c>
      <c r="I28" s="38">
        <v>13</v>
      </c>
      <c r="J28" s="34"/>
      <c r="K28" s="37" t="s">
        <v>42</v>
      </c>
      <c r="L28" s="39">
        <f>LOOKUP(L27,[1]Hoja2!$B$6:$B$18,[1]Hoja2!$E$6:$E$18)</f>
        <v>0.99399999999999999</v>
      </c>
      <c r="M28" s="34" t="s">
        <v>43</v>
      </c>
    </row>
    <row r="29" spans="2:13" ht="15" thickBot="1" x14ac:dyDescent="0.25">
      <c r="B29" s="37" t="s">
        <v>37</v>
      </c>
      <c r="C29" s="38">
        <v>3</v>
      </c>
      <c r="D29" s="34" t="s">
        <v>23</v>
      </c>
      <c r="H29" s="44" t="s">
        <v>68</v>
      </c>
      <c r="I29" s="45">
        <f>IF(C29=2.5,(1.8+([1]Hoja2!I10/100*4)+(0.2)),IF(C29=3,(2.09+([1]Hoja2!I10/100*4)+(0.2)),IF(C29=3.7,(2.07+([1]Hoja2!I10/100*4)+(0.2)))))</f>
        <v>2.5700000000000003</v>
      </c>
      <c r="J29" s="34" t="s">
        <v>23</v>
      </c>
      <c r="K29" s="44" t="s">
        <v>68</v>
      </c>
      <c r="L29" s="45">
        <f>((0.75+1.235)*2)+0.21+0.24</f>
        <v>4.4200000000000008</v>
      </c>
      <c r="M29" s="34" t="s">
        <v>23</v>
      </c>
    </row>
    <row r="30" spans="2:13" ht="15" thickBot="1" x14ac:dyDescent="0.25">
      <c r="B30" s="44" t="s">
        <v>69</v>
      </c>
      <c r="C30" s="47">
        <v>3.6</v>
      </c>
      <c r="D30" s="34" t="s">
        <v>23</v>
      </c>
      <c r="G30" s="34"/>
      <c r="K30" s="48"/>
      <c r="L30" s="49"/>
      <c r="M30" s="34"/>
    </row>
    <row r="31" spans="2:13" x14ac:dyDescent="0.2">
      <c r="B31" s="48"/>
      <c r="C31" s="50"/>
      <c r="D31" s="34"/>
      <c r="E31" s="48"/>
      <c r="F31" s="50"/>
      <c r="G31" s="34"/>
    </row>
    <row r="32" spans="2:13" x14ac:dyDescent="0.2">
      <c r="B32" s="48"/>
      <c r="C32" s="50"/>
      <c r="D32" s="34"/>
      <c r="E32" s="48"/>
      <c r="F32" s="50"/>
      <c r="G32" s="34"/>
    </row>
    <row r="33" spans="1:11" ht="38.25" x14ac:dyDescent="0.2">
      <c r="A33" s="51" t="s">
        <v>70</v>
      </c>
      <c r="B33" s="78" t="s">
        <v>71</v>
      </c>
      <c r="C33" s="52" t="s">
        <v>72</v>
      </c>
      <c r="D33" s="53" t="s">
        <v>101</v>
      </c>
      <c r="E33" s="54"/>
    </row>
    <row r="34" spans="1:11" ht="76.5" x14ac:dyDescent="0.2">
      <c r="A34" s="78">
        <v>6007</v>
      </c>
      <c r="B34" s="55" t="s">
        <v>73</v>
      </c>
      <c r="C34" s="79" t="s">
        <v>74</v>
      </c>
      <c r="D34" s="57">
        <f>((PI()*(C12*C12)/4/10000)*C13*C11)</f>
        <v>69.900436542372901</v>
      </c>
      <c r="E34" s="58"/>
      <c r="H34" s="59"/>
      <c r="K34" s="59"/>
    </row>
    <row r="35" spans="1:11" ht="102" x14ac:dyDescent="0.2">
      <c r="A35" s="109">
        <v>3708</v>
      </c>
      <c r="B35" s="55" t="s">
        <v>75</v>
      </c>
      <c r="C35" s="56" t="s">
        <v>76</v>
      </c>
      <c r="D35" s="60">
        <f>D36+D37+D38</f>
        <v>15336.264855738907</v>
      </c>
      <c r="H35" s="59"/>
      <c r="K35" s="59"/>
    </row>
    <row r="36" spans="1:11" x14ac:dyDescent="0.2">
      <c r="A36" s="109"/>
      <c r="B36" s="61" t="s">
        <v>29</v>
      </c>
      <c r="C36" s="110" t="s">
        <v>76</v>
      </c>
      <c r="D36" s="62">
        <f>((F14*F11*F13)+(F16*F18*F21))*C11*1.03</f>
        <v>7470.126339791801</v>
      </c>
    </row>
    <row r="37" spans="1:11" x14ac:dyDescent="0.2">
      <c r="A37" s="109"/>
      <c r="B37" s="61" t="s">
        <v>31</v>
      </c>
      <c r="C37" s="110"/>
      <c r="D37" s="62">
        <f>(((L14*L16*L17*4)+(L19*L21*L22*4))+(L26*L28*L29))*1.03</f>
        <v>2457.5608832000003</v>
      </c>
    </row>
    <row r="38" spans="1:11" x14ac:dyDescent="0.2">
      <c r="A38" s="109"/>
      <c r="B38" s="61" t="s">
        <v>30</v>
      </c>
      <c r="C38" s="110"/>
      <c r="D38" s="63">
        <f>+(I11*I13*I14)+(I16*I18*I21)+(I25*I27*I29*I28)*1.03</f>
        <v>5408.5776327471067</v>
      </c>
    </row>
    <row r="39" spans="1:11" ht="51" x14ac:dyDescent="0.2">
      <c r="A39" s="109">
        <v>3637</v>
      </c>
      <c r="B39" s="55" t="s">
        <v>77</v>
      </c>
      <c r="C39" s="79" t="s">
        <v>74</v>
      </c>
      <c r="D39" s="64">
        <f>D40+D41</f>
        <v>70.821900494077326</v>
      </c>
      <c r="H39" s="58"/>
      <c r="K39" s="58"/>
    </row>
    <row r="40" spans="1:11" x14ac:dyDescent="0.2">
      <c r="A40" s="109"/>
      <c r="B40" s="61" t="s">
        <v>31</v>
      </c>
      <c r="C40" s="110" t="s">
        <v>74</v>
      </c>
      <c r="D40" s="65">
        <f>C15*C16*C17</f>
        <v>45.375</v>
      </c>
    </row>
    <row r="41" spans="1:11" x14ac:dyDescent="0.2">
      <c r="A41" s="109"/>
      <c r="B41" s="61" t="s">
        <v>30</v>
      </c>
      <c r="C41" s="110"/>
      <c r="D41" s="65">
        <f>(PI()*C29*C29/4)*C30</f>
        <v>25.446900494077326</v>
      </c>
    </row>
    <row r="42" spans="1:11" ht="38.25" x14ac:dyDescent="0.2">
      <c r="A42" s="78">
        <v>5055</v>
      </c>
      <c r="B42" s="55" t="s">
        <v>78</v>
      </c>
      <c r="C42" s="79" t="s">
        <v>74</v>
      </c>
      <c r="D42" s="65">
        <f>((PI()*(C12*C12)/4/10000)*(C17+C18)*C11)</f>
        <v>9.6446894465206654</v>
      </c>
      <c r="H42" s="58"/>
      <c r="K42" s="58"/>
    </row>
    <row r="43" spans="1:11" ht="51" x14ac:dyDescent="0.2">
      <c r="A43" s="78">
        <v>6021</v>
      </c>
      <c r="B43" s="55" t="s">
        <v>87</v>
      </c>
      <c r="C43" s="79" t="s">
        <v>74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74">
        <v>5416</v>
      </c>
      <c r="B44" s="72" t="s">
        <v>88</v>
      </c>
      <c r="C44" s="66" t="s">
        <v>74</v>
      </c>
      <c r="D44" s="75">
        <f>C20*C21*C22</f>
        <v>175.5</v>
      </c>
      <c r="E44" s="76"/>
      <c r="H44" s="59"/>
      <c r="K44" s="59"/>
    </row>
    <row r="45" spans="1:11" ht="51" x14ac:dyDescent="0.2">
      <c r="A45" s="74">
        <v>3017</v>
      </c>
      <c r="B45" s="72" t="s">
        <v>89</v>
      </c>
      <c r="C45" s="66" t="s">
        <v>74</v>
      </c>
      <c r="D45" s="65">
        <f>D44</f>
        <v>175.5</v>
      </c>
      <c r="E45" s="76"/>
      <c r="H45" s="58"/>
      <c r="K45" s="58"/>
    </row>
    <row r="46" spans="1:11" ht="38.25" x14ac:dyDescent="0.2">
      <c r="A46" s="74">
        <v>4908</v>
      </c>
      <c r="B46" s="55" t="s">
        <v>79</v>
      </c>
      <c r="C46" s="79" t="s">
        <v>74</v>
      </c>
      <c r="D46" s="65">
        <f>D44-(C25*C26*C27)-D40-((PI()*C29*C29/4)*C18)</f>
        <v>117.51482395119407</v>
      </c>
      <c r="K46" s="58"/>
    </row>
    <row r="47" spans="1:11" ht="51" x14ac:dyDescent="0.2">
      <c r="A47" s="74">
        <v>5196</v>
      </c>
      <c r="B47" s="72" t="s">
        <v>96</v>
      </c>
      <c r="C47" s="79" t="s">
        <v>74</v>
      </c>
      <c r="D47" s="65">
        <f>C20*C21*0.15</f>
        <v>8.4375</v>
      </c>
    </row>
    <row r="48" spans="1:11" x14ac:dyDescent="0.2">
      <c r="A48" s="74"/>
    </row>
    <row r="49" spans="1:1" x14ac:dyDescent="0.2">
      <c r="A49" s="74"/>
    </row>
    <row r="50" spans="1:1" x14ac:dyDescent="0.2">
      <c r="A50" s="7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D6E31-2419-4DA9-8002-9797114FC63B}">
  <sheetPr>
    <tabColor rgb="FFFFFF00"/>
  </sheetPr>
  <dimension ref="A2:M49"/>
  <sheetViews>
    <sheetView view="pageBreakPreview" zoomScale="85" zoomScaleNormal="85" zoomScaleSheetLayoutView="85" workbookViewId="0">
      <selection activeCell="E29" sqref="E29"/>
    </sheetView>
  </sheetViews>
  <sheetFormatPr baseColWidth="10" defaultRowHeight="14.25" x14ac:dyDescent="0.2"/>
  <cols>
    <col min="1" max="1" width="9.7109375" style="28" customWidth="1"/>
    <col min="2" max="2" width="42.85546875" style="28" customWidth="1"/>
    <col min="3" max="3" width="12.28515625" style="31" customWidth="1"/>
    <col min="4" max="4" width="12.85546875" style="31" customWidth="1"/>
    <col min="5" max="5" width="28.7109375" style="31" bestFit="1" customWidth="1"/>
    <col min="6" max="7" width="11.42578125" style="31"/>
    <col min="8" max="8" width="28.7109375" style="31" customWidth="1"/>
    <col min="9" max="10" width="11.42578125" style="31"/>
    <col min="11" max="11" width="28.7109375" style="31" customWidth="1"/>
    <col min="12" max="16384" width="11.42578125" style="28"/>
  </cols>
  <sheetData>
    <row r="2" spans="2:13" ht="16.5" x14ac:dyDescent="0.2">
      <c r="C2" s="29"/>
      <c r="D2" s="29"/>
      <c r="E2" s="30" t="s">
        <v>24</v>
      </c>
      <c r="F2" s="29"/>
      <c r="G2" s="29"/>
    </row>
    <row r="3" spans="2:13" ht="16.5" x14ac:dyDescent="0.3">
      <c r="C3" s="29"/>
      <c r="D3" s="29"/>
      <c r="E3" s="27" t="s">
        <v>25</v>
      </c>
      <c r="F3" s="29"/>
      <c r="G3" s="29"/>
    </row>
    <row r="4" spans="2:13" ht="16.5" x14ac:dyDescent="0.2">
      <c r="C4" s="29"/>
      <c r="D4" s="29"/>
      <c r="E4" s="32"/>
      <c r="F4" s="29"/>
      <c r="G4" s="29"/>
    </row>
    <row r="5" spans="2:13" ht="16.5" x14ac:dyDescent="0.3">
      <c r="C5" s="29"/>
      <c r="D5" s="29"/>
      <c r="E5" s="33" t="s">
        <v>26</v>
      </c>
      <c r="F5" s="29"/>
      <c r="G5" s="29"/>
    </row>
    <row r="7" spans="2:13" ht="16.5" x14ac:dyDescent="0.3">
      <c r="E7" s="111" t="s">
        <v>109</v>
      </c>
      <c r="F7" s="111"/>
      <c r="G7" s="111"/>
      <c r="H7" s="111"/>
      <c r="I7" s="111"/>
    </row>
    <row r="8" spans="2:13" ht="15" thickBot="1" x14ac:dyDescent="0.25"/>
    <row r="9" spans="2:13" x14ac:dyDescent="0.2">
      <c r="B9" s="112" t="s">
        <v>27</v>
      </c>
      <c r="C9" s="113"/>
      <c r="D9" s="34"/>
      <c r="E9" s="107" t="s">
        <v>28</v>
      </c>
      <c r="F9" s="108"/>
      <c r="G9" s="34"/>
      <c r="H9" s="107" t="s">
        <v>28</v>
      </c>
      <c r="I9" s="108"/>
      <c r="K9" s="107" t="s">
        <v>28</v>
      </c>
      <c r="L9" s="108"/>
    </row>
    <row r="10" spans="2:13" x14ac:dyDescent="0.2">
      <c r="B10" s="80" t="s">
        <v>29</v>
      </c>
      <c r="C10" s="35"/>
      <c r="D10" s="34"/>
      <c r="E10" s="80" t="s">
        <v>29</v>
      </c>
      <c r="F10" s="35"/>
      <c r="G10" s="34"/>
      <c r="H10" s="80" t="s">
        <v>30</v>
      </c>
      <c r="I10" s="36"/>
      <c r="J10" s="34"/>
      <c r="K10" s="80" t="s">
        <v>31</v>
      </c>
      <c r="L10" s="36"/>
    </row>
    <row r="11" spans="2:13" x14ac:dyDescent="0.2">
      <c r="B11" s="37" t="s">
        <v>32</v>
      </c>
      <c r="C11" s="38">
        <v>4</v>
      </c>
      <c r="D11" s="34" t="s">
        <v>33</v>
      </c>
      <c r="E11" s="37" t="s">
        <v>34</v>
      </c>
      <c r="F11" s="38">
        <v>16</v>
      </c>
      <c r="G11" s="34" t="s">
        <v>33</v>
      </c>
      <c r="H11" s="37" t="s">
        <v>34</v>
      </c>
      <c r="I11" s="38">
        <v>72</v>
      </c>
      <c r="J11" s="34" t="s">
        <v>33</v>
      </c>
      <c r="K11" s="37" t="s">
        <v>35</v>
      </c>
      <c r="L11" s="38">
        <v>20</v>
      </c>
      <c r="M11" s="28" t="s">
        <v>36</v>
      </c>
    </row>
    <row r="12" spans="2:13" x14ac:dyDescent="0.2">
      <c r="B12" s="37" t="s">
        <v>37</v>
      </c>
      <c r="C12" s="38">
        <v>100</v>
      </c>
      <c r="D12" s="34" t="s">
        <v>36</v>
      </c>
      <c r="E12" s="37" t="s">
        <v>38</v>
      </c>
      <c r="F12" s="38">
        <v>8</v>
      </c>
      <c r="G12" s="34" t="s">
        <v>39</v>
      </c>
      <c r="H12" s="37" t="s">
        <v>38</v>
      </c>
      <c r="I12" s="38">
        <v>11</v>
      </c>
      <c r="J12" s="34" t="s">
        <v>39</v>
      </c>
      <c r="K12" s="37" t="s">
        <v>40</v>
      </c>
      <c r="L12" s="38">
        <v>1</v>
      </c>
      <c r="M12" s="34"/>
    </row>
    <row r="13" spans="2:13" x14ac:dyDescent="0.2">
      <c r="B13" s="37" t="s">
        <v>41</v>
      </c>
      <c r="C13" s="38">
        <f>15+1.5+1.12</f>
        <v>17.62</v>
      </c>
      <c r="D13" s="34" t="s">
        <v>23</v>
      </c>
      <c r="E13" s="37" t="s">
        <v>42</v>
      </c>
      <c r="F13" s="39">
        <f>LOOKUP(F12,[1]Hoja2!$B$6:$B$18,[1]Hoja2!$E$6:$E$18)</f>
        <v>3.9729999999999999</v>
      </c>
      <c r="G13" s="34" t="s">
        <v>43</v>
      </c>
      <c r="H13" s="37" t="s">
        <v>42</v>
      </c>
      <c r="I13" s="39">
        <f>LOOKUP(I12,[1]Hoja2!$B$6:$B$18,[1]Hoja2!$E$6:$E$18)</f>
        <v>7.907</v>
      </c>
      <c r="J13" s="34" t="s">
        <v>43</v>
      </c>
      <c r="K13" s="37" t="s">
        <v>95</v>
      </c>
      <c r="L13" s="38">
        <v>17</v>
      </c>
      <c r="M13" s="34" t="s">
        <v>36</v>
      </c>
    </row>
    <row r="14" spans="2:13" x14ac:dyDescent="0.2">
      <c r="B14" s="80" t="s">
        <v>31</v>
      </c>
      <c r="C14" s="38"/>
      <c r="D14" s="34"/>
      <c r="E14" s="37" t="s">
        <v>45</v>
      </c>
      <c r="F14" s="40">
        <f>(C13-C18-0.5-0.15)+(IF(C12=100,1,1.2))</f>
        <v>16.850000000000001</v>
      </c>
      <c r="G14" s="34" t="s">
        <v>23</v>
      </c>
      <c r="H14" s="37" t="s">
        <v>45</v>
      </c>
      <c r="I14" s="40">
        <f>(C30+C17-0.3-0.15)+(2.4)</f>
        <v>6.4499999999999993</v>
      </c>
      <c r="J14" s="34" t="s">
        <v>23</v>
      </c>
      <c r="K14" s="37" t="s">
        <v>34</v>
      </c>
      <c r="L14" s="39">
        <f>IF(L12=1,(ROUNDUP(((C15-(2*L13/100))*(L12)/(L11/100))+1,0)),(ROUNDUP(((C15-(2*L13/100))*(L12)/(L11/100))+2,0)))</f>
        <v>27</v>
      </c>
      <c r="M14" s="28" t="s">
        <v>33</v>
      </c>
    </row>
    <row r="15" spans="2:13" x14ac:dyDescent="0.2">
      <c r="B15" s="37" t="s">
        <v>46</v>
      </c>
      <c r="C15" s="38">
        <v>5.5</v>
      </c>
      <c r="D15" s="34" t="s">
        <v>23</v>
      </c>
      <c r="E15" s="37" t="s">
        <v>47</v>
      </c>
      <c r="F15" s="36">
        <v>0.1</v>
      </c>
      <c r="G15" s="41" t="s">
        <v>23</v>
      </c>
      <c r="H15" s="37" t="s">
        <v>47</v>
      </c>
      <c r="I15" s="36">
        <v>0.1</v>
      </c>
      <c r="J15" s="41" t="s">
        <v>23</v>
      </c>
      <c r="K15" s="37" t="s">
        <v>38</v>
      </c>
      <c r="L15" s="38">
        <v>7</v>
      </c>
      <c r="M15" s="28" t="s">
        <v>39</v>
      </c>
    </row>
    <row r="16" spans="2:13" x14ac:dyDescent="0.2">
      <c r="B16" s="37" t="s">
        <v>48</v>
      </c>
      <c r="C16" s="38">
        <v>5.5</v>
      </c>
      <c r="D16" s="34" t="s">
        <v>23</v>
      </c>
      <c r="E16" s="37" t="s">
        <v>49</v>
      </c>
      <c r="F16" s="42">
        <v>103</v>
      </c>
      <c r="G16" s="34" t="s">
        <v>33</v>
      </c>
      <c r="H16" s="37" t="s">
        <v>49</v>
      </c>
      <c r="I16" s="77">
        <v>44</v>
      </c>
      <c r="J16" s="34" t="s">
        <v>33</v>
      </c>
      <c r="K16" s="37" t="s">
        <v>42</v>
      </c>
      <c r="L16" s="39">
        <f>LOOKUP(L15,[1]Hoja2!$B$6:$B$18,[1]Hoja2!$E$6:$E$18)</f>
        <v>3.0419999999999998</v>
      </c>
      <c r="M16" s="34" t="s">
        <v>43</v>
      </c>
    </row>
    <row r="17" spans="2:13" x14ac:dyDescent="0.2">
      <c r="B17" s="37" t="s">
        <v>50</v>
      </c>
      <c r="C17" s="38">
        <v>1.5</v>
      </c>
      <c r="D17" s="34" t="s">
        <v>23</v>
      </c>
      <c r="E17" s="37" t="s">
        <v>51</v>
      </c>
      <c r="F17" s="38">
        <v>4</v>
      </c>
      <c r="G17" s="34" t="s">
        <v>39</v>
      </c>
      <c r="H17" s="37" t="s">
        <v>51</v>
      </c>
      <c r="I17" s="38">
        <v>4</v>
      </c>
      <c r="J17" s="34" t="s">
        <v>39</v>
      </c>
      <c r="K17" s="37" t="s">
        <v>45</v>
      </c>
      <c r="L17" s="40">
        <f>(C15-(L13/100)-(L13/100))+0.9+0.9</f>
        <v>6.9600000000000009</v>
      </c>
      <c r="M17" s="34" t="s">
        <v>23</v>
      </c>
    </row>
    <row r="18" spans="2:13" x14ac:dyDescent="0.2">
      <c r="B18" s="37" t="s">
        <v>52</v>
      </c>
      <c r="C18" s="73">
        <v>1.1200000000000001</v>
      </c>
      <c r="D18" s="34" t="s">
        <v>23</v>
      </c>
      <c r="E18" s="37" t="s">
        <v>53</v>
      </c>
      <c r="F18" s="39">
        <f>LOOKUP(F17,[1]Hoja2!$B$6:$B$18,[1]Hoja2!$E$6:$E$18)</f>
        <v>0.99399999999999999</v>
      </c>
      <c r="G18" s="34" t="s">
        <v>43</v>
      </c>
      <c r="H18" s="37" t="s">
        <v>53</v>
      </c>
      <c r="I18" s="39">
        <f>LOOKUP(I17,[1]Hoja2!$B$6:$B$18,[1]Hoja2!$E$6:$E$18)</f>
        <v>0.99399999999999999</v>
      </c>
      <c r="J18" s="34" t="s">
        <v>43</v>
      </c>
      <c r="K18" s="37" t="s">
        <v>54</v>
      </c>
      <c r="L18" s="38">
        <v>20</v>
      </c>
      <c r="M18" s="28" t="s">
        <v>36</v>
      </c>
    </row>
    <row r="19" spans="2:13" x14ac:dyDescent="0.2">
      <c r="B19" s="80" t="s">
        <v>55</v>
      </c>
      <c r="C19" s="38"/>
      <c r="D19" s="34"/>
      <c r="E19" s="37" t="s">
        <v>44</v>
      </c>
      <c r="F19" s="38">
        <v>10</v>
      </c>
      <c r="G19" s="34" t="s">
        <v>36</v>
      </c>
      <c r="H19" s="37" t="s">
        <v>44</v>
      </c>
      <c r="I19" s="38">
        <v>7</v>
      </c>
      <c r="J19" s="34" t="s">
        <v>36</v>
      </c>
      <c r="K19" s="37" t="s">
        <v>56</v>
      </c>
      <c r="L19" s="39">
        <f>ROUNDDOWN((C17-(25/100)-(25/100))/(L18/100)+1,0)</f>
        <v>6</v>
      </c>
      <c r="M19" s="28" t="s">
        <v>33</v>
      </c>
    </row>
    <row r="20" spans="2:13" x14ac:dyDescent="0.2">
      <c r="B20" s="37" t="s">
        <v>57</v>
      </c>
      <c r="C20" s="39">
        <f>+C15+1+1</f>
        <v>7.5</v>
      </c>
      <c r="D20" s="34" t="s">
        <v>23</v>
      </c>
      <c r="E20" s="37" t="s">
        <v>35</v>
      </c>
      <c r="F20" s="43">
        <f>(PI()*(C12-F19-F19))/F11</f>
        <v>15.707963267948966</v>
      </c>
      <c r="G20" s="34" t="s">
        <v>36</v>
      </c>
      <c r="H20" s="37" t="s">
        <v>35</v>
      </c>
      <c r="I20" s="43">
        <f>(PI()*(C29*(100)-I19-I19))/I11</f>
        <v>12.479104151759456</v>
      </c>
      <c r="J20" s="34" t="s">
        <v>36</v>
      </c>
      <c r="K20" s="37" t="s">
        <v>58</v>
      </c>
      <c r="L20" s="38">
        <v>6</v>
      </c>
      <c r="M20" s="28" t="s">
        <v>39</v>
      </c>
    </row>
    <row r="21" spans="2:13" ht="15" thickBot="1" x14ac:dyDescent="0.25">
      <c r="B21" s="37" t="s">
        <v>59</v>
      </c>
      <c r="C21" s="39">
        <f>+C16+1+1</f>
        <v>7.5</v>
      </c>
      <c r="D21" s="34" t="s">
        <v>23</v>
      </c>
      <c r="E21" s="44" t="s">
        <v>60</v>
      </c>
      <c r="F21" s="45">
        <f>((PI()*(C12-F19-F19))+(F20*(3)+F20*(3)+((LOOKUP(F17,[1]Hoja2!$B$6:$B$18,[1]Hoja2!$H$6:$H$18))*2)+20))/100</f>
        <v>3.8957519189487719</v>
      </c>
      <c r="G21" s="34" t="s">
        <v>23</v>
      </c>
      <c r="H21" s="44" t="s">
        <v>60</v>
      </c>
      <c r="I21" s="45">
        <f>((PI()*(C29*(100)-I19-I19))+(I20*(3)+I20*(3)+((LOOKUP(I17,[1]Hoja2!$B$6:$B$18,[1]Hoja2!$H$6:$H$18))*2)+20))/100</f>
        <v>10.173701238372375</v>
      </c>
      <c r="J21" s="34" t="s">
        <v>23</v>
      </c>
      <c r="K21" s="37" t="s">
        <v>61</v>
      </c>
      <c r="L21" s="39">
        <f>LOOKUP(L20,[1]Hoja2!$B$6:$B$18,[1]Hoja2!$E$6:$E$18)</f>
        <v>2.2349999999999999</v>
      </c>
      <c r="M21" s="34" t="s">
        <v>43</v>
      </c>
    </row>
    <row r="22" spans="2:13" ht="15" thickBot="1" x14ac:dyDescent="0.25">
      <c r="B22" s="37" t="s">
        <v>50</v>
      </c>
      <c r="C22" s="40">
        <f>+C18+C17+C27</f>
        <v>2.67</v>
      </c>
      <c r="D22" s="34" t="s">
        <v>23</v>
      </c>
      <c r="K22" s="44" t="s">
        <v>62</v>
      </c>
      <c r="L22" s="46">
        <f>C15-(L13/100)-(L13/100)</f>
        <v>5.16</v>
      </c>
      <c r="M22" s="34" t="s">
        <v>23</v>
      </c>
    </row>
    <row r="23" spans="2:13" ht="15" thickBot="1" x14ac:dyDescent="0.25">
      <c r="B23" s="37"/>
      <c r="C23" s="36"/>
      <c r="D23" s="34"/>
      <c r="H23" s="107" t="s">
        <v>28</v>
      </c>
      <c r="I23" s="108"/>
    </row>
    <row r="24" spans="2:13" x14ac:dyDescent="0.2">
      <c r="B24" s="80" t="s">
        <v>63</v>
      </c>
      <c r="C24" s="38"/>
      <c r="D24" s="34"/>
      <c r="H24" s="114" t="s">
        <v>64</v>
      </c>
      <c r="I24" s="115"/>
      <c r="K24" s="107" t="s">
        <v>28</v>
      </c>
      <c r="L24" s="108"/>
      <c r="M24" s="31"/>
    </row>
    <row r="25" spans="2:13" x14ac:dyDescent="0.2">
      <c r="B25" s="37" t="s">
        <v>46</v>
      </c>
      <c r="C25" s="40">
        <f>+C15</f>
        <v>5.5</v>
      </c>
      <c r="D25" s="34" t="s">
        <v>23</v>
      </c>
      <c r="H25" s="37" t="s">
        <v>34</v>
      </c>
      <c r="I25" s="39">
        <f>IF(C29=2.5,12*2,IF(C29=3,13*2,IF(C29=3.7,14*2)))</f>
        <v>26</v>
      </c>
      <c r="J25" s="34" t="s">
        <v>33</v>
      </c>
      <c r="K25" s="114" t="s">
        <v>65</v>
      </c>
      <c r="L25" s="115"/>
      <c r="M25" s="31"/>
    </row>
    <row r="26" spans="2:13" x14ac:dyDescent="0.2">
      <c r="B26" s="37" t="s">
        <v>48</v>
      </c>
      <c r="C26" s="40">
        <f>+C16</f>
        <v>5.5</v>
      </c>
      <c r="D26" s="34" t="s">
        <v>23</v>
      </c>
      <c r="H26" s="37" t="s">
        <v>38</v>
      </c>
      <c r="I26" s="38">
        <v>4</v>
      </c>
      <c r="J26" s="34" t="s">
        <v>39</v>
      </c>
      <c r="K26" s="37" t="s">
        <v>34</v>
      </c>
      <c r="L26" s="38">
        <f>17*4</f>
        <v>68</v>
      </c>
      <c r="M26" s="34" t="s">
        <v>33</v>
      </c>
    </row>
    <row r="27" spans="2:13" x14ac:dyDescent="0.2">
      <c r="B27" s="37" t="s">
        <v>50</v>
      </c>
      <c r="C27" s="38">
        <v>0.05</v>
      </c>
      <c r="D27" s="34" t="s">
        <v>23</v>
      </c>
      <c r="H27" s="37" t="s">
        <v>42</v>
      </c>
      <c r="I27" s="39">
        <f>LOOKUP(I26,[1]Hoja2!$B$6:$B$18,[1]Hoja2!$E$6:$E$18)</f>
        <v>0.99399999999999999</v>
      </c>
      <c r="J27" s="34" t="s">
        <v>43</v>
      </c>
      <c r="K27" s="37" t="s">
        <v>38</v>
      </c>
      <c r="L27" s="38">
        <v>4</v>
      </c>
      <c r="M27" s="34" t="s">
        <v>39</v>
      </c>
    </row>
    <row r="28" spans="2:13" x14ac:dyDescent="0.2">
      <c r="B28" s="80" t="s">
        <v>66</v>
      </c>
      <c r="C28" s="38"/>
      <c r="D28" s="34"/>
      <c r="H28" s="37" t="s">
        <v>67</v>
      </c>
      <c r="I28" s="38">
        <v>13</v>
      </c>
      <c r="J28" s="34"/>
      <c r="K28" s="37" t="s">
        <v>42</v>
      </c>
      <c r="L28" s="39">
        <f>LOOKUP(L27,[1]Hoja2!$B$6:$B$18,[1]Hoja2!$E$6:$E$18)</f>
        <v>0.99399999999999999</v>
      </c>
      <c r="M28" s="34" t="s">
        <v>43</v>
      </c>
    </row>
    <row r="29" spans="2:13" ht="15" thickBot="1" x14ac:dyDescent="0.25">
      <c r="B29" s="37" t="s">
        <v>37</v>
      </c>
      <c r="C29" s="38">
        <v>3</v>
      </c>
      <c r="D29" s="34" t="s">
        <v>23</v>
      </c>
      <c r="H29" s="44" t="s">
        <v>68</v>
      </c>
      <c r="I29" s="45">
        <f>IF(C29=2.5,(1.8+([1]Hoja2!I10/100*4)+(0.2)),IF(C29=3,(2.09+([1]Hoja2!I10/100*4)+(0.2)),IF(C29=3.7,(2.07+([1]Hoja2!I10/100*4)+(0.2)))))</f>
        <v>2.5700000000000003</v>
      </c>
      <c r="J29" s="34" t="s">
        <v>23</v>
      </c>
      <c r="K29" s="44" t="s">
        <v>68</v>
      </c>
      <c r="L29" s="45">
        <f>((0.6+1.235)*2)+0.21+0.24</f>
        <v>4.12</v>
      </c>
      <c r="M29" s="34" t="s">
        <v>23</v>
      </c>
    </row>
    <row r="30" spans="2:13" ht="15" thickBot="1" x14ac:dyDescent="0.25">
      <c r="B30" s="44" t="s">
        <v>69</v>
      </c>
      <c r="C30" s="47">
        <v>3</v>
      </c>
      <c r="D30" s="34" t="s">
        <v>23</v>
      </c>
      <c r="G30" s="34"/>
      <c r="K30" s="48"/>
      <c r="L30" s="49"/>
      <c r="M30" s="34"/>
    </row>
    <row r="31" spans="2:13" x14ac:dyDescent="0.2">
      <c r="B31" s="48"/>
      <c r="C31" s="50"/>
      <c r="D31" s="34"/>
      <c r="E31" s="48"/>
      <c r="F31" s="50"/>
      <c r="G31" s="34"/>
    </row>
    <row r="32" spans="2:13" x14ac:dyDescent="0.2">
      <c r="B32" s="48"/>
      <c r="C32" s="50"/>
      <c r="D32" s="34"/>
      <c r="E32" s="48"/>
      <c r="F32" s="50"/>
      <c r="G32" s="34"/>
    </row>
    <row r="33" spans="1:11" ht="38.25" x14ac:dyDescent="0.2">
      <c r="A33" s="51" t="s">
        <v>70</v>
      </c>
      <c r="B33" s="78" t="s">
        <v>71</v>
      </c>
      <c r="C33" s="52" t="s">
        <v>72</v>
      </c>
      <c r="D33" s="53" t="s">
        <v>102</v>
      </c>
      <c r="E33" s="54"/>
    </row>
    <row r="34" spans="1:11" ht="76.5" x14ac:dyDescent="0.2">
      <c r="A34" s="78">
        <v>6007</v>
      </c>
      <c r="B34" s="55" t="s">
        <v>73</v>
      </c>
      <c r="C34" s="79" t="s">
        <v>74</v>
      </c>
      <c r="D34" s="57">
        <f>((PI()*(C12*C12)/4/10000)*C13*C11)</f>
        <v>55.354862556252158</v>
      </c>
      <c r="E34" s="58"/>
      <c r="H34" s="59"/>
      <c r="K34" s="59"/>
    </row>
    <row r="35" spans="1:11" ht="102" x14ac:dyDescent="0.2">
      <c r="A35" s="109">
        <v>3708</v>
      </c>
      <c r="B35" s="55" t="s">
        <v>75</v>
      </c>
      <c r="C35" s="56" t="s">
        <v>76</v>
      </c>
      <c r="D35" s="60">
        <f>D36+D37+D38</f>
        <v>13989.747211180606</v>
      </c>
      <c r="H35" s="59"/>
      <c r="K35" s="59"/>
    </row>
    <row r="36" spans="1:11" x14ac:dyDescent="0.2">
      <c r="A36" s="109"/>
      <c r="B36" s="61" t="s">
        <v>29</v>
      </c>
      <c r="C36" s="110" t="s">
        <v>76</v>
      </c>
      <c r="D36" s="62">
        <f>((F14*F11*F13)+(F16*F18*F21))*C11*1.03</f>
        <v>6056.2997726191516</v>
      </c>
    </row>
    <row r="37" spans="1:11" x14ac:dyDescent="0.2">
      <c r="A37" s="109"/>
      <c r="B37" s="61" t="s">
        <v>31</v>
      </c>
      <c r="C37" s="110"/>
      <c r="D37" s="62">
        <f>(((L14*L16*L17*4)+(L19*L21*L22*4))+(L26*L28*L29))*1.03</f>
        <v>2927.1281600000002</v>
      </c>
    </row>
    <row r="38" spans="1:11" x14ac:dyDescent="0.2">
      <c r="A38" s="109"/>
      <c r="B38" s="61" t="s">
        <v>30</v>
      </c>
      <c r="C38" s="110"/>
      <c r="D38" s="63">
        <f>+(I11*I13*I14)+(I16*I18*I21)+(I25*I27*I29*I28)*1.03</f>
        <v>5006.3192785614538</v>
      </c>
    </row>
    <row r="39" spans="1:11" ht="51" x14ac:dyDescent="0.2">
      <c r="A39" s="109">
        <v>3637</v>
      </c>
      <c r="B39" s="55" t="s">
        <v>77</v>
      </c>
      <c r="C39" s="79" t="s">
        <v>74</v>
      </c>
      <c r="D39" s="64">
        <f>D40+D41</f>
        <v>66.580750411731103</v>
      </c>
      <c r="H39" s="58"/>
      <c r="K39" s="58"/>
    </row>
    <row r="40" spans="1:11" x14ac:dyDescent="0.2">
      <c r="A40" s="109"/>
      <c r="B40" s="61" t="s">
        <v>31</v>
      </c>
      <c r="C40" s="110" t="s">
        <v>74</v>
      </c>
      <c r="D40" s="65">
        <f>C15*C16*C17</f>
        <v>45.375</v>
      </c>
    </row>
    <row r="41" spans="1:11" x14ac:dyDescent="0.2">
      <c r="A41" s="109"/>
      <c r="B41" s="61" t="s">
        <v>30</v>
      </c>
      <c r="C41" s="110"/>
      <c r="D41" s="65">
        <f>(PI()*C29*C29/4)*C30</f>
        <v>21.205750411731103</v>
      </c>
    </row>
    <row r="42" spans="1:11" ht="38.25" x14ac:dyDescent="0.2">
      <c r="A42" s="78">
        <v>5055</v>
      </c>
      <c r="B42" s="55" t="s">
        <v>78</v>
      </c>
      <c r="C42" s="79" t="s">
        <v>74</v>
      </c>
      <c r="D42" s="65">
        <f>((PI()*(C12*C12)/4/10000)*(C17+C18)*C11)</f>
        <v>8.2309727524052576</v>
      </c>
      <c r="H42" s="58"/>
      <c r="K42" s="58"/>
    </row>
    <row r="43" spans="1:11" ht="51" x14ac:dyDescent="0.2">
      <c r="A43" s="78">
        <v>6021</v>
      </c>
      <c r="B43" s="55" t="s">
        <v>87</v>
      </c>
      <c r="C43" s="79" t="s">
        <v>74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74">
        <v>5416</v>
      </c>
      <c r="B44" s="72" t="s">
        <v>88</v>
      </c>
      <c r="C44" s="66" t="s">
        <v>74</v>
      </c>
      <c r="D44" s="75">
        <f>C20*C21*C22</f>
        <v>150.1875</v>
      </c>
      <c r="E44" s="76"/>
      <c r="H44" s="59"/>
      <c r="K44" s="59"/>
    </row>
    <row r="45" spans="1:11" ht="51" x14ac:dyDescent="0.2">
      <c r="A45" s="74">
        <v>3017</v>
      </c>
      <c r="B45" s="72" t="s">
        <v>89</v>
      </c>
      <c r="C45" s="66" t="s">
        <v>74</v>
      </c>
      <c r="D45" s="65">
        <f>D44</f>
        <v>150.1875</v>
      </c>
      <c r="E45" s="76"/>
      <c r="H45" s="58"/>
      <c r="K45" s="58"/>
    </row>
    <row r="46" spans="1:11" ht="38.25" x14ac:dyDescent="0.2">
      <c r="A46" s="74">
        <v>4908</v>
      </c>
      <c r="B46" s="55" t="s">
        <v>79</v>
      </c>
      <c r="C46" s="79" t="s">
        <v>74</v>
      </c>
      <c r="D46" s="65">
        <f>D44-(C25*C26*C27)-D40-((PI()*C29*C29/4)*C18)</f>
        <v>95.383186512953728</v>
      </c>
      <c r="K46" s="58"/>
    </row>
    <row r="47" spans="1:11" x14ac:dyDescent="0.2">
      <c r="A47" s="74"/>
    </row>
    <row r="48" spans="1:11" x14ac:dyDescent="0.2">
      <c r="A48" s="74"/>
    </row>
    <row r="49" spans="1:1" x14ac:dyDescent="0.2">
      <c r="A49" s="7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2581-5489-453E-87E2-206A54825403}">
  <sheetPr>
    <tabColor rgb="FFFFFF00"/>
  </sheetPr>
  <dimension ref="A2:M50"/>
  <sheetViews>
    <sheetView view="pageBreakPreview" topLeftCell="A7" zoomScale="85" zoomScaleNormal="85" zoomScaleSheetLayoutView="85" workbookViewId="0">
      <selection activeCell="E29" sqref="E29"/>
    </sheetView>
  </sheetViews>
  <sheetFormatPr baseColWidth="10" defaultRowHeight="14.25" x14ac:dyDescent="0.2"/>
  <cols>
    <col min="1" max="1" width="9.7109375" style="28" customWidth="1"/>
    <col min="2" max="2" width="42.85546875" style="28" customWidth="1"/>
    <col min="3" max="3" width="12.28515625" style="31" customWidth="1"/>
    <col min="4" max="4" width="12.85546875" style="31" customWidth="1"/>
    <col min="5" max="5" width="28.7109375" style="31" bestFit="1" customWidth="1"/>
    <col min="6" max="7" width="11.42578125" style="31"/>
    <col min="8" max="8" width="28.7109375" style="31" customWidth="1"/>
    <col min="9" max="10" width="11.42578125" style="31"/>
    <col min="11" max="11" width="28.7109375" style="31" customWidth="1"/>
    <col min="12" max="16384" width="11.42578125" style="28"/>
  </cols>
  <sheetData>
    <row r="2" spans="2:13" ht="16.5" x14ac:dyDescent="0.2">
      <c r="C2" s="29"/>
      <c r="D2" s="29"/>
      <c r="E2" s="30" t="s">
        <v>24</v>
      </c>
      <c r="F2" s="29"/>
      <c r="G2" s="29"/>
    </row>
    <row r="3" spans="2:13" ht="16.5" x14ac:dyDescent="0.3">
      <c r="C3" s="29"/>
      <c r="D3" s="29"/>
      <c r="E3" s="27" t="s">
        <v>25</v>
      </c>
      <c r="F3" s="29"/>
      <c r="G3" s="29"/>
    </row>
    <row r="4" spans="2:13" ht="16.5" x14ac:dyDescent="0.2">
      <c r="C4" s="29"/>
      <c r="D4" s="29"/>
      <c r="E4" s="32"/>
      <c r="F4" s="29"/>
      <c r="G4" s="29"/>
    </row>
    <row r="5" spans="2:13" ht="16.5" x14ac:dyDescent="0.3">
      <c r="C5" s="29"/>
      <c r="D5" s="29"/>
      <c r="E5" s="33" t="s">
        <v>26</v>
      </c>
      <c r="F5" s="29"/>
      <c r="G5" s="29"/>
    </row>
    <row r="7" spans="2:13" ht="16.5" x14ac:dyDescent="0.3">
      <c r="E7" s="111" t="s">
        <v>109</v>
      </c>
      <c r="F7" s="111"/>
      <c r="G7" s="111"/>
      <c r="H7" s="111"/>
      <c r="I7" s="111"/>
    </row>
    <row r="8" spans="2:13" ht="15" thickBot="1" x14ac:dyDescent="0.25"/>
    <row r="9" spans="2:13" x14ac:dyDescent="0.2">
      <c r="B9" s="112" t="s">
        <v>27</v>
      </c>
      <c r="C9" s="113"/>
      <c r="D9" s="34"/>
      <c r="E9" s="107" t="s">
        <v>28</v>
      </c>
      <c r="F9" s="108"/>
      <c r="G9" s="34"/>
      <c r="H9" s="107" t="s">
        <v>28</v>
      </c>
      <c r="I9" s="108"/>
      <c r="K9" s="107" t="s">
        <v>28</v>
      </c>
      <c r="L9" s="108"/>
    </row>
    <row r="10" spans="2:13" x14ac:dyDescent="0.2">
      <c r="B10" s="80" t="s">
        <v>29</v>
      </c>
      <c r="C10" s="35"/>
      <c r="D10" s="34"/>
      <c r="E10" s="80" t="s">
        <v>29</v>
      </c>
      <c r="F10" s="35"/>
      <c r="G10" s="34"/>
      <c r="H10" s="80" t="s">
        <v>30</v>
      </c>
      <c r="I10" s="36"/>
      <c r="J10" s="34"/>
      <c r="K10" s="80" t="s">
        <v>31</v>
      </c>
      <c r="L10" s="36"/>
    </row>
    <row r="11" spans="2:13" x14ac:dyDescent="0.2">
      <c r="B11" s="37" t="s">
        <v>32</v>
      </c>
      <c r="C11" s="38">
        <v>4</v>
      </c>
      <c r="D11" s="34" t="s">
        <v>33</v>
      </c>
      <c r="E11" s="37" t="s">
        <v>34</v>
      </c>
      <c r="F11" s="38">
        <v>16</v>
      </c>
      <c r="G11" s="34" t="s">
        <v>33</v>
      </c>
      <c r="H11" s="37" t="s">
        <v>34</v>
      </c>
      <c r="I11" s="38">
        <v>72</v>
      </c>
      <c r="J11" s="34" t="s">
        <v>33</v>
      </c>
      <c r="K11" s="37" t="s">
        <v>35</v>
      </c>
      <c r="L11" s="38">
        <v>20</v>
      </c>
      <c r="M11" s="28" t="s">
        <v>36</v>
      </c>
    </row>
    <row r="12" spans="2:13" x14ac:dyDescent="0.2">
      <c r="B12" s="37" t="s">
        <v>37</v>
      </c>
      <c r="C12" s="38">
        <v>100</v>
      </c>
      <c r="D12" s="34" t="s">
        <v>36</v>
      </c>
      <c r="E12" s="37" t="s">
        <v>38</v>
      </c>
      <c r="F12" s="38">
        <v>8</v>
      </c>
      <c r="G12" s="34" t="s">
        <v>39</v>
      </c>
      <c r="H12" s="37" t="s">
        <v>38</v>
      </c>
      <c r="I12" s="38">
        <v>11</v>
      </c>
      <c r="J12" s="34" t="s">
        <v>39</v>
      </c>
      <c r="K12" s="37" t="s">
        <v>40</v>
      </c>
      <c r="L12" s="38">
        <v>1</v>
      </c>
      <c r="M12" s="34"/>
    </row>
    <row r="13" spans="2:13" x14ac:dyDescent="0.2">
      <c r="B13" s="37" t="s">
        <v>41</v>
      </c>
      <c r="C13" s="38">
        <v>15.71</v>
      </c>
      <c r="D13" s="34" t="s">
        <v>23</v>
      </c>
      <c r="E13" s="37" t="s">
        <v>42</v>
      </c>
      <c r="F13" s="39">
        <f>LOOKUP(F12,[1]Hoja2!$B$6:$B$18,[1]Hoja2!$E$6:$E$18)</f>
        <v>3.9729999999999999</v>
      </c>
      <c r="G13" s="34" t="s">
        <v>43</v>
      </c>
      <c r="H13" s="37" t="s">
        <v>42</v>
      </c>
      <c r="I13" s="39">
        <f>LOOKUP(I12,[1]Hoja2!$B$6:$B$18,[1]Hoja2!$E$6:$E$18)</f>
        <v>7.907</v>
      </c>
      <c r="J13" s="34" t="s">
        <v>43</v>
      </c>
      <c r="K13" s="37" t="s">
        <v>95</v>
      </c>
      <c r="L13" s="38">
        <v>17</v>
      </c>
      <c r="M13" s="34" t="s">
        <v>36</v>
      </c>
    </row>
    <row r="14" spans="2:13" x14ac:dyDescent="0.2">
      <c r="B14" s="80" t="s">
        <v>31</v>
      </c>
      <c r="C14" s="38"/>
      <c r="D14" s="34"/>
      <c r="E14" s="37" t="s">
        <v>45</v>
      </c>
      <c r="F14" s="82">
        <f>(C13-0.21-0.5-0.15)+(IF(C12=100,1,1.2))</f>
        <v>15.85</v>
      </c>
      <c r="G14" s="34" t="s">
        <v>23</v>
      </c>
      <c r="H14" s="37" t="s">
        <v>45</v>
      </c>
      <c r="I14" s="40">
        <f>(C30+C17-0.3-0.15)+(2.4)</f>
        <v>5.45</v>
      </c>
      <c r="J14" s="34" t="s">
        <v>23</v>
      </c>
      <c r="K14" s="37" t="s">
        <v>34</v>
      </c>
      <c r="L14" s="39">
        <f>IF(L12=1,(ROUNDUP(((C15-(2*L13/100))*(L12)/(L11/100))+1,0)),(ROUNDUP(((C15-(2*L13/100))*(L12)/(L11/100))+2,0)))</f>
        <v>27</v>
      </c>
      <c r="M14" s="28" t="s">
        <v>33</v>
      </c>
    </row>
    <row r="15" spans="2:13" x14ac:dyDescent="0.2">
      <c r="B15" s="37" t="s">
        <v>46</v>
      </c>
      <c r="C15" s="38">
        <v>5.5</v>
      </c>
      <c r="D15" s="34" t="s">
        <v>23</v>
      </c>
      <c r="E15" s="37" t="s">
        <v>47</v>
      </c>
      <c r="F15" s="36">
        <v>0.1</v>
      </c>
      <c r="G15" s="41" t="s">
        <v>23</v>
      </c>
      <c r="H15" s="37" t="s">
        <v>47</v>
      </c>
      <c r="I15" s="36">
        <v>0.1</v>
      </c>
      <c r="J15" s="41" t="s">
        <v>23</v>
      </c>
      <c r="K15" s="37" t="s">
        <v>38</v>
      </c>
      <c r="L15" s="38">
        <v>7</v>
      </c>
      <c r="M15" s="28" t="s">
        <v>39</v>
      </c>
    </row>
    <row r="16" spans="2:13" x14ac:dyDescent="0.2">
      <c r="B16" s="37" t="s">
        <v>48</v>
      </c>
      <c r="C16" s="38">
        <v>5.5</v>
      </c>
      <c r="D16" s="34" t="s">
        <v>23</v>
      </c>
      <c r="E16" s="37" t="s">
        <v>49</v>
      </c>
      <c r="F16" s="42">
        <v>98</v>
      </c>
      <c r="G16" s="34" t="s">
        <v>33</v>
      </c>
      <c r="H16" s="37" t="s">
        <v>49</v>
      </c>
      <c r="I16" s="77">
        <v>34</v>
      </c>
      <c r="J16" s="34" t="s">
        <v>33</v>
      </c>
      <c r="K16" s="37" t="s">
        <v>42</v>
      </c>
      <c r="L16" s="39">
        <f>LOOKUP(L15,[1]Hoja2!$B$6:$B$18,[1]Hoja2!$E$6:$E$18)</f>
        <v>3.0419999999999998</v>
      </c>
      <c r="M16" s="34" t="s">
        <v>43</v>
      </c>
    </row>
    <row r="17" spans="2:13" x14ac:dyDescent="0.2">
      <c r="B17" s="37" t="s">
        <v>50</v>
      </c>
      <c r="C17" s="38">
        <v>1.5</v>
      </c>
      <c r="D17" s="34" t="s">
        <v>23</v>
      </c>
      <c r="E17" s="37" t="s">
        <v>51</v>
      </c>
      <c r="F17" s="38">
        <v>4</v>
      </c>
      <c r="G17" s="34" t="s">
        <v>39</v>
      </c>
      <c r="H17" s="37" t="s">
        <v>51</v>
      </c>
      <c r="I17" s="38">
        <v>4</v>
      </c>
      <c r="J17" s="34" t="s">
        <v>39</v>
      </c>
      <c r="K17" s="37" t="s">
        <v>45</v>
      </c>
      <c r="L17" s="40">
        <f>(C15-(L13/100)-(L13/100))+0.9+0.9</f>
        <v>6.9600000000000009</v>
      </c>
      <c r="M17" s="34" t="s">
        <v>23</v>
      </c>
    </row>
    <row r="18" spans="2:13" x14ac:dyDescent="0.2">
      <c r="B18" s="37" t="s">
        <v>52</v>
      </c>
      <c r="C18" s="73">
        <v>1.18</v>
      </c>
      <c r="D18" s="34" t="s">
        <v>23</v>
      </c>
      <c r="E18" s="37" t="s">
        <v>53</v>
      </c>
      <c r="F18" s="39">
        <f>LOOKUP(F17,[1]Hoja2!$B$6:$B$18,[1]Hoja2!$E$6:$E$18)</f>
        <v>0.99399999999999999</v>
      </c>
      <c r="G18" s="34" t="s">
        <v>43</v>
      </c>
      <c r="H18" s="37" t="s">
        <v>53</v>
      </c>
      <c r="I18" s="39">
        <f>LOOKUP(I17,[1]Hoja2!$B$6:$B$18,[1]Hoja2!$E$6:$E$18)</f>
        <v>0.99399999999999999</v>
      </c>
      <c r="J18" s="34" t="s">
        <v>43</v>
      </c>
      <c r="K18" s="37" t="s">
        <v>54</v>
      </c>
      <c r="L18" s="38">
        <v>20</v>
      </c>
      <c r="M18" s="28" t="s">
        <v>36</v>
      </c>
    </row>
    <row r="19" spans="2:13" x14ac:dyDescent="0.2">
      <c r="B19" s="80" t="s">
        <v>55</v>
      </c>
      <c r="C19" s="38"/>
      <c r="D19" s="34"/>
      <c r="E19" s="37" t="s">
        <v>44</v>
      </c>
      <c r="F19" s="38">
        <v>10</v>
      </c>
      <c r="G19" s="34" t="s">
        <v>36</v>
      </c>
      <c r="H19" s="37" t="s">
        <v>44</v>
      </c>
      <c r="I19" s="38">
        <v>7</v>
      </c>
      <c r="J19" s="34" t="s">
        <v>36</v>
      </c>
      <c r="K19" s="37" t="s">
        <v>56</v>
      </c>
      <c r="L19" s="39">
        <f>ROUNDDOWN((C17-(25/100)-(25/100))/(L18/100)+1,0)</f>
        <v>6</v>
      </c>
      <c r="M19" s="28" t="s">
        <v>33</v>
      </c>
    </row>
    <row r="20" spans="2:13" x14ac:dyDescent="0.2">
      <c r="B20" s="37" t="s">
        <v>57</v>
      </c>
      <c r="C20" s="39">
        <f>+C15+1+1</f>
        <v>7.5</v>
      </c>
      <c r="D20" s="34" t="s">
        <v>23</v>
      </c>
      <c r="E20" s="37" t="s">
        <v>35</v>
      </c>
      <c r="F20" s="43">
        <f>(PI()*(C12-F19-F19))/F11</f>
        <v>15.707963267948966</v>
      </c>
      <c r="G20" s="34" t="s">
        <v>36</v>
      </c>
      <c r="H20" s="37" t="s">
        <v>35</v>
      </c>
      <c r="I20" s="43">
        <f>(PI()*(C29*(100)-I19-I19))/I11</f>
        <v>12.479104151759456</v>
      </c>
      <c r="J20" s="34" t="s">
        <v>36</v>
      </c>
      <c r="K20" s="37" t="s">
        <v>58</v>
      </c>
      <c r="L20" s="38">
        <v>6</v>
      </c>
      <c r="M20" s="28" t="s">
        <v>39</v>
      </c>
    </row>
    <row r="21" spans="2:13" ht="15" thickBot="1" x14ac:dyDescent="0.25">
      <c r="B21" s="37" t="s">
        <v>59</v>
      </c>
      <c r="C21" s="39">
        <f>+C16+1+1</f>
        <v>7.5</v>
      </c>
      <c r="D21" s="34" t="s">
        <v>23</v>
      </c>
      <c r="E21" s="44" t="s">
        <v>60</v>
      </c>
      <c r="F21" s="45">
        <f>((PI()*(C12-F19-F19))+(F20*(3)+F20*(3)+((LOOKUP(F17,[1]Hoja2!$B$6:$B$18,[1]Hoja2!$H$6:$H$18))*2)+20))/100</f>
        <v>3.8957519189487719</v>
      </c>
      <c r="G21" s="34" t="s">
        <v>23</v>
      </c>
      <c r="H21" s="44" t="s">
        <v>60</v>
      </c>
      <c r="I21" s="45">
        <f>((PI()*(C29*(100)-I19-I19))+(I20*(3)+I20*(3)+((LOOKUP(I17,[1]Hoja2!$B$6:$B$18,[1]Hoja2!$H$6:$H$18))*2)+20))/100</f>
        <v>10.173701238372375</v>
      </c>
      <c r="J21" s="34" t="s">
        <v>23</v>
      </c>
      <c r="K21" s="37" t="s">
        <v>61</v>
      </c>
      <c r="L21" s="39">
        <f>LOOKUP(L20,[1]Hoja2!$B$6:$B$18,[1]Hoja2!$E$6:$E$18)</f>
        <v>2.2349999999999999</v>
      </c>
      <c r="M21" s="34" t="s">
        <v>43</v>
      </c>
    </row>
    <row r="22" spans="2:13" ht="15" thickBot="1" x14ac:dyDescent="0.25">
      <c r="B22" s="37" t="s">
        <v>50</v>
      </c>
      <c r="C22" s="40">
        <f>+C18+C17+C27</f>
        <v>2.7299999999999995</v>
      </c>
      <c r="D22" s="34" t="s">
        <v>23</v>
      </c>
      <c r="K22" s="44" t="s">
        <v>62</v>
      </c>
      <c r="L22" s="46">
        <f>C15-(L13/100)-(L13/100)</f>
        <v>5.16</v>
      </c>
      <c r="M22" s="34" t="s">
        <v>23</v>
      </c>
    </row>
    <row r="23" spans="2:13" ht="15" thickBot="1" x14ac:dyDescent="0.25">
      <c r="B23" s="37"/>
      <c r="C23" s="36"/>
      <c r="D23" s="34"/>
      <c r="H23" s="107" t="s">
        <v>28</v>
      </c>
      <c r="I23" s="108"/>
    </row>
    <row r="24" spans="2:13" x14ac:dyDescent="0.2">
      <c r="B24" s="80" t="s">
        <v>63</v>
      </c>
      <c r="C24" s="38"/>
      <c r="D24" s="34"/>
      <c r="H24" s="114" t="s">
        <v>64</v>
      </c>
      <c r="I24" s="115"/>
      <c r="K24" s="107" t="s">
        <v>28</v>
      </c>
      <c r="L24" s="108"/>
      <c r="M24" s="31"/>
    </row>
    <row r="25" spans="2:13" x14ac:dyDescent="0.2">
      <c r="B25" s="37" t="s">
        <v>46</v>
      </c>
      <c r="C25" s="40">
        <f>+C15</f>
        <v>5.5</v>
      </c>
      <c r="D25" s="34" t="s">
        <v>23</v>
      </c>
      <c r="H25" s="37" t="s">
        <v>34</v>
      </c>
      <c r="I25" s="39">
        <f>IF(C29=2.5,12*2,IF(C29=3,13*2,IF(C29=3.7,14*2)))</f>
        <v>26</v>
      </c>
      <c r="J25" s="34" t="s">
        <v>33</v>
      </c>
      <c r="K25" s="114" t="s">
        <v>65</v>
      </c>
      <c r="L25" s="115"/>
      <c r="M25" s="31"/>
    </row>
    <row r="26" spans="2:13" x14ac:dyDescent="0.2">
      <c r="B26" s="37" t="s">
        <v>48</v>
      </c>
      <c r="C26" s="40">
        <f>+C16</f>
        <v>5.5</v>
      </c>
      <c r="D26" s="34" t="s">
        <v>23</v>
      </c>
      <c r="H26" s="37" t="s">
        <v>38</v>
      </c>
      <c r="I26" s="38">
        <v>4</v>
      </c>
      <c r="J26" s="34" t="s">
        <v>39</v>
      </c>
      <c r="K26" s="37" t="s">
        <v>34</v>
      </c>
      <c r="L26" s="38">
        <f>17*4</f>
        <v>68</v>
      </c>
      <c r="M26" s="34" t="s">
        <v>33</v>
      </c>
    </row>
    <row r="27" spans="2:13" x14ac:dyDescent="0.2">
      <c r="B27" s="37" t="s">
        <v>50</v>
      </c>
      <c r="C27" s="38">
        <v>0.05</v>
      </c>
      <c r="D27" s="34" t="s">
        <v>23</v>
      </c>
      <c r="H27" s="37" t="s">
        <v>42</v>
      </c>
      <c r="I27" s="39">
        <f>LOOKUP(I26,[1]Hoja2!$B$6:$B$18,[1]Hoja2!$E$6:$E$18)</f>
        <v>0.99399999999999999</v>
      </c>
      <c r="J27" s="34" t="s">
        <v>43</v>
      </c>
      <c r="K27" s="37" t="s">
        <v>38</v>
      </c>
      <c r="L27" s="38">
        <v>4</v>
      </c>
      <c r="M27" s="34" t="s">
        <v>39</v>
      </c>
    </row>
    <row r="28" spans="2:13" x14ac:dyDescent="0.2">
      <c r="B28" s="80" t="s">
        <v>66</v>
      </c>
      <c r="C28" s="38"/>
      <c r="D28" s="34"/>
      <c r="H28" s="37" t="s">
        <v>67</v>
      </c>
      <c r="I28" s="38">
        <v>13</v>
      </c>
      <c r="J28" s="34"/>
      <c r="K28" s="37" t="s">
        <v>42</v>
      </c>
      <c r="L28" s="39">
        <f>LOOKUP(L27,[1]Hoja2!$B$6:$B$18,[1]Hoja2!$E$6:$E$18)</f>
        <v>0.99399999999999999</v>
      </c>
      <c r="M28" s="34" t="s">
        <v>43</v>
      </c>
    </row>
    <row r="29" spans="2:13" ht="15" thickBot="1" x14ac:dyDescent="0.25">
      <c r="B29" s="37" t="s">
        <v>37</v>
      </c>
      <c r="C29" s="38">
        <v>3</v>
      </c>
      <c r="D29" s="34" t="s">
        <v>23</v>
      </c>
      <c r="H29" s="44" t="s">
        <v>68</v>
      </c>
      <c r="I29" s="45">
        <f>IF(C29=2.5,(1.8+([1]Hoja2!I10/100*4)+(0.2)),IF(C29=3,(2.09+([1]Hoja2!I10/100*4)+(0.2)),IF(C29=3.7,(2.07+([1]Hoja2!I10/100*4)+(0.2)))))</f>
        <v>2.5700000000000003</v>
      </c>
      <c r="J29" s="34" t="s">
        <v>23</v>
      </c>
      <c r="K29" s="44" t="s">
        <v>68</v>
      </c>
      <c r="L29" s="45">
        <f>((0.6+1.235)*2)+0.21+0.24</f>
        <v>4.12</v>
      </c>
      <c r="M29" s="34" t="s">
        <v>23</v>
      </c>
    </row>
    <row r="30" spans="2:13" ht="15" thickBot="1" x14ac:dyDescent="0.25">
      <c r="B30" s="44" t="s">
        <v>69</v>
      </c>
      <c r="C30" s="47">
        <v>2</v>
      </c>
      <c r="D30" s="34" t="s">
        <v>23</v>
      </c>
      <c r="G30" s="34"/>
      <c r="K30" s="48"/>
      <c r="L30" s="49"/>
      <c r="M30" s="34"/>
    </row>
    <row r="31" spans="2:13" x14ac:dyDescent="0.2">
      <c r="B31" s="48"/>
      <c r="C31" s="50"/>
      <c r="D31" s="34"/>
      <c r="E31" s="48"/>
      <c r="F31" s="50"/>
      <c r="G31" s="34"/>
    </row>
    <row r="32" spans="2:13" x14ac:dyDescent="0.2">
      <c r="B32" s="48"/>
      <c r="C32" s="50"/>
      <c r="D32" s="34"/>
      <c r="E32" s="48"/>
      <c r="F32" s="50"/>
      <c r="G32" s="34"/>
    </row>
    <row r="33" spans="1:11" ht="38.25" x14ac:dyDescent="0.2">
      <c r="A33" s="51" t="s">
        <v>70</v>
      </c>
      <c r="B33" s="78" t="s">
        <v>71</v>
      </c>
      <c r="C33" s="52" t="s">
        <v>72</v>
      </c>
      <c r="D33" s="53" t="s">
        <v>103</v>
      </c>
      <c r="E33" s="54"/>
    </row>
    <row r="34" spans="1:11" ht="76.5" x14ac:dyDescent="0.2">
      <c r="A34" s="78">
        <v>6007</v>
      </c>
      <c r="B34" s="55" t="s">
        <v>73</v>
      </c>
      <c r="C34" s="79" t="s">
        <v>74</v>
      </c>
      <c r="D34" s="57">
        <f>((PI()*(C12*C12)/4/10000)*C13*C11)</f>
        <v>49.354420587895653</v>
      </c>
      <c r="E34" s="58"/>
      <c r="H34" s="59"/>
      <c r="K34" s="59"/>
    </row>
    <row r="35" spans="1:11" ht="102" x14ac:dyDescent="0.2">
      <c r="A35" s="109">
        <v>3708</v>
      </c>
      <c r="B35" s="55" t="s">
        <v>75</v>
      </c>
      <c r="C35" s="56" t="s">
        <v>76</v>
      </c>
      <c r="D35" s="60">
        <f>D36+D37+D38</f>
        <v>12977.645486278021</v>
      </c>
      <c r="H35" s="59"/>
      <c r="K35" s="59"/>
    </row>
    <row r="36" spans="1:11" x14ac:dyDescent="0.2">
      <c r="A36" s="109"/>
      <c r="B36" s="61" t="s">
        <v>29</v>
      </c>
      <c r="C36" s="110" t="s">
        <v>76</v>
      </c>
      <c r="D36" s="62">
        <f>((F14*F11*F13)+(F16*F18*F21))*C11*1.03</f>
        <v>5714.628638025988</v>
      </c>
    </row>
    <row r="37" spans="1:11" x14ac:dyDescent="0.2">
      <c r="A37" s="109"/>
      <c r="B37" s="61" t="s">
        <v>31</v>
      </c>
      <c r="C37" s="110"/>
      <c r="D37" s="62">
        <f>(((L14*L16*L17*4)+(L19*L21*L22*4))+(L26*L28*L29))*1.03</f>
        <v>2927.1281600000002</v>
      </c>
    </row>
    <row r="38" spans="1:11" x14ac:dyDescent="0.2">
      <c r="A38" s="109"/>
      <c r="B38" s="61" t="s">
        <v>30</v>
      </c>
      <c r="C38" s="110"/>
      <c r="D38" s="63">
        <f>+(I11*I13*I14)+(I16*I18*I21)+(I25*I27*I29*I28)*1.03</f>
        <v>4335.8886882520328</v>
      </c>
    </row>
    <row r="39" spans="1:11" ht="51" x14ac:dyDescent="0.2">
      <c r="A39" s="109">
        <v>3637</v>
      </c>
      <c r="B39" s="55" t="s">
        <v>77</v>
      </c>
      <c r="C39" s="79" t="s">
        <v>74</v>
      </c>
      <c r="D39" s="64">
        <f>D40+D41</f>
        <v>59.512166941154071</v>
      </c>
      <c r="H39" s="58"/>
      <c r="K39" s="58"/>
    </row>
    <row r="40" spans="1:11" x14ac:dyDescent="0.2">
      <c r="A40" s="109"/>
      <c r="B40" s="61" t="s">
        <v>31</v>
      </c>
      <c r="C40" s="110" t="s">
        <v>74</v>
      </c>
      <c r="D40" s="65">
        <f>C15*C16*C17</f>
        <v>45.375</v>
      </c>
    </row>
    <row r="41" spans="1:11" x14ac:dyDescent="0.2">
      <c r="A41" s="109"/>
      <c r="B41" s="61" t="s">
        <v>30</v>
      </c>
      <c r="C41" s="110"/>
      <c r="D41" s="65">
        <f>(PI()*C29*C29/4)*C30</f>
        <v>14.137166941154069</v>
      </c>
    </row>
    <row r="42" spans="1:11" ht="38.25" x14ac:dyDescent="0.2">
      <c r="A42" s="78">
        <v>5055</v>
      </c>
      <c r="B42" s="55" t="s">
        <v>78</v>
      </c>
      <c r="C42" s="79" t="s">
        <v>74</v>
      </c>
      <c r="D42" s="83">
        <f>((PI()*(C12*C12)/4/10000)*(C17+0.21)*C11)</f>
        <v>5.3721234376385461</v>
      </c>
      <c r="H42" s="58"/>
      <c r="K42" s="58"/>
    </row>
    <row r="43" spans="1:11" ht="51" x14ac:dyDescent="0.2">
      <c r="A43" s="78">
        <v>6021</v>
      </c>
      <c r="B43" s="55" t="s">
        <v>87</v>
      </c>
      <c r="C43" s="79" t="s">
        <v>74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74">
        <v>5416</v>
      </c>
      <c r="B44" s="72" t="s">
        <v>88</v>
      </c>
      <c r="C44" s="66" t="s">
        <v>74</v>
      </c>
      <c r="D44" s="84">
        <f>C20*C21*(C17+0.21+C27)</f>
        <v>99</v>
      </c>
      <c r="E44" s="76"/>
      <c r="H44" s="59"/>
      <c r="K44" s="59"/>
    </row>
    <row r="45" spans="1:11" ht="51" x14ac:dyDescent="0.2">
      <c r="A45" s="74">
        <v>3017</v>
      </c>
      <c r="B45" s="72" t="s">
        <v>89</v>
      </c>
      <c r="C45" s="66" t="s">
        <v>74</v>
      </c>
      <c r="D45" s="65">
        <f>D44</f>
        <v>99</v>
      </c>
      <c r="E45" s="76"/>
      <c r="H45" s="58"/>
      <c r="K45" s="58"/>
    </row>
    <row r="46" spans="1:11" ht="38.25" x14ac:dyDescent="0.2">
      <c r="A46" s="74">
        <v>4908</v>
      </c>
      <c r="B46" s="55" t="s">
        <v>79</v>
      </c>
      <c r="C46" s="79" t="s">
        <v>74</v>
      </c>
      <c r="D46" s="83">
        <f>D44-(C25*C26*C27)-D40+(23.18*C18)</f>
        <v>79.4649</v>
      </c>
      <c r="K46" s="58"/>
    </row>
    <row r="47" spans="1:11" ht="51" x14ac:dyDescent="0.2">
      <c r="A47" s="74">
        <v>5196</v>
      </c>
      <c r="B47" s="72" t="s">
        <v>96</v>
      </c>
      <c r="C47" s="79" t="s">
        <v>74</v>
      </c>
      <c r="D47" s="65">
        <f>C20*C21*0.15</f>
        <v>8.4375</v>
      </c>
    </row>
    <row r="48" spans="1:11" x14ac:dyDescent="0.2">
      <c r="A48" s="74"/>
    </row>
    <row r="49" spans="1:1" x14ac:dyDescent="0.2">
      <c r="A49" s="74"/>
    </row>
    <row r="50" spans="1:1" x14ac:dyDescent="0.2">
      <c r="A50" s="7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5DD3D-3675-4ED3-BA9D-5C25C0AB1E07}">
  <sheetPr>
    <tabColor rgb="FFFFFF00"/>
  </sheetPr>
  <dimension ref="A2:M50"/>
  <sheetViews>
    <sheetView view="pageBreakPreview" zoomScale="85" zoomScaleNormal="85" zoomScaleSheetLayoutView="85" workbookViewId="0">
      <selection activeCell="C19" sqref="C19"/>
    </sheetView>
  </sheetViews>
  <sheetFormatPr baseColWidth="10" defaultRowHeight="14.25" x14ac:dyDescent="0.2"/>
  <cols>
    <col min="1" max="1" width="9.7109375" style="28" customWidth="1"/>
    <col min="2" max="2" width="42.85546875" style="28" customWidth="1"/>
    <col min="3" max="3" width="12.28515625" style="31" customWidth="1"/>
    <col min="4" max="4" width="12.85546875" style="31" customWidth="1"/>
    <col min="5" max="5" width="28.7109375" style="31" bestFit="1" customWidth="1"/>
    <col min="6" max="7" width="11.42578125" style="31"/>
    <col min="8" max="8" width="28.7109375" style="31" customWidth="1"/>
    <col min="9" max="10" width="11.42578125" style="31"/>
    <col min="11" max="11" width="28.7109375" style="31" customWidth="1"/>
    <col min="12" max="16384" width="11.42578125" style="28"/>
  </cols>
  <sheetData>
    <row r="2" spans="2:13" ht="16.5" x14ac:dyDescent="0.2">
      <c r="C2" s="29"/>
      <c r="D2" s="29"/>
      <c r="E2" s="30" t="s">
        <v>24</v>
      </c>
      <c r="F2" s="29"/>
      <c r="G2" s="29"/>
    </row>
    <row r="3" spans="2:13" ht="16.5" x14ac:dyDescent="0.3">
      <c r="C3" s="29"/>
      <c r="D3" s="29"/>
      <c r="E3" s="27" t="s">
        <v>25</v>
      </c>
      <c r="F3" s="29"/>
      <c r="G3" s="29"/>
    </row>
    <row r="4" spans="2:13" ht="16.5" x14ac:dyDescent="0.2">
      <c r="C4" s="29"/>
      <c r="D4" s="29"/>
      <c r="E4" s="32"/>
      <c r="F4" s="29"/>
      <c r="G4" s="29"/>
    </row>
    <row r="5" spans="2:13" ht="16.5" x14ac:dyDescent="0.3">
      <c r="C5" s="29"/>
      <c r="D5" s="29"/>
      <c r="E5" s="33" t="s">
        <v>26</v>
      </c>
      <c r="F5" s="29"/>
      <c r="G5" s="29"/>
    </row>
    <row r="7" spans="2:13" ht="16.5" x14ac:dyDescent="0.3">
      <c r="E7" s="111" t="s">
        <v>109</v>
      </c>
      <c r="F7" s="111"/>
      <c r="G7" s="111"/>
      <c r="H7" s="111"/>
      <c r="I7" s="111"/>
    </row>
    <row r="8" spans="2:13" ht="15" thickBot="1" x14ac:dyDescent="0.25"/>
    <row r="9" spans="2:13" x14ac:dyDescent="0.2">
      <c r="B9" s="112" t="s">
        <v>27</v>
      </c>
      <c r="C9" s="113"/>
      <c r="D9" s="34"/>
      <c r="E9" s="107" t="s">
        <v>28</v>
      </c>
      <c r="F9" s="108"/>
      <c r="G9" s="34"/>
      <c r="H9" s="107" t="s">
        <v>28</v>
      </c>
      <c r="I9" s="108"/>
      <c r="K9" s="107" t="s">
        <v>28</v>
      </c>
      <c r="L9" s="108"/>
    </row>
    <row r="10" spans="2:13" x14ac:dyDescent="0.2">
      <c r="B10" s="80" t="s">
        <v>29</v>
      </c>
      <c r="C10" s="35"/>
      <c r="D10" s="34"/>
      <c r="E10" s="80" t="s">
        <v>29</v>
      </c>
      <c r="F10" s="35"/>
      <c r="G10" s="34"/>
      <c r="H10" s="80" t="s">
        <v>30</v>
      </c>
      <c r="I10" s="36"/>
      <c r="J10" s="34"/>
      <c r="K10" s="80" t="s">
        <v>31</v>
      </c>
      <c r="L10" s="36"/>
    </row>
    <row r="11" spans="2:13" x14ac:dyDescent="0.2">
      <c r="B11" s="37" t="s">
        <v>32</v>
      </c>
      <c r="C11" s="38">
        <v>4</v>
      </c>
      <c r="D11" s="34" t="s">
        <v>33</v>
      </c>
      <c r="E11" s="37" t="s">
        <v>34</v>
      </c>
      <c r="F11" s="38">
        <v>16</v>
      </c>
      <c r="G11" s="34" t="s">
        <v>33</v>
      </c>
      <c r="H11" s="37" t="s">
        <v>34</v>
      </c>
      <c r="I11" s="38">
        <v>72</v>
      </c>
      <c r="J11" s="34" t="s">
        <v>33</v>
      </c>
      <c r="K11" s="37" t="s">
        <v>35</v>
      </c>
      <c r="L11" s="38">
        <v>20</v>
      </c>
      <c r="M11" s="28" t="s">
        <v>36</v>
      </c>
    </row>
    <row r="12" spans="2:13" x14ac:dyDescent="0.2">
      <c r="B12" s="37" t="s">
        <v>37</v>
      </c>
      <c r="C12" s="38">
        <v>100</v>
      </c>
      <c r="D12" s="34" t="s">
        <v>36</v>
      </c>
      <c r="E12" s="37" t="s">
        <v>38</v>
      </c>
      <c r="F12" s="38">
        <v>8</v>
      </c>
      <c r="G12" s="34" t="s">
        <v>39</v>
      </c>
      <c r="H12" s="37" t="s">
        <v>38</v>
      </c>
      <c r="I12" s="38">
        <v>11</v>
      </c>
      <c r="J12" s="34" t="s">
        <v>39</v>
      </c>
      <c r="K12" s="37" t="s">
        <v>40</v>
      </c>
      <c r="L12" s="38">
        <v>1</v>
      </c>
      <c r="M12" s="34"/>
    </row>
    <row r="13" spans="2:13" x14ac:dyDescent="0.2">
      <c r="B13" s="37" t="s">
        <v>41</v>
      </c>
      <c r="C13" s="38">
        <f>12+1.5+0.81</f>
        <v>14.31</v>
      </c>
      <c r="D13" s="34" t="s">
        <v>23</v>
      </c>
      <c r="E13" s="37" t="s">
        <v>42</v>
      </c>
      <c r="F13" s="39">
        <f>LOOKUP(F12,[1]Hoja2!$B$6:$B$18,[1]Hoja2!$E$6:$E$18)</f>
        <v>3.9729999999999999</v>
      </c>
      <c r="G13" s="34" t="s">
        <v>43</v>
      </c>
      <c r="H13" s="37" t="s">
        <v>42</v>
      </c>
      <c r="I13" s="39">
        <f>LOOKUP(I12,[1]Hoja2!$B$6:$B$18,[1]Hoja2!$E$6:$E$18)</f>
        <v>7.907</v>
      </c>
      <c r="J13" s="34" t="s">
        <v>43</v>
      </c>
      <c r="K13" s="37" t="s">
        <v>95</v>
      </c>
      <c r="L13" s="38">
        <v>17</v>
      </c>
      <c r="M13" s="34" t="s">
        <v>36</v>
      </c>
    </row>
    <row r="14" spans="2:13" x14ac:dyDescent="0.2">
      <c r="B14" s="80" t="s">
        <v>31</v>
      </c>
      <c r="C14" s="38"/>
      <c r="D14" s="34"/>
      <c r="E14" s="37" t="s">
        <v>45</v>
      </c>
      <c r="F14" s="40">
        <f>(C13-C18-0.5-0.15)+(IF(C12=100,1,1.2))</f>
        <v>13.722</v>
      </c>
      <c r="G14" s="34" t="s">
        <v>23</v>
      </c>
      <c r="H14" s="37" t="s">
        <v>45</v>
      </c>
      <c r="I14" s="40">
        <f>(C30+C17-0.3-0.15)+(2.4)</f>
        <v>6.4499999999999993</v>
      </c>
      <c r="J14" s="34" t="s">
        <v>23</v>
      </c>
      <c r="K14" s="37" t="s">
        <v>34</v>
      </c>
      <c r="L14" s="39">
        <f>IF(L12=1,(ROUNDUP(((C15-(2*L13/100))*(L12)/(L11/100))+1,0)),(ROUNDUP(((C15-(2*L13/100))*(L12)/(L11/100))+2,0)))</f>
        <v>27</v>
      </c>
      <c r="M14" s="28" t="s">
        <v>33</v>
      </c>
    </row>
    <row r="15" spans="2:13" x14ac:dyDescent="0.2">
      <c r="B15" s="37" t="s">
        <v>46</v>
      </c>
      <c r="C15" s="38">
        <v>5.5</v>
      </c>
      <c r="D15" s="34" t="s">
        <v>23</v>
      </c>
      <c r="E15" s="37" t="s">
        <v>47</v>
      </c>
      <c r="F15" s="36">
        <v>0.1</v>
      </c>
      <c r="G15" s="41" t="s">
        <v>23</v>
      </c>
      <c r="H15" s="37" t="s">
        <v>47</v>
      </c>
      <c r="I15" s="36">
        <v>0.1</v>
      </c>
      <c r="J15" s="41" t="s">
        <v>23</v>
      </c>
      <c r="K15" s="37" t="s">
        <v>38</v>
      </c>
      <c r="L15" s="38">
        <v>7</v>
      </c>
      <c r="M15" s="28" t="s">
        <v>39</v>
      </c>
    </row>
    <row r="16" spans="2:13" x14ac:dyDescent="0.2">
      <c r="B16" s="37" t="s">
        <v>48</v>
      </c>
      <c r="C16" s="38">
        <v>5.5</v>
      </c>
      <c r="D16" s="34" t="s">
        <v>23</v>
      </c>
      <c r="E16" s="37" t="s">
        <v>49</v>
      </c>
      <c r="F16" s="42">
        <v>88</v>
      </c>
      <c r="G16" s="34" t="s">
        <v>33</v>
      </c>
      <c r="H16" s="37" t="s">
        <v>49</v>
      </c>
      <c r="I16" s="39">
        <f>ROUNDUP((((C30+C17-0.3-0.15)/I15)+1),0)</f>
        <v>42</v>
      </c>
      <c r="J16" s="34" t="s">
        <v>33</v>
      </c>
      <c r="K16" s="37" t="s">
        <v>42</v>
      </c>
      <c r="L16" s="39">
        <f>LOOKUP(L15,[1]Hoja2!$B$6:$B$18,[1]Hoja2!$E$6:$E$18)</f>
        <v>3.0419999999999998</v>
      </c>
      <c r="M16" s="34" t="s">
        <v>43</v>
      </c>
    </row>
    <row r="17" spans="2:13" x14ac:dyDescent="0.2">
      <c r="B17" s="37" t="s">
        <v>50</v>
      </c>
      <c r="C17" s="38">
        <v>1.5</v>
      </c>
      <c r="D17" s="34" t="s">
        <v>23</v>
      </c>
      <c r="E17" s="37" t="s">
        <v>51</v>
      </c>
      <c r="F17" s="38">
        <v>4</v>
      </c>
      <c r="G17" s="34" t="s">
        <v>39</v>
      </c>
      <c r="H17" s="37" t="s">
        <v>51</v>
      </c>
      <c r="I17" s="38">
        <v>4</v>
      </c>
      <c r="J17" s="34" t="s">
        <v>39</v>
      </c>
      <c r="K17" s="37" t="s">
        <v>45</v>
      </c>
      <c r="L17" s="40">
        <f>(C15-(L13/100)-(L13/100))+0.9+0.9</f>
        <v>6.9600000000000009</v>
      </c>
      <c r="M17" s="34" t="s">
        <v>23</v>
      </c>
    </row>
    <row r="18" spans="2:13" x14ac:dyDescent="0.2">
      <c r="B18" s="37" t="s">
        <v>52</v>
      </c>
      <c r="C18" s="73">
        <v>0.93799999999999994</v>
      </c>
      <c r="D18" s="34" t="s">
        <v>23</v>
      </c>
      <c r="E18" s="37" t="s">
        <v>53</v>
      </c>
      <c r="F18" s="39">
        <f>LOOKUP(F17,[1]Hoja2!$B$6:$B$18,[1]Hoja2!$E$6:$E$18)</f>
        <v>0.99399999999999999</v>
      </c>
      <c r="G18" s="34" t="s">
        <v>43</v>
      </c>
      <c r="H18" s="37" t="s">
        <v>53</v>
      </c>
      <c r="I18" s="39">
        <f>LOOKUP(I17,[1]Hoja2!$B$6:$B$18,[1]Hoja2!$E$6:$E$18)</f>
        <v>0.99399999999999999</v>
      </c>
      <c r="J18" s="34" t="s">
        <v>43</v>
      </c>
      <c r="K18" s="37" t="s">
        <v>54</v>
      </c>
      <c r="L18" s="38">
        <v>20</v>
      </c>
      <c r="M18" s="28" t="s">
        <v>36</v>
      </c>
    </row>
    <row r="19" spans="2:13" x14ac:dyDescent="0.2">
      <c r="B19" s="80" t="s">
        <v>55</v>
      </c>
      <c r="C19" s="38"/>
      <c r="D19" s="34"/>
      <c r="E19" s="37" t="s">
        <v>44</v>
      </c>
      <c r="F19" s="38">
        <v>10</v>
      </c>
      <c r="G19" s="34" t="s">
        <v>36</v>
      </c>
      <c r="H19" s="37" t="s">
        <v>44</v>
      </c>
      <c r="I19" s="38">
        <v>7</v>
      </c>
      <c r="J19" s="34" t="s">
        <v>36</v>
      </c>
      <c r="K19" s="37" t="s">
        <v>56</v>
      </c>
      <c r="L19" s="39">
        <f>ROUNDDOWN((C17-(25/100)-(25/100))/(L18/100)+1,0)</f>
        <v>6</v>
      </c>
      <c r="M19" s="28" t="s">
        <v>33</v>
      </c>
    </row>
    <row r="20" spans="2:13" x14ac:dyDescent="0.2">
      <c r="B20" s="37" t="s">
        <v>57</v>
      </c>
      <c r="C20" s="39">
        <f>+C15+1+1</f>
        <v>7.5</v>
      </c>
      <c r="D20" s="34" t="s">
        <v>23</v>
      </c>
      <c r="E20" s="37" t="s">
        <v>35</v>
      </c>
      <c r="F20" s="43">
        <f>(PI()*(C12-F19-F19))/F11</f>
        <v>15.707963267948966</v>
      </c>
      <c r="G20" s="34" t="s">
        <v>36</v>
      </c>
      <c r="H20" s="37" t="s">
        <v>35</v>
      </c>
      <c r="I20" s="43">
        <f>(PI()*(C29*(100)-I19-I19))/I11</f>
        <v>12.479104151759456</v>
      </c>
      <c r="J20" s="34" t="s">
        <v>36</v>
      </c>
      <c r="K20" s="37" t="s">
        <v>58</v>
      </c>
      <c r="L20" s="38">
        <v>6</v>
      </c>
      <c r="M20" s="28" t="s">
        <v>39</v>
      </c>
    </row>
    <row r="21" spans="2:13" ht="15" thickBot="1" x14ac:dyDescent="0.25">
      <c r="B21" s="37" t="s">
        <v>59</v>
      </c>
      <c r="C21" s="39">
        <f>+C16+1+1</f>
        <v>7.5</v>
      </c>
      <c r="D21" s="34" t="s">
        <v>23</v>
      </c>
      <c r="E21" s="44" t="s">
        <v>60</v>
      </c>
      <c r="F21" s="45">
        <f>((PI()*(C12-F19-F19))+(F20*(3)+F20*(3)+((LOOKUP(F17,[1]Hoja2!$B$6:$B$18,[1]Hoja2!$H$6:$H$18))*2)+20))/100</f>
        <v>3.8957519189487719</v>
      </c>
      <c r="G21" s="34" t="s">
        <v>23</v>
      </c>
      <c r="H21" s="44" t="s">
        <v>60</v>
      </c>
      <c r="I21" s="45">
        <f>((PI()*(C29*(100)-I19-I19))+(I20*(3)+I20*(3)+((LOOKUP(I17,[1]Hoja2!$B$6:$B$18,[1]Hoja2!$H$6:$H$18))*2)+20))/100</f>
        <v>10.173701238372375</v>
      </c>
      <c r="J21" s="34" t="s">
        <v>23</v>
      </c>
      <c r="K21" s="37" t="s">
        <v>61</v>
      </c>
      <c r="L21" s="39">
        <f>LOOKUP(L20,[1]Hoja2!$B$6:$B$18,[1]Hoja2!$E$6:$E$18)</f>
        <v>2.2349999999999999</v>
      </c>
      <c r="M21" s="34" t="s">
        <v>43</v>
      </c>
    </row>
    <row r="22" spans="2:13" ht="15" thickBot="1" x14ac:dyDescent="0.25">
      <c r="B22" s="37" t="s">
        <v>50</v>
      </c>
      <c r="C22" s="40">
        <f>+C18+C17+C27</f>
        <v>2.4879999999999995</v>
      </c>
      <c r="D22" s="34" t="s">
        <v>23</v>
      </c>
      <c r="K22" s="44" t="s">
        <v>62</v>
      </c>
      <c r="L22" s="46">
        <f>C15-(L13/100)-(L13/100)</f>
        <v>5.16</v>
      </c>
      <c r="M22" s="34" t="s">
        <v>23</v>
      </c>
    </row>
    <row r="23" spans="2:13" ht="15" thickBot="1" x14ac:dyDescent="0.25">
      <c r="B23" s="37"/>
      <c r="C23" s="36"/>
      <c r="D23" s="34"/>
      <c r="H23" s="107" t="s">
        <v>28</v>
      </c>
      <c r="I23" s="108"/>
    </row>
    <row r="24" spans="2:13" x14ac:dyDescent="0.2">
      <c r="B24" s="80" t="s">
        <v>63</v>
      </c>
      <c r="C24" s="38"/>
      <c r="D24" s="34"/>
      <c r="H24" s="114" t="s">
        <v>64</v>
      </c>
      <c r="I24" s="115"/>
      <c r="K24" s="107" t="s">
        <v>28</v>
      </c>
      <c r="L24" s="108"/>
      <c r="M24" s="31"/>
    </row>
    <row r="25" spans="2:13" x14ac:dyDescent="0.2">
      <c r="B25" s="37" t="s">
        <v>46</v>
      </c>
      <c r="C25" s="40">
        <f>+C15</f>
        <v>5.5</v>
      </c>
      <c r="D25" s="34" t="s">
        <v>23</v>
      </c>
      <c r="H25" s="37" t="s">
        <v>34</v>
      </c>
      <c r="I25" s="39">
        <f>IF(C29=2.5,12*2,IF(C29=3,13*2,IF(C29=3.7,14*2)))</f>
        <v>26</v>
      </c>
      <c r="J25" s="34" t="s">
        <v>33</v>
      </c>
      <c r="K25" s="114" t="s">
        <v>65</v>
      </c>
      <c r="L25" s="115"/>
      <c r="M25" s="31"/>
    </row>
    <row r="26" spans="2:13" x14ac:dyDescent="0.2">
      <c r="B26" s="37" t="s">
        <v>48</v>
      </c>
      <c r="C26" s="40">
        <f>+C16</f>
        <v>5.5</v>
      </c>
      <c r="D26" s="34" t="s">
        <v>23</v>
      </c>
      <c r="H26" s="37" t="s">
        <v>38</v>
      </c>
      <c r="I26" s="38">
        <v>4</v>
      </c>
      <c r="J26" s="34" t="s">
        <v>39</v>
      </c>
      <c r="K26" s="37" t="s">
        <v>34</v>
      </c>
      <c r="L26" s="38">
        <f>17*4</f>
        <v>68</v>
      </c>
      <c r="M26" s="34" t="s">
        <v>33</v>
      </c>
    </row>
    <row r="27" spans="2:13" x14ac:dyDescent="0.2">
      <c r="B27" s="37" t="s">
        <v>50</v>
      </c>
      <c r="C27" s="38">
        <v>0.05</v>
      </c>
      <c r="D27" s="34" t="s">
        <v>23</v>
      </c>
      <c r="H27" s="37" t="s">
        <v>42</v>
      </c>
      <c r="I27" s="39">
        <f>LOOKUP(I26,[1]Hoja2!$B$6:$B$18,[1]Hoja2!$E$6:$E$18)</f>
        <v>0.99399999999999999</v>
      </c>
      <c r="J27" s="34" t="s">
        <v>43</v>
      </c>
      <c r="K27" s="37" t="s">
        <v>38</v>
      </c>
      <c r="L27" s="38">
        <v>4</v>
      </c>
      <c r="M27" s="34" t="s">
        <v>39</v>
      </c>
    </row>
    <row r="28" spans="2:13" x14ac:dyDescent="0.2">
      <c r="B28" s="80" t="s">
        <v>66</v>
      </c>
      <c r="C28" s="38"/>
      <c r="D28" s="34"/>
      <c r="H28" s="37" t="s">
        <v>67</v>
      </c>
      <c r="I28" s="38">
        <v>13</v>
      </c>
      <c r="J28" s="34"/>
      <c r="K28" s="37" t="s">
        <v>42</v>
      </c>
      <c r="L28" s="39">
        <f>LOOKUP(L27,[1]Hoja2!$B$6:$B$18,[1]Hoja2!$E$6:$E$18)</f>
        <v>0.99399999999999999</v>
      </c>
      <c r="M28" s="34" t="s">
        <v>43</v>
      </c>
    </row>
    <row r="29" spans="2:13" ht="15" thickBot="1" x14ac:dyDescent="0.25">
      <c r="B29" s="37" t="s">
        <v>37</v>
      </c>
      <c r="C29" s="38">
        <v>3</v>
      </c>
      <c r="D29" s="34" t="s">
        <v>23</v>
      </c>
      <c r="H29" s="44" t="s">
        <v>68</v>
      </c>
      <c r="I29" s="45">
        <f>IF(C29=2.5,(1.8+([1]Hoja2!I10/100*4)+(0.2)),IF(C29=3,(2.09+([1]Hoja2!I10/100*4)+(0.2)),IF(C29=3.7,(2.07+([1]Hoja2!I10/100*4)+(0.2)))))</f>
        <v>2.5700000000000003</v>
      </c>
      <c r="J29" s="34" t="s">
        <v>23</v>
      </c>
      <c r="K29" s="44" t="s">
        <v>68</v>
      </c>
      <c r="L29" s="45">
        <f>((0.6+1.235)*2)+0.21+0.24</f>
        <v>4.12</v>
      </c>
      <c r="M29" s="34" t="s">
        <v>23</v>
      </c>
    </row>
    <row r="30" spans="2:13" ht="15" thickBot="1" x14ac:dyDescent="0.25">
      <c r="B30" s="44" t="s">
        <v>69</v>
      </c>
      <c r="C30" s="47">
        <v>3</v>
      </c>
      <c r="D30" s="34" t="s">
        <v>23</v>
      </c>
      <c r="G30" s="34"/>
      <c r="K30" s="48"/>
      <c r="L30" s="49"/>
      <c r="M30" s="34"/>
    </row>
    <row r="31" spans="2:13" x14ac:dyDescent="0.2">
      <c r="B31" s="48"/>
      <c r="C31" s="50"/>
      <c r="D31" s="34"/>
      <c r="E31" s="48"/>
      <c r="F31" s="50"/>
      <c r="G31" s="34"/>
    </row>
    <row r="32" spans="2:13" x14ac:dyDescent="0.2">
      <c r="B32" s="48"/>
      <c r="C32" s="50"/>
      <c r="D32" s="34"/>
      <c r="E32" s="48"/>
      <c r="F32" s="50"/>
      <c r="G32" s="34"/>
    </row>
    <row r="33" spans="1:11" ht="38.25" x14ac:dyDescent="0.2">
      <c r="A33" s="51" t="s">
        <v>70</v>
      </c>
      <c r="B33" s="78" t="s">
        <v>71</v>
      </c>
      <c r="C33" s="52" t="s">
        <v>72</v>
      </c>
      <c r="D33" s="53" t="s">
        <v>104</v>
      </c>
      <c r="E33" s="54"/>
    </row>
    <row r="34" spans="1:11" ht="76.5" x14ac:dyDescent="0.2">
      <c r="A34" s="78">
        <v>6007</v>
      </c>
      <c r="B34" s="55" t="s">
        <v>73</v>
      </c>
      <c r="C34" s="79" t="s">
        <v>74</v>
      </c>
      <c r="D34" s="57">
        <f>((PI()*(C12*C12)/4/10000)*C13*C11)</f>
        <v>44.956190872869939</v>
      </c>
      <c r="E34" s="58"/>
      <c r="H34" s="59"/>
      <c r="K34" s="59"/>
    </row>
    <row r="35" spans="1:11" ht="102" x14ac:dyDescent="0.2">
      <c r="A35" s="109">
        <v>3708</v>
      </c>
      <c r="B35" s="55" t="s">
        <v>75</v>
      </c>
      <c r="C35" s="56" t="s">
        <v>76</v>
      </c>
      <c r="D35" s="60">
        <f>D36+D37+D38</f>
        <v>12910.985268859233</v>
      </c>
      <c r="H35" s="59"/>
      <c r="K35" s="59"/>
    </row>
    <row r="36" spans="1:11" x14ac:dyDescent="0.2">
      <c r="A36" s="109"/>
      <c r="B36" s="61" t="s">
        <v>29</v>
      </c>
      <c r="C36" s="110" t="s">
        <v>76</v>
      </c>
      <c r="D36" s="62">
        <f>((F14*F11*F13)+(F16*F18*F21))*C11*1.03</f>
        <v>4997.7631483596615</v>
      </c>
    </row>
    <row r="37" spans="1:11" x14ac:dyDescent="0.2">
      <c r="A37" s="109"/>
      <c r="B37" s="61" t="s">
        <v>31</v>
      </c>
      <c r="C37" s="110"/>
      <c r="D37" s="62">
        <f>(((L14*L16*L17*4)+(L19*L21*L22*4))+(L26*L28*L29))*1.03</f>
        <v>2927.1281600000002</v>
      </c>
    </row>
    <row r="38" spans="1:11" x14ac:dyDescent="0.2">
      <c r="A38" s="109"/>
      <c r="B38" s="61" t="s">
        <v>30</v>
      </c>
      <c r="C38" s="110"/>
      <c r="D38" s="63">
        <f>+(I11*I13*I14)+(I16*I18*I21)+(I25*I27*I29*I28)*1.03</f>
        <v>4986.0939604995701</v>
      </c>
    </row>
    <row r="39" spans="1:11" ht="51" x14ac:dyDescent="0.2">
      <c r="A39" s="109">
        <v>3637</v>
      </c>
      <c r="B39" s="55" t="s">
        <v>77</v>
      </c>
      <c r="C39" s="79" t="s">
        <v>74</v>
      </c>
      <c r="D39" s="64">
        <f>D40+D41</f>
        <v>66.580750411731103</v>
      </c>
      <c r="H39" s="58"/>
      <c r="K39" s="58"/>
    </row>
    <row r="40" spans="1:11" x14ac:dyDescent="0.2">
      <c r="A40" s="109"/>
      <c r="B40" s="61" t="s">
        <v>31</v>
      </c>
      <c r="C40" s="110" t="s">
        <v>74</v>
      </c>
      <c r="D40" s="65">
        <f>C15*C16*C17</f>
        <v>45.375</v>
      </c>
    </row>
    <row r="41" spans="1:11" x14ac:dyDescent="0.2">
      <c r="A41" s="109"/>
      <c r="B41" s="61" t="s">
        <v>30</v>
      </c>
      <c r="C41" s="110"/>
      <c r="D41" s="65">
        <f>(PI()*C29*C29/4)*C30</f>
        <v>21.205750411731103</v>
      </c>
    </row>
    <row r="42" spans="1:11" ht="38.25" x14ac:dyDescent="0.2">
      <c r="A42" s="78">
        <v>5055</v>
      </c>
      <c r="B42" s="55" t="s">
        <v>78</v>
      </c>
      <c r="C42" s="79" t="s">
        <v>74</v>
      </c>
      <c r="D42" s="65">
        <f>((PI()*(C12*C12)/4/10000)*(C17+C18)*C11)</f>
        <v>7.6592028894519144</v>
      </c>
      <c r="H42" s="58"/>
      <c r="K42" s="58"/>
    </row>
    <row r="43" spans="1:11" ht="51" x14ac:dyDescent="0.2">
      <c r="A43" s="78">
        <v>6021</v>
      </c>
      <c r="B43" s="55" t="s">
        <v>87</v>
      </c>
      <c r="C43" s="79" t="s">
        <v>74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74">
        <v>5416</v>
      </c>
      <c r="B44" s="72" t="s">
        <v>88</v>
      </c>
      <c r="C44" s="66" t="s">
        <v>74</v>
      </c>
      <c r="D44" s="75">
        <f>C20*C21*C22</f>
        <v>139.94999999999999</v>
      </c>
      <c r="E44" s="76"/>
      <c r="H44" s="59"/>
      <c r="K44" s="59"/>
    </row>
    <row r="45" spans="1:11" ht="51" x14ac:dyDescent="0.2">
      <c r="A45" s="74">
        <v>3017</v>
      </c>
      <c r="B45" s="72" t="s">
        <v>89</v>
      </c>
      <c r="C45" s="66" t="s">
        <v>74</v>
      </c>
      <c r="D45" s="65">
        <f>D44</f>
        <v>139.94999999999999</v>
      </c>
      <c r="E45" s="76"/>
      <c r="H45" s="58"/>
      <c r="K45" s="58"/>
    </row>
    <row r="46" spans="1:11" ht="38.25" x14ac:dyDescent="0.2">
      <c r="A46" s="74">
        <v>4908</v>
      </c>
      <c r="B46" s="55" t="s">
        <v>79</v>
      </c>
      <c r="C46" s="79" t="s">
        <v>74</v>
      </c>
      <c r="D46" s="65">
        <f>D44-(C25*C26*C27)-D40-((PI()*C29*C29/4)*C18)</f>
        <v>86.432168704598737</v>
      </c>
      <c r="K46" s="58"/>
    </row>
    <row r="47" spans="1:11" ht="51" x14ac:dyDescent="0.2">
      <c r="A47" s="74">
        <v>5196</v>
      </c>
      <c r="B47" s="72" t="s">
        <v>96</v>
      </c>
      <c r="C47" s="79" t="s">
        <v>74</v>
      </c>
      <c r="D47" s="65">
        <f>C20*C21*0.15</f>
        <v>8.4375</v>
      </c>
    </row>
    <row r="48" spans="1:11" x14ac:dyDescent="0.2">
      <c r="A48" s="74"/>
    </row>
    <row r="49" spans="1:1" x14ac:dyDescent="0.2">
      <c r="A49" s="74"/>
    </row>
    <row r="50" spans="1:1" x14ac:dyDescent="0.2">
      <c r="A50" s="7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466D-974B-4CD1-BC1A-9E9D8C4FB0AF}">
  <sheetPr>
    <tabColor rgb="FFFFFF00"/>
  </sheetPr>
  <dimension ref="A2:M50"/>
  <sheetViews>
    <sheetView view="pageBreakPreview" topLeftCell="A4" zoomScale="85" zoomScaleNormal="85" zoomScaleSheetLayoutView="85" workbookViewId="0">
      <selection activeCell="G29" sqref="G29"/>
    </sheetView>
  </sheetViews>
  <sheetFormatPr baseColWidth="10" defaultRowHeight="14.25" x14ac:dyDescent="0.2"/>
  <cols>
    <col min="1" max="1" width="9.7109375" style="28" customWidth="1"/>
    <col min="2" max="2" width="42.85546875" style="28" customWidth="1"/>
    <col min="3" max="3" width="12.28515625" style="31" customWidth="1"/>
    <col min="4" max="4" width="12.85546875" style="31" customWidth="1"/>
    <col min="5" max="5" width="28.7109375" style="31" bestFit="1" customWidth="1"/>
    <col min="6" max="7" width="11.42578125" style="31"/>
    <col min="8" max="8" width="28.7109375" style="31" customWidth="1"/>
    <col min="9" max="10" width="11.42578125" style="31"/>
    <col min="11" max="11" width="28.7109375" style="31" customWidth="1"/>
    <col min="12" max="16384" width="11.42578125" style="28"/>
  </cols>
  <sheetData>
    <row r="2" spans="2:13" ht="16.5" x14ac:dyDescent="0.2">
      <c r="C2" s="29"/>
      <c r="D2" s="29"/>
      <c r="E2" s="30" t="s">
        <v>24</v>
      </c>
      <c r="F2" s="29"/>
      <c r="G2" s="29"/>
    </row>
    <row r="3" spans="2:13" ht="16.5" x14ac:dyDescent="0.3">
      <c r="C3" s="29"/>
      <c r="D3" s="29"/>
      <c r="E3" s="27" t="s">
        <v>25</v>
      </c>
      <c r="F3" s="29"/>
      <c r="G3" s="29"/>
    </row>
    <row r="4" spans="2:13" ht="16.5" x14ac:dyDescent="0.2">
      <c r="C4" s="29"/>
      <c r="D4" s="29"/>
      <c r="E4" s="32"/>
      <c r="F4" s="29"/>
      <c r="G4" s="29"/>
    </row>
    <row r="5" spans="2:13" ht="16.5" x14ac:dyDescent="0.3">
      <c r="C5" s="29"/>
      <c r="D5" s="29"/>
      <c r="E5" s="33" t="s">
        <v>26</v>
      </c>
      <c r="F5" s="29"/>
      <c r="G5" s="29"/>
    </row>
    <row r="7" spans="2:13" ht="16.5" x14ac:dyDescent="0.3">
      <c r="E7" s="111" t="s">
        <v>109</v>
      </c>
      <c r="F7" s="111"/>
      <c r="G7" s="111"/>
      <c r="H7" s="111"/>
      <c r="I7" s="111"/>
    </row>
    <row r="8" spans="2:13" ht="15" thickBot="1" x14ac:dyDescent="0.25"/>
    <row r="9" spans="2:13" x14ac:dyDescent="0.2">
      <c r="B9" s="112" t="s">
        <v>27</v>
      </c>
      <c r="C9" s="113"/>
      <c r="D9" s="34"/>
      <c r="E9" s="107" t="s">
        <v>28</v>
      </c>
      <c r="F9" s="108"/>
      <c r="G9" s="34"/>
      <c r="H9" s="107" t="s">
        <v>28</v>
      </c>
      <c r="I9" s="108"/>
      <c r="K9" s="107" t="s">
        <v>28</v>
      </c>
      <c r="L9" s="108"/>
    </row>
    <row r="10" spans="2:13" x14ac:dyDescent="0.2">
      <c r="B10" s="80" t="s">
        <v>29</v>
      </c>
      <c r="C10" s="35"/>
      <c r="D10" s="34"/>
      <c r="E10" s="80" t="s">
        <v>29</v>
      </c>
      <c r="F10" s="35"/>
      <c r="G10" s="34"/>
      <c r="H10" s="80" t="s">
        <v>30</v>
      </c>
      <c r="I10" s="36"/>
      <c r="J10" s="34"/>
      <c r="K10" s="80" t="s">
        <v>31</v>
      </c>
      <c r="L10" s="36"/>
    </row>
    <row r="11" spans="2:13" x14ac:dyDescent="0.2">
      <c r="B11" s="37" t="s">
        <v>32</v>
      </c>
      <c r="C11" s="38">
        <v>4</v>
      </c>
      <c r="D11" s="34" t="s">
        <v>33</v>
      </c>
      <c r="E11" s="37" t="s">
        <v>34</v>
      </c>
      <c r="F11" s="38">
        <v>16</v>
      </c>
      <c r="G11" s="34" t="s">
        <v>33</v>
      </c>
      <c r="H11" s="37" t="s">
        <v>34</v>
      </c>
      <c r="I11" s="38">
        <v>76</v>
      </c>
      <c r="J11" s="34" t="s">
        <v>33</v>
      </c>
      <c r="K11" s="37" t="s">
        <v>35</v>
      </c>
      <c r="L11" s="38">
        <v>25</v>
      </c>
      <c r="M11" s="28" t="s">
        <v>36</v>
      </c>
    </row>
    <row r="12" spans="2:13" x14ac:dyDescent="0.2">
      <c r="B12" s="37" t="s">
        <v>37</v>
      </c>
      <c r="C12" s="38">
        <v>100</v>
      </c>
      <c r="D12" s="34" t="s">
        <v>36</v>
      </c>
      <c r="E12" s="37" t="s">
        <v>38</v>
      </c>
      <c r="F12" s="38">
        <v>8</v>
      </c>
      <c r="G12" s="34" t="s">
        <v>39</v>
      </c>
      <c r="H12" s="37" t="s">
        <v>38</v>
      </c>
      <c r="I12" s="38">
        <v>14</v>
      </c>
      <c r="J12" s="34" t="s">
        <v>39</v>
      </c>
      <c r="K12" s="37" t="s">
        <v>40</v>
      </c>
      <c r="L12" s="38">
        <v>1</v>
      </c>
      <c r="M12" s="34"/>
    </row>
    <row r="13" spans="2:13" x14ac:dyDescent="0.2">
      <c r="B13" s="37" t="s">
        <v>41</v>
      </c>
      <c r="C13" s="38">
        <v>16.25</v>
      </c>
      <c r="D13" s="34" t="s">
        <v>23</v>
      </c>
      <c r="E13" s="37" t="s">
        <v>42</v>
      </c>
      <c r="F13" s="39">
        <f>LOOKUP(F12,[1]Hoja2!$B$6:$B$18,[1]Hoja2!$E$6:$E$18)</f>
        <v>3.9729999999999999</v>
      </c>
      <c r="G13" s="34" t="s">
        <v>43</v>
      </c>
      <c r="H13" s="37" t="s">
        <v>42</v>
      </c>
      <c r="I13" s="39">
        <f>LOOKUP(I12,[1]Hoja2!$B$6:$B$18,[1]Hoja2!$E$6:$E$18)</f>
        <v>11.38</v>
      </c>
      <c r="J13" s="34" t="s">
        <v>43</v>
      </c>
      <c r="K13" s="37" t="s">
        <v>95</v>
      </c>
      <c r="L13" s="38">
        <v>17</v>
      </c>
      <c r="M13" s="34" t="s">
        <v>36</v>
      </c>
    </row>
    <row r="14" spans="2:13" x14ac:dyDescent="0.2">
      <c r="B14" s="80" t="s">
        <v>31</v>
      </c>
      <c r="C14" s="38"/>
      <c r="D14" s="34"/>
      <c r="E14" s="37" t="s">
        <v>45</v>
      </c>
      <c r="F14" s="40">
        <f>(C13-C18-0.5-0.15)+(IF(C12=100,1,1.2))</f>
        <v>15.479999999999999</v>
      </c>
      <c r="G14" s="34" t="s">
        <v>23</v>
      </c>
      <c r="H14" s="37" t="s">
        <v>45</v>
      </c>
      <c r="I14" s="40">
        <f>(C30+C17-0.3-0.15)+(2.4)</f>
        <v>6.4499999999999993</v>
      </c>
      <c r="J14" s="34" t="s">
        <v>23</v>
      </c>
      <c r="K14" s="37" t="s">
        <v>34</v>
      </c>
      <c r="L14" s="39">
        <f>IF(L12=1,(ROUNDUP(((C15-(2*L13/100))*(L12)/(L11/100))+1,0)),(ROUNDUP(((C15-(2*L13/100))*(L12)/(L11/100))+2,0)))</f>
        <v>22</v>
      </c>
      <c r="M14" s="28" t="s">
        <v>33</v>
      </c>
    </row>
    <row r="15" spans="2:13" x14ac:dyDescent="0.2">
      <c r="B15" s="37" t="s">
        <v>46</v>
      </c>
      <c r="C15" s="38">
        <v>5.5</v>
      </c>
      <c r="D15" s="34" t="s">
        <v>23</v>
      </c>
      <c r="E15" s="37" t="s">
        <v>47</v>
      </c>
      <c r="F15" s="36">
        <v>0.1</v>
      </c>
      <c r="G15" s="41" t="s">
        <v>23</v>
      </c>
      <c r="H15" s="37" t="s">
        <v>47</v>
      </c>
      <c r="I15" s="36">
        <v>0.1</v>
      </c>
      <c r="J15" s="41" t="s">
        <v>23</v>
      </c>
      <c r="K15" s="37" t="s">
        <v>38</v>
      </c>
      <c r="L15" s="38">
        <v>8</v>
      </c>
      <c r="M15" s="28" t="s">
        <v>39</v>
      </c>
    </row>
    <row r="16" spans="2:13" x14ac:dyDescent="0.2">
      <c r="B16" s="37" t="s">
        <v>48</v>
      </c>
      <c r="C16" s="38">
        <v>5.5</v>
      </c>
      <c r="D16" s="34" t="s">
        <v>23</v>
      </c>
      <c r="E16" s="37" t="s">
        <v>49</v>
      </c>
      <c r="F16" s="42">
        <v>98</v>
      </c>
      <c r="G16" s="34" t="s">
        <v>33</v>
      </c>
      <c r="H16" s="37" t="s">
        <v>49</v>
      </c>
      <c r="I16" s="39">
        <f>ROUNDUP((((C30+C17-0.3-0.15)/I15)+1),0)</f>
        <v>42</v>
      </c>
      <c r="J16" s="34" t="s">
        <v>33</v>
      </c>
      <c r="K16" s="37" t="s">
        <v>42</v>
      </c>
      <c r="L16" s="39">
        <f>LOOKUP(L15,[1]Hoja2!$B$6:$B$18,[1]Hoja2!$E$6:$E$18)</f>
        <v>3.9729999999999999</v>
      </c>
      <c r="M16" s="34" t="s">
        <v>43</v>
      </c>
    </row>
    <row r="17" spans="2:13" x14ac:dyDescent="0.2">
      <c r="B17" s="37" t="s">
        <v>50</v>
      </c>
      <c r="C17" s="38">
        <v>1.5</v>
      </c>
      <c r="D17" s="34" t="s">
        <v>23</v>
      </c>
      <c r="E17" s="37" t="s">
        <v>51</v>
      </c>
      <c r="F17" s="38">
        <v>4</v>
      </c>
      <c r="G17" s="34" t="s">
        <v>39</v>
      </c>
      <c r="H17" s="37" t="s">
        <v>51</v>
      </c>
      <c r="I17" s="38">
        <v>4</v>
      </c>
      <c r="J17" s="34" t="s">
        <v>39</v>
      </c>
      <c r="K17" s="37" t="s">
        <v>45</v>
      </c>
      <c r="L17" s="40">
        <f>(C15-(L13/100)-(L13/100))+0.9+0.9</f>
        <v>6.9600000000000009</v>
      </c>
      <c r="M17" s="34" t="s">
        <v>23</v>
      </c>
    </row>
    <row r="18" spans="2:13" x14ac:dyDescent="0.2">
      <c r="B18" s="37" t="s">
        <v>52</v>
      </c>
      <c r="C18" s="73">
        <v>1.1200000000000001</v>
      </c>
      <c r="D18" s="34" t="s">
        <v>23</v>
      </c>
      <c r="E18" s="37" t="s">
        <v>53</v>
      </c>
      <c r="F18" s="39">
        <f>LOOKUP(F17,[1]Hoja2!$B$6:$B$18,[1]Hoja2!$E$6:$E$18)</f>
        <v>0.99399999999999999</v>
      </c>
      <c r="G18" s="34" t="s">
        <v>43</v>
      </c>
      <c r="H18" s="37" t="s">
        <v>53</v>
      </c>
      <c r="I18" s="39">
        <f>LOOKUP(I17,[1]Hoja2!$B$6:$B$18,[1]Hoja2!$E$6:$E$18)</f>
        <v>0.99399999999999999</v>
      </c>
      <c r="J18" s="34" t="s">
        <v>43</v>
      </c>
      <c r="K18" s="37" t="s">
        <v>54</v>
      </c>
      <c r="L18" s="38">
        <v>20</v>
      </c>
      <c r="M18" s="28" t="s">
        <v>36</v>
      </c>
    </row>
    <row r="19" spans="2:13" x14ac:dyDescent="0.2">
      <c r="B19" s="80" t="s">
        <v>55</v>
      </c>
      <c r="C19" s="38"/>
      <c r="D19" s="34"/>
      <c r="E19" s="37" t="s">
        <v>44</v>
      </c>
      <c r="F19" s="38">
        <v>10</v>
      </c>
      <c r="G19" s="34" t="s">
        <v>36</v>
      </c>
      <c r="H19" s="37" t="s">
        <v>44</v>
      </c>
      <c r="I19" s="38">
        <v>7</v>
      </c>
      <c r="J19" s="34" t="s">
        <v>36</v>
      </c>
      <c r="K19" s="37" t="s">
        <v>56</v>
      </c>
      <c r="L19" s="39">
        <f>ROUNDDOWN((C17-(25/100)-(25/100))/(L18/100)+1,0)</f>
        <v>6</v>
      </c>
      <c r="M19" s="28" t="s">
        <v>33</v>
      </c>
    </row>
    <row r="20" spans="2:13" x14ac:dyDescent="0.2">
      <c r="B20" s="37" t="s">
        <v>57</v>
      </c>
      <c r="C20" s="39">
        <f>+C15+1+1</f>
        <v>7.5</v>
      </c>
      <c r="D20" s="34" t="s">
        <v>23</v>
      </c>
      <c r="E20" s="37" t="s">
        <v>35</v>
      </c>
      <c r="F20" s="43">
        <f>(PI()*(C12-F19-F19))/F11</f>
        <v>15.707963267948966</v>
      </c>
      <c r="G20" s="34" t="s">
        <v>36</v>
      </c>
      <c r="H20" s="37" t="s">
        <v>35</v>
      </c>
      <c r="I20" s="43">
        <f>(PI()*(C29*(100)-I19-I19))/I11</f>
        <v>14.715881377341663</v>
      </c>
      <c r="J20" s="34" t="s">
        <v>36</v>
      </c>
      <c r="K20" s="37" t="s">
        <v>58</v>
      </c>
      <c r="L20" s="38">
        <v>6</v>
      </c>
      <c r="M20" s="28" t="s">
        <v>39</v>
      </c>
    </row>
    <row r="21" spans="2:13" ht="15" thickBot="1" x14ac:dyDescent="0.25">
      <c r="B21" s="37" t="s">
        <v>59</v>
      </c>
      <c r="C21" s="39">
        <f>+C16+1+1</f>
        <v>7.5</v>
      </c>
      <c r="D21" s="34" t="s">
        <v>23</v>
      </c>
      <c r="E21" s="44" t="s">
        <v>60</v>
      </c>
      <c r="F21" s="45">
        <f>((PI()*(C12-F19-F19))+(F20*(3)+F20*(3)+((LOOKUP(F17,[1]Hoja2!$B$6:$B$18,[1]Hoja2!$H$6:$H$18))*2)+20))/100</f>
        <v>3.8957519189487719</v>
      </c>
      <c r="G21" s="34" t="s">
        <v>23</v>
      </c>
      <c r="H21" s="44" t="s">
        <v>60</v>
      </c>
      <c r="I21" s="45">
        <f>((PI()*(C29*(100)-I19-I19))+(I20*(3)+I20*(3)+((LOOKUP(I17,[1]Hoja2!$B$6:$B$18,[1]Hoja2!$H$6:$H$18))*2)+20))/100</f>
        <v>12.507022729420164</v>
      </c>
      <c r="J21" s="34" t="s">
        <v>23</v>
      </c>
      <c r="K21" s="37" t="s">
        <v>61</v>
      </c>
      <c r="L21" s="39">
        <f>LOOKUP(L20,[1]Hoja2!$B$6:$B$18,[1]Hoja2!$E$6:$E$18)</f>
        <v>2.2349999999999999</v>
      </c>
      <c r="M21" s="34" t="s">
        <v>43</v>
      </c>
    </row>
    <row r="22" spans="2:13" ht="15" thickBot="1" x14ac:dyDescent="0.25">
      <c r="B22" s="37" t="s">
        <v>50</v>
      </c>
      <c r="C22" s="40">
        <f>+C18+C17+C27</f>
        <v>2.67</v>
      </c>
      <c r="D22" s="34" t="s">
        <v>23</v>
      </c>
      <c r="K22" s="44" t="s">
        <v>62</v>
      </c>
      <c r="L22" s="46">
        <f>C15-(L13/100)-(L13/100)</f>
        <v>5.16</v>
      </c>
      <c r="M22" s="34" t="s">
        <v>23</v>
      </c>
    </row>
    <row r="23" spans="2:13" ht="15" thickBot="1" x14ac:dyDescent="0.25">
      <c r="B23" s="37"/>
      <c r="C23" s="36"/>
      <c r="D23" s="34"/>
      <c r="H23" s="107" t="s">
        <v>28</v>
      </c>
      <c r="I23" s="108"/>
    </row>
    <row r="24" spans="2:13" x14ac:dyDescent="0.2">
      <c r="B24" s="80" t="s">
        <v>63</v>
      </c>
      <c r="C24" s="38"/>
      <c r="D24" s="34"/>
      <c r="H24" s="114" t="s">
        <v>64</v>
      </c>
      <c r="I24" s="115"/>
      <c r="K24" s="107" t="s">
        <v>28</v>
      </c>
      <c r="L24" s="108"/>
      <c r="M24" s="31"/>
    </row>
    <row r="25" spans="2:13" x14ac:dyDescent="0.2">
      <c r="B25" s="37" t="s">
        <v>46</v>
      </c>
      <c r="C25" s="40">
        <f>+C15</f>
        <v>5.5</v>
      </c>
      <c r="D25" s="34" t="s">
        <v>23</v>
      </c>
      <c r="H25" s="37" t="s">
        <v>34</v>
      </c>
      <c r="I25" s="39">
        <f>IF(C29=2.5,12*2,IF(C29=3,13*2,IF(C29=3.7,14*2)))</f>
        <v>28</v>
      </c>
      <c r="J25" s="34" t="s">
        <v>33</v>
      </c>
      <c r="K25" s="114" t="s">
        <v>65</v>
      </c>
      <c r="L25" s="115"/>
      <c r="M25" s="31"/>
    </row>
    <row r="26" spans="2:13" x14ac:dyDescent="0.2">
      <c r="B26" s="37" t="s">
        <v>48</v>
      </c>
      <c r="C26" s="40">
        <f>+C16</f>
        <v>5.5</v>
      </c>
      <c r="D26" s="34" t="s">
        <v>23</v>
      </c>
      <c r="H26" s="37" t="s">
        <v>38</v>
      </c>
      <c r="I26" s="38">
        <v>4</v>
      </c>
      <c r="J26" s="34" t="s">
        <v>39</v>
      </c>
      <c r="K26" s="37" t="s">
        <v>34</v>
      </c>
      <c r="L26" s="38">
        <f>14*4</f>
        <v>56</v>
      </c>
      <c r="M26" s="34" t="s">
        <v>33</v>
      </c>
    </row>
    <row r="27" spans="2:13" x14ac:dyDescent="0.2">
      <c r="B27" s="37" t="s">
        <v>50</v>
      </c>
      <c r="C27" s="38">
        <v>0.05</v>
      </c>
      <c r="D27" s="34" t="s">
        <v>23</v>
      </c>
      <c r="H27" s="37" t="s">
        <v>42</v>
      </c>
      <c r="I27" s="39">
        <f>LOOKUP(I26,[1]Hoja2!$B$6:$B$18,[1]Hoja2!$E$6:$E$18)</f>
        <v>0.99399999999999999</v>
      </c>
      <c r="J27" s="34" t="s">
        <v>43</v>
      </c>
      <c r="K27" s="37" t="s">
        <v>38</v>
      </c>
      <c r="L27" s="38">
        <v>4</v>
      </c>
      <c r="M27" s="34" t="s">
        <v>39</v>
      </c>
    </row>
    <row r="28" spans="2:13" x14ac:dyDescent="0.2">
      <c r="B28" s="80" t="s">
        <v>66</v>
      </c>
      <c r="C28" s="38"/>
      <c r="D28" s="34"/>
      <c r="H28" s="37" t="s">
        <v>67</v>
      </c>
      <c r="I28" s="38">
        <v>13</v>
      </c>
      <c r="J28" s="34"/>
      <c r="K28" s="37" t="s">
        <v>42</v>
      </c>
      <c r="L28" s="39">
        <f>LOOKUP(L27,[1]Hoja2!$B$6:$B$18,[1]Hoja2!$E$6:$E$18)</f>
        <v>0.99399999999999999</v>
      </c>
      <c r="M28" s="34" t="s">
        <v>43</v>
      </c>
    </row>
    <row r="29" spans="2:13" ht="15" thickBot="1" x14ac:dyDescent="0.25">
      <c r="B29" s="37" t="s">
        <v>37</v>
      </c>
      <c r="C29" s="38">
        <v>3.7</v>
      </c>
      <c r="D29" s="34" t="s">
        <v>23</v>
      </c>
      <c r="H29" s="44" t="s">
        <v>68</v>
      </c>
      <c r="I29" s="45">
        <f>IF(C29=2.5,(1.8+([1]Hoja2!I10/100*4)+(0.2)),IF(C29=3,(2.09+([1]Hoja2!I10/100*4)+(0.2)),IF(C29=3.7,(2.07+([1]Hoja2!I10/100*4)+(0.2)))))</f>
        <v>2.5499999999999998</v>
      </c>
      <c r="J29" s="34" t="s">
        <v>23</v>
      </c>
      <c r="K29" s="44" t="s">
        <v>68</v>
      </c>
      <c r="L29" s="45">
        <f>((0.75+1.235)*2)+0.21+0.24</f>
        <v>4.4200000000000008</v>
      </c>
      <c r="M29" s="34" t="s">
        <v>23</v>
      </c>
    </row>
    <row r="30" spans="2:13" ht="15" thickBot="1" x14ac:dyDescent="0.25">
      <c r="B30" s="44" t="s">
        <v>69</v>
      </c>
      <c r="C30" s="47">
        <v>3</v>
      </c>
      <c r="D30" s="34" t="s">
        <v>23</v>
      </c>
      <c r="G30" s="34"/>
      <c r="K30" s="48"/>
      <c r="L30" s="49"/>
      <c r="M30" s="34"/>
    </row>
    <row r="31" spans="2:13" x14ac:dyDescent="0.2">
      <c r="B31" s="48"/>
      <c r="C31" s="50"/>
      <c r="D31" s="34"/>
      <c r="E31" s="48"/>
      <c r="F31" s="50"/>
      <c r="G31" s="34"/>
    </row>
    <row r="32" spans="2:13" x14ac:dyDescent="0.2">
      <c r="B32" s="48"/>
      <c r="C32" s="50"/>
      <c r="D32" s="34"/>
      <c r="E32" s="48"/>
      <c r="F32" s="50"/>
      <c r="G32" s="34"/>
    </row>
    <row r="33" spans="1:11" ht="38.25" x14ac:dyDescent="0.2">
      <c r="A33" s="51" t="s">
        <v>70</v>
      </c>
      <c r="B33" s="78" t="s">
        <v>71</v>
      </c>
      <c r="C33" s="52" t="s">
        <v>72</v>
      </c>
      <c r="D33" s="53" t="s">
        <v>105</v>
      </c>
      <c r="E33" s="54"/>
    </row>
    <row r="34" spans="1:11" ht="76.5" x14ac:dyDescent="0.2">
      <c r="A34" s="78">
        <v>6007</v>
      </c>
      <c r="B34" s="55" t="s">
        <v>73</v>
      </c>
      <c r="C34" s="79" t="s">
        <v>74</v>
      </c>
      <c r="D34" s="57">
        <f>((PI()*(C12*C12)/4/10000)*C13*C11)</f>
        <v>51.050880620834135</v>
      </c>
      <c r="E34" s="58"/>
      <c r="H34" s="59"/>
      <c r="K34" s="59"/>
    </row>
    <row r="35" spans="1:11" ht="102" x14ac:dyDescent="0.2">
      <c r="A35" s="109">
        <v>3708</v>
      </c>
      <c r="B35" s="55" t="s">
        <v>75</v>
      </c>
      <c r="C35" s="56" t="s">
        <v>76</v>
      </c>
      <c r="D35" s="60">
        <f>D36+D37+D38</f>
        <v>15713.54081733382</v>
      </c>
      <c r="H35" s="59"/>
      <c r="K35" s="59"/>
    </row>
    <row r="36" spans="1:11" x14ac:dyDescent="0.2">
      <c r="A36" s="109"/>
      <c r="B36" s="61" t="s">
        <v>29</v>
      </c>
      <c r="C36" s="110" t="s">
        <v>76</v>
      </c>
      <c r="D36" s="62">
        <f>((F14*F11*F13)+(F16*F18*F21))*C11*1.03</f>
        <v>5617.7255788259872</v>
      </c>
    </row>
    <row r="37" spans="1:11" x14ac:dyDescent="0.2">
      <c r="A37" s="109"/>
      <c r="B37" s="61" t="s">
        <v>31</v>
      </c>
      <c r="C37" s="110"/>
      <c r="D37" s="62">
        <f>(((L14*L16*L17*4)+(L19*L21*L22*4))+(L26*L28*L29))*1.03</f>
        <v>3044.8863296000004</v>
      </c>
    </row>
    <row r="38" spans="1:11" x14ac:dyDescent="0.2">
      <c r="A38" s="109"/>
      <c r="B38" s="61" t="s">
        <v>30</v>
      </c>
      <c r="C38" s="110"/>
      <c r="D38" s="63">
        <f>+(I11*I13*I14)+(I16*I18*I21)+(I25*I27*I29*I28)*1.03</f>
        <v>7050.928908907832</v>
      </c>
    </row>
    <row r="39" spans="1:11" ht="51" x14ac:dyDescent="0.2">
      <c r="A39" s="109">
        <v>3637</v>
      </c>
      <c r="B39" s="55" t="s">
        <v>77</v>
      </c>
      <c r="C39" s="79" t="s">
        <v>74</v>
      </c>
      <c r="D39" s="64">
        <f>D40+D41</f>
        <v>77.631302570733197</v>
      </c>
      <c r="H39" s="58"/>
      <c r="K39" s="58"/>
    </row>
    <row r="40" spans="1:11" x14ac:dyDescent="0.2">
      <c r="A40" s="109"/>
      <c r="B40" s="61" t="s">
        <v>31</v>
      </c>
      <c r="C40" s="110" t="s">
        <v>74</v>
      </c>
      <c r="D40" s="65">
        <f>C15*C16*C17</f>
        <v>45.375</v>
      </c>
    </row>
    <row r="41" spans="1:11" x14ac:dyDescent="0.2">
      <c r="A41" s="109"/>
      <c r="B41" s="61" t="s">
        <v>30</v>
      </c>
      <c r="C41" s="110"/>
      <c r="D41" s="65">
        <f>(PI()*C29*C29/4)*C30</f>
        <v>32.256302570733197</v>
      </c>
    </row>
    <row r="42" spans="1:11" ht="38.25" x14ac:dyDescent="0.2">
      <c r="A42" s="78">
        <v>5055</v>
      </c>
      <c r="B42" s="55" t="s">
        <v>78</v>
      </c>
      <c r="C42" s="79" t="s">
        <v>74</v>
      </c>
      <c r="D42" s="65">
        <f>((PI()*(C12*C12)/4/10000)*(C17+C18)*C11)</f>
        <v>8.2309727524052576</v>
      </c>
      <c r="H42" s="58"/>
      <c r="K42" s="58"/>
    </row>
    <row r="43" spans="1:11" ht="51" x14ac:dyDescent="0.2">
      <c r="A43" s="78">
        <v>6021</v>
      </c>
      <c r="B43" s="55" t="s">
        <v>87</v>
      </c>
      <c r="C43" s="79" t="s">
        <v>74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74">
        <v>5416</v>
      </c>
      <c r="B44" s="72" t="s">
        <v>88</v>
      </c>
      <c r="C44" s="66" t="s">
        <v>74</v>
      </c>
      <c r="D44" s="75">
        <f>C20*C21*C22</f>
        <v>150.1875</v>
      </c>
      <c r="E44" s="76"/>
      <c r="H44" s="59"/>
      <c r="K44" s="59"/>
    </row>
    <row r="45" spans="1:11" ht="51" x14ac:dyDescent="0.2">
      <c r="A45" s="74">
        <v>3017</v>
      </c>
      <c r="B45" s="72" t="s">
        <v>89</v>
      </c>
      <c r="C45" s="66" t="s">
        <v>74</v>
      </c>
      <c r="D45" s="65">
        <f>D44</f>
        <v>150.1875</v>
      </c>
      <c r="E45" s="76"/>
      <c r="H45" s="58"/>
      <c r="K45" s="58"/>
    </row>
    <row r="46" spans="1:11" ht="38.25" x14ac:dyDescent="0.2">
      <c r="A46" s="74">
        <v>4908</v>
      </c>
      <c r="B46" s="55" t="s">
        <v>79</v>
      </c>
      <c r="C46" s="79" t="s">
        <v>74</v>
      </c>
      <c r="D46" s="65">
        <f>D44-(C25*C26*C27)-D40-((PI()*C29*C29/4)*C18)</f>
        <v>91.257647040259613</v>
      </c>
      <c r="K46" s="58"/>
    </row>
    <row r="47" spans="1:11" ht="51" x14ac:dyDescent="0.2">
      <c r="A47" s="74">
        <v>5196</v>
      </c>
      <c r="B47" s="72" t="s">
        <v>96</v>
      </c>
      <c r="C47" s="79" t="s">
        <v>74</v>
      </c>
      <c r="D47" s="65">
        <f>C20*C21*0.15</f>
        <v>8.4375</v>
      </c>
    </row>
    <row r="48" spans="1:11" x14ac:dyDescent="0.2">
      <c r="A48" s="74"/>
    </row>
    <row r="49" spans="1:1" x14ac:dyDescent="0.2">
      <c r="A49" s="74"/>
    </row>
    <row r="50" spans="1:1" x14ac:dyDescent="0.2">
      <c r="A50" s="7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ADD5-3F6D-4AFA-9241-FFC9CA54475C}">
  <sheetPr>
    <tabColor rgb="FFFFFF00"/>
  </sheetPr>
  <dimension ref="A2:M50"/>
  <sheetViews>
    <sheetView view="pageBreakPreview" topLeftCell="A19" zoomScale="85" zoomScaleNormal="85" zoomScaleSheetLayoutView="85" workbookViewId="0">
      <selection activeCell="H35" sqref="H35"/>
    </sheetView>
  </sheetViews>
  <sheetFormatPr baseColWidth="10" defaultRowHeight="14.25" x14ac:dyDescent="0.2"/>
  <cols>
    <col min="1" max="1" width="9.7109375" style="28" customWidth="1"/>
    <col min="2" max="2" width="42.85546875" style="28" customWidth="1"/>
    <col min="3" max="3" width="12.28515625" style="31" customWidth="1"/>
    <col min="4" max="4" width="12.85546875" style="31" customWidth="1"/>
    <col min="5" max="5" width="28.7109375" style="31" bestFit="1" customWidth="1"/>
    <col min="6" max="7" width="11.42578125" style="31"/>
    <col min="8" max="8" width="28.7109375" style="31" customWidth="1"/>
    <col min="9" max="10" width="11.42578125" style="31"/>
    <col min="11" max="11" width="28.7109375" style="31" customWidth="1"/>
    <col min="12" max="16384" width="11.42578125" style="28"/>
  </cols>
  <sheetData>
    <row r="2" spans="2:13" ht="16.5" x14ac:dyDescent="0.2">
      <c r="C2" s="29"/>
      <c r="D2" s="29"/>
      <c r="E2" s="30" t="s">
        <v>24</v>
      </c>
      <c r="F2" s="29"/>
      <c r="G2" s="29"/>
    </row>
    <row r="3" spans="2:13" ht="16.5" x14ac:dyDescent="0.3">
      <c r="C3" s="29"/>
      <c r="D3" s="29"/>
      <c r="E3" s="27" t="s">
        <v>25</v>
      </c>
      <c r="F3" s="29"/>
      <c r="G3" s="29"/>
    </row>
    <row r="4" spans="2:13" ht="16.5" x14ac:dyDescent="0.2">
      <c r="C4" s="29"/>
      <c r="D4" s="29"/>
      <c r="E4" s="32"/>
      <c r="F4" s="29"/>
      <c r="G4" s="29"/>
    </row>
    <row r="5" spans="2:13" ht="16.5" x14ac:dyDescent="0.3">
      <c r="C5" s="29"/>
      <c r="D5" s="29"/>
      <c r="E5" s="33" t="s">
        <v>26</v>
      </c>
      <c r="F5" s="29"/>
      <c r="G5" s="29"/>
    </row>
    <row r="7" spans="2:13" ht="16.5" x14ac:dyDescent="0.3">
      <c r="E7" s="111" t="s">
        <v>109</v>
      </c>
      <c r="F7" s="111"/>
      <c r="G7" s="111"/>
      <c r="H7" s="111"/>
      <c r="I7" s="111"/>
    </row>
    <row r="8" spans="2:13" ht="15" thickBot="1" x14ac:dyDescent="0.25"/>
    <row r="9" spans="2:13" x14ac:dyDescent="0.2">
      <c r="B9" s="112" t="s">
        <v>27</v>
      </c>
      <c r="C9" s="113"/>
      <c r="D9" s="34"/>
      <c r="E9" s="107" t="s">
        <v>28</v>
      </c>
      <c r="F9" s="108"/>
      <c r="G9" s="34"/>
      <c r="H9" s="107" t="s">
        <v>28</v>
      </c>
      <c r="I9" s="108"/>
      <c r="K9" s="107" t="s">
        <v>28</v>
      </c>
      <c r="L9" s="108"/>
    </row>
    <row r="10" spans="2:13" x14ac:dyDescent="0.2">
      <c r="B10" s="80" t="s">
        <v>29</v>
      </c>
      <c r="C10" s="35"/>
      <c r="D10" s="34"/>
      <c r="E10" s="80" t="s">
        <v>29</v>
      </c>
      <c r="F10" s="35"/>
      <c r="G10" s="34"/>
      <c r="H10" s="80" t="s">
        <v>30</v>
      </c>
      <c r="I10" s="36"/>
      <c r="J10" s="34"/>
      <c r="K10" s="80" t="s">
        <v>31</v>
      </c>
      <c r="L10" s="36"/>
    </row>
    <row r="11" spans="2:13" x14ac:dyDescent="0.2">
      <c r="B11" s="37" t="s">
        <v>32</v>
      </c>
      <c r="C11" s="38">
        <v>4</v>
      </c>
      <c r="D11" s="34" t="s">
        <v>33</v>
      </c>
      <c r="E11" s="37" t="s">
        <v>34</v>
      </c>
      <c r="F11" s="38">
        <v>16</v>
      </c>
      <c r="G11" s="34" t="s">
        <v>33</v>
      </c>
      <c r="H11" s="37" t="s">
        <v>34</v>
      </c>
      <c r="I11" s="38">
        <v>72</v>
      </c>
      <c r="J11" s="34" t="s">
        <v>33</v>
      </c>
      <c r="K11" s="37" t="s">
        <v>35</v>
      </c>
      <c r="L11" s="38">
        <v>20</v>
      </c>
      <c r="M11" s="28" t="s">
        <v>36</v>
      </c>
    </row>
    <row r="12" spans="2:13" x14ac:dyDescent="0.2">
      <c r="B12" s="37" t="s">
        <v>37</v>
      </c>
      <c r="C12" s="38">
        <v>100</v>
      </c>
      <c r="D12" s="34" t="s">
        <v>36</v>
      </c>
      <c r="E12" s="37" t="s">
        <v>38</v>
      </c>
      <c r="F12" s="38">
        <v>8</v>
      </c>
      <c r="G12" s="34" t="s">
        <v>39</v>
      </c>
      <c r="H12" s="37" t="s">
        <v>38</v>
      </c>
      <c r="I12" s="38">
        <v>11</v>
      </c>
      <c r="J12" s="34" t="s">
        <v>39</v>
      </c>
      <c r="K12" s="37" t="s">
        <v>40</v>
      </c>
      <c r="L12" s="38">
        <v>1</v>
      </c>
      <c r="M12" s="34"/>
    </row>
    <row r="13" spans="2:13" x14ac:dyDescent="0.2">
      <c r="B13" s="37" t="s">
        <v>41</v>
      </c>
      <c r="C13" s="38">
        <v>17.989999999999998</v>
      </c>
      <c r="D13" s="34" t="s">
        <v>23</v>
      </c>
      <c r="E13" s="37" t="s">
        <v>42</v>
      </c>
      <c r="F13" s="39">
        <f>LOOKUP(F12,[1]Hoja2!$B$6:$B$18,[1]Hoja2!$E$6:$E$18)</f>
        <v>3.9729999999999999</v>
      </c>
      <c r="G13" s="34" t="s">
        <v>43</v>
      </c>
      <c r="H13" s="37" t="s">
        <v>42</v>
      </c>
      <c r="I13" s="39">
        <f>LOOKUP(I12,[1]Hoja2!$B$6:$B$18,[1]Hoja2!$E$6:$E$18)</f>
        <v>7.907</v>
      </c>
      <c r="J13" s="34" t="s">
        <v>43</v>
      </c>
      <c r="K13" s="37" t="s">
        <v>95</v>
      </c>
      <c r="L13" s="38">
        <v>17</v>
      </c>
      <c r="M13" s="34" t="s">
        <v>36</v>
      </c>
    </row>
    <row r="14" spans="2:13" x14ac:dyDescent="0.2">
      <c r="B14" s="80" t="s">
        <v>31</v>
      </c>
      <c r="C14" s="38"/>
      <c r="D14" s="34"/>
      <c r="E14" s="37" t="s">
        <v>45</v>
      </c>
      <c r="F14" s="40">
        <f>(C13-C18-0.5-0.15)+(IF(C12=100,1,1.2))</f>
        <v>16.850000000000001</v>
      </c>
      <c r="G14" s="34" t="s">
        <v>23</v>
      </c>
      <c r="H14" s="37" t="s">
        <v>45</v>
      </c>
      <c r="I14" s="40">
        <f>(C30+C17-0.3-0.15)+(2.4)</f>
        <v>6.4499999999999993</v>
      </c>
      <c r="J14" s="34" t="s">
        <v>23</v>
      </c>
      <c r="K14" s="37" t="s">
        <v>34</v>
      </c>
      <c r="L14" s="39">
        <f>IF(L12=1,(ROUNDUP(((C15-(2*L13/100))*(L12)/(L11/100))+1,0)),(ROUNDUP(((C15-(2*L13/100))*(L12)/(L11/100))+2,0)))</f>
        <v>27</v>
      </c>
      <c r="M14" s="28" t="s">
        <v>33</v>
      </c>
    </row>
    <row r="15" spans="2:13" x14ac:dyDescent="0.2">
      <c r="B15" s="37" t="s">
        <v>46</v>
      </c>
      <c r="C15" s="38">
        <v>5.5</v>
      </c>
      <c r="D15" s="34" t="s">
        <v>23</v>
      </c>
      <c r="E15" s="37" t="s">
        <v>47</v>
      </c>
      <c r="F15" s="36">
        <v>0.1</v>
      </c>
      <c r="G15" s="41" t="s">
        <v>23</v>
      </c>
      <c r="H15" s="37" t="s">
        <v>47</v>
      </c>
      <c r="I15" s="36">
        <v>0.1</v>
      </c>
      <c r="J15" s="41" t="s">
        <v>23</v>
      </c>
      <c r="K15" s="37" t="s">
        <v>38</v>
      </c>
      <c r="L15" s="38">
        <v>8</v>
      </c>
      <c r="M15" s="28" t="s">
        <v>39</v>
      </c>
    </row>
    <row r="16" spans="2:13" x14ac:dyDescent="0.2">
      <c r="B16" s="37" t="s">
        <v>48</v>
      </c>
      <c r="C16" s="38">
        <v>5.5</v>
      </c>
      <c r="D16" s="34" t="s">
        <v>23</v>
      </c>
      <c r="E16" s="37" t="s">
        <v>49</v>
      </c>
      <c r="F16" s="42">
        <v>103</v>
      </c>
      <c r="G16" s="34" t="s">
        <v>33</v>
      </c>
      <c r="H16" s="37" t="s">
        <v>49</v>
      </c>
      <c r="I16" s="39">
        <f>ROUNDUP((((C30+C17-0.3-0.15)/I15)+1),0)</f>
        <v>42</v>
      </c>
      <c r="J16" s="34" t="s">
        <v>33</v>
      </c>
      <c r="K16" s="37" t="s">
        <v>42</v>
      </c>
      <c r="L16" s="39">
        <f>LOOKUP(L15,[1]Hoja2!$B$6:$B$18,[1]Hoja2!$E$6:$E$18)</f>
        <v>3.9729999999999999</v>
      </c>
      <c r="M16" s="34" t="s">
        <v>43</v>
      </c>
    </row>
    <row r="17" spans="2:13" x14ac:dyDescent="0.2">
      <c r="B17" s="37" t="s">
        <v>50</v>
      </c>
      <c r="C17" s="38">
        <v>1.5</v>
      </c>
      <c r="D17" s="34" t="s">
        <v>23</v>
      </c>
      <c r="E17" s="37" t="s">
        <v>51</v>
      </c>
      <c r="F17" s="38">
        <v>4</v>
      </c>
      <c r="G17" s="34" t="s">
        <v>39</v>
      </c>
      <c r="H17" s="37" t="s">
        <v>51</v>
      </c>
      <c r="I17" s="38">
        <v>4</v>
      </c>
      <c r="J17" s="34" t="s">
        <v>39</v>
      </c>
      <c r="K17" s="37" t="s">
        <v>45</v>
      </c>
      <c r="L17" s="40">
        <f>(C15-(L13/100)-(L13/100))+0.9+0.9</f>
        <v>6.9600000000000009</v>
      </c>
      <c r="M17" s="34" t="s">
        <v>23</v>
      </c>
    </row>
    <row r="18" spans="2:13" x14ac:dyDescent="0.2">
      <c r="B18" s="37" t="s">
        <v>52</v>
      </c>
      <c r="C18" s="73">
        <v>1.49</v>
      </c>
      <c r="D18" s="34" t="s">
        <v>23</v>
      </c>
      <c r="E18" s="37" t="s">
        <v>53</v>
      </c>
      <c r="F18" s="39">
        <f>LOOKUP(F17,[1]Hoja2!$B$6:$B$18,[1]Hoja2!$E$6:$E$18)</f>
        <v>0.99399999999999999</v>
      </c>
      <c r="G18" s="34" t="s">
        <v>43</v>
      </c>
      <c r="H18" s="37" t="s">
        <v>53</v>
      </c>
      <c r="I18" s="39">
        <f>LOOKUP(I17,[1]Hoja2!$B$6:$B$18,[1]Hoja2!$E$6:$E$18)</f>
        <v>0.99399999999999999</v>
      </c>
      <c r="J18" s="34" t="s">
        <v>43</v>
      </c>
      <c r="K18" s="37" t="s">
        <v>54</v>
      </c>
      <c r="L18" s="38">
        <v>20</v>
      </c>
      <c r="M18" s="28" t="s">
        <v>36</v>
      </c>
    </row>
    <row r="19" spans="2:13" x14ac:dyDescent="0.2">
      <c r="B19" s="80" t="s">
        <v>55</v>
      </c>
      <c r="C19" s="38"/>
      <c r="D19" s="34"/>
      <c r="E19" s="37" t="s">
        <v>44</v>
      </c>
      <c r="F19" s="38">
        <v>10</v>
      </c>
      <c r="G19" s="34" t="s">
        <v>36</v>
      </c>
      <c r="H19" s="37" t="s">
        <v>44</v>
      </c>
      <c r="I19" s="38">
        <v>7</v>
      </c>
      <c r="J19" s="34" t="s">
        <v>36</v>
      </c>
      <c r="K19" s="37" t="s">
        <v>56</v>
      </c>
      <c r="L19" s="39">
        <f>ROUNDDOWN((C17-(25/100)-(25/100))/(L18/100)+1,0)</f>
        <v>6</v>
      </c>
      <c r="M19" s="28" t="s">
        <v>33</v>
      </c>
    </row>
    <row r="20" spans="2:13" x14ac:dyDescent="0.2">
      <c r="B20" s="37" t="s">
        <v>57</v>
      </c>
      <c r="C20" s="39">
        <f>+C15+1+1</f>
        <v>7.5</v>
      </c>
      <c r="D20" s="34" t="s">
        <v>23</v>
      </c>
      <c r="E20" s="37" t="s">
        <v>35</v>
      </c>
      <c r="F20" s="43">
        <f>(PI()*(C12-F19-F19))/F11</f>
        <v>15.707963267948966</v>
      </c>
      <c r="G20" s="34" t="s">
        <v>36</v>
      </c>
      <c r="H20" s="37" t="s">
        <v>35</v>
      </c>
      <c r="I20" s="43">
        <f>(PI()*(C29*(100)-I19-I19))/I11</f>
        <v>12.479104151759456</v>
      </c>
      <c r="J20" s="34" t="s">
        <v>36</v>
      </c>
      <c r="K20" s="37" t="s">
        <v>58</v>
      </c>
      <c r="L20" s="38">
        <v>6</v>
      </c>
      <c r="M20" s="28" t="s">
        <v>39</v>
      </c>
    </row>
    <row r="21" spans="2:13" ht="15" thickBot="1" x14ac:dyDescent="0.25">
      <c r="B21" s="37" t="s">
        <v>59</v>
      </c>
      <c r="C21" s="39">
        <f>+C16+1+1</f>
        <v>7.5</v>
      </c>
      <c r="D21" s="34" t="s">
        <v>23</v>
      </c>
      <c r="E21" s="44" t="s">
        <v>60</v>
      </c>
      <c r="F21" s="45">
        <f>((PI()*(C12-F19-F19))+(F20*(3)+F20*(3)+((LOOKUP(F17,[1]Hoja2!$B$6:$B$18,[1]Hoja2!$H$6:$H$18))*2)+20))/100</f>
        <v>3.8957519189487719</v>
      </c>
      <c r="G21" s="34" t="s">
        <v>23</v>
      </c>
      <c r="H21" s="44" t="s">
        <v>60</v>
      </c>
      <c r="I21" s="45">
        <f>((PI()*(C29*(100)-I19-I19))+(I20*(3)+I20*(3)+((LOOKUP(I17,[1]Hoja2!$B$6:$B$18,[1]Hoja2!$H$6:$H$18))*2)+20))/100</f>
        <v>10.173701238372375</v>
      </c>
      <c r="J21" s="34" t="s">
        <v>23</v>
      </c>
      <c r="K21" s="37" t="s">
        <v>61</v>
      </c>
      <c r="L21" s="39">
        <f>LOOKUP(L20,[1]Hoja2!$B$6:$B$18,[1]Hoja2!$E$6:$E$18)</f>
        <v>2.2349999999999999</v>
      </c>
      <c r="M21" s="34" t="s">
        <v>43</v>
      </c>
    </row>
    <row r="22" spans="2:13" ht="15" thickBot="1" x14ac:dyDescent="0.25">
      <c r="B22" s="37" t="s">
        <v>50</v>
      </c>
      <c r="C22" s="40">
        <f>+C18+C17+C27</f>
        <v>3.04</v>
      </c>
      <c r="D22" s="34" t="s">
        <v>23</v>
      </c>
      <c r="K22" s="44" t="s">
        <v>62</v>
      </c>
      <c r="L22" s="46">
        <f>C15-(L13/100)-(L13/100)</f>
        <v>5.16</v>
      </c>
      <c r="M22" s="34" t="s">
        <v>23</v>
      </c>
    </row>
    <row r="23" spans="2:13" ht="15" thickBot="1" x14ac:dyDescent="0.25">
      <c r="B23" s="37"/>
      <c r="C23" s="36"/>
      <c r="D23" s="34"/>
      <c r="H23" s="107" t="s">
        <v>28</v>
      </c>
      <c r="I23" s="108"/>
    </row>
    <row r="24" spans="2:13" x14ac:dyDescent="0.2">
      <c r="B24" s="80" t="s">
        <v>63</v>
      </c>
      <c r="C24" s="38"/>
      <c r="D24" s="34"/>
      <c r="H24" s="114" t="s">
        <v>64</v>
      </c>
      <c r="I24" s="115"/>
      <c r="K24" s="107" t="s">
        <v>28</v>
      </c>
      <c r="L24" s="108"/>
      <c r="M24" s="31"/>
    </row>
    <row r="25" spans="2:13" x14ac:dyDescent="0.2">
      <c r="B25" s="37" t="s">
        <v>46</v>
      </c>
      <c r="C25" s="40">
        <f>+C15</f>
        <v>5.5</v>
      </c>
      <c r="D25" s="34" t="s">
        <v>23</v>
      </c>
      <c r="H25" s="37" t="s">
        <v>34</v>
      </c>
      <c r="I25" s="39">
        <f>IF(C29=2.5,12*2,IF(C29=3,13*2,IF(C29=3.7,14*2)))</f>
        <v>26</v>
      </c>
      <c r="J25" s="34" t="s">
        <v>33</v>
      </c>
      <c r="K25" s="114" t="s">
        <v>65</v>
      </c>
      <c r="L25" s="115"/>
      <c r="M25" s="31"/>
    </row>
    <row r="26" spans="2:13" x14ac:dyDescent="0.2">
      <c r="B26" s="37" t="s">
        <v>48</v>
      </c>
      <c r="C26" s="40">
        <f>+C16</f>
        <v>5.5</v>
      </c>
      <c r="D26" s="34" t="s">
        <v>23</v>
      </c>
      <c r="H26" s="37" t="s">
        <v>38</v>
      </c>
      <c r="I26" s="38">
        <v>4</v>
      </c>
      <c r="J26" s="34" t="s">
        <v>39</v>
      </c>
      <c r="K26" s="37" t="s">
        <v>34</v>
      </c>
      <c r="L26" s="38">
        <f>17*4</f>
        <v>68</v>
      </c>
      <c r="M26" s="34" t="s">
        <v>33</v>
      </c>
    </row>
    <row r="27" spans="2:13" x14ac:dyDescent="0.2">
      <c r="B27" s="37" t="s">
        <v>50</v>
      </c>
      <c r="C27" s="38">
        <v>0.05</v>
      </c>
      <c r="D27" s="34" t="s">
        <v>23</v>
      </c>
      <c r="H27" s="37" t="s">
        <v>42</v>
      </c>
      <c r="I27" s="39">
        <f>LOOKUP(I26,[1]Hoja2!$B$6:$B$18,[1]Hoja2!$E$6:$E$18)</f>
        <v>0.99399999999999999</v>
      </c>
      <c r="J27" s="34" t="s">
        <v>43</v>
      </c>
      <c r="K27" s="37" t="s">
        <v>38</v>
      </c>
      <c r="L27" s="38">
        <v>4</v>
      </c>
      <c r="M27" s="34" t="s">
        <v>39</v>
      </c>
    </row>
    <row r="28" spans="2:13" x14ac:dyDescent="0.2">
      <c r="B28" s="80" t="s">
        <v>66</v>
      </c>
      <c r="C28" s="38"/>
      <c r="D28" s="34"/>
      <c r="H28" s="37" t="s">
        <v>67</v>
      </c>
      <c r="I28" s="38">
        <v>13</v>
      </c>
      <c r="J28" s="34"/>
      <c r="K28" s="37" t="s">
        <v>42</v>
      </c>
      <c r="L28" s="39">
        <f>LOOKUP(L27,[1]Hoja2!$B$6:$B$18,[1]Hoja2!$E$6:$E$18)</f>
        <v>0.99399999999999999</v>
      </c>
      <c r="M28" s="34" t="s">
        <v>43</v>
      </c>
    </row>
    <row r="29" spans="2:13" ht="15" thickBot="1" x14ac:dyDescent="0.25">
      <c r="B29" s="37" t="s">
        <v>37</v>
      </c>
      <c r="C29" s="38">
        <v>3</v>
      </c>
      <c r="D29" s="34" t="s">
        <v>23</v>
      </c>
      <c r="H29" s="44" t="s">
        <v>68</v>
      </c>
      <c r="I29" s="45">
        <f>IF(C29=2.5,(1.8+([1]Hoja2!I10/100*4)+(0.2)),IF(C29=3,(2.09+([1]Hoja2!I10/100*4)+(0.2)),IF(C29=3.7,(2.07+([1]Hoja2!I10/100*4)+(0.2)))))</f>
        <v>2.5700000000000003</v>
      </c>
      <c r="J29" s="34" t="s">
        <v>23</v>
      </c>
      <c r="K29" s="44" t="s">
        <v>68</v>
      </c>
      <c r="L29" s="45">
        <f>((0.6+1.235)*2)+0.21+0.24</f>
        <v>4.12</v>
      </c>
      <c r="M29" s="34" t="s">
        <v>23</v>
      </c>
    </row>
    <row r="30" spans="2:13" ht="15" thickBot="1" x14ac:dyDescent="0.25">
      <c r="B30" s="44" t="s">
        <v>69</v>
      </c>
      <c r="C30" s="47">
        <v>3</v>
      </c>
      <c r="D30" s="34" t="s">
        <v>23</v>
      </c>
      <c r="G30" s="34"/>
      <c r="K30" s="48"/>
      <c r="L30" s="49"/>
      <c r="M30" s="34"/>
    </row>
    <row r="31" spans="2:13" x14ac:dyDescent="0.2">
      <c r="B31" s="48"/>
      <c r="C31" s="50"/>
      <c r="D31" s="34"/>
      <c r="E31" s="48"/>
      <c r="F31" s="50"/>
      <c r="G31" s="34"/>
    </row>
    <row r="32" spans="2:13" x14ac:dyDescent="0.2">
      <c r="B32" s="48"/>
      <c r="C32" s="50"/>
      <c r="D32" s="34"/>
      <c r="E32" s="48"/>
      <c r="F32" s="50"/>
      <c r="G32" s="34"/>
    </row>
    <row r="33" spans="1:11" ht="38.25" x14ac:dyDescent="0.2">
      <c r="A33" s="51" t="s">
        <v>70</v>
      </c>
      <c r="B33" s="78" t="s">
        <v>71</v>
      </c>
      <c r="C33" s="52" t="s">
        <v>72</v>
      </c>
      <c r="D33" s="53" t="s">
        <v>106</v>
      </c>
      <c r="E33" s="54"/>
    </row>
    <row r="34" spans="1:11" ht="76.5" x14ac:dyDescent="0.2">
      <c r="A34" s="78">
        <v>6007</v>
      </c>
      <c r="B34" s="55" t="s">
        <v>73</v>
      </c>
      <c r="C34" s="79" t="s">
        <v>74</v>
      </c>
      <c r="D34" s="57">
        <f>((PI()*(C12*C12)/4/10000)*C13*C11)</f>
        <v>56.517251838080377</v>
      </c>
      <c r="E34" s="58"/>
      <c r="H34" s="59"/>
      <c r="K34" s="59"/>
    </row>
    <row r="35" spans="1:11" ht="102" x14ac:dyDescent="0.2">
      <c r="A35" s="109">
        <v>3708</v>
      </c>
      <c r="B35" s="55" t="s">
        <v>75</v>
      </c>
      <c r="C35" s="56" t="s">
        <v>76</v>
      </c>
      <c r="D35" s="60">
        <f>D36+D37+D38</f>
        <v>14690.330395518722</v>
      </c>
      <c r="H35" s="59"/>
      <c r="K35" s="59"/>
    </row>
    <row r="36" spans="1:11" x14ac:dyDescent="0.2">
      <c r="A36" s="109"/>
      <c r="B36" s="61" t="s">
        <v>29</v>
      </c>
      <c r="C36" s="110" t="s">
        <v>76</v>
      </c>
      <c r="D36" s="62">
        <f>((F14*F11*F13)+(F16*F18*F21))*C11*1.03</f>
        <v>6056.2997726191516</v>
      </c>
    </row>
    <row r="37" spans="1:11" x14ac:dyDescent="0.2">
      <c r="A37" s="109"/>
      <c r="B37" s="61" t="s">
        <v>31</v>
      </c>
      <c r="C37" s="110"/>
      <c r="D37" s="62">
        <f>(((L14*L16*L17*4)+(L19*L21*L22*4))+(L26*L28*L29))*1.03</f>
        <v>3647.9366624000004</v>
      </c>
    </row>
    <row r="38" spans="1:11" x14ac:dyDescent="0.2">
      <c r="A38" s="109"/>
      <c r="B38" s="61" t="s">
        <v>30</v>
      </c>
      <c r="C38" s="110"/>
      <c r="D38" s="63">
        <f>+(I11*I13*I14)+(I16*I18*I21)+(I25*I27*I29*I28)*1.03</f>
        <v>4986.0939604995701</v>
      </c>
    </row>
    <row r="39" spans="1:11" ht="51" x14ac:dyDescent="0.2">
      <c r="A39" s="109">
        <v>3637</v>
      </c>
      <c r="B39" s="55" t="s">
        <v>77</v>
      </c>
      <c r="C39" s="79" t="s">
        <v>74</v>
      </c>
      <c r="D39" s="64">
        <f>D40+D41</f>
        <v>66.580750411731103</v>
      </c>
      <c r="H39" s="58"/>
      <c r="K39" s="58"/>
    </row>
    <row r="40" spans="1:11" x14ac:dyDescent="0.2">
      <c r="A40" s="109"/>
      <c r="B40" s="61" t="s">
        <v>31</v>
      </c>
      <c r="C40" s="110" t="s">
        <v>74</v>
      </c>
      <c r="D40" s="65">
        <f>C15*C16*C17</f>
        <v>45.375</v>
      </c>
    </row>
    <row r="41" spans="1:11" x14ac:dyDescent="0.2">
      <c r="A41" s="109"/>
      <c r="B41" s="61" t="s">
        <v>30</v>
      </c>
      <c r="C41" s="110"/>
      <c r="D41" s="65">
        <f>(PI()*C29*C29/4)*C30</f>
        <v>21.205750411731103</v>
      </c>
    </row>
    <row r="42" spans="1:11" ht="38.25" x14ac:dyDescent="0.2">
      <c r="A42" s="78">
        <v>5055</v>
      </c>
      <c r="B42" s="55" t="s">
        <v>78</v>
      </c>
      <c r="C42" s="79" t="s">
        <v>74</v>
      </c>
      <c r="D42" s="65">
        <f>((PI()*(C12*C12)/4/10000)*(C17+C18)*C11)</f>
        <v>9.3933620342334816</v>
      </c>
      <c r="H42" s="58"/>
      <c r="K42" s="58"/>
    </row>
    <row r="43" spans="1:11" ht="51" x14ac:dyDescent="0.2">
      <c r="A43" s="78">
        <v>6021</v>
      </c>
      <c r="B43" s="55" t="s">
        <v>87</v>
      </c>
      <c r="C43" s="79" t="s">
        <v>74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74">
        <v>5416</v>
      </c>
      <c r="B44" s="72" t="s">
        <v>88</v>
      </c>
      <c r="C44" s="66" t="s">
        <v>74</v>
      </c>
      <c r="D44" s="75">
        <f>C20*C21*C22</f>
        <v>171</v>
      </c>
      <c r="E44" s="76"/>
      <c r="H44" s="59"/>
      <c r="K44" s="59"/>
    </row>
    <row r="45" spans="1:11" ht="51" x14ac:dyDescent="0.2">
      <c r="A45" s="74">
        <v>3017</v>
      </c>
      <c r="B45" s="72" t="s">
        <v>89</v>
      </c>
      <c r="C45" s="66" t="s">
        <v>74</v>
      </c>
      <c r="D45" s="65">
        <f>D44</f>
        <v>171</v>
      </c>
      <c r="E45" s="76"/>
      <c r="H45" s="58"/>
      <c r="K45" s="58"/>
    </row>
    <row r="46" spans="1:11" ht="38.25" x14ac:dyDescent="0.2">
      <c r="A46" s="74">
        <v>4908</v>
      </c>
      <c r="B46" s="55" t="s">
        <v>79</v>
      </c>
      <c r="C46" s="79" t="s">
        <v>74</v>
      </c>
      <c r="D46" s="65">
        <f>D44-(C25*C26*C27)-D40-((PI()*C29*C29/4)*C18)</f>
        <v>113.58031062884024</v>
      </c>
      <c r="K46" s="58"/>
    </row>
    <row r="47" spans="1:11" ht="51" x14ac:dyDescent="0.2">
      <c r="A47" s="74">
        <v>5196</v>
      </c>
      <c r="B47" s="72" t="s">
        <v>96</v>
      </c>
      <c r="C47" s="79" t="s">
        <v>74</v>
      </c>
      <c r="D47" s="65">
        <f>C20*C21*0.15</f>
        <v>8.4375</v>
      </c>
    </row>
    <row r="48" spans="1:11" x14ac:dyDescent="0.2">
      <c r="A48" s="74"/>
    </row>
    <row r="49" spans="1:1" x14ac:dyDescent="0.2">
      <c r="A49" s="74"/>
    </row>
    <row r="50" spans="1:1" x14ac:dyDescent="0.2">
      <c r="A50" s="7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3774-F1B4-4869-8EF8-78F29BA3272A}">
  <sheetPr>
    <tabColor rgb="FFFFFF00"/>
  </sheetPr>
  <dimension ref="A2:M50"/>
  <sheetViews>
    <sheetView view="pageBreakPreview" topLeftCell="A4" zoomScale="85" zoomScaleNormal="85" zoomScaleSheetLayoutView="85" workbookViewId="0">
      <selection activeCell="E28" sqref="E28"/>
    </sheetView>
  </sheetViews>
  <sheetFormatPr baseColWidth="10" defaultRowHeight="14.25" x14ac:dyDescent="0.2"/>
  <cols>
    <col min="1" max="1" width="9.7109375" style="28" customWidth="1"/>
    <col min="2" max="2" width="42.85546875" style="28" customWidth="1"/>
    <col min="3" max="3" width="12.28515625" style="31" customWidth="1"/>
    <col min="4" max="4" width="12.85546875" style="31" customWidth="1"/>
    <col min="5" max="5" width="28.7109375" style="31" bestFit="1" customWidth="1"/>
    <col min="6" max="7" width="11.42578125" style="31"/>
    <col min="8" max="8" width="28.7109375" style="31" customWidth="1"/>
    <col min="9" max="10" width="11.42578125" style="31"/>
    <col min="11" max="11" width="28.7109375" style="31" customWidth="1"/>
    <col min="12" max="16384" width="11.42578125" style="28"/>
  </cols>
  <sheetData>
    <row r="2" spans="2:13" ht="16.5" x14ac:dyDescent="0.2">
      <c r="C2" s="29"/>
      <c r="D2" s="29"/>
      <c r="E2" s="30" t="s">
        <v>24</v>
      </c>
      <c r="F2" s="29"/>
      <c r="G2" s="29"/>
    </row>
    <row r="3" spans="2:13" ht="16.5" x14ac:dyDescent="0.3">
      <c r="C3" s="29"/>
      <c r="D3" s="29"/>
      <c r="E3" s="27" t="s">
        <v>25</v>
      </c>
      <c r="F3" s="29"/>
      <c r="G3" s="29"/>
    </row>
    <row r="4" spans="2:13" ht="16.5" x14ac:dyDescent="0.2">
      <c r="C4" s="29"/>
      <c r="D4" s="29"/>
      <c r="E4" s="32"/>
      <c r="F4" s="29"/>
      <c r="G4" s="29"/>
    </row>
    <row r="5" spans="2:13" ht="16.5" x14ac:dyDescent="0.3">
      <c r="C5" s="29"/>
      <c r="D5" s="29"/>
      <c r="E5" s="33" t="s">
        <v>26</v>
      </c>
      <c r="F5" s="29"/>
      <c r="G5" s="29"/>
    </row>
    <row r="7" spans="2:13" ht="16.5" x14ac:dyDescent="0.3">
      <c r="E7" s="111" t="s">
        <v>109</v>
      </c>
      <c r="F7" s="111"/>
      <c r="G7" s="111"/>
      <c r="H7" s="111"/>
      <c r="I7" s="111"/>
    </row>
    <row r="8" spans="2:13" ht="15" thickBot="1" x14ac:dyDescent="0.25"/>
    <row r="9" spans="2:13" x14ac:dyDescent="0.2">
      <c r="B9" s="112" t="s">
        <v>27</v>
      </c>
      <c r="C9" s="113"/>
      <c r="D9" s="34"/>
      <c r="E9" s="107" t="s">
        <v>28</v>
      </c>
      <c r="F9" s="108"/>
      <c r="G9" s="34"/>
      <c r="H9" s="107" t="s">
        <v>28</v>
      </c>
      <c r="I9" s="108"/>
      <c r="K9" s="107" t="s">
        <v>28</v>
      </c>
      <c r="L9" s="108"/>
    </row>
    <row r="10" spans="2:13" x14ac:dyDescent="0.2">
      <c r="B10" s="80" t="s">
        <v>29</v>
      </c>
      <c r="C10" s="35"/>
      <c r="D10" s="34"/>
      <c r="E10" s="80" t="s">
        <v>29</v>
      </c>
      <c r="F10" s="35"/>
      <c r="G10" s="34"/>
      <c r="H10" s="80" t="s">
        <v>30</v>
      </c>
      <c r="I10" s="36"/>
      <c r="J10" s="34"/>
      <c r="K10" s="80" t="s">
        <v>31</v>
      </c>
      <c r="L10" s="36"/>
    </row>
    <row r="11" spans="2:13" x14ac:dyDescent="0.2">
      <c r="B11" s="37" t="s">
        <v>32</v>
      </c>
      <c r="C11" s="38">
        <v>4</v>
      </c>
      <c r="D11" s="34" t="s">
        <v>33</v>
      </c>
      <c r="E11" s="37" t="s">
        <v>34</v>
      </c>
      <c r="F11" s="38">
        <v>23</v>
      </c>
      <c r="G11" s="34" t="s">
        <v>33</v>
      </c>
      <c r="H11" s="37" t="s">
        <v>34</v>
      </c>
      <c r="I11" s="38">
        <v>72</v>
      </c>
      <c r="J11" s="34" t="s">
        <v>33</v>
      </c>
      <c r="K11" s="37" t="s">
        <v>35</v>
      </c>
      <c r="L11" s="38">
        <v>25</v>
      </c>
      <c r="M11" s="28" t="s">
        <v>36</v>
      </c>
    </row>
    <row r="12" spans="2:13" x14ac:dyDescent="0.2">
      <c r="B12" s="37" t="s">
        <v>37</v>
      </c>
      <c r="C12" s="38">
        <v>120</v>
      </c>
      <c r="D12" s="34" t="s">
        <v>36</v>
      </c>
      <c r="E12" s="37" t="s">
        <v>38</v>
      </c>
      <c r="F12" s="38">
        <v>8</v>
      </c>
      <c r="G12" s="34" t="s">
        <v>39</v>
      </c>
      <c r="H12" s="37" t="s">
        <v>38</v>
      </c>
      <c r="I12" s="38">
        <v>11</v>
      </c>
      <c r="J12" s="34" t="s">
        <v>39</v>
      </c>
      <c r="K12" s="37" t="s">
        <v>40</v>
      </c>
      <c r="L12" s="38">
        <v>1</v>
      </c>
      <c r="M12" s="34"/>
    </row>
    <row r="13" spans="2:13" x14ac:dyDescent="0.2">
      <c r="B13" s="37" t="s">
        <v>41</v>
      </c>
      <c r="C13" s="38">
        <f>14+1.5</f>
        <v>15.5</v>
      </c>
      <c r="D13" s="34" t="s">
        <v>23</v>
      </c>
      <c r="E13" s="37" t="s">
        <v>42</v>
      </c>
      <c r="F13" s="39">
        <f>LOOKUP(F12,[1]Hoja2!$B$6:$B$18,[1]Hoja2!$E$6:$E$18)</f>
        <v>3.9729999999999999</v>
      </c>
      <c r="G13" s="34" t="s">
        <v>43</v>
      </c>
      <c r="H13" s="37" t="s">
        <v>42</v>
      </c>
      <c r="I13" s="39">
        <f>LOOKUP(I12,[1]Hoja2!$B$6:$B$18,[1]Hoja2!$E$6:$E$18)</f>
        <v>7.907</v>
      </c>
      <c r="J13" s="34" t="s">
        <v>43</v>
      </c>
      <c r="K13" s="37" t="s">
        <v>95</v>
      </c>
      <c r="L13" s="38">
        <v>17</v>
      </c>
      <c r="M13" s="34" t="s">
        <v>36</v>
      </c>
    </row>
    <row r="14" spans="2:13" x14ac:dyDescent="0.2">
      <c r="B14" s="80" t="s">
        <v>31</v>
      </c>
      <c r="C14" s="38"/>
      <c r="D14" s="34"/>
      <c r="E14" s="37" t="s">
        <v>45</v>
      </c>
      <c r="F14" s="82">
        <f>(C13-0.1-0.5-0.15)+(IF(C12=100,1,1.2))</f>
        <v>15.95</v>
      </c>
      <c r="G14" s="34" t="s">
        <v>23</v>
      </c>
      <c r="H14" s="37" t="s">
        <v>45</v>
      </c>
      <c r="I14" s="40">
        <f>(C30+C17-0.3-0.15)+(2.4)</f>
        <v>5.45</v>
      </c>
      <c r="J14" s="34" t="s">
        <v>23</v>
      </c>
      <c r="K14" s="37" t="s">
        <v>34</v>
      </c>
      <c r="L14" s="39">
        <f>IF(L12=1,(ROUNDUP(((C15-(2*L13/100))*(L12)/(L11/100))+1,0)),(ROUNDUP(((C15-(2*L13/100))*(L12)/(L11/100))+2,0)))</f>
        <v>22</v>
      </c>
      <c r="M14" s="28" t="s">
        <v>33</v>
      </c>
    </row>
    <row r="15" spans="2:13" x14ac:dyDescent="0.2">
      <c r="B15" s="37" t="s">
        <v>46</v>
      </c>
      <c r="C15" s="38">
        <v>5.5</v>
      </c>
      <c r="D15" s="34" t="s">
        <v>23</v>
      </c>
      <c r="E15" s="37" t="s">
        <v>47</v>
      </c>
      <c r="F15" s="36">
        <v>0.1</v>
      </c>
      <c r="G15" s="41" t="s">
        <v>23</v>
      </c>
      <c r="H15" s="37" t="s">
        <v>47</v>
      </c>
      <c r="I15" s="36">
        <v>0.1</v>
      </c>
      <c r="J15" s="41" t="s">
        <v>23</v>
      </c>
      <c r="K15" s="37" t="s">
        <v>38</v>
      </c>
      <c r="L15" s="38">
        <v>7</v>
      </c>
      <c r="M15" s="28" t="s">
        <v>39</v>
      </c>
    </row>
    <row r="16" spans="2:13" x14ac:dyDescent="0.2">
      <c r="B16" s="37" t="s">
        <v>48</v>
      </c>
      <c r="C16" s="38">
        <v>5.5</v>
      </c>
      <c r="D16" s="34" t="s">
        <v>23</v>
      </c>
      <c r="E16" s="37" t="s">
        <v>49</v>
      </c>
      <c r="F16" s="42">
        <v>98</v>
      </c>
      <c r="G16" s="34" t="s">
        <v>33</v>
      </c>
      <c r="H16" s="37" t="s">
        <v>49</v>
      </c>
      <c r="I16" s="39">
        <f>ROUNDUP((((C30+C17-0.25-0.15)/I15)+1),0)</f>
        <v>32</v>
      </c>
      <c r="J16" s="34" t="s">
        <v>33</v>
      </c>
      <c r="K16" s="37" t="s">
        <v>42</v>
      </c>
      <c r="L16" s="39">
        <f>LOOKUP(L15,[1]Hoja2!$B$6:$B$18,[1]Hoja2!$E$6:$E$18)</f>
        <v>3.0419999999999998</v>
      </c>
      <c r="M16" s="34" t="s">
        <v>43</v>
      </c>
    </row>
    <row r="17" spans="2:13" x14ac:dyDescent="0.2">
      <c r="B17" s="37" t="s">
        <v>50</v>
      </c>
      <c r="C17" s="38">
        <v>1.5</v>
      </c>
      <c r="D17" s="34" t="s">
        <v>23</v>
      </c>
      <c r="E17" s="37" t="s">
        <v>51</v>
      </c>
      <c r="F17" s="38">
        <v>4</v>
      </c>
      <c r="G17" s="34" t="s">
        <v>39</v>
      </c>
      <c r="H17" s="37" t="s">
        <v>51</v>
      </c>
      <c r="I17" s="38">
        <v>4</v>
      </c>
      <c r="J17" s="34" t="s">
        <v>39</v>
      </c>
      <c r="K17" s="37" t="s">
        <v>45</v>
      </c>
      <c r="L17" s="40">
        <f>(C15-(L13/100)-(L13/100))+0.9+0.9</f>
        <v>6.9600000000000009</v>
      </c>
      <c r="M17" s="34" t="s">
        <v>23</v>
      </c>
    </row>
    <row r="18" spans="2:13" x14ac:dyDescent="0.2">
      <c r="B18" s="37" t="s">
        <v>52</v>
      </c>
      <c r="C18" s="73">
        <v>0.9</v>
      </c>
      <c r="D18" s="34" t="s">
        <v>23</v>
      </c>
      <c r="E18" s="37" t="s">
        <v>53</v>
      </c>
      <c r="F18" s="39">
        <f>LOOKUP(F17,[1]Hoja2!$B$6:$B$18,[1]Hoja2!$E$6:$E$18)</f>
        <v>0.99399999999999999</v>
      </c>
      <c r="G18" s="34" t="s">
        <v>43</v>
      </c>
      <c r="H18" s="37" t="s">
        <v>53</v>
      </c>
      <c r="I18" s="39">
        <f>LOOKUP(I17,[1]Hoja2!$B$6:$B$18,[1]Hoja2!$E$6:$E$18)</f>
        <v>0.99399999999999999</v>
      </c>
      <c r="J18" s="34" t="s">
        <v>43</v>
      </c>
      <c r="K18" s="37" t="s">
        <v>54</v>
      </c>
      <c r="L18" s="38">
        <v>20</v>
      </c>
      <c r="M18" s="28" t="s">
        <v>36</v>
      </c>
    </row>
    <row r="19" spans="2:13" x14ac:dyDescent="0.2">
      <c r="B19" s="80" t="s">
        <v>55</v>
      </c>
      <c r="C19" s="38"/>
      <c r="D19" s="34"/>
      <c r="E19" s="37" t="s">
        <v>44</v>
      </c>
      <c r="F19" s="38">
        <v>10</v>
      </c>
      <c r="G19" s="34" t="s">
        <v>36</v>
      </c>
      <c r="H19" s="37" t="s">
        <v>44</v>
      </c>
      <c r="I19" s="38">
        <v>7</v>
      </c>
      <c r="J19" s="34" t="s">
        <v>36</v>
      </c>
      <c r="K19" s="37" t="s">
        <v>56</v>
      </c>
      <c r="L19" s="39">
        <f>ROUNDDOWN((C17-(25/100)-(25/100))/(L18/100)+1,0)</f>
        <v>6</v>
      </c>
      <c r="M19" s="28" t="s">
        <v>33</v>
      </c>
    </row>
    <row r="20" spans="2:13" x14ac:dyDescent="0.2">
      <c r="B20" s="37" t="s">
        <v>57</v>
      </c>
      <c r="C20" s="39">
        <f>+C15+1+1</f>
        <v>7.5</v>
      </c>
      <c r="D20" s="34" t="s">
        <v>23</v>
      </c>
      <c r="E20" s="37" t="s">
        <v>35</v>
      </c>
      <c r="F20" s="43">
        <f>(PI()*(C12-F19-F19))/F11</f>
        <v>13.659098493868667</v>
      </c>
      <c r="G20" s="34" t="s">
        <v>36</v>
      </c>
      <c r="H20" s="37" t="s">
        <v>35</v>
      </c>
      <c r="I20" s="43">
        <f>(PI()*(C29*(100)-I19-I19))/I11</f>
        <v>12.479104151759456</v>
      </c>
      <c r="J20" s="34" t="s">
        <v>36</v>
      </c>
      <c r="K20" s="37" t="s">
        <v>58</v>
      </c>
      <c r="L20" s="38">
        <v>6</v>
      </c>
      <c r="M20" s="28" t="s">
        <v>39</v>
      </c>
    </row>
    <row r="21" spans="2:13" ht="15" thickBot="1" x14ac:dyDescent="0.25">
      <c r="B21" s="37" t="s">
        <v>59</v>
      </c>
      <c r="C21" s="39">
        <f>+C16+1+1</f>
        <v>7.5</v>
      </c>
      <c r="D21" s="34" t="s">
        <v>23</v>
      </c>
      <c r="E21" s="44" t="s">
        <v>60</v>
      </c>
      <c r="F21" s="45">
        <f>((PI()*(C12-F19-F19))+(F20*(3)+F20*(3)+((LOOKUP(F17,[1]Hoja2!$B$6:$B$18,[1]Hoja2!$H$6:$H$18))*2)+20))/100</f>
        <v>4.4011385632219131</v>
      </c>
      <c r="G21" s="34" t="s">
        <v>23</v>
      </c>
      <c r="H21" s="44" t="s">
        <v>60</v>
      </c>
      <c r="I21" s="45">
        <f>((PI()*(C29*(100)-I19-I19))+(I20*(3)+I20*(3)+((LOOKUP(I17,[1]Hoja2!$B$6:$B$18,[1]Hoja2!$H$6:$H$18))*2)+20))/100</f>
        <v>10.173701238372375</v>
      </c>
      <c r="J21" s="34" t="s">
        <v>23</v>
      </c>
      <c r="K21" s="37" t="s">
        <v>61</v>
      </c>
      <c r="L21" s="39">
        <f>LOOKUP(L20,[1]Hoja2!$B$6:$B$18,[1]Hoja2!$E$6:$E$18)</f>
        <v>2.2349999999999999</v>
      </c>
      <c r="M21" s="34" t="s">
        <v>43</v>
      </c>
    </row>
    <row r="22" spans="2:13" ht="15" thickBot="1" x14ac:dyDescent="0.25">
      <c r="B22" s="37" t="s">
        <v>50</v>
      </c>
      <c r="C22" s="40">
        <f>+C18+C17+C27</f>
        <v>2.4499999999999997</v>
      </c>
      <c r="D22" s="34" t="s">
        <v>23</v>
      </c>
      <c r="K22" s="44" t="s">
        <v>62</v>
      </c>
      <c r="L22" s="46">
        <f>C15-(L13/100)-(L13/100)</f>
        <v>5.16</v>
      </c>
      <c r="M22" s="34" t="s">
        <v>23</v>
      </c>
    </row>
    <row r="23" spans="2:13" ht="15" thickBot="1" x14ac:dyDescent="0.25">
      <c r="B23" s="37"/>
      <c r="C23" s="36"/>
      <c r="D23" s="34"/>
      <c r="H23" s="107" t="s">
        <v>28</v>
      </c>
      <c r="I23" s="108"/>
    </row>
    <row r="24" spans="2:13" x14ac:dyDescent="0.2">
      <c r="B24" s="80" t="s">
        <v>63</v>
      </c>
      <c r="C24" s="38"/>
      <c r="D24" s="34"/>
      <c r="H24" s="114" t="s">
        <v>64</v>
      </c>
      <c r="I24" s="115"/>
      <c r="K24" s="107" t="s">
        <v>28</v>
      </c>
      <c r="L24" s="108"/>
      <c r="M24" s="31"/>
    </row>
    <row r="25" spans="2:13" x14ac:dyDescent="0.2">
      <c r="B25" s="37" t="s">
        <v>46</v>
      </c>
      <c r="C25" s="40">
        <f>+C15</f>
        <v>5.5</v>
      </c>
      <c r="D25" s="34" t="s">
        <v>23</v>
      </c>
      <c r="H25" s="37" t="s">
        <v>34</v>
      </c>
      <c r="I25" s="39">
        <f>IF(C29=2.5,12*2,IF(C29=3,13*2,IF(C29=3.7,14*2)))</f>
        <v>26</v>
      </c>
      <c r="J25" s="34" t="s">
        <v>33</v>
      </c>
      <c r="K25" s="114" t="s">
        <v>65</v>
      </c>
      <c r="L25" s="115"/>
      <c r="M25" s="31"/>
    </row>
    <row r="26" spans="2:13" x14ac:dyDescent="0.2">
      <c r="B26" s="37" t="s">
        <v>48</v>
      </c>
      <c r="C26" s="40">
        <f>+C16</f>
        <v>5.5</v>
      </c>
      <c r="D26" s="34" t="s">
        <v>23</v>
      </c>
      <c r="H26" s="37" t="s">
        <v>38</v>
      </c>
      <c r="I26" s="38">
        <v>4</v>
      </c>
      <c r="J26" s="34" t="s">
        <v>39</v>
      </c>
      <c r="K26" s="37" t="s">
        <v>34</v>
      </c>
      <c r="L26" s="38">
        <f>14*4</f>
        <v>56</v>
      </c>
      <c r="M26" s="34" t="s">
        <v>33</v>
      </c>
    </row>
    <row r="27" spans="2:13" x14ac:dyDescent="0.2">
      <c r="B27" s="37" t="s">
        <v>50</v>
      </c>
      <c r="C27" s="38">
        <v>0.05</v>
      </c>
      <c r="D27" s="34" t="s">
        <v>23</v>
      </c>
      <c r="H27" s="37" t="s">
        <v>42</v>
      </c>
      <c r="I27" s="39">
        <f>LOOKUP(I26,[1]Hoja2!$B$6:$B$18,[1]Hoja2!$E$6:$E$18)</f>
        <v>0.99399999999999999</v>
      </c>
      <c r="J27" s="34" t="s">
        <v>43</v>
      </c>
      <c r="K27" s="37" t="s">
        <v>38</v>
      </c>
      <c r="L27" s="38">
        <v>4</v>
      </c>
      <c r="M27" s="34" t="s">
        <v>39</v>
      </c>
    </row>
    <row r="28" spans="2:13" x14ac:dyDescent="0.2">
      <c r="B28" s="80" t="s">
        <v>66</v>
      </c>
      <c r="C28" s="38"/>
      <c r="D28" s="34"/>
      <c r="H28" s="37" t="s">
        <v>67</v>
      </c>
      <c r="I28" s="38">
        <v>13</v>
      </c>
      <c r="J28" s="34"/>
      <c r="K28" s="37" t="s">
        <v>42</v>
      </c>
      <c r="L28" s="39">
        <f>LOOKUP(L27,[1]Hoja2!$B$6:$B$18,[1]Hoja2!$E$6:$E$18)</f>
        <v>0.99399999999999999</v>
      </c>
      <c r="M28" s="34" t="s">
        <v>43</v>
      </c>
    </row>
    <row r="29" spans="2:13" ht="15" thickBot="1" x14ac:dyDescent="0.25">
      <c r="B29" s="37" t="s">
        <v>37</v>
      </c>
      <c r="C29" s="38">
        <v>3</v>
      </c>
      <c r="D29" s="34" t="s">
        <v>23</v>
      </c>
      <c r="H29" s="44" t="s">
        <v>68</v>
      </c>
      <c r="I29" s="45">
        <f>IF(C29=2.5,(1.8+([1]Hoja2!I10/100*4)+(0.2)),IF(C29=3,(2.09+([1]Hoja2!I10/100*4)+(0.2)),IF(C29=3.7,(2.07+([1]Hoja2!I10/100*4)+(0.2)))))</f>
        <v>2.5700000000000003</v>
      </c>
      <c r="J29" s="34" t="s">
        <v>23</v>
      </c>
      <c r="K29" s="44" t="s">
        <v>68</v>
      </c>
      <c r="L29" s="45">
        <f>((0.75+1.235)*2)+0.21+0.24</f>
        <v>4.4200000000000008</v>
      </c>
      <c r="M29" s="34" t="s">
        <v>23</v>
      </c>
    </row>
    <row r="30" spans="2:13" ht="15" thickBot="1" x14ac:dyDescent="0.25">
      <c r="B30" s="44" t="s">
        <v>69</v>
      </c>
      <c r="C30" s="47">
        <v>2</v>
      </c>
      <c r="D30" s="34" t="s">
        <v>23</v>
      </c>
      <c r="G30" s="34"/>
      <c r="K30" s="48"/>
      <c r="L30" s="49"/>
      <c r="M30" s="34"/>
    </row>
    <row r="31" spans="2:13" x14ac:dyDescent="0.2">
      <c r="B31" s="48"/>
      <c r="C31" s="50"/>
      <c r="D31" s="34"/>
      <c r="E31" s="48"/>
      <c r="F31" s="50"/>
      <c r="G31" s="34"/>
    </row>
    <row r="32" spans="2:13" x14ac:dyDescent="0.2">
      <c r="B32" s="48"/>
      <c r="C32" s="50"/>
      <c r="D32" s="34"/>
      <c r="E32" s="48"/>
      <c r="F32" s="50"/>
      <c r="G32" s="34"/>
    </row>
    <row r="33" spans="1:11" ht="38.25" x14ac:dyDescent="0.2">
      <c r="A33" s="51" t="s">
        <v>70</v>
      </c>
      <c r="B33" s="78" t="s">
        <v>71</v>
      </c>
      <c r="C33" s="52" t="s">
        <v>72</v>
      </c>
      <c r="D33" s="53" t="s">
        <v>107</v>
      </c>
      <c r="E33" s="54"/>
    </row>
    <row r="34" spans="1:11" ht="76.5" x14ac:dyDescent="0.2">
      <c r="A34" s="78">
        <v>6007</v>
      </c>
      <c r="B34" s="55" t="s">
        <v>73</v>
      </c>
      <c r="C34" s="79" t="s">
        <v>74</v>
      </c>
      <c r="D34" s="57">
        <f>((PI()*(C12*C12)/4/10000)*C13*C11)</f>
        <v>70.120348028124184</v>
      </c>
      <c r="E34" s="58"/>
      <c r="H34" s="59"/>
      <c r="K34" s="59"/>
    </row>
    <row r="35" spans="1:11" ht="102" x14ac:dyDescent="0.2">
      <c r="A35" s="109">
        <v>3708</v>
      </c>
      <c r="B35" s="55" t="s">
        <v>75</v>
      </c>
      <c r="C35" s="56" t="s">
        <v>76</v>
      </c>
      <c r="D35" s="60">
        <f>D36+D37+D38</f>
        <v>14544.445543438909</v>
      </c>
      <c r="H35" s="59"/>
      <c r="K35" s="59"/>
    </row>
    <row r="36" spans="1:11" x14ac:dyDescent="0.2">
      <c r="A36" s="109"/>
      <c r="B36" s="61" t="s">
        <v>29</v>
      </c>
      <c r="C36" s="110" t="s">
        <v>76</v>
      </c>
      <c r="D36" s="62">
        <f>((F14*F11*F13)+(F16*F18*F21))*C11*1.03</f>
        <v>7771.2212900487602</v>
      </c>
    </row>
    <row r="37" spans="1:11" x14ac:dyDescent="0.2">
      <c r="A37" s="109"/>
      <c r="B37" s="61" t="s">
        <v>31</v>
      </c>
      <c r="C37" s="110"/>
      <c r="D37" s="62">
        <f>(((L14*L16*L17*4)+(L19*L21*L22*4))+(L26*L28*L29))*1.03</f>
        <v>2457.5608832000003</v>
      </c>
    </row>
    <row r="38" spans="1:11" x14ac:dyDescent="0.2">
      <c r="A38" s="109"/>
      <c r="B38" s="61" t="s">
        <v>30</v>
      </c>
      <c r="C38" s="110"/>
      <c r="D38" s="63">
        <f>+(I11*I13*I14)+(I16*I18*I21)+(I25*I27*I29*I28)*1.03</f>
        <v>4315.6633701901483</v>
      </c>
    </row>
    <row r="39" spans="1:11" ht="51" x14ac:dyDescent="0.2">
      <c r="A39" s="109">
        <v>3637</v>
      </c>
      <c r="B39" s="55" t="s">
        <v>77</v>
      </c>
      <c r="C39" s="79" t="s">
        <v>74</v>
      </c>
      <c r="D39" s="64">
        <f>D40+D41</f>
        <v>59.512166941154071</v>
      </c>
      <c r="H39" s="58"/>
      <c r="K39" s="58"/>
    </row>
    <row r="40" spans="1:11" x14ac:dyDescent="0.2">
      <c r="A40" s="109"/>
      <c r="B40" s="61" t="s">
        <v>31</v>
      </c>
      <c r="C40" s="110" t="s">
        <v>74</v>
      </c>
      <c r="D40" s="65">
        <f>C15*C16*C17</f>
        <v>45.375</v>
      </c>
    </row>
    <row r="41" spans="1:11" x14ac:dyDescent="0.2">
      <c r="A41" s="109"/>
      <c r="B41" s="61" t="s">
        <v>30</v>
      </c>
      <c r="C41" s="110"/>
      <c r="D41" s="65">
        <f>(PI()*C29*C29/4)*C30</f>
        <v>14.137166941154069</v>
      </c>
    </row>
    <row r="42" spans="1:11" ht="38.25" x14ac:dyDescent="0.2">
      <c r="A42" s="78">
        <v>5055</v>
      </c>
      <c r="B42" s="55" t="s">
        <v>78</v>
      </c>
      <c r="C42" s="79" t="s">
        <v>74</v>
      </c>
      <c r="D42" s="83">
        <f>((PI()*(C12*C12)/4/10000)*(C17+0.1)*C11)</f>
        <v>7.2382294738708843</v>
      </c>
      <c r="H42" s="58"/>
      <c r="K42" s="58"/>
    </row>
    <row r="43" spans="1:11" ht="51" x14ac:dyDescent="0.2">
      <c r="A43" s="78">
        <v>6021</v>
      </c>
      <c r="B43" s="55" t="s">
        <v>87</v>
      </c>
      <c r="C43" s="79" t="s">
        <v>74</v>
      </c>
      <c r="D43" s="65">
        <f>(C25*C26*C27)-((PI()*C12*C12*0.1/4/10000)*C11)</f>
        <v>1.0601106578830699</v>
      </c>
      <c r="H43" s="58"/>
      <c r="K43" s="58"/>
    </row>
    <row r="44" spans="1:11" ht="25.5" x14ac:dyDescent="0.2">
      <c r="A44" s="74">
        <v>5416</v>
      </c>
      <c r="B44" s="72" t="s">
        <v>88</v>
      </c>
      <c r="C44" s="66" t="s">
        <v>74</v>
      </c>
      <c r="D44" s="84">
        <f>C20*C21*(C17+0.1+C27)</f>
        <v>92.812500000000014</v>
      </c>
      <c r="E44" s="76"/>
      <c r="H44" s="59"/>
      <c r="K44" s="59"/>
    </row>
    <row r="45" spans="1:11" ht="51" x14ac:dyDescent="0.2">
      <c r="A45" s="74">
        <v>3017</v>
      </c>
      <c r="B45" s="72" t="s">
        <v>89</v>
      </c>
      <c r="C45" s="66" t="s">
        <v>74</v>
      </c>
      <c r="D45" s="65">
        <f>D44</f>
        <v>92.812500000000014</v>
      </c>
      <c r="E45" s="76"/>
      <c r="H45" s="58"/>
      <c r="K45" s="58"/>
    </row>
    <row r="46" spans="1:11" ht="38.25" x14ac:dyDescent="0.2">
      <c r="A46" s="74">
        <v>4908</v>
      </c>
      <c r="B46" s="55" t="s">
        <v>79</v>
      </c>
      <c r="C46" s="79" t="s">
        <v>74</v>
      </c>
      <c r="D46" s="83">
        <f>D44-(C25*C26*C27)-D40+(23.18*C18)</f>
        <v>66.787000000000006</v>
      </c>
      <c r="K46" s="58"/>
    </row>
    <row r="47" spans="1:11" ht="51" x14ac:dyDescent="0.2">
      <c r="A47" s="74">
        <v>5196</v>
      </c>
      <c r="B47" s="72" t="s">
        <v>96</v>
      </c>
      <c r="C47" s="79" t="s">
        <v>74</v>
      </c>
      <c r="D47" s="65">
        <f>C20*C21*0.15</f>
        <v>8.4375</v>
      </c>
    </row>
    <row r="48" spans="1:11" x14ac:dyDescent="0.2">
      <c r="A48" s="74"/>
    </row>
    <row r="49" spans="1:1" x14ac:dyDescent="0.2">
      <c r="A49" s="74"/>
    </row>
    <row r="50" spans="1:1" x14ac:dyDescent="0.2">
      <c r="A50" s="7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6794C-B5EB-4A86-BE7D-7D985E12DDD8}">
  <sheetPr>
    <tabColor rgb="FFFFFF00"/>
  </sheetPr>
  <dimension ref="A2:M50"/>
  <sheetViews>
    <sheetView view="pageBreakPreview" zoomScale="85" zoomScaleNormal="85" zoomScaleSheetLayoutView="85" workbookViewId="0">
      <selection activeCell="E25" sqref="E25"/>
    </sheetView>
  </sheetViews>
  <sheetFormatPr baseColWidth="10" defaultRowHeight="14.25" x14ac:dyDescent="0.2"/>
  <cols>
    <col min="1" max="1" width="9.7109375" style="28" customWidth="1"/>
    <col min="2" max="2" width="42.85546875" style="28" customWidth="1"/>
    <col min="3" max="3" width="12.28515625" style="31" customWidth="1"/>
    <col min="4" max="4" width="12.85546875" style="31" customWidth="1"/>
    <col min="5" max="5" width="28.7109375" style="31" bestFit="1" customWidth="1"/>
    <col min="6" max="7" width="11.42578125" style="31"/>
    <col min="8" max="8" width="28.7109375" style="31" customWidth="1"/>
    <col min="9" max="10" width="11.42578125" style="31"/>
    <col min="11" max="11" width="28.7109375" style="31" customWidth="1"/>
    <col min="12" max="16384" width="11.42578125" style="28"/>
  </cols>
  <sheetData>
    <row r="2" spans="2:13" ht="16.5" x14ac:dyDescent="0.2">
      <c r="C2" s="29"/>
      <c r="D2" s="29"/>
      <c r="E2" s="30" t="s">
        <v>24</v>
      </c>
      <c r="F2" s="29"/>
      <c r="G2" s="29"/>
    </row>
    <row r="3" spans="2:13" ht="16.5" x14ac:dyDescent="0.3">
      <c r="C3" s="29"/>
      <c r="D3" s="29"/>
      <c r="E3" s="27" t="s">
        <v>25</v>
      </c>
      <c r="F3" s="29"/>
      <c r="G3" s="29"/>
    </row>
    <row r="4" spans="2:13" ht="16.5" x14ac:dyDescent="0.2">
      <c r="C4" s="29"/>
      <c r="D4" s="29"/>
      <c r="E4" s="32"/>
      <c r="F4" s="29"/>
      <c r="G4" s="29"/>
    </row>
    <row r="5" spans="2:13" ht="16.5" x14ac:dyDescent="0.3">
      <c r="C5" s="29"/>
      <c r="D5" s="29"/>
      <c r="E5" s="33" t="s">
        <v>26</v>
      </c>
      <c r="F5" s="29"/>
      <c r="G5" s="29"/>
    </row>
    <row r="7" spans="2:13" ht="16.5" x14ac:dyDescent="0.3">
      <c r="E7" s="111" t="s">
        <v>109</v>
      </c>
      <c r="F7" s="111"/>
      <c r="G7" s="111"/>
      <c r="H7" s="111"/>
      <c r="I7" s="111"/>
    </row>
    <row r="8" spans="2:13" ht="15" thickBot="1" x14ac:dyDescent="0.25"/>
    <row r="9" spans="2:13" x14ac:dyDescent="0.2">
      <c r="B9" s="112" t="s">
        <v>27</v>
      </c>
      <c r="C9" s="113"/>
      <c r="D9" s="34"/>
      <c r="E9" s="107" t="s">
        <v>28</v>
      </c>
      <c r="F9" s="108"/>
      <c r="G9" s="34"/>
      <c r="H9" s="107" t="s">
        <v>28</v>
      </c>
      <c r="I9" s="108"/>
      <c r="K9" s="107" t="s">
        <v>28</v>
      </c>
      <c r="L9" s="108"/>
    </row>
    <row r="10" spans="2:13" x14ac:dyDescent="0.2">
      <c r="B10" s="80" t="s">
        <v>29</v>
      </c>
      <c r="C10" s="35"/>
      <c r="D10" s="34"/>
      <c r="E10" s="80" t="s">
        <v>29</v>
      </c>
      <c r="F10" s="35"/>
      <c r="G10" s="34"/>
      <c r="H10" s="80" t="s">
        <v>30</v>
      </c>
      <c r="I10" s="36"/>
      <c r="J10" s="34"/>
      <c r="K10" s="80" t="s">
        <v>31</v>
      </c>
      <c r="L10" s="36"/>
    </row>
    <row r="11" spans="2:13" x14ac:dyDescent="0.2">
      <c r="B11" s="37" t="s">
        <v>32</v>
      </c>
      <c r="C11" s="38">
        <v>4</v>
      </c>
      <c r="D11" s="34" t="s">
        <v>33</v>
      </c>
      <c r="E11" s="37" t="s">
        <v>34</v>
      </c>
      <c r="F11" s="38">
        <v>16</v>
      </c>
      <c r="G11" s="34" t="s">
        <v>33</v>
      </c>
      <c r="H11" s="37" t="s">
        <v>34</v>
      </c>
      <c r="I11" s="38">
        <v>64</v>
      </c>
      <c r="J11" s="34" t="s">
        <v>33</v>
      </c>
      <c r="K11" s="37" t="s">
        <v>35</v>
      </c>
      <c r="L11" s="38">
        <v>25</v>
      </c>
      <c r="M11" s="28" t="s">
        <v>36</v>
      </c>
    </row>
    <row r="12" spans="2:13" x14ac:dyDescent="0.2">
      <c r="B12" s="37" t="s">
        <v>37</v>
      </c>
      <c r="C12" s="38">
        <v>100</v>
      </c>
      <c r="D12" s="34" t="s">
        <v>36</v>
      </c>
      <c r="E12" s="37" t="s">
        <v>38</v>
      </c>
      <c r="F12" s="38">
        <v>8</v>
      </c>
      <c r="G12" s="34" t="s">
        <v>39</v>
      </c>
      <c r="H12" s="37" t="s">
        <v>38</v>
      </c>
      <c r="I12" s="38">
        <v>10</v>
      </c>
      <c r="J12" s="34" t="s">
        <v>39</v>
      </c>
      <c r="K12" s="37" t="s">
        <v>40</v>
      </c>
      <c r="L12" s="38">
        <v>1</v>
      </c>
      <c r="M12" s="34"/>
    </row>
    <row r="13" spans="2:13" x14ac:dyDescent="0.2">
      <c r="B13" s="37" t="s">
        <v>41</v>
      </c>
      <c r="C13" s="38">
        <f>21+1.5+0.61</f>
        <v>23.11</v>
      </c>
      <c r="D13" s="34" t="s">
        <v>23</v>
      </c>
      <c r="E13" s="37" t="s">
        <v>42</v>
      </c>
      <c r="F13" s="39">
        <f>LOOKUP(F12,[1]Hoja2!$B$6:$B$18,[1]Hoja2!$E$6:$E$18)</f>
        <v>3.9729999999999999</v>
      </c>
      <c r="G13" s="34" t="s">
        <v>43</v>
      </c>
      <c r="H13" s="37" t="s">
        <v>42</v>
      </c>
      <c r="I13" s="39">
        <f>LOOKUP(I12,[1]Hoja2!$B$6:$B$18,[1]Hoja2!$E$6:$E$18)</f>
        <v>6.4039999999999999</v>
      </c>
      <c r="J13" s="34" t="s">
        <v>43</v>
      </c>
      <c r="K13" s="37" t="s">
        <v>95</v>
      </c>
      <c r="L13" s="38">
        <v>17</v>
      </c>
      <c r="M13" s="34" t="s">
        <v>36</v>
      </c>
    </row>
    <row r="14" spans="2:13" x14ac:dyDescent="0.2">
      <c r="B14" s="80" t="s">
        <v>31</v>
      </c>
      <c r="C14" s="38"/>
      <c r="D14" s="34"/>
      <c r="E14" s="37" t="s">
        <v>45</v>
      </c>
      <c r="F14" s="82">
        <f>(C13-0.11-0.5-0.15)+(IF(C12=100,1,1.2))</f>
        <v>23.35</v>
      </c>
      <c r="G14" s="34" t="s">
        <v>23</v>
      </c>
      <c r="H14" s="37" t="s">
        <v>45</v>
      </c>
      <c r="I14" s="40">
        <f>(C30+C17-0.3-0.15)+(2.4)</f>
        <v>5.45</v>
      </c>
      <c r="J14" s="34" t="s">
        <v>23</v>
      </c>
      <c r="K14" s="37" t="s">
        <v>34</v>
      </c>
      <c r="L14" s="39">
        <f>IF(L12=1,(ROUNDUP(((C15-(2*L13/100))*(L12)/(L11/100))+1,0)),(ROUNDUP(((C15-(2*L13/100))*(L12)/(L11/100))+2,0)))</f>
        <v>22</v>
      </c>
      <c r="M14" s="28" t="s">
        <v>33</v>
      </c>
    </row>
    <row r="15" spans="2:13" x14ac:dyDescent="0.2">
      <c r="B15" s="37" t="s">
        <v>46</v>
      </c>
      <c r="C15" s="38">
        <v>5.5</v>
      </c>
      <c r="D15" s="34" t="s">
        <v>23</v>
      </c>
      <c r="E15" s="37" t="s">
        <v>47</v>
      </c>
      <c r="F15" s="36">
        <v>0.1</v>
      </c>
      <c r="G15" s="41" t="s">
        <v>23</v>
      </c>
      <c r="H15" s="37" t="s">
        <v>47</v>
      </c>
      <c r="I15" s="36">
        <v>0.1</v>
      </c>
      <c r="J15" s="41" t="s">
        <v>23</v>
      </c>
      <c r="K15" s="37" t="s">
        <v>38</v>
      </c>
      <c r="L15" s="38">
        <v>7</v>
      </c>
      <c r="M15" s="28" t="s">
        <v>39</v>
      </c>
    </row>
    <row r="16" spans="2:13" x14ac:dyDescent="0.2">
      <c r="B16" s="37" t="s">
        <v>48</v>
      </c>
      <c r="C16" s="38">
        <v>5.5</v>
      </c>
      <c r="D16" s="34" t="s">
        <v>23</v>
      </c>
      <c r="E16" s="37" t="s">
        <v>49</v>
      </c>
      <c r="F16" s="42">
        <v>136</v>
      </c>
      <c r="G16" s="34" t="s">
        <v>33</v>
      </c>
      <c r="H16" s="37" t="s">
        <v>49</v>
      </c>
      <c r="I16" s="39">
        <f>ROUNDUP((((C30+C17-0.25-0.15)/I15)+1),0)</f>
        <v>32</v>
      </c>
      <c r="J16" s="34" t="s">
        <v>33</v>
      </c>
      <c r="K16" s="37" t="s">
        <v>42</v>
      </c>
      <c r="L16" s="39">
        <f>LOOKUP(L15,[1]Hoja2!$B$6:$B$18,[1]Hoja2!$E$6:$E$18)</f>
        <v>3.0419999999999998</v>
      </c>
      <c r="M16" s="34" t="s">
        <v>43</v>
      </c>
    </row>
    <row r="17" spans="2:13" x14ac:dyDescent="0.2">
      <c r="B17" s="37" t="s">
        <v>50</v>
      </c>
      <c r="C17" s="38">
        <v>1.5</v>
      </c>
      <c r="D17" s="34" t="s">
        <v>23</v>
      </c>
      <c r="E17" s="37" t="s">
        <v>51</v>
      </c>
      <c r="F17" s="38">
        <v>4</v>
      </c>
      <c r="G17" s="34" t="s">
        <v>39</v>
      </c>
      <c r="H17" s="37" t="s">
        <v>51</v>
      </c>
      <c r="I17" s="38">
        <v>4</v>
      </c>
      <c r="J17" s="34" t="s">
        <v>39</v>
      </c>
      <c r="K17" s="37" t="s">
        <v>45</v>
      </c>
      <c r="L17" s="40">
        <f>(C15-(L13/100)-(L13/100))+0.9+0.9</f>
        <v>6.9600000000000009</v>
      </c>
      <c r="M17" s="34" t="s">
        <v>23</v>
      </c>
    </row>
    <row r="18" spans="2:13" x14ac:dyDescent="0.2">
      <c r="B18" s="37" t="s">
        <v>52</v>
      </c>
      <c r="C18" s="73">
        <v>0.61</v>
      </c>
      <c r="D18" s="34" t="s">
        <v>23</v>
      </c>
      <c r="E18" s="37" t="s">
        <v>53</v>
      </c>
      <c r="F18" s="39">
        <f>LOOKUP(F17,[1]Hoja2!$B$6:$B$18,[1]Hoja2!$E$6:$E$18)</f>
        <v>0.99399999999999999</v>
      </c>
      <c r="G18" s="34" t="s">
        <v>43</v>
      </c>
      <c r="H18" s="37" t="s">
        <v>53</v>
      </c>
      <c r="I18" s="39">
        <f>LOOKUP(I17,[1]Hoja2!$B$6:$B$18,[1]Hoja2!$E$6:$E$18)</f>
        <v>0.99399999999999999</v>
      </c>
      <c r="J18" s="34" t="s">
        <v>43</v>
      </c>
      <c r="K18" s="37" t="s">
        <v>54</v>
      </c>
      <c r="L18" s="38">
        <v>20</v>
      </c>
      <c r="M18" s="28" t="s">
        <v>36</v>
      </c>
    </row>
    <row r="19" spans="2:13" x14ac:dyDescent="0.2">
      <c r="B19" s="80" t="s">
        <v>55</v>
      </c>
      <c r="C19" s="38"/>
      <c r="D19" s="34"/>
      <c r="E19" s="37" t="s">
        <v>44</v>
      </c>
      <c r="F19" s="38">
        <v>10</v>
      </c>
      <c r="G19" s="34" t="s">
        <v>36</v>
      </c>
      <c r="H19" s="37" t="s">
        <v>44</v>
      </c>
      <c r="I19" s="38">
        <v>7</v>
      </c>
      <c r="J19" s="34" t="s">
        <v>36</v>
      </c>
      <c r="K19" s="37" t="s">
        <v>56</v>
      </c>
      <c r="L19" s="39">
        <f>ROUNDDOWN((C17-(25/100)-(25/100))/(L18/100)+1,0)</f>
        <v>6</v>
      </c>
      <c r="M19" s="28" t="s">
        <v>33</v>
      </c>
    </row>
    <row r="20" spans="2:13" x14ac:dyDescent="0.2">
      <c r="B20" s="37" t="s">
        <v>57</v>
      </c>
      <c r="C20" s="39">
        <f>+C15+1+1</f>
        <v>7.5</v>
      </c>
      <c r="D20" s="34" t="s">
        <v>23</v>
      </c>
      <c r="E20" s="37" t="s">
        <v>35</v>
      </c>
      <c r="F20" s="43">
        <f>(PI()*(C12-F19-F19))/F11</f>
        <v>15.707963267948966</v>
      </c>
      <c r="G20" s="34" t="s">
        <v>36</v>
      </c>
      <c r="H20" s="37" t="s">
        <v>35</v>
      </c>
      <c r="I20" s="43">
        <f>(PI()*(C29*(100)-I19-I19))/I11</f>
        <v>11.584622910112362</v>
      </c>
      <c r="J20" s="34" t="s">
        <v>36</v>
      </c>
      <c r="K20" s="37" t="s">
        <v>58</v>
      </c>
      <c r="L20" s="38">
        <v>6</v>
      </c>
      <c r="M20" s="28" t="s">
        <v>39</v>
      </c>
    </row>
    <row r="21" spans="2:13" ht="15" thickBot="1" x14ac:dyDescent="0.25">
      <c r="B21" s="37" t="s">
        <v>59</v>
      </c>
      <c r="C21" s="39">
        <f>+C16+1+1</f>
        <v>7.5</v>
      </c>
      <c r="D21" s="34" t="s">
        <v>23</v>
      </c>
      <c r="E21" s="44" t="s">
        <v>60</v>
      </c>
      <c r="F21" s="45">
        <f>((PI()*(C12-F19-F19))+(F20*(3)+F20*(3)+((LOOKUP(F17,[1]Hoja2!$B$6:$B$18,[1]Hoja2!$H$6:$H$18))*2)+20))/100</f>
        <v>3.8957519189487719</v>
      </c>
      <c r="G21" s="34" t="s">
        <v>23</v>
      </c>
      <c r="H21" s="44" t="s">
        <v>60</v>
      </c>
      <c r="I21" s="45">
        <f>((PI()*(C29*(100)-I19-I19))+(I20*(3)+I20*(3)+((LOOKUP(I17,[1]Hoja2!$B$6:$B$18,[1]Hoja2!$H$6:$H$18))*2)+20))/100</f>
        <v>8.5492360370786535</v>
      </c>
      <c r="J21" s="34" t="s">
        <v>23</v>
      </c>
      <c r="K21" s="37" t="s">
        <v>61</v>
      </c>
      <c r="L21" s="39">
        <f>LOOKUP(L20,[1]Hoja2!$B$6:$B$18,[1]Hoja2!$E$6:$E$18)</f>
        <v>2.2349999999999999</v>
      </c>
      <c r="M21" s="34" t="s">
        <v>43</v>
      </c>
    </row>
    <row r="22" spans="2:13" ht="15" thickBot="1" x14ac:dyDescent="0.25">
      <c r="B22" s="37" t="s">
        <v>50</v>
      </c>
      <c r="C22" s="40">
        <f>+C18+C17+C27</f>
        <v>2.1599999999999997</v>
      </c>
      <c r="D22" s="34" t="s">
        <v>23</v>
      </c>
      <c r="K22" s="44" t="s">
        <v>62</v>
      </c>
      <c r="L22" s="46">
        <f>C15-(L13/100)-(L13/100)</f>
        <v>5.16</v>
      </c>
      <c r="M22" s="34" t="s">
        <v>23</v>
      </c>
    </row>
    <row r="23" spans="2:13" ht="15" thickBot="1" x14ac:dyDescent="0.25">
      <c r="B23" s="37"/>
      <c r="C23" s="36"/>
      <c r="D23" s="34"/>
      <c r="H23" s="107" t="s">
        <v>28</v>
      </c>
      <c r="I23" s="108"/>
    </row>
    <row r="24" spans="2:13" x14ac:dyDescent="0.2">
      <c r="B24" s="80" t="s">
        <v>63</v>
      </c>
      <c r="C24" s="38"/>
      <c r="D24" s="34"/>
      <c r="H24" s="114" t="s">
        <v>64</v>
      </c>
      <c r="I24" s="115"/>
      <c r="K24" s="107" t="s">
        <v>28</v>
      </c>
      <c r="L24" s="108"/>
      <c r="M24" s="31"/>
    </row>
    <row r="25" spans="2:13" x14ac:dyDescent="0.2">
      <c r="B25" s="37" t="s">
        <v>46</v>
      </c>
      <c r="C25" s="40">
        <f>+C15</f>
        <v>5.5</v>
      </c>
      <c r="D25" s="34" t="s">
        <v>23</v>
      </c>
      <c r="H25" s="37" t="s">
        <v>34</v>
      </c>
      <c r="I25" s="39">
        <f>IF(C29=2.5,12*2,IF(C29=3,13*2,IF(C29=3.7,14*2)))</f>
        <v>24</v>
      </c>
      <c r="J25" s="34" t="s">
        <v>33</v>
      </c>
      <c r="K25" s="114" t="s">
        <v>65</v>
      </c>
      <c r="L25" s="115"/>
      <c r="M25" s="31"/>
    </row>
    <row r="26" spans="2:13" x14ac:dyDescent="0.2">
      <c r="B26" s="37" t="s">
        <v>48</v>
      </c>
      <c r="C26" s="40">
        <f>+C16</f>
        <v>5.5</v>
      </c>
      <c r="D26" s="34" t="s">
        <v>23</v>
      </c>
      <c r="H26" s="37" t="s">
        <v>38</v>
      </c>
      <c r="I26" s="38">
        <v>4</v>
      </c>
      <c r="J26" s="34" t="s">
        <v>39</v>
      </c>
      <c r="K26" s="37" t="s">
        <v>34</v>
      </c>
      <c r="L26" s="38">
        <f>14*4</f>
        <v>56</v>
      </c>
      <c r="M26" s="34" t="s">
        <v>33</v>
      </c>
    </row>
    <row r="27" spans="2:13" x14ac:dyDescent="0.2">
      <c r="B27" s="37" t="s">
        <v>50</v>
      </c>
      <c r="C27" s="38">
        <v>0.05</v>
      </c>
      <c r="D27" s="34" t="s">
        <v>23</v>
      </c>
      <c r="H27" s="37" t="s">
        <v>42</v>
      </c>
      <c r="I27" s="39">
        <f>LOOKUP(I26,[1]Hoja2!$B$6:$B$18,[1]Hoja2!$E$6:$E$18)</f>
        <v>0.99399999999999999</v>
      </c>
      <c r="J27" s="34" t="s">
        <v>43</v>
      </c>
      <c r="K27" s="37" t="s">
        <v>38</v>
      </c>
      <c r="L27" s="38">
        <v>4</v>
      </c>
      <c r="M27" s="34" t="s">
        <v>39</v>
      </c>
    </row>
    <row r="28" spans="2:13" x14ac:dyDescent="0.2">
      <c r="B28" s="80" t="s">
        <v>66</v>
      </c>
      <c r="C28" s="38"/>
      <c r="D28" s="34"/>
      <c r="H28" s="37" t="s">
        <v>67</v>
      </c>
      <c r="I28" s="38">
        <v>13</v>
      </c>
      <c r="J28" s="34"/>
      <c r="K28" s="37" t="s">
        <v>42</v>
      </c>
      <c r="L28" s="39">
        <f>LOOKUP(L27,[1]Hoja2!$B$6:$B$18,[1]Hoja2!$E$6:$E$18)</f>
        <v>0.99399999999999999</v>
      </c>
      <c r="M28" s="34" t="s">
        <v>43</v>
      </c>
    </row>
    <row r="29" spans="2:13" ht="15" thickBot="1" x14ac:dyDescent="0.25">
      <c r="B29" s="37" t="s">
        <v>37</v>
      </c>
      <c r="C29" s="38">
        <v>2.5</v>
      </c>
      <c r="D29" s="34" t="s">
        <v>23</v>
      </c>
      <c r="H29" s="44" t="s">
        <v>68</v>
      </c>
      <c r="I29" s="45">
        <f>IF(C29=2.5,(1.8+([1]Hoja2!I10/100*4)+(0.2)),IF(C29=3,(2.09+([1]Hoja2!I10/100*4)+(0.2)),IF(C29=3.7,(2.07+([1]Hoja2!I10/100*4)+(0.2)))))</f>
        <v>2.2800000000000002</v>
      </c>
      <c r="J29" s="34" t="s">
        <v>23</v>
      </c>
      <c r="K29" s="44" t="s">
        <v>68</v>
      </c>
      <c r="L29" s="45">
        <f>((0.75+1.235)*2)+0.21+0.24</f>
        <v>4.4200000000000008</v>
      </c>
      <c r="M29" s="34" t="s">
        <v>23</v>
      </c>
    </row>
    <row r="30" spans="2:13" ht="15" thickBot="1" x14ac:dyDescent="0.25">
      <c r="B30" s="44" t="s">
        <v>69</v>
      </c>
      <c r="C30" s="47">
        <v>2</v>
      </c>
      <c r="D30" s="34" t="s">
        <v>23</v>
      </c>
      <c r="G30" s="34"/>
      <c r="K30" s="48"/>
      <c r="L30" s="49"/>
      <c r="M30" s="34"/>
    </row>
    <row r="31" spans="2:13" x14ac:dyDescent="0.2">
      <c r="B31" s="48"/>
      <c r="C31" s="50"/>
      <c r="D31" s="34"/>
      <c r="E31" s="48"/>
      <c r="F31" s="50"/>
      <c r="G31" s="34"/>
    </row>
    <row r="32" spans="2:13" x14ac:dyDescent="0.2">
      <c r="B32" s="48"/>
      <c r="C32" s="50"/>
      <c r="D32" s="34"/>
      <c r="E32" s="48"/>
      <c r="F32" s="50"/>
      <c r="G32" s="34"/>
    </row>
    <row r="33" spans="1:11" ht="38.25" x14ac:dyDescent="0.2">
      <c r="A33" s="51" t="s">
        <v>70</v>
      </c>
      <c r="B33" s="78" t="s">
        <v>71</v>
      </c>
      <c r="C33" s="52" t="s">
        <v>72</v>
      </c>
      <c r="D33" s="53" t="s">
        <v>108</v>
      </c>
      <c r="E33" s="54"/>
    </row>
    <row r="34" spans="1:11" ht="76.5" x14ac:dyDescent="0.2">
      <c r="A34" s="78">
        <v>6007</v>
      </c>
      <c r="B34" s="55" t="s">
        <v>73</v>
      </c>
      <c r="C34" s="79" t="s">
        <v>74</v>
      </c>
      <c r="D34" s="57">
        <f>((PI()*(C12*C12)/4/10000)*C13*C11)</f>
        <v>72.602206224460119</v>
      </c>
      <c r="E34" s="58"/>
      <c r="H34" s="59"/>
      <c r="K34" s="59"/>
    </row>
    <row r="35" spans="1:11" ht="102" x14ac:dyDescent="0.2">
      <c r="A35" s="109">
        <v>3708</v>
      </c>
      <c r="B35" s="55" t="s">
        <v>75</v>
      </c>
      <c r="C35" s="56" t="s">
        <v>76</v>
      </c>
      <c r="D35" s="60">
        <f>D36+D37+D38</f>
        <v>13976.654023201421</v>
      </c>
      <c r="H35" s="59"/>
      <c r="K35" s="59"/>
    </row>
    <row r="36" spans="1:11" x14ac:dyDescent="0.2">
      <c r="A36" s="109"/>
      <c r="B36" s="61" t="s">
        <v>29</v>
      </c>
      <c r="C36" s="110" t="s">
        <v>76</v>
      </c>
      <c r="D36" s="62">
        <f>((F14*F11*F13)+(F16*F18*F21))*C11*1.03</f>
        <v>8285.1392449340237</v>
      </c>
    </row>
    <row r="37" spans="1:11" x14ac:dyDescent="0.2">
      <c r="A37" s="109"/>
      <c r="B37" s="61" t="s">
        <v>31</v>
      </c>
      <c r="C37" s="110"/>
      <c r="D37" s="62">
        <f>(((L14*L16*L17*4)+(L19*L21*L22*4))+(L26*L28*L29))*1.03</f>
        <v>2457.5608832000003</v>
      </c>
    </row>
    <row r="38" spans="1:11" x14ac:dyDescent="0.2">
      <c r="A38" s="109"/>
      <c r="B38" s="61" t="s">
        <v>30</v>
      </c>
      <c r="C38" s="110"/>
      <c r="D38" s="63">
        <f>+(I11*I13*I14)+(I16*I18*I21)+(I25*I27*I29*I28)*1.03</f>
        <v>3233.9538950673982</v>
      </c>
    </row>
    <row r="39" spans="1:11" ht="51" x14ac:dyDescent="0.2">
      <c r="A39" s="109">
        <v>3637</v>
      </c>
      <c r="B39" s="55" t="s">
        <v>77</v>
      </c>
      <c r="C39" s="79" t="s">
        <v>74</v>
      </c>
      <c r="D39" s="64">
        <f>D40+D41</f>
        <v>55.192477042468106</v>
      </c>
      <c r="H39" s="58"/>
      <c r="K39" s="58"/>
    </row>
    <row r="40" spans="1:11" x14ac:dyDescent="0.2">
      <c r="A40" s="109"/>
      <c r="B40" s="61" t="s">
        <v>31</v>
      </c>
      <c r="C40" s="110" t="s">
        <v>74</v>
      </c>
      <c r="D40" s="65">
        <f>C15*C16*C17</f>
        <v>45.375</v>
      </c>
    </row>
    <row r="41" spans="1:11" x14ac:dyDescent="0.2">
      <c r="A41" s="109"/>
      <c r="B41" s="61" t="s">
        <v>30</v>
      </c>
      <c r="C41" s="110"/>
      <c r="D41" s="65">
        <f>(PI()*C29*C29/4)*C30</f>
        <v>9.8174770424681039</v>
      </c>
    </row>
    <row r="42" spans="1:11" ht="38.25" x14ac:dyDescent="0.2">
      <c r="A42" s="78">
        <v>5055</v>
      </c>
      <c r="B42" s="55" t="s">
        <v>78</v>
      </c>
      <c r="C42" s="79" t="s">
        <v>74</v>
      </c>
      <c r="D42" s="83">
        <f>((PI()*(C12*C12)/4/10000)*(C17+0.11)*C11)</f>
        <v>5.0579641722795676</v>
      </c>
      <c r="H42" s="58"/>
      <c r="K42" s="58"/>
    </row>
    <row r="43" spans="1:11" ht="51" x14ac:dyDescent="0.2">
      <c r="A43" s="78">
        <v>6021</v>
      </c>
      <c r="B43" s="55" t="s">
        <v>87</v>
      </c>
      <c r="C43" s="79" t="s">
        <v>74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74">
        <v>5416</v>
      </c>
      <c r="B44" s="72" t="s">
        <v>88</v>
      </c>
      <c r="C44" s="66" t="s">
        <v>74</v>
      </c>
      <c r="D44" s="84">
        <f>C20*C21*(C17+0.11+C27)</f>
        <v>93.375000000000014</v>
      </c>
      <c r="E44" s="76"/>
      <c r="H44" s="59"/>
      <c r="K44" s="59"/>
    </row>
    <row r="45" spans="1:11" ht="51" x14ac:dyDescent="0.2">
      <c r="A45" s="74">
        <v>3017</v>
      </c>
      <c r="B45" s="72" t="s">
        <v>89</v>
      </c>
      <c r="C45" s="66" t="s">
        <v>74</v>
      </c>
      <c r="D45" s="65">
        <f>D44</f>
        <v>93.375000000000014</v>
      </c>
      <c r="E45" s="76"/>
      <c r="H45" s="58"/>
      <c r="K45" s="58"/>
    </row>
    <row r="46" spans="1:11" ht="38.25" x14ac:dyDescent="0.2">
      <c r="A46" s="74">
        <v>4908</v>
      </c>
      <c r="B46" s="55" t="s">
        <v>79</v>
      </c>
      <c r="C46" s="79" t="s">
        <v>74</v>
      </c>
      <c r="D46" s="83">
        <f>D44-(C25*C26*C27)-D40+(25.34*C18)</f>
        <v>61.944900000000011</v>
      </c>
      <c r="K46" s="58"/>
    </row>
    <row r="47" spans="1:11" ht="51" x14ac:dyDescent="0.2">
      <c r="A47" s="74">
        <v>5196</v>
      </c>
      <c r="B47" s="72" t="s">
        <v>96</v>
      </c>
      <c r="C47" s="79" t="s">
        <v>74</v>
      </c>
      <c r="D47" s="65">
        <f>C20*C21*0.15</f>
        <v>8.4375</v>
      </c>
    </row>
    <row r="48" spans="1:11" x14ac:dyDescent="0.2">
      <c r="A48" s="74"/>
    </row>
    <row r="49" spans="1:1" x14ac:dyDescent="0.2">
      <c r="A49" s="74"/>
    </row>
    <row r="50" spans="1:1" x14ac:dyDescent="0.2">
      <c r="A50" s="74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Cantidades</vt:lpstr>
      <vt:lpstr>Pilona 12 Y 13</vt:lpstr>
      <vt:lpstr>Pilona 14</vt:lpstr>
      <vt:lpstr>Pilona 15</vt:lpstr>
      <vt:lpstr>Pilona 16</vt:lpstr>
      <vt:lpstr>Pilona 17+</vt:lpstr>
      <vt:lpstr>Pilona 18</vt:lpstr>
      <vt:lpstr>Pilona 19</vt:lpstr>
      <vt:lpstr>Pilona 20</vt:lpstr>
      <vt:lpstr>Pilona 21+</vt:lpstr>
      <vt:lpstr>Pilona 22+</vt:lpstr>
      <vt:lpstr>Cantidades!Área_de_impresión</vt:lpstr>
      <vt:lpstr>Cantidades!Títulos_a_imprimir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Maryary Suned Quinche Sanchez</dc:creator>
  <cp:lastModifiedBy>Cal y Mayor</cp:lastModifiedBy>
  <cp:lastPrinted>2018-06-29T21:20:17Z</cp:lastPrinted>
  <dcterms:created xsi:type="dcterms:W3CDTF">2018-06-18T21:48:50Z</dcterms:created>
  <dcterms:modified xsi:type="dcterms:W3CDTF">2022-03-16T21:04:42Z</dcterms:modified>
</cp:coreProperties>
</file>