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ymsc-my.sharepoint.com/personal/alugo_calymayor_com_mx/Documents/Documentos/2021/Cable San Cristobal/Info Mástiles/Sección 1/Marzo/"/>
    </mc:Choice>
  </mc:AlternateContent>
  <xr:revisionPtr revIDLastSave="188" documentId="11_CF750C080D84D48A4DB09295BE4797C0F13A9666" xr6:coauthVersionLast="47" xr6:coauthVersionMax="47" xr10:uidLastSave="{2AE310F9-8252-4AFD-9562-11EC4F3F803D}"/>
  <bookViews>
    <workbookView xWindow="-23148" yWindow="612" windowWidth="23256" windowHeight="12576" tabRatio="729" xr2:uid="{00000000-000D-0000-FFFF-FFFF00000000}"/>
  </bookViews>
  <sheets>
    <sheet name="Cantidades" sheetId="1" r:id="rId1"/>
    <sheet name="Memoria P1" sheetId="5" r:id="rId2"/>
    <sheet name="Memoria P2" sheetId="6" r:id="rId3"/>
    <sheet name="Memoria P3" sheetId="7" r:id="rId4"/>
    <sheet name="Memoria P4" sheetId="8" r:id="rId5"/>
    <sheet name="Memoria P5" sheetId="9" r:id="rId6"/>
    <sheet name="Memoria P6" sheetId="16" r:id="rId7"/>
    <sheet name="Memoria P7" sheetId="11" r:id="rId8"/>
    <sheet name="Memoria P8" sheetId="12" r:id="rId9"/>
    <sheet name="Memoria P9" sheetId="13" r:id="rId10"/>
    <sheet name="Memoria P10" sheetId="14" r:id="rId11"/>
    <sheet name="Memoria P11" sheetId="15" r:id="rId12"/>
  </sheets>
  <externalReferences>
    <externalReference r:id="rId13"/>
  </externalReferences>
  <definedNames>
    <definedName name="_xlnm._FilterDatabase" localSheetId="0" hidden="1">Cantidades!$A$7:$N$39</definedName>
    <definedName name="_xlnm.Print_Area" localSheetId="0">Cantidades!$A$1:$L$15</definedName>
    <definedName name="_xlnm.Print_Titles" localSheetId="0">Cantidades!$1:$7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6" l="1"/>
  <c r="L26" i="5"/>
  <c r="C13" i="15" l="1"/>
  <c r="C13" i="14"/>
  <c r="C13" i="13"/>
  <c r="C13" i="12"/>
  <c r="C13" i="11"/>
  <c r="C13" i="16"/>
  <c r="C13" i="9"/>
  <c r="C13" i="8"/>
  <c r="C13" i="7"/>
  <c r="C13" i="5" l="1"/>
  <c r="L19" i="15" l="1"/>
  <c r="L19" i="14"/>
  <c r="L19" i="13"/>
  <c r="L19" i="12"/>
  <c r="L19" i="11"/>
  <c r="L41" i="16"/>
  <c r="L19" i="16"/>
  <c r="L19" i="9"/>
  <c r="L19" i="8"/>
  <c r="L19" i="7"/>
  <c r="L19" i="6"/>
  <c r="L19" i="5"/>
  <c r="J115" i="1"/>
  <c r="J114" i="1"/>
  <c r="J113" i="1"/>
  <c r="J112" i="1"/>
  <c r="J111" i="1"/>
  <c r="J110" i="1"/>
  <c r="J109" i="1"/>
  <c r="I115" i="1"/>
  <c r="I114" i="1"/>
  <c r="I113" i="1"/>
  <c r="I112" i="1"/>
  <c r="I111" i="1"/>
  <c r="I110" i="1"/>
  <c r="I109" i="1"/>
  <c r="I108" i="1"/>
  <c r="I107" i="1"/>
  <c r="H115" i="1"/>
  <c r="H114" i="1"/>
  <c r="H113" i="1"/>
  <c r="H112" i="1"/>
  <c r="H111" i="1"/>
  <c r="H110" i="1"/>
  <c r="H109" i="1"/>
  <c r="H108" i="1"/>
  <c r="H107" i="1"/>
  <c r="G115" i="1"/>
  <c r="G114" i="1"/>
  <c r="G113" i="1"/>
  <c r="G112" i="1"/>
  <c r="G111" i="1"/>
  <c r="G110" i="1"/>
  <c r="G109" i="1"/>
  <c r="G108" i="1"/>
  <c r="G107" i="1"/>
  <c r="J105" i="1"/>
  <c r="J104" i="1"/>
  <c r="J103" i="1"/>
  <c r="J102" i="1"/>
  <c r="J101" i="1"/>
  <c r="J100" i="1"/>
  <c r="I105" i="1"/>
  <c r="I104" i="1"/>
  <c r="I103" i="1"/>
  <c r="I102" i="1"/>
  <c r="I101" i="1"/>
  <c r="I100" i="1"/>
  <c r="I99" i="1"/>
  <c r="I98" i="1"/>
  <c r="H105" i="1"/>
  <c r="H104" i="1"/>
  <c r="H103" i="1"/>
  <c r="H102" i="1"/>
  <c r="H101" i="1"/>
  <c r="H100" i="1"/>
  <c r="H99" i="1"/>
  <c r="H98" i="1"/>
  <c r="G105" i="1"/>
  <c r="G104" i="1"/>
  <c r="G103" i="1"/>
  <c r="G102" i="1"/>
  <c r="G101" i="1"/>
  <c r="G100" i="1"/>
  <c r="G99" i="1"/>
  <c r="G98" i="1"/>
  <c r="J96" i="1"/>
  <c r="J94" i="1"/>
  <c r="J93" i="1"/>
  <c r="J92" i="1"/>
  <c r="J91" i="1"/>
  <c r="I96" i="1"/>
  <c r="I95" i="1"/>
  <c r="I94" i="1"/>
  <c r="I93" i="1"/>
  <c r="I92" i="1"/>
  <c r="I91" i="1"/>
  <c r="I90" i="1"/>
  <c r="I89" i="1"/>
  <c r="I88" i="1"/>
  <c r="H96" i="1"/>
  <c r="H95" i="1"/>
  <c r="H94" i="1"/>
  <c r="H93" i="1"/>
  <c r="H92" i="1"/>
  <c r="H91" i="1"/>
  <c r="H90" i="1"/>
  <c r="H89" i="1"/>
  <c r="H88" i="1"/>
  <c r="G96" i="1"/>
  <c r="G95" i="1"/>
  <c r="G94" i="1"/>
  <c r="G93" i="1"/>
  <c r="G92" i="1"/>
  <c r="G91" i="1"/>
  <c r="G90" i="1"/>
  <c r="G89" i="1"/>
  <c r="G88" i="1"/>
  <c r="J86" i="1"/>
  <c r="J85" i="1"/>
  <c r="J84" i="1"/>
  <c r="J83" i="1"/>
  <c r="J82" i="1"/>
  <c r="J81" i="1"/>
  <c r="J80" i="1"/>
  <c r="I86" i="1"/>
  <c r="I85" i="1"/>
  <c r="I84" i="1"/>
  <c r="I83" i="1"/>
  <c r="I82" i="1"/>
  <c r="I81" i="1"/>
  <c r="I80" i="1"/>
  <c r="I79" i="1"/>
  <c r="I49" i="1"/>
  <c r="I29" i="1"/>
  <c r="I39" i="1"/>
  <c r="I59" i="1"/>
  <c r="I69" i="1"/>
  <c r="I78" i="1"/>
  <c r="H86" i="1"/>
  <c r="H85" i="1"/>
  <c r="H84" i="1"/>
  <c r="H83" i="1"/>
  <c r="H82" i="1"/>
  <c r="H81" i="1"/>
  <c r="H80" i="1"/>
  <c r="H79" i="1"/>
  <c r="H78" i="1"/>
  <c r="G86" i="1"/>
  <c r="G85" i="1"/>
  <c r="G84" i="1"/>
  <c r="G83" i="1"/>
  <c r="G82" i="1"/>
  <c r="G81" i="1"/>
  <c r="G80" i="1"/>
  <c r="G79" i="1"/>
  <c r="G78" i="1"/>
  <c r="J73" i="1"/>
  <c r="J71" i="1"/>
  <c r="H76" i="1"/>
  <c r="H75" i="1"/>
  <c r="H74" i="1"/>
  <c r="H73" i="1"/>
  <c r="H72" i="1"/>
  <c r="H71" i="1"/>
  <c r="H70" i="1"/>
  <c r="H69" i="1"/>
  <c r="I76" i="1"/>
  <c r="I75" i="1"/>
  <c r="I74" i="1"/>
  <c r="I73" i="1"/>
  <c r="I72" i="1"/>
  <c r="I71" i="1"/>
  <c r="I70" i="1"/>
  <c r="G76" i="1"/>
  <c r="G75" i="1"/>
  <c r="G74" i="1"/>
  <c r="G73" i="1"/>
  <c r="G72" i="1"/>
  <c r="G71" i="1"/>
  <c r="G70" i="1"/>
  <c r="G69" i="1"/>
  <c r="J63" i="1"/>
  <c r="J67" i="1"/>
  <c r="I63" i="1"/>
  <c r="I64" i="1"/>
  <c r="I65" i="1"/>
  <c r="I66" i="1"/>
  <c r="I67" i="1"/>
  <c r="I62" i="1"/>
  <c r="I61" i="1"/>
  <c r="I60" i="1"/>
  <c r="H63" i="1"/>
  <c r="H64" i="1"/>
  <c r="H65" i="1"/>
  <c r="H66" i="1"/>
  <c r="H67" i="1"/>
  <c r="H62" i="1"/>
  <c r="H61" i="1"/>
  <c r="H60" i="1"/>
  <c r="H59" i="1"/>
  <c r="G63" i="1"/>
  <c r="G64" i="1"/>
  <c r="G65" i="1"/>
  <c r="G66" i="1"/>
  <c r="G67" i="1"/>
  <c r="G61" i="1"/>
  <c r="G60" i="1"/>
  <c r="G62" i="1"/>
  <c r="G59" i="1"/>
  <c r="J57" i="1"/>
  <c r="J56" i="1"/>
  <c r="J55" i="1"/>
  <c r="J54" i="1"/>
  <c r="J53" i="1"/>
  <c r="J52" i="1"/>
  <c r="J51" i="1"/>
  <c r="I57" i="1"/>
  <c r="I56" i="1"/>
  <c r="I55" i="1"/>
  <c r="I54" i="1"/>
  <c r="I53" i="1"/>
  <c r="I52" i="1"/>
  <c r="I51" i="1"/>
  <c r="I50" i="1"/>
  <c r="H57" i="1"/>
  <c r="H56" i="1"/>
  <c r="H55" i="1"/>
  <c r="H54" i="1"/>
  <c r="H53" i="1"/>
  <c r="H52" i="1"/>
  <c r="H51" i="1"/>
  <c r="H50" i="1"/>
  <c r="H49" i="1"/>
  <c r="G57" i="1"/>
  <c r="G56" i="1"/>
  <c r="G55" i="1"/>
  <c r="G54" i="1"/>
  <c r="G53" i="1"/>
  <c r="G52" i="1"/>
  <c r="G51" i="1"/>
  <c r="G50" i="1"/>
  <c r="G49" i="1"/>
  <c r="J47" i="1"/>
  <c r="J46" i="1"/>
  <c r="J45" i="1"/>
  <c r="J44" i="1"/>
  <c r="J43" i="1"/>
  <c r="J42" i="1"/>
  <c r="J41" i="1"/>
  <c r="I47" i="1"/>
  <c r="I46" i="1"/>
  <c r="I45" i="1"/>
  <c r="I43" i="1"/>
  <c r="I42" i="1"/>
  <c r="I41" i="1"/>
  <c r="I40" i="1"/>
  <c r="I44" i="1"/>
  <c r="H47" i="1"/>
  <c r="H46" i="1"/>
  <c r="H45" i="1"/>
  <c r="H44" i="1"/>
  <c r="H43" i="1"/>
  <c r="H42" i="1"/>
  <c r="H41" i="1"/>
  <c r="H40" i="1"/>
  <c r="H39" i="1"/>
  <c r="G47" i="1"/>
  <c r="G46" i="1"/>
  <c r="G45" i="1"/>
  <c r="G44" i="1"/>
  <c r="G43" i="1"/>
  <c r="G42" i="1"/>
  <c r="G41" i="1"/>
  <c r="G40" i="1"/>
  <c r="G39" i="1"/>
  <c r="J37" i="1"/>
  <c r="J33" i="1"/>
  <c r="I37" i="1"/>
  <c r="I36" i="1"/>
  <c r="I35" i="1"/>
  <c r="I34" i="1"/>
  <c r="I33" i="1"/>
  <c r="I32" i="1"/>
  <c r="I31" i="1"/>
  <c r="I30" i="1"/>
  <c r="H37" i="1"/>
  <c r="H36" i="1"/>
  <c r="H35" i="1"/>
  <c r="H34" i="1"/>
  <c r="H33" i="1"/>
  <c r="H32" i="1"/>
  <c r="H31" i="1"/>
  <c r="H30" i="1"/>
  <c r="H29" i="1"/>
  <c r="G37" i="1"/>
  <c r="G36" i="1"/>
  <c r="G35" i="1"/>
  <c r="G34" i="1"/>
  <c r="G33" i="1"/>
  <c r="G32" i="1"/>
  <c r="G31" i="1"/>
  <c r="G30" i="1"/>
  <c r="G29" i="1"/>
  <c r="J27" i="1"/>
  <c r="J23" i="1"/>
  <c r="I27" i="1"/>
  <c r="I26" i="1"/>
  <c r="I25" i="1"/>
  <c r="I24" i="1"/>
  <c r="I23" i="1"/>
  <c r="I22" i="1"/>
  <c r="I21" i="1"/>
  <c r="I20" i="1"/>
  <c r="H27" i="1"/>
  <c r="H26" i="1"/>
  <c r="H25" i="1"/>
  <c r="H24" i="1"/>
  <c r="H23" i="1"/>
  <c r="H22" i="1"/>
  <c r="H21" i="1"/>
  <c r="H20" i="1"/>
  <c r="H19" i="1"/>
  <c r="G27" i="1"/>
  <c r="G26" i="1"/>
  <c r="G25" i="1"/>
  <c r="G24" i="1"/>
  <c r="G23" i="1"/>
  <c r="G22" i="1"/>
  <c r="G21" i="1"/>
  <c r="G20" i="1"/>
  <c r="G19" i="1"/>
  <c r="I19" i="1"/>
  <c r="L44" i="16"/>
  <c r="L43" i="16"/>
  <c r="D43" i="16"/>
  <c r="J62" i="1" s="1"/>
  <c r="D42" i="16"/>
  <c r="D41" i="16"/>
  <c r="D40" i="16" s="1"/>
  <c r="J61" i="1" s="1"/>
  <c r="L39" i="16"/>
  <c r="L38" i="16"/>
  <c r="L36" i="16"/>
  <c r="D35" i="16"/>
  <c r="J59" i="1" s="1"/>
  <c r="L29" i="16"/>
  <c r="I29" i="16"/>
  <c r="L28" i="16"/>
  <c r="I27" i="16"/>
  <c r="L26" i="16"/>
  <c r="C26" i="16"/>
  <c r="I25" i="16"/>
  <c r="C25" i="16"/>
  <c r="D44" i="16" s="1"/>
  <c r="L22" i="16"/>
  <c r="C22" i="16"/>
  <c r="L21" i="16"/>
  <c r="C21" i="16"/>
  <c r="D45" i="16" s="1"/>
  <c r="J64" i="1" s="1"/>
  <c r="I20" i="16"/>
  <c r="I21" i="16" s="1"/>
  <c r="F20" i="16"/>
  <c r="F21" i="16" s="1"/>
  <c r="C20" i="16"/>
  <c r="D48" i="16" s="1"/>
  <c r="I18" i="16"/>
  <c r="F18" i="16"/>
  <c r="L17" i="16"/>
  <c r="L16" i="16"/>
  <c r="I16" i="16"/>
  <c r="L14" i="16"/>
  <c r="I14" i="16"/>
  <c r="F14" i="16"/>
  <c r="I13" i="16"/>
  <c r="F13" i="16"/>
  <c r="D37" i="16" l="1"/>
  <c r="D39" i="16"/>
  <c r="D38" i="16"/>
  <c r="D47" i="16"/>
  <c r="J66" i="1" s="1"/>
  <c r="D46" i="16"/>
  <c r="J65" i="1" s="1"/>
  <c r="D36" i="16" l="1"/>
  <c r="J60" i="1" s="1"/>
  <c r="D42" i="15"/>
  <c r="D41" i="15"/>
  <c r="D39" i="15" s="1"/>
  <c r="D40" i="15"/>
  <c r="D34" i="15"/>
  <c r="J107" i="1" s="1"/>
  <c r="L29" i="15"/>
  <c r="I29" i="15"/>
  <c r="L28" i="15"/>
  <c r="I27" i="15"/>
  <c r="L26" i="15"/>
  <c r="C26" i="15"/>
  <c r="I25" i="15"/>
  <c r="C25" i="15"/>
  <c r="D43" i="15" s="1"/>
  <c r="L22" i="15"/>
  <c r="C22" i="15"/>
  <c r="L21" i="15"/>
  <c r="C21" i="15"/>
  <c r="I20" i="15"/>
  <c r="I21" i="15" s="1"/>
  <c r="F20" i="15"/>
  <c r="F21" i="15" s="1"/>
  <c r="C20" i="15"/>
  <c r="I18" i="15"/>
  <c r="F18" i="15"/>
  <c r="L17" i="15"/>
  <c r="L16" i="15"/>
  <c r="I16" i="15"/>
  <c r="L14" i="15"/>
  <c r="I14" i="15"/>
  <c r="F14" i="15"/>
  <c r="I13" i="15"/>
  <c r="F13" i="15"/>
  <c r="D42" i="14"/>
  <c r="D41" i="14"/>
  <c r="D40" i="14"/>
  <c r="D39" i="14"/>
  <c r="D34" i="14"/>
  <c r="J98" i="1" s="1"/>
  <c r="L29" i="14"/>
  <c r="I29" i="14"/>
  <c r="L28" i="14"/>
  <c r="I27" i="14"/>
  <c r="L26" i="14"/>
  <c r="C26" i="14"/>
  <c r="I25" i="14"/>
  <c r="C25" i="14"/>
  <c r="L22" i="14"/>
  <c r="C22" i="14"/>
  <c r="L21" i="14"/>
  <c r="C21" i="14"/>
  <c r="I20" i="14"/>
  <c r="I21" i="14" s="1"/>
  <c r="F20" i="14"/>
  <c r="F21" i="14" s="1"/>
  <c r="C20" i="14"/>
  <c r="D44" i="14" s="1"/>
  <c r="I18" i="14"/>
  <c r="F18" i="14"/>
  <c r="L17" i="14"/>
  <c r="L16" i="14"/>
  <c r="I16" i="14"/>
  <c r="L14" i="14"/>
  <c r="I14" i="14"/>
  <c r="F14" i="14"/>
  <c r="I13" i="14"/>
  <c r="F13" i="14"/>
  <c r="D44" i="13"/>
  <c r="D42" i="13"/>
  <c r="D41" i="13"/>
  <c r="D40" i="13"/>
  <c r="D39" i="13" s="1"/>
  <c r="J90" i="1" s="1"/>
  <c r="D34" i="13"/>
  <c r="J88" i="1" s="1"/>
  <c r="L29" i="13"/>
  <c r="I29" i="13"/>
  <c r="L28" i="13"/>
  <c r="I27" i="13"/>
  <c r="L26" i="13"/>
  <c r="C26" i="13"/>
  <c r="I25" i="13"/>
  <c r="C25" i="13"/>
  <c r="D43" i="13" s="1"/>
  <c r="L22" i="13"/>
  <c r="C22" i="13"/>
  <c r="L21" i="13"/>
  <c r="C21" i="13"/>
  <c r="I20" i="13"/>
  <c r="I21" i="13" s="1"/>
  <c r="F20" i="13"/>
  <c r="F21" i="13" s="1"/>
  <c r="C20" i="13"/>
  <c r="I18" i="13"/>
  <c r="F18" i="13"/>
  <c r="L17" i="13"/>
  <c r="L16" i="13"/>
  <c r="I16" i="13"/>
  <c r="L14" i="13"/>
  <c r="I14" i="13"/>
  <c r="F14" i="13"/>
  <c r="I13" i="13"/>
  <c r="F13" i="13"/>
  <c r="D42" i="12"/>
  <c r="D41" i="12"/>
  <c r="D40" i="12"/>
  <c r="D39" i="12"/>
  <c r="D34" i="12"/>
  <c r="J78" i="1" s="1"/>
  <c r="L29" i="12"/>
  <c r="I29" i="12"/>
  <c r="L28" i="12"/>
  <c r="I27" i="12"/>
  <c r="L26" i="12"/>
  <c r="C26" i="12"/>
  <c r="I25" i="12"/>
  <c r="C25" i="12"/>
  <c r="D43" i="12" s="1"/>
  <c r="L22" i="12"/>
  <c r="C22" i="12"/>
  <c r="L21" i="12"/>
  <c r="C21" i="12"/>
  <c r="I20" i="12"/>
  <c r="I21" i="12" s="1"/>
  <c r="F20" i="12"/>
  <c r="F21" i="12" s="1"/>
  <c r="C20" i="12"/>
  <c r="D44" i="12" s="1"/>
  <c r="I18" i="12"/>
  <c r="F18" i="12"/>
  <c r="L17" i="12"/>
  <c r="L16" i="12"/>
  <c r="L14" i="12"/>
  <c r="I14" i="12"/>
  <c r="F14" i="12"/>
  <c r="I13" i="12"/>
  <c r="F13" i="12"/>
  <c r="D42" i="11"/>
  <c r="J72" i="1" s="1"/>
  <c r="D41" i="11"/>
  <c r="D40" i="11"/>
  <c r="D39" i="11"/>
  <c r="D34" i="11"/>
  <c r="J69" i="1" s="1"/>
  <c r="L29" i="11"/>
  <c r="I29" i="11"/>
  <c r="L28" i="11"/>
  <c r="I27" i="11"/>
  <c r="L26" i="11"/>
  <c r="C26" i="11"/>
  <c r="I25" i="11"/>
  <c r="C25" i="11"/>
  <c r="D43" i="11" s="1"/>
  <c r="L22" i="11"/>
  <c r="C22" i="11"/>
  <c r="L21" i="11"/>
  <c r="C21" i="11"/>
  <c r="I20" i="11"/>
  <c r="I21" i="11" s="1"/>
  <c r="F20" i="11"/>
  <c r="F21" i="11" s="1"/>
  <c r="C20" i="11"/>
  <c r="I18" i="11"/>
  <c r="F18" i="11"/>
  <c r="L17" i="11"/>
  <c r="L16" i="11"/>
  <c r="L14" i="11"/>
  <c r="I14" i="11"/>
  <c r="F14" i="11"/>
  <c r="I13" i="11"/>
  <c r="F13" i="11"/>
  <c r="D47" i="9"/>
  <c r="D42" i="9"/>
  <c r="D41" i="9"/>
  <c r="D40" i="9"/>
  <c r="D39" i="9" s="1"/>
  <c r="D34" i="9"/>
  <c r="J49" i="1" s="1"/>
  <c r="L29" i="9"/>
  <c r="I29" i="9"/>
  <c r="L28" i="9"/>
  <c r="I27" i="9"/>
  <c r="L26" i="9"/>
  <c r="C26" i="9"/>
  <c r="I25" i="9"/>
  <c r="C25" i="9"/>
  <c r="D43" i="9" s="1"/>
  <c r="L22" i="9"/>
  <c r="C22" i="9"/>
  <c r="L21" i="9"/>
  <c r="C21" i="9"/>
  <c r="D44" i="9" s="1"/>
  <c r="I20" i="9"/>
  <c r="I21" i="9" s="1"/>
  <c r="F20" i="9"/>
  <c r="F21" i="9" s="1"/>
  <c r="C20" i="9"/>
  <c r="I18" i="9"/>
  <c r="F18" i="9"/>
  <c r="L17" i="9"/>
  <c r="L16" i="9"/>
  <c r="I16" i="9"/>
  <c r="L14" i="9"/>
  <c r="I14" i="9"/>
  <c r="F14" i="9"/>
  <c r="I13" i="9"/>
  <c r="F13" i="9"/>
  <c r="D42" i="8"/>
  <c r="D41" i="8"/>
  <c r="D40" i="8"/>
  <c r="D39" i="8"/>
  <c r="D34" i="8"/>
  <c r="J39" i="1" s="1"/>
  <c r="L29" i="8"/>
  <c r="I29" i="8"/>
  <c r="L28" i="8"/>
  <c r="I27" i="8"/>
  <c r="L26" i="8"/>
  <c r="C26" i="8"/>
  <c r="I25" i="8"/>
  <c r="C25" i="8"/>
  <c r="D43" i="8" s="1"/>
  <c r="L22" i="8"/>
  <c r="C22" i="8"/>
  <c r="L21" i="8"/>
  <c r="C21" i="8"/>
  <c r="I20" i="8"/>
  <c r="I21" i="8" s="1"/>
  <c r="F20" i="8"/>
  <c r="F21" i="8" s="1"/>
  <c r="C20" i="8"/>
  <c r="D47" i="8" s="1"/>
  <c r="I18" i="8"/>
  <c r="F18" i="8"/>
  <c r="L17" i="8"/>
  <c r="L16" i="8"/>
  <c r="I16" i="8"/>
  <c r="L14" i="8"/>
  <c r="I14" i="8"/>
  <c r="F14" i="8"/>
  <c r="I13" i="8"/>
  <c r="F13" i="8"/>
  <c r="D42" i="7"/>
  <c r="J32" i="1" s="1"/>
  <c r="D41" i="7"/>
  <c r="D40" i="7"/>
  <c r="D39" i="7"/>
  <c r="J31" i="1" s="1"/>
  <c r="D34" i="7"/>
  <c r="J29" i="1" s="1"/>
  <c r="L29" i="7"/>
  <c r="I29" i="7"/>
  <c r="L28" i="7"/>
  <c r="I27" i="7"/>
  <c r="L26" i="7"/>
  <c r="C26" i="7"/>
  <c r="I25" i="7"/>
  <c r="C25" i="7"/>
  <c r="L22" i="7"/>
  <c r="C22" i="7"/>
  <c r="L21" i="7"/>
  <c r="C21" i="7"/>
  <c r="I20" i="7"/>
  <c r="I21" i="7" s="1"/>
  <c r="F20" i="7"/>
  <c r="F21" i="7" s="1"/>
  <c r="C20" i="7"/>
  <c r="D47" i="7" s="1"/>
  <c r="I18" i="7"/>
  <c r="F18" i="7"/>
  <c r="L17" i="7"/>
  <c r="L16" i="7"/>
  <c r="L14" i="7"/>
  <c r="I14" i="7"/>
  <c r="F14" i="7"/>
  <c r="I13" i="7"/>
  <c r="F13" i="7"/>
  <c r="D44" i="6"/>
  <c r="J24" i="1" s="1"/>
  <c r="D42" i="6"/>
  <c r="J22" i="1" s="1"/>
  <c r="D41" i="6"/>
  <c r="D40" i="6"/>
  <c r="D34" i="6"/>
  <c r="J19" i="1" s="1"/>
  <c r="L29" i="6"/>
  <c r="I29" i="6"/>
  <c r="L28" i="6"/>
  <c r="I27" i="6"/>
  <c r="L26" i="6"/>
  <c r="C26" i="6"/>
  <c r="I25" i="6"/>
  <c r="C25" i="6"/>
  <c r="D43" i="6" s="1"/>
  <c r="L22" i="6"/>
  <c r="C22" i="6"/>
  <c r="L21" i="6"/>
  <c r="C21" i="6"/>
  <c r="I20" i="6"/>
  <c r="I21" i="6" s="1"/>
  <c r="F20" i="6"/>
  <c r="F21" i="6" s="1"/>
  <c r="C20" i="6"/>
  <c r="I18" i="6"/>
  <c r="F18" i="6"/>
  <c r="L17" i="6"/>
  <c r="L16" i="6"/>
  <c r="L14" i="6"/>
  <c r="I14" i="6"/>
  <c r="F14" i="6"/>
  <c r="I13" i="6"/>
  <c r="F13" i="6"/>
  <c r="I17" i="1"/>
  <c r="I16" i="1"/>
  <c r="I15" i="1"/>
  <c r="I14" i="1"/>
  <c r="G14" i="1"/>
  <c r="H14" i="1"/>
  <c r="G16" i="1"/>
  <c r="H16" i="1"/>
  <c r="G17" i="1"/>
  <c r="H17" i="1"/>
  <c r="G15" i="1"/>
  <c r="H15" i="1"/>
  <c r="D39" i="6" l="1"/>
  <c r="J21" i="1" s="1"/>
  <c r="D37" i="7"/>
  <c r="D37" i="9"/>
  <c r="D37" i="12"/>
  <c r="D37" i="15"/>
  <c r="D36" i="12"/>
  <c r="D37" i="14"/>
  <c r="D38" i="15"/>
  <c r="D47" i="15"/>
  <c r="D38" i="14"/>
  <c r="D43" i="14"/>
  <c r="D36" i="14"/>
  <c r="D47" i="13"/>
  <c r="D46" i="13"/>
  <c r="J95" i="1" s="1"/>
  <c r="D36" i="13"/>
  <c r="D37" i="13"/>
  <c r="D38" i="12"/>
  <c r="D47" i="12"/>
  <c r="D38" i="11"/>
  <c r="D44" i="11"/>
  <c r="D36" i="11"/>
  <c r="D37" i="11"/>
  <c r="D36" i="8"/>
  <c r="D44" i="8"/>
  <c r="D46" i="8" s="1"/>
  <c r="D37" i="8"/>
  <c r="D38" i="7"/>
  <c r="D43" i="7"/>
  <c r="D36" i="7"/>
  <c r="D46" i="6"/>
  <c r="J26" i="1" s="1"/>
  <c r="D37" i="6"/>
  <c r="D47" i="6"/>
  <c r="D36" i="6"/>
  <c r="D45" i="9"/>
  <c r="D46" i="9"/>
  <c r="D46" i="14"/>
  <c r="D45" i="14"/>
  <c r="D46" i="12"/>
  <c r="D45" i="12"/>
  <c r="D38" i="9"/>
  <c r="D38" i="13"/>
  <c r="D36" i="15"/>
  <c r="D38" i="8"/>
  <c r="D36" i="9"/>
  <c r="D38" i="6"/>
  <c r="D46" i="11"/>
  <c r="J76" i="1" s="1"/>
  <c r="D45" i="6"/>
  <c r="J25" i="1" s="1"/>
  <c r="D44" i="7"/>
  <c r="J34" i="1" s="1"/>
  <c r="D45" i="13"/>
  <c r="D44" i="15"/>
  <c r="G13" i="1"/>
  <c r="I13" i="1"/>
  <c r="H13" i="1"/>
  <c r="I12" i="1"/>
  <c r="G12" i="1"/>
  <c r="H12" i="1"/>
  <c r="I11" i="1"/>
  <c r="G11" i="1"/>
  <c r="H11" i="1"/>
  <c r="I10" i="1"/>
  <c r="H10" i="1"/>
  <c r="G10" i="1"/>
  <c r="G9" i="1"/>
  <c r="I9" i="1"/>
  <c r="H9" i="1"/>
  <c r="D42" i="5"/>
  <c r="J12" i="1" s="1"/>
  <c r="D41" i="5"/>
  <c r="D40" i="5"/>
  <c r="D39" i="5" s="1"/>
  <c r="J11" i="1" s="1"/>
  <c r="D34" i="5"/>
  <c r="J9" i="1" s="1"/>
  <c r="L29" i="5"/>
  <c r="I29" i="5"/>
  <c r="L28" i="5"/>
  <c r="I27" i="5"/>
  <c r="C26" i="5"/>
  <c r="I25" i="5"/>
  <c r="C25" i="5"/>
  <c r="D43" i="5" s="1"/>
  <c r="J13" i="1" s="1"/>
  <c r="L22" i="5"/>
  <c r="C22" i="5"/>
  <c r="L21" i="5"/>
  <c r="C21" i="5"/>
  <c r="I20" i="5"/>
  <c r="I21" i="5" s="1"/>
  <c r="F20" i="5"/>
  <c r="F21" i="5" s="1"/>
  <c r="C20" i="5"/>
  <c r="I18" i="5"/>
  <c r="F18" i="5"/>
  <c r="L17" i="5"/>
  <c r="L16" i="5"/>
  <c r="L14" i="5"/>
  <c r="I14" i="5"/>
  <c r="F14" i="5"/>
  <c r="I13" i="5"/>
  <c r="F13" i="5"/>
  <c r="D45" i="11" l="1"/>
  <c r="J75" i="1" s="1"/>
  <c r="J74" i="1"/>
  <c r="D35" i="7"/>
  <c r="J30" i="1" s="1"/>
  <c r="D35" i="15"/>
  <c r="J108" i="1" s="1"/>
  <c r="D35" i="12"/>
  <c r="J79" i="1" s="1"/>
  <c r="D35" i="14"/>
  <c r="J99" i="1" s="1"/>
  <c r="D35" i="6"/>
  <c r="J20" i="1" s="1"/>
  <c r="D35" i="11"/>
  <c r="J70" i="1" s="1"/>
  <c r="D35" i="13"/>
  <c r="J89" i="1" s="1"/>
  <c r="D35" i="9"/>
  <c r="J50" i="1" s="1"/>
  <c r="D35" i="8"/>
  <c r="J40" i="1" s="1"/>
  <c r="D45" i="8"/>
  <c r="D46" i="7"/>
  <c r="J36" i="1" s="1"/>
  <c r="D45" i="7"/>
  <c r="J35" i="1" s="1"/>
  <c r="D46" i="15"/>
  <c r="D45" i="15"/>
  <c r="D47" i="5"/>
  <c r="J17" i="1" s="1"/>
  <c r="D44" i="5"/>
  <c r="J14" i="1" s="1"/>
  <c r="D36" i="5"/>
  <c r="D37" i="5"/>
  <c r="D38" i="5"/>
  <c r="D35" i="5" l="1"/>
  <c r="J10" i="1" s="1"/>
  <c r="D45" i="5"/>
  <c r="J15" i="1" s="1"/>
  <c r="D46" i="5"/>
  <c r="J16" i="1" s="1"/>
</calcChain>
</file>

<file path=xl/sharedStrings.xml><?xml version="1.0" encoding="utf-8"?>
<sst xmlns="http://schemas.openxmlformats.org/spreadsheetml/2006/main" count="2332" uniqueCount="127">
  <si>
    <t>RESUMEN CANTIDADES POR ESPECIALIDAD</t>
  </si>
  <si>
    <t>ESPECIALIDAD</t>
  </si>
  <si>
    <t>RESPONSABLE</t>
  </si>
  <si>
    <t>CÓDIGO</t>
  </si>
  <si>
    <t>FECHA</t>
  </si>
  <si>
    <t>UNIDAD</t>
  </si>
  <si>
    <t>ESPECIFICACIÓN TECNICA DE CONSTRUCCIÓN</t>
  </si>
  <si>
    <t>FO-AC-07</t>
  </si>
  <si>
    <t>VERSIÓN</t>
  </si>
  <si>
    <t xml:space="preserve">CANTIDAD </t>
  </si>
  <si>
    <t>N° ITEM</t>
  </si>
  <si>
    <r>
      <t xml:space="preserve">CÓDIGO 
ÍTEM IDU
</t>
    </r>
    <r>
      <rPr>
        <sz val="10"/>
        <rFont val="Times New Roman"/>
        <family val="1"/>
      </rPr>
      <t>(Si no existe dejar en Blanco)</t>
    </r>
  </si>
  <si>
    <r>
      <t xml:space="preserve">DESCRIPCIÓN
</t>
    </r>
    <r>
      <rPr>
        <sz val="10"/>
        <rFont val="Times New Roman"/>
        <family val="1"/>
      </rPr>
      <t>(Colocar la descripción del ítem tomado de la lista ítems IDU. Si no existe colocar la descripción completa del ítem nuevo)</t>
    </r>
  </si>
  <si>
    <r>
      <t xml:space="preserve">OBSERVACIONES 
</t>
    </r>
    <r>
      <rPr>
        <sz val="10"/>
        <rFont val="Times New Roman"/>
        <family val="1"/>
      </rPr>
      <t>(Colocar el documento de referencia de donde se tomo la cantidad. Ej: plano, reporte, etc.)</t>
    </r>
  </si>
  <si>
    <t>SUBESPECIALIDAD</t>
  </si>
  <si>
    <t>ABSCISA FINAL</t>
  </si>
  <si>
    <t xml:space="preserve">TRAMO </t>
  </si>
  <si>
    <r>
      <t xml:space="preserve">PROCESO
</t>
    </r>
    <r>
      <rPr>
        <sz val="12"/>
        <rFont val="Times New Roman"/>
        <family val="1"/>
      </rPr>
      <t>CANTIDADES DE OBRA</t>
    </r>
    <r>
      <rPr>
        <b/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</si>
  <si>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</rPr>
      <t>FORMATO</t>
    </r>
    <r>
      <rPr>
        <sz val="12"/>
        <rFont val="Times New Roman"/>
        <family val="1"/>
      </rPr>
      <t xml:space="preserve">
Contrato IDU  1630 de 16 de dicembre de 2020
AJUSTES, ACTUALIZACIÓN Y COMPLEMENTACIÓN DE LA FACTIBILIDAD Y ESTUDIOS Y DISEÑOS
DEL CABLE AÉREO EN SAN CRISTÓBAL, EN BOGOTÁ D.C.</t>
    </r>
  </si>
  <si>
    <t>PUNTO INICIAL INICIAL</t>
  </si>
  <si>
    <t>ALTERNATIVA</t>
  </si>
  <si>
    <t>ESTACIÓN DE SALIDA</t>
  </si>
  <si>
    <t>ESTACIÓN DE LLEGADA</t>
  </si>
  <si>
    <t>m</t>
  </si>
  <si>
    <t>ACTUALIZACIÓN, AJUSTES Y COMPLEMENTACIÓN DE LA FACTIBILIDAD Y LOS ESTUDIOS</t>
  </si>
  <si>
    <t xml:space="preserve"> Y DISEÑOS DEL CABLE AÉREO EN SAN CRISTÓBAL, EN BOGOTÁ D.C.</t>
  </si>
  <si>
    <t>CONTRATO DE CONSULTORÍA No. 1630 DE 2020</t>
  </si>
  <si>
    <t>Datos Geometria:</t>
  </si>
  <si>
    <t>Datos Refuerzo:</t>
  </si>
  <si>
    <t>Pilotes</t>
  </si>
  <si>
    <t>Pedestal</t>
  </si>
  <si>
    <t>Zapata</t>
  </si>
  <si>
    <t>Número de pilas:</t>
  </si>
  <si>
    <t>pzas</t>
  </si>
  <si>
    <t>Número de varillas principales:</t>
  </si>
  <si>
    <t>Separación de varillas principales</t>
  </si>
  <si>
    <t>cm</t>
  </si>
  <si>
    <t>Diametro:</t>
  </si>
  <si>
    <t>Varillas principales del #:</t>
  </si>
  <si>
    <t>c</t>
  </si>
  <si>
    <t>Número de paquetes:</t>
  </si>
  <si>
    <t>Profundidad:</t>
  </si>
  <si>
    <t>Peso de varillas principales:</t>
  </si>
  <si>
    <t>Kg/m</t>
  </si>
  <si>
    <t>Recubrimiento:</t>
  </si>
  <si>
    <t>Longitud de varillas principales:</t>
  </si>
  <si>
    <t>Ancho:</t>
  </si>
  <si>
    <t>Separación de estribos a cada:</t>
  </si>
  <si>
    <t>Largo:</t>
  </si>
  <si>
    <t>Número de estribos:</t>
  </si>
  <si>
    <t>Peralte:</t>
  </si>
  <si>
    <t>Estribos del #:</t>
  </si>
  <si>
    <t>Relleno</t>
  </si>
  <si>
    <t>Peso de estribos</t>
  </si>
  <si>
    <t>Separación de varillas temperatura</t>
  </si>
  <si>
    <t>Excavación</t>
  </si>
  <si>
    <t>Número de varillas temperatura:</t>
  </si>
  <si>
    <t>(Considerando 1m más a cada lado)          Ancho:</t>
  </si>
  <si>
    <t>Varillas temperatura del #:</t>
  </si>
  <si>
    <t>(Considerando 1m más a cada lado)           Largo:</t>
  </si>
  <si>
    <t>Longitud de estribos:</t>
  </si>
  <si>
    <t>Peso de varillas temperatura:</t>
  </si>
  <si>
    <t>Longitud de varillas temperatura:</t>
  </si>
  <si>
    <t>Concreto de Limpieza</t>
  </si>
  <si>
    <t>Bastones en columna</t>
  </si>
  <si>
    <t>Estribos zapata</t>
  </si>
  <si>
    <t>Columna</t>
  </si>
  <si>
    <t>Número de parrillas:</t>
  </si>
  <si>
    <t>Longitud de varillas:</t>
  </si>
  <si>
    <t>Altura:</t>
  </si>
  <si>
    <t>CODIGO 
IDU</t>
  </si>
  <si>
    <t>Concepto</t>
  </si>
  <si>
    <t>Unidad</t>
  </si>
  <si>
    <t>Cimentación 
Pilona No. 1</t>
  </si>
  <si>
    <t>Pilote preexcavado en concreto tremie de 4000 psi (280 kg/cm2) acelerado a 2 días. incluye acelerante, alquiler de equipo de perforación con operario, motobomba, bentonita, mano de obra, transporte y disposición final de escombros en sitio autorizado. distancia de transporte 21 km.</t>
  </si>
  <si>
    <t>m3</t>
  </si>
  <si>
    <t>Acero de refuerzo fy=60000 psi. Suministro e instalación.  de acuerdo a lo estipulado por la nsr-10, norma Astm A-706, icontec 2289 para el acero pdr-60. incluye todos los costos de suministro de materiales (refuerzo (g60) figurado, corrugado, incluye el alambre de amarre), equipos, transportes, manejo, almacenamiento, desperdicios y mano de obra, en:</t>
  </si>
  <si>
    <t>kg</t>
  </si>
  <si>
    <t>Concreto 4000 psi, premezclado, grava común (incluye suministro, formaleteo en madera, bombeo, colocación y curado. No incluye refuerzo), en:</t>
  </si>
  <si>
    <t>Descabece de pilotes (incluye transporte y disposición final de escombros en sitio autorizado a 21 km.</t>
  </si>
  <si>
    <t>Relleno con material de banco, incluye acarreo, equipo, herramienta, mano de obra y todo lo necesario para su correcta ejecución, P.U.O.T.</t>
  </si>
  <si>
    <t>Pilona 1</t>
  </si>
  <si>
    <t>Estructuras</t>
  </si>
  <si>
    <t>Electromecánico</t>
  </si>
  <si>
    <t>GPI001</t>
  </si>
  <si>
    <t>Plano</t>
  </si>
  <si>
    <t>GPI002</t>
  </si>
  <si>
    <t>GPI003</t>
  </si>
  <si>
    <t>GPI004</t>
  </si>
  <si>
    <t>Concreto de nivelación 2000 psi grava común (140 kg/cm2) (premezclado. incluye suministro, fundida y nivelación y colocación. no incluye refuerzo, curado).</t>
  </si>
  <si>
    <t>Excavación mecánica para dados (nivel de funcionamiento, incluye cargue)</t>
  </si>
  <si>
    <t>Transporte y disposición final de escombros en sitio autorizado (distancia de transporte 21 km) a distancia mayor del acarreo libre (90m) en sitio autorizado por la entidad ambiental competente.</t>
  </si>
  <si>
    <t>GPI005</t>
  </si>
  <si>
    <t>GPI007</t>
  </si>
  <si>
    <t>GPI008</t>
  </si>
  <si>
    <t>GPI009</t>
  </si>
  <si>
    <t>GPI010</t>
  </si>
  <si>
    <t>Pilona 2</t>
  </si>
  <si>
    <t>Demolición pavimento asfáltico de espesor 10 cm. incluye todos los costos de suministro de equipos (herramienta menor, martillo neumático, compresor, provisional de energía), transporte, manejo, almacenamiento, desperdicios, cargue y transporte de materiales sobrantes a escombrera autorizada y mano de obra</t>
  </si>
  <si>
    <t>m2</t>
  </si>
  <si>
    <t>Distancia a paño primer varilla</t>
  </si>
  <si>
    <t>Cimentación 
Pilona No. 2</t>
  </si>
  <si>
    <t>Demolición de concreto: espesores 8cm a 15cm. (incluye retiro de material, transporte y disposición final de escombros en sitio autorizado)</t>
  </si>
  <si>
    <t>(Considerando 0.5m más a cada lado)          Ancho:</t>
  </si>
  <si>
    <t>(Considerando 0.5m más a cada lado)           Largo:</t>
  </si>
  <si>
    <t>Cimentación 
Pilona No. 3</t>
  </si>
  <si>
    <t>Cimentación 
Pilona No. 4</t>
  </si>
  <si>
    <t>Cimentación 
Pilona No. 5</t>
  </si>
  <si>
    <t>Zapata Sentido Longitudinal</t>
  </si>
  <si>
    <t>Zapata Sentido Transversal</t>
  </si>
  <si>
    <t>Cimentación 
Pilona No. 6</t>
  </si>
  <si>
    <t>Cimentación 
Pilona No. 7</t>
  </si>
  <si>
    <t>Cimentación 
Pilona No. 8</t>
  </si>
  <si>
    <t>Cimentación 
Pilona No. 9</t>
  </si>
  <si>
    <t>Cimentación 
Pilona No. 10</t>
  </si>
  <si>
    <t>Cimentación 
Pilona No. 11</t>
  </si>
  <si>
    <t>Pilona 3</t>
  </si>
  <si>
    <t>Pilona 4</t>
  </si>
  <si>
    <t>Pilona 5</t>
  </si>
  <si>
    <t>Pilona 6</t>
  </si>
  <si>
    <t>Pilona 7</t>
  </si>
  <si>
    <t>Pilona 8</t>
  </si>
  <si>
    <t>Pilona 9</t>
  </si>
  <si>
    <t>Pilona 10</t>
  </si>
  <si>
    <t>Pilona 11</t>
  </si>
  <si>
    <t>GPI006</t>
  </si>
  <si>
    <t>ESTRUCTURAL PILONAS SECCIÓN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</si>
</sst>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_(* #,##0.0_);_(* \(#,##0.0\);_(* &quot;-&quot;??_);_(@_)"/>
    <numFmt numFmtId="166" formatCode="d/mm/yyyy;@"/>
    <numFmt numFmtId="167" formatCode="0.0"/>
    <numFmt numFmtId="168" formatCode="#,##0.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rgb="FFFF0000"/>
      <name val="Times New Roman"/>
      <family val="1"/>
    </font>
    <font>
      <sz val="10"/>
      <name val="Times New Roman"/>
      <family val="1"/>
    </font>
    <font>
      <sz val="18"/>
      <color rgb="FFFF0000"/>
      <name val="Times New Roman"/>
      <family val="1"/>
    </font>
    <font>
      <sz val="12"/>
      <color rgb="FFFF0000"/>
      <name val="Times New Roman"/>
      <family val="1"/>
    </font>
    <font>
      <b/>
      <sz val="11"/>
      <color theme="1"/>
      <name val="Arial Narrow"/>
      <family val="2"/>
    </font>
    <font>
      <b/>
      <sz val="11"/>
      <color rgb="FF000000"/>
      <name val="Arial Narrow"/>
      <family val="2"/>
    </font>
    <font>
      <sz val="11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70C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3" fillId="0" borderId="0"/>
    <xf numFmtId="0" fontId="18" fillId="0" borderId="0"/>
    <xf numFmtId="0" fontId="13" fillId="0" borderId="0"/>
  </cellStyleXfs>
  <cellXfs count="137">
    <xf numFmtId="0" fontId="0" fillId="0" borderId="0" xfId="0"/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vertical="center"/>
    </xf>
    <xf numFmtId="166" fontId="7" fillId="0" borderId="9" xfId="0" applyNumberFormat="1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1" fontId="4" fillId="0" borderId="0" xfId="0" applyNumberFormat="1" applyFont="1" applyAlignment="1">
      <alignment vertical="center"/>
    </xf>
    <xf numFmtId="4" fontId="4" fillId="2" borderId="0" xfId="0" applyNumberFormat="1" applyFont="1" applyFill="1" applyAlignment="1">
      <alignment vertical="center"/>
    </xf>
    <xf numFmtId="4" fontId="9" fillId="0" borderId="0" xfId="0" applyNumberFormat="1" applyFont="1" applyFill="1" applyBorder="1" applyAlignment="1">
      <alignment vertical="center" wrapText="1"/>
    </xf>
    <xf numFmtId="4" fontId="5" fillId="0" borderId="1" xfId="1" applyNumberFormat="1" applyFont="1" applyFill="1" applyBorder="1" applyAlignment="1" applyProtection="1">
      <alignment horizontal="center" vertical="center" wrapText="1"/>
    </xf>
    <xf numFmtId="4" fontId="4" fillId="0" borderId="0" xfId="0" applyNumberFormat="1" applyFont="1" applyAlignment="1">
      <alignment vertical="center"/>
    </xf>
    <xf numFmtId="0" fontId="5" fillId="0" borderId="6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164" fontId="11" fillId="0" borderId="0" xfId="2" applyFont="1" applyAlignment="1">
      <alignment horizontal="left" indent="9"/>
    </xf>
    <xf numFmtId="0" fontId="13" fillId="0" borderId="0" xfId="3"/>
    <xf numFmtId="0" fontId="13" fillId="0" borderId="0" xfId="3" applyAlignment="1">
      <alignment vertical="center"/>
    </xf>
    <xf numFmtId="0" fontId="12" fillId="0" borderId="0" xfId="3" applyFont="1" applyAlignment="1">
      <alignment horizontal="left" vertical="center" indent="4"/>
    </xf>
    <xf numFmtId="0" fontId="13" fillId="0" borderId="0" xfId="3" applyAlignment="1">
      <alignment horizontal="center"/>
    </xf>
    <xf numFmtId="0" fontId="1" fillId="0" borderId="0" xfId="3" applyFont="1" applyAlignment="1">
      <alignment horizontal="left" vertical="center" wrapText="1" indent="4"/>
    </xf>
    <xf numFmtId="0" fontId="11" fillId="0" borderId="0" xfId="3" applyFont="1" applyAlignment="1">
      <alignment horizontal="left" indent="14"/>
    </xf>
    <xf numFmtId="0" fontId="15" fillId="0" borderId="0" xfId="3" applyFont="1" applyAlignment="1">
      <alignment horizontal="left"/>
    </xf>
    <xf numFmtId="0" fontId="16" fillId="0" borderId="18" xfId="3" applyFont="1" applyBorder="1" applyAlignment="1">
      <alignment horizontal="left"/>
    </xf>
    <xf numFmtId="0" fontId="15" fillId="0" borderId="19" xfId="3" applyFont="1" applyBorder="1" applyAlignment="1">
      <alignment horizontal="center"/>
    </xf>
    <xf numFmtId="167" fontId="17" fillId="0" borderId="19" xfId="3" applyNumberFormat="1" applyFont="1" applyBorder="1" applyAlignment="1">
      <alignment horizontal="center"/>
    </xf>
    <xf numFmtId="0" fontId="14" fillId="0" borderId="18" xfId="3" applyFont="1" applyBorder="1" applyAlignment="1">
      <alignment horizontal="right"/>
    </xf>
    <xf numFmtId="0" fontId="17" fillId="0" borderId="19" xfId="3" applyFont="1" applyBorder="1" applyAlignment="1">
      <alignment horizontal="center"/>
    </xf>
    <xf numFmtId="0" fontId="18" fillId="0" borderId="19" xfId="3" applyFont="1" applyBorder="1" applyAlignment="1">
      <alignment horizontal="center"/>
    </xf>
    <xf numFmtId="167" fontId="18" fillId="0" borderId="19" xfId="3" applyNumberFormat="1" applyFont="1" applyBorder="1" applyAlignment="1">
      <alignment horizontal="center"/>
    </xf>
    <xf numFmtId="0" fontId="13" fillId="0" borderId="0" xfId="3" applyAlignment="1">
      <alignment horizontal="left"/>
    </xf>
    <xf numFmtId="1" fontId="14" fillId="0" borderId="19" xfId="3" applyNumberFormat="1" applyFont="1" applyBorder="1" applyAlignment="1">
      <alignment horizontal="center"/>
    </xf>
    <xf numFmtId="2" fontId="18" fillId="0" borderId="19" xfId="3" applyNumberFormat="1" applyFont="1" applyBorder="1" applyAlignment="1">
      <alignment horizontal="center"/>
    </xf>
    <xf numFmtId="0" fontId="14" fillId="0" borderId="20" xfId="3" applyFont="1" applyBorder="1" applyAlignment="1">
      <alignment horizontal="right"/>
    </xf>
    <xf numFmtId="2" fontId="18" fillId="0" borderId="21" xfId="3" applyNumberFormat="1" applyFont="1" applyBorder="1" applyAlignment="1">
      <alignment horizontal="center"/>
    </xf>
    <xf numFmtId="167" fontId="18" fillId="0" borderId="21" xfId="3" applyNumberFormat="1" applyFont="1" applyBorder="1" applyAlignment="1">
      <alignment horizontal="center"/>
    </xf>
    <xf numFmtId="0" fontId="17" fillId="0" borderId="21" xfId="3" applyFont="1" applyBorder="1" applyAlignment="1">
      <alignment horizontal="center"/>
    </xf>
    <xf numFmtId="0" fontId="14" fillId="0" borderId="0" xfId="3" applyFont="1" applyAlignment="1">
      <alignment horizontal="right"/>
    </xf>
    <xf numFmtId="2" fontId="18" fillId="0" borderId="0" xfId="3" applyNumberFormat="1" applyFont="1" applyAlignment="1">
      <alignment horizontal="center"/>
    </xf>
    <xf numFmtId="0" fontId="17" fillId="0" borderId="0" xfId="3" applyFont="1" applyAlignment="1">
      <alignment horizontal="center"/>
    </xf>
    <xf numFmtId="0" fontId="16" fillId="0" borderId="1" xfId="3" applyFont="1" applyBorder="1" applyAlignment="1">
      <alignment horizontal="center" vertical="center" wrapText="1"/>
    </xf>
    <xf numFmtId="0" fontId="16" fillId="0" borderId="1" xfId="3" applyFont="1" applyBorder="1" applyAlignment="1">
      <alignment horizontal="center" vertical="center"/>
    </xf>
    <xf numFmtId="0" fontId="19" fillId="2" borderId="1" xfId="4" applyFont="1" applyFill="1" applyBorder="1" applyAlignment="1">
      <alignment horizontal="center" vertical="center"/>
    </xf>
    <xf numFmtId="0" fontId="19" fillId="3" borderId="1" xfId="4" applyFont="1" applyFill="1" applyBorder="1" applyAlignment="1">
      <alignment horizontal="center" vertical="center" wrapText="1"/>
    </xf>
    <xf numFmtId="0" fontId="16" fillId="0" borderId="0" xfId="3" applyFont="1" applyAlignment="1">
      <alignment horizontal="center" vertical="center"/>
    </xf>
    <xf numFmtId="0" fontId="13" fillId="0" borderId="1" xfId="3" applyBorder="1"/>
    <xf numFmtId="0" fontId="18" fillId="2" borderId="1" xfId="4" applyFill="1" applyBorder="1" applyAlignment="1">
      <alignment vertical="center" wrapText="1"/>
    </xf>
    <xf numFmtId="0" fontId="18" fillId="2" borderId="1" xfId="4" applyFill="1" applyBorder="1" applyAlignment="1">
      <alignment horizontal="center" vertical="center"/>
    </xf>
    <xf numFmtId="0" fontId="18" fillId="2" borderId="1" xfId="4" applyFill="1" applyBorder="1" applyAlignment="1">
      <alignment horizontal="center" vertical="center" wrapText="1"/>
    </xf>
    <xf numFmtId="0" fontId="20" fillId="0" borderId="1" xfId="5" applyFont="1" applyBorder="1" applyAlignment="1">
      <alignment horizontal="center" vertical="center"/>
    </xf>
    <xf numFmtId="2" fontId="19" fillId="0" borderId="1" xfId="4" applyNumberFormat="1" applyFont="1" applyBorder="1" applyAlignment="1">
      <alignment horizontal="center" vertical="center" wrapText="1"/>
    </xf>
    <xf numFmtId="0" fontId="18" fillId="2" borderId="0" xfId="4" applyFill="1" applyAlignment="1">
      <alignment vertical="center" wrapText="1"/>
    </xf>
    <xf numFmtId="0" fontId="18" fillId="0" borderId="0" xfId="4" applyAlignment="1">
      <alignment vertical="center" wrapText="1"/>
    </xf>
    <xf numFmtId="3" fontId="19" fillId="0" borderId="1" xfId="4" applyNumberFormat="1" applyFont="1" applyBorder="1" applyAlignment="1">
      <alignment horizontal="center" vertical="center" wrapText="1"/>
    </xf>
    <xf numFmtId="0" fontId="18" fillId="2" borderId="1" xfId="4" applyFill="1" applyBorder="1" applyAlignment="1">
      <alignment horizontal="right" vertical="center" wrapText="1"/>
    </xf>
    <xf numFmtId="3" fontId="20" fillId="2" borderId="1" xfId="3" applyNumberFormat="1" applyFont="1" applyFill="1" applyBorder="1" applyAlignment="1">
      <alignment horizontal="center" vertical="center"/>
    </xf>
    <xf numFmtId="3" fontId="20" fillId="0" borderId="1" xfId="3" applyNumberFormat="1" applyFont="1" applyBorder="1" applyAlignment="1">
      <alignment horizontal="center" vertical="center"/>
    </xf>
    <xf numFmtId="4" fontId="21" fillId="2" borderId="1" xfId="3" applyNumberFormat="1" applyFont="1" applyFill="1" applyBorder="1" applyAlignment="1">
      <alignment horizontal="center" vertical="center"/>
    </xf>
    <xf numFmtId="2" fontId="18" fillId="2" borderId="1" xfId="4" applyNumberFormat="1" applyFill="1" applyBorder="1" applyAlignment="1">
      <alignment horizontal="center" vertical="center" wrapText="1"/>
    </xf>
    <xf numFmtId="0" fontId="18" fillId="0" borderId="1" xfId="5" applyFont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vertical="center" wrapText="1"/>
    </xf>
    <xf numFmtId="4" fontId="6" fillId="0" borderId="6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8" fillId="0" borderId="1" xfId="4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/>
    </xf>
    <xf numFmtId="0" fontId="18" fillId="0" borderId="1" xfId="4" applyFill="1" applyBorder="1" applyAlignment="1">
      <alignment vertical="center" wrapText="1"/>
    </xf>
    <xf numFmtId="0" fontId="18" fillId="0" borderId="1" xfId="5" applyFont="1" applyFill="1" applyBorder="1" applyAlignment="1">
      <alignment horizontal="center" vertical="center"/>
    </xf>
    <xf numFmtId="2" fontId="18" fillId="0" borderId="1" xfId="4" applyNumberFormat="1" applyFill="1" applyBorder="1" applyAlignment="1">
      <alignment horizontal="center" vertical="center" wrapText="1"/>
    </xf>
    <xf numFmtId="0" fontId="13" fillId="0" borderId="0" xfId="3" applyFill="1" applyAlignment="1">
      <alignment horizontal="center" vertical="center"/>
    </xf>
    <xf numFmtId="0" fontId="13" fillId="0" borderId="0" xfId="3" applyFill="1" applyAlignment="1">
      <alignment horizontal="center"/>
    </xf>
    <xf numFmtId="0" fontId="18" fillId="0" borderId="0" xfId="4" applyFill="1" applyAlignment="1">
      <alignment vertical="center" wrapText="1"/>
    </xf>
    <xf numFmtId="0" fontId="13" fillId="0" borderId="0" xfId="3" applyFill="1"/>
    <xf numFmtId="0" fontId="16" fillId="0" borderId="1" xfId="3" applyFont="1" applyBorder="1" applyAlignment="1">
      <alignment horizontal="center" vertical="center"/>
    </xf>
    <xf numFmtId="0" fontId="20" fillId="0" borderId="1" xfId="5" applyFont="1" applyBorder="1" applyAlignment="1">
      <alignment horizontal="center" vertical="center"/>
    </xf>
    <xf numFmtId="0" fontId="16" fillId="0" borderId="18" xfId="3" applyFont="1" applyBorder="1" applyAlignment="1">
      <alignment horizontal="left"/>
    </xf>
    <xf numFmtId="2" fontId="17" fillId="0" borderId="19" xfId="3" applyNumberFormat="1" applyFont="1" applyBorder="1" applyAlignment="1">
      <alignment horizontal="center"/>
    </xf>
    <xf numFmtId="0" fontId="19" fillId="0" borderId="1" xfId="3" applyFont="1" applyBorder="1" applyAlignment="1">
      <alignment horizontal="center" vertical="center"/>
    </xf>
    <xf numFmtId="2" fontId="18" fillId="0" borderId="1" xfId="4" applyNumberFormat="1" applyBorder="1" applyAlignment="1">
      <alignment horizontal="center" vertical="center" wrapText="1"/>
    </xf>
    <xf numFmtId="0" fontId="13" fillId="0" borderId="0" xfId="3" applyAlignment="1">
      <alignment horizontal="center" vertical="center"/>
    </xf>
    <xf numFmtId="0" fontId="14" fillId="0" borderId="19" xfId="3" applyFont="1" applyBorder="1" applyAlignment="1">
      <alignment horizontal="center"/>
    </xf>
    <xf numFmtId="168" fontId="10" fillId="0" borderId="0" xfId="0" applyNumberFormat="1" applyFont="1" applyAlignment="1">
      <alignment vertical="center"/>
    </xf>
    <xf numFmtId="168" fontId="4" fillId="0" borderId="0" xfId="0" applyNumberFormat="1" applyFont="1" applyAlignment="1">
      <alignment vertical="center"/>
    </xf>
    <xf numFmtId="4" fontId="6" fillId="4" borderId="1" xfId="0" applyNumberFormat="1" applyFont="1" applyFill="1" applyBorder="1" applyAlignment="1">
      <alignment horizontal="center" vertical="center"/>
    </xf>
    <xf numFmtId="2" fontId="6" fillId="4" borderId="1" xfId="0" applyNumberFormat="1" applyFont="1" applyFill="1" applyBorder="1" applyAlignment="1">
      <alignment horizontal="center" vertical="center" wrapText="1"/>
    </xf>
    <xf numFmtId="2" fontId="19" fillId="4" borderId="1" xfId="4" applyNumberFormat="1" applyFont="1" applyFill="1" applyBorder="1" applyAlignment="1">
      <alignment horizontal="center" vertical="center" wrapText="1"/>
    </xf>
    <xf numFmtId="3" fontId="19" fillId="4" borderId="1" xfId="4" applyNumberFormat="1" applyFont="1" applyFill="1" applyBorder="1" applyAlignment="1">
      <alignment horizontal="center" vertical="center" wrapText="1"/>
    </xf>
    <xf numFmtId="4" fontId="21" fillId="4" borderId="1" xfId="3" applyNumberFormat="1" applyFont="1" applyFill="1" applyBorder="1" applyAlignment="1">
      <alignment horizontal="center" vertical="center"/>
    </xf>
    <xf numFmtId="2" fontId="18" fillId="4" borderId="1" xfId="4" applyNumberForma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/>
    </xf>
    <xf numFmtId="165" fontId="5" fillId="0" borderId="7" xfId="1" applyNumberFormat="1" applyFont="1" applyFill="1" applyBorder="1" applyAlignment="1" applyProtection="1">
      <alignment horizontal="center" vertical="center" wrapText="1"/>
    </xf>
    <xf numFmtId="165" fontId="5" fillId="0" borderId="9" xfId="1" applyNumberFormat="1" applyFont="1" applyFill="1" applyBorder="1" applyAlignment="1" applyProtection="1">
      <alignment horizontal="center" vertical="center" wrapText="1"/>
    </xf>
    <xf numFmtId="0" fontId="14" fillId="0" borderId="16" xfId="3" applyFont="1" applyBorder="1" applyAlignment="1">
      <alignment horizontal="center"/>
    </xf>
    <xf numFmtId="0" fontId="14" fillId="0" borderId="17" xfId="3" applyFont="1" applyBorder="1" applyAlignment="1">
      <alignment horizontal="center"/>
    </xf>
    <xf numFmtId="0" fontId="16" fillId="0" borderId="1" xfId="3" applyFont="1" applyBorder="1" applyAlignment="1">
      <alignment horizontal="center" vertical="center"/>
    </xf>
    <xf numFmtId="0" fontId="20" fillId="0" borderId="1" xfId="5" applyFont="1" applyBorder="1" applyAlignment="1">
      <alignment horizontal="center" vertical="center"/>
    </xf>
    <xf numFmtId="0" fontId="11" fillId="0" borderId="0" xfId="3" applyFont="1" applyAlignment="1">
      <alignment horizontal="center"/>
    </xf>
    <xf numFmtId="0" fontId="14" fillId="0" borderId="14" xfId="3" applyFont="1" applyBorder="1" applyAlignment="1">
      <alignment horizontal="center"/>
    </xf>
    <xf numFmtId="0" fontId="14" fillId="0" borderId="15" xfId="3" applyFont="1" applyBorder="1" applyAlignment="1">
      <alignment horizontal="center"/>
    </xf>
    <xf numFmtId="0" fontId="16" fillId="0" borderId="18" xfId="3" applyFont="1" applyBorder="1" applyAlignment="1">
      <alignment horizontal="left"/>
    </xf>
    <xf numFmtId="0" fontId="16" fillId="0" borderId="19" xfId="3" applyFont="1" applyBorder="1" applyAlignment="1">
      <alignment horizontal="left"/>
    </xf>
  </cellXfs>
  <cellStyles count="6">
    <cellStyle name="Millares" xfId="1" builtinId="3"/>
    <cellStyle name="Millares 2 10 2" xfId="4" xr:uid="{96FD902E-CCFC-4247-A07B-A17A36E7C842}"/>
    <cellStyle name="Millares 5" xfId="2" xr:uid="{00000000-0005-0000-0000-000001000000}"/>
    <cellStyle name="Normal" xfId="0" builtinId="0"/>
    <cellStyle name="Normal 2" xfId="3" xr:uid="{D3D59410-3E7B-4E45-9793-CDA04BA781D8}"/>
    <cellStyle name="Normal 4" xfId="5" xr:uid="{F8B1C004-081B-47AD-B2E4-C0D11284DDBF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wmf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wmf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w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w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w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w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w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w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wmf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w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186615</xdr:colOff>
      <xdr:row>0</xdr:row>
      <xdr:rowOff>77881</xdr:rowOff>
    </xdr:from>
    <xdr:to>
      <xdr:col>11</xdr:col>
      <xdr:colOff>1259541</xdr:colOff>
      <xdr:row>2</xdr:row>
      <xdr:rowOff>115982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61" t="73633" r="88985" b="14561"/>
        <a:stretch>
          <a:fillRect/>
        </a:stretch>
      </xdr:blipFill>
      <xdr:spPr bwMode="auto">
        <a:xfrm>
          <a:off x="13431968" y="77881"/>
          <a:ext cx="1072926" cy="11362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266700</xdr:colOff>
      <xdr:row>1</xdr:row>
      <xdr:rowOff>123825</xdr:rowOff>
    </xdr:from>
    <xdr:to>
      <xdr:col>11</xdr:col>
      <xdr:colOff>409912</xdr:colOff>
      <xdr:row>5</xdr:row>
      <xdr:rowOff>40303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D91F9D8D-5F44-498C-A9A7-C4FBD25A0DC8}"/>
            </a:ext>
          </a:extLst>
        </xdr:cNvPr>
        <xdr:cNvGrpSpPr/>
      </xdr:nvGrpSpPr>
      <xdr:grpSpPr>
        <a:xfrm>
          <a:off x="12324229" y="301214"/>
          <a:ext cx="2054600" cy="778995"/>
          <a:chOff x="0" y="0"/>
          <a:chExt cx="6132696" cy="266400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044EFC59-5316-41FF-A641-35B15A34CDD5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36941" y="0"/>
            <a:ext cx="4140000" cy="1980000"/>
          </a:xfrm>
          <a:prstGeom prst="rect">
            <a:avLst/>
          </a:prstGeom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0141D602-942E-4793-85CF-0CF6865963F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1944000"/>
            <a:ext cx="2703070" cy="720000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60C976FE-7285-4669-B3B0-46461449B80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017101" y="1980000"/>
            <a:ext cx="3115595" cy="64800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1562100</xdr:colOff>
      <xdr:row>0</xdr:row>
      <xdr:rowOff>171450</xdr:rowOff>
    </xdr:from>
    <xdr:to>
      <xdr:col>1</xdr:col>
      <xdr:colOff>2524089</xdr:colOff>
      <xdr:row>6</xdr:row>
      <xdr:rowOff>457</xdr:rowOff>
    </xdr:to>
    <xdr:pic>
      <xdr:nvPicPr>
        <xdr:cNvPr id="6" name="Imagen 60">
          <a:extLst>
            <a:ext uri="{FF2B5EF4-FFF2-40B4-BE49-F238E27FC236}">
              <a16:creationId xmlns:a16="http://schemas.microsoft.com/office/drawing/2014/main" id="{40E1624F-9248-49EF-84E0-546C911B0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175260"/>
          <a:ext cx="960084" cy="1044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266700</xdr:colOff>
      <xdr:row>1</xdr:row>
      <xdr:rowOff>123825</xdr:rowOff>
    </xdr:from>
    <xdr:to>
      <xdr:col>11</xdr:col>
      <xdr:colOff>409912</xdr:colOff>
      <xdr:row>5</xdr:row>
      <xdr:rowOff>40303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C6BC1529-EFAC-424F-9DFB-02DDD4CA700F}"/>
            </a:ext>
          </a:extLst>
        </xdr:cNvPr>
        <xdr:cNvGrpSpPr/>
      </xdr:nvGrpSpPr>
      <xdr:grpSpPr>
        <a:xfrm>
          <a:off x="12324229" y="301214"/>
          <a:ext cx="2054600" cy="778995"/>
          <a:chOff x="0" y="0"/>
          <a:chExt cx="6132696" cy="266400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7C4AB421-836C-4175-AE46-82FD892747B8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36941" y="0"/>
            <a:ext cx="4140000" cy="1980000"/>
          </a:xfrm>
          <a:prstGeom prst="rect">
            <a:avLst/>
          </a:prstGeom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B8723252-2541-4C8C-ADFC-C331CCF792D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1944000"/>
            <a:ext cx="2703070" cy="720000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FADA768E-F245-4F11-9413-EC6CD19A346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017101" y="1980000"/>
            <a:ext cx="3115595" cy="64800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1562100</xdr:colOff>
      <xdr:row>0</xdr:row>
      <xdr:rowOff>171450</xdr:rowOff>
    </xdr:from>
    <xdr:to>
      <xdr:col>1</xdr:col>
      <xdr:colOff>2524089</xdr:colOff>
      <xdr:row>6</xdr:row>
      <xdr:rowOff>457</xdr:rowOff>
    </xdr:to>
    <xdr:pic>
      <xdr:nvPicPr>
        <xdr:cNvPr id="6" name="Imagen 60">
          <a:extLst>
            <a:ext uri="{FF2B5EF4-FFF2-40B4-BE49-F238E27FC236}">
              <a16:creationId xmlns:a16="http://schemas.microsoft.com/office/drawing/2014/main" id="{DBCBD2B4-3E86-40C9-80F5-EC39AEB43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175260"/>
          <a:ext cx="960084" cy="1044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266700</xdr:colOff>
      <xdr:row>1</xdr:row>
      <xdr:rowOff>123825</xdr:rowOff>
    </xdr:from>
    <xdr:to>
      <xdr:col>11</xdr:col>
      <xdr:colOff>409912</xdr:colOff>
      <xdr:row>5</xdr:row>
      <xdr:rowOff>40303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18B534AE-79BB-439C-B003-46DA420C8831}"/>
            </a:ext>
          </a:extLst>
        </xdr:cNvPr>
        <xdr:cNvGrpSpPr/>
      </xdr:nvGrpSpPr>
      <xdr:grpSpPr>
        <a:xfrm>
          <a:off x="12324229" y="301214"/>
          <a:ext cx="2054600" cy="778995"/>
          <a:chOff x="0" y="0"/>
          <a:chExt cx="6132696" cy="266400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65C31587-04A2-43E4-A6D0-CAD69E171CDE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36941" y="0"/>
            <a:ext cx="4140000" cy="1980000"/>
          </a:xfrm>
          <a:prstGeom prst="rect">
            <a:avLst/>
          </a:prstGeom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9D864177-F516-4FA1-9B76-D5A961E22C6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1944000"/>
            <a:ext cx="2703070" cy="720000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DAE7960C-1994-449E-84D7-B0B28AEF9B3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017101" y="1980000"/>
            <a:ext cx="3115595" cy="64800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1562100</xdr:colOff>
      <xdr:row>0</xdr:row>
      <xdr:rowOff>171450</xdr:rowOff>
    </xdr:from>
    <xdr:to>
      <xdr:col>1</xdr:col>
      <xdr:colOff>2524089</xdr:colOff>
      <xdr:row>6</xdr:row>
      <xdr:rowOff>457</xdr:rowOff>
    </xdr:to>
    <xdr:pic>
      <xdr:nvPicPr>
        <xdr:cNvPr id="6" name="Imagen 60">
          <a:extLst>
            <a:ext uri="{FF2B5EF4-FFF2-40B4-BE49-F238E27FC236}">
              <a16:creationId xmlns:a16="http://schemas.microsoft.com/office/drawing/2014/main" id="{A62A4E48-3370-48A8-8AFA-2F8CB9C51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175260"/>
          <a:ext cx="960084" cy="1044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142203</xdr:colOff>
      <xdr:row>1</xdr:row>
      <xdr:rowOff>120015</xdr:rowOff>
    </xdr:from>
    <xdr:to>
      <xdr:col>11</xdr:col>
      <xdr:colOff>289225</xdr:colOff>
      <xdr:row>5</xdr:row>
      <xdr:rowOff>40303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76312C47-1658-4AC8-8B8D-5FF89C6F1CB6}"/>
            </a:ext>
          </a:extLst>
        </xdr:cNvPr>
        <xdr:cNvGrpSpPr/>
      </xdr:nvGrpSpPr>
      <xdr:grpSpPr>
        <a:xfrm>
          <a:off x="12201637" y="297404"/>
          <a:ext cx="2058410" cy="782805"/>
          <a:chOff x="0" y="0"/>
          <a:chExt cx="6132696" cy="266400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7D93704E-0408-4471-B8E9-BD610ED93A21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36941" y="0"/>
            <a:ext cx="4140000" cy="1980000"/>
          </a:xfrm>
          <a:prstGeom prst="rect">
            <a:avLst/>
          </a:prstGeom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127A2EF4-178C-464E-91C7-34D77583ADF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1944000"/>
            <a:ext cx="2703070" cy="720000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31066456-A44B-4976-B27D-0E9AC556096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017101" y="1980000"/>
            <a:ext cx="3115595" cy="64800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1562100</xdr:colOff>
      <xdr:row>0</xdr:row>
      <xdr:rowOff>171450</xdr:rowOff>
    </xdr:from>
    <xdr:to>
      <xdr:col>1</xdr:col>
      <xdr:colOff>2524089</xdr:colOff>
      <xdr:row>6</xdr:row>
      <xdr:rowOff>457</xdr:rowOff>
    </xdr:to>
    <xdr:pic>
      <xdr:nvPicPr>
        <xdr:cNvPr id="6" name="Imagen 60">
          <a:extLst>
            <a:ext uri="{FF2B5EF4-FFF2-40B4-BE49-F238E27FC236}">
              <a16:creationId xmlns:a16="http://schemas.microsoft.com/office/drawing/2014/main" id="{44316E8C-43CC-44D0-AB7D-B0751994F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171450"/>
          <a:ext cx="961989" cy="1029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266700</xdr:colOff>
      <xdr:row>1</xdr:row>
      <xdr:rowOff>123825</xdr:rowOff>
    </xdr:from>
    <xdr:to>
      <xdr:col>11</xdr:col>
      <xdr:colOff>409912</xdr:colOff>
      <xdr:row>5</xdr:row>
      <xdr:rowOff>40303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E581115D-BEA6-4054-BED0-C8E329752450}"/>
            </a:ext>
          </a:extLst>
        </xdr:cNvPr>
        <xdr:cNvGrpSpPr/>
      </xdr:nvGrpSpPr>
      <xdr:grpSpPr>
        <a:xfrm>
          <a:off x="12324229" y="301214"/>
          <a:ext cx="2054600" cy="778995"/>
          <a:chOff x="0" y="0"/>
          <a:chExt cx="6132696" cy="266400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7A7BCE12-A212-461D-B92B-D6B802FD46EA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36941" y="0"/>
            <a:ext cx="4140000" cy="1980000"/>
          </a:xfrm>
          <a:prstGeom prst="rect">
            <a:avLst/>
          </a:prstGeom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D51B6A5B-1D0A-452C-B4A4-6CB70AE0213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1944000"/>
            <a:ext cx="2703070" cy="720000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8333223C-C05C-4C07-B964-9753DF6819E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017101" y="1980000"/>
            <a:ext cx="3115595" cy="64800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1562100</xdr:colOff>
      <xdr:row>0</xdr:row>
      <xdr:rowOff>171450</xdr:rowOff>
    </xdr:from>
    <xdr:to>
      <xdr:col>1</xdr:col>
      <xdr:colOff>2524089</xdr:colOff>
      <xdr:row>6</xdr:row>
      <xdr:rowOff>457</xdr:rowOff>
    </xdr:to>
    <xdr:pic>
      <xdr:nvPicPr>
        <xdr:cNvPr id="6" name="Imagen 60">
          <a:extLst>
            <a:ext uri="{FF2B5EF4-FFF2-40B4-BE49-F238E27FC236}">
              <a16:creationId xmlns:a16="http://schemas.microsoft.com/office/drawing/2014/main" id="{BD3176C8-AA0A-45B3-9C27-12081728B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175260"/>
          <a:ext cx="960084" cy="1044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266700</xdr:colOff>
      <xdr:row>1</xdr:row>
      <xdr:rowOff>123825</xdr:rowOff>
    </xdr:from>
    <xdr:to>
      <xdr:col>11</xdr:col>
      <xdr:colOff>409912</xdr:colOff>
      <xdr:row>5</xdr:row>
      <xdr:rowOff>40303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11EF4F63-09B0-4221-AA81-810B60225848}"/>
            </a:ext>
          </a:extLst>
        </xdr:cNvPr>
        <xdr:cNvGrpSpPr/>
      </xdr:nvGrpSpPr>
      <xdr:grpSpPr>
        <a:xfrm>
          <a:off x="12369053" y="301214"/>
          <a:ext cx="2054599" cy="778995"/>
          <a:chOff x="0" y="0"/>
          <a:chExt cx="6132696" cy="266400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6E51AB02-66A7-4260-B5B4-8FE044ED796C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36941" y="0"/>
            <a:ext cx="4140000" cy="1980000"/>
          </a:xfrm>
          <a:prstGeom prst="rect">
            <a:avLst/>
          </a:prstGeom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F9083283-9773-4B13-986F-A8C77A3F15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1944000"/>
            <a:ext cx="2703070" cy="720000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01013DA2-E4C4-4818-AD0C-B3BC88FAA0D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017101" y="1980000"/>
            <a:ext cx="3115595" cy="64800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1562100</xdr:colOff>
      <xdr:row>0</xdr:row>
      <xdr:rowOff>171450</xdr:rowOff>
    </xdr:from>
    <xdr:to>
      <xdr:col>1</xdr:col>
      <xdr:colOff>2524089</xdr:colOff>
      <xdr:row>6</xdr:row>
      <xdr:rowOff>457</xdr:rowOff>
    </xdr:to>
    <xdr:pic>
      <xdr:nvPicPr>
        <xdr:cNvPr id="6" name="Imagen 60">
          <a:extLst>
            <a:ext uri="{FF2B5EF4-FFF2-40B4-BE49-F238E27FC236}">
              <a16:creationId xmlns:a16="http://schemas.microsoft.com/office/drawing/2014/main" id="{7F23B3A5-6102-4256-8DD1-DE0A341E67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175260"/>
          <a:ext cx="960084" cy="1044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266700</xdr:colOff>
      <xdr:row>1</xdr:row>
      <xdr:rowOff>123825</xdr:rowOff>
    </xdr:from>
    <xdr:to>
      <xdr:col>11</xdr:col>
      <xdr:colOff>409912</xdr:colOff>
      <xdr:row>5</xdr:row>
      <xdr:rowOff>40303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80F152A8-BA57-4287-B4B8-E3FD06093F8A}"/>
            </a:ext>
          </a:extLst>
        </xdr:cNvPr>
        <xdr:cNvGrpSpPr/>
      </xdr:nvGrpSpPr>
      <xdr:grpSpPr>
        <a:xfrm>
          <a:off x="12324229" y="301214"/>
          <a:ext cx="2054600" cy="778995"/>
          <a:chOff x="0" y="0"/>
          <a:chExt cx="6132696" cy="266400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4984416D-79BB-4A3D-B439-DDD6AED51C1F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36941" y="0"/>
            <a:ext cx="4140000" cy="1980000"/>
          </a:xfrm>
          <a:prstGeom prst="rect">
            <a:avLst/>
          </a:prstGeom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320C2C07-B9A9-4A6F-B692-28D1E2C6465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1944000"/>
            <a:ext cx="2703070" cy="720000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384581C2-7530-4006-8CD2-59529078B59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017101" y="1980000"/>
            <a:ext cx="3115595" cy="64800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1562100</xdr:colOff>
      <xdr:row>0</xdr:row>
      <xdr:rowOff>171450</xdr:rowOff>
    </xdr:from>
    <xdr:to>
      <xdr:col>1</xdr:col>
      <xdr:colOff>2524089</xdr:colOff>
      <xdr:row>6</xdr:row>
      <xdr:rowOff>457</xdr:rowOff>
    </xdr:to>
    <xdr:pic>
      <xdr:nvPicPr>
        <xdr:cNvPr id="6" name="Imagen 60">
          <a:extLst>
            <a:ext uri="{FF2B5EF4-FFF2-40B4-BE49-F238E27FC236}">
              <a16:creationId xmlns:a16="http://schemas.microsoft.com/office/drawing/2014/main" id="{C98A4C5F-0DC5-492C-BE88-239F2FF81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175260"/>
          <a:ext cx="960084" cy="1044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266700</xdr:colOff>
      <xdr:row>1</xdr:row>
      <xdr:rowOff>123825</xdr:rowOff>
    </xdr:from>
    <xdr:to>
      <xdr:col>11</xdr:col>
      <xdr:colOff>409912</xdr:colOff>
      <xdr:row>5</xdr:row>
      <xdr:rowOff>40303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E62EFDDE-105C-4329-9D6A-4A4A95E26EE1}"/>
            </a:ext>
          </a:extLst>
        </xdr:cNvPr>
        <xdr:cNvGrpSpPr/>
      </xdr:nvGrpSpPr>
      <xdr:grpSpPr>
        <a:xfrm>
          <a:off x="12324229" y="301214"/>
          <a:ext cx="2054600" cy="778995"/>
          <a:chOff x="0" y="0"/>
          <a:chExt cx="6132696" cy="266400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E4A6D897-9C78-4C51-B2D1-845108B3DB21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36941" y="0"/>
            <a:ext cx="4140000" cy="1980000"/>
          </a:xfrm>
          <a:prstGeom prst="rect">
            <a:avLst/>
          </a:prstGeom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DCED24E4-E4C3-4D1D-8669-92A0D62CD95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1944000"/>
            <a:ext cx="2703070" cy="720000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7BD947A6-787E-4FE5-9007-3B527993F45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017101" y="1980000"/>
            <a:ext cx="3115595" cy="64800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1562100</xdr:colOff>
      <xdr:row>0</xdr:row>
      <xdr:rowOff>171450</xdr:rowOff>
    </xdr:from>
    <xdr:to>
      <xdr:col>1</xdr:col>
      <xdr:colOff>2524089</xdr:colOff>
      <xdr:row>6</xdr:row>
      <xdr:rowOff>457</xdr:rowOff>
    </xdr:to>
    <xdr:pic>
      <xdr:nvPicPr>
        <xdr:cNvPr id="6" name="Imagen 60">
          <a:extLst>
            <a:ext uri="{FF2B5EF4-FFF2-40B4-BE49-F238E27FC236}">
              <a16:creationId xmlns:a16="http://schemas.microsoft.com/office/drawing/2014/main" id="{BFDE2FEE-2043-4B72-B9A8-42525A035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175260"/>
          <a:ext cx="960084" cy="1044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266700</xdr:colOff>
      <xdr:row>1</xdr:row>
      <xdr:rowOff>123825</xdr:rowOff>
    </xdr:from>
    <xdr:to>
      <xdr:col>11</xdr:col>
      <xdr:colOff>409912</xdr:colOff>
      <xdr:row>5</xdr:row>
      <xdr:rowOff>40303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65897881-B56D-4E11-96C5-BCF1E250939C}"/>
            </a:ext>
          </a:extLst>
        </xdr:cNvPr>
        <xdr:cNvGrpSpPr/>
      </xdr:nvGrpSpPr>
      <xdr:grpSpPr>
        <a:xfrm>
          <a:off x="12324229" y="301214"/>
          <a:ext cx="2171141" cy="778995"/>
          <a:chOff x="0" y="0"/>
          <a:chExt cx="6132696" cy="266400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EB453EE6-A28A-4835-B72B-00BE09980918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36941" y="0"/>
            <a:ext cx="4140000" cy="1980000"/>
          </a:xfrm>
          <a:prstGeom prst="rect">
            <a:avLst/>
          </a:prstGeom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554B76B9-1E2A-4CAE-B14B-BD23B5CCAEE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1944000"/>
            <a:ext cx="2703070" cy="720000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746D4CDB-6B39-4C6F-8E8B-6FBE4AD869D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017101" y="1980000"/>
            <a:ext cx="3115595" cy="64800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1562100</xdr:colOff>
      <xdr:row>0</xdr:row>
      <xdr:rowOff>171450</xdr:rowOff>
    </xdr:from>
    <xdr:to>
      <xdr:col>1</xdr:col>
      <xdr:colOff>2524089</xdr:colOff>
      <xdr:row>6</xdr:row>
      <xdr:rowOff>457</xdr:rowOff>
    </xdr:to>
    <xdr:pic>
      <xdr:nvPicPr>
        <xdr:cNvPr id="6" name="Imagen 60">
          <a:extLst>
            <a:ext uri="{FF2B5EF4-FFF2-40B4-BE49-F238E27FC236}">
              <a16:creationId xmlns:a16="http://schemas.microsoft.com/office/drawing/2014/main" id="{1254B2A4-E372-4665-BE3C-9DB5D749D5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175260"/>
          <a:ext cx="960084" cy="1044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266700</xdr:colOff>
      <xdr:row>1</xdr:row>
      <xdr:rowOff>123825</xdr:rowOff>
    </xdr:from>
    <xdr:to>
      <xdr:col>11</xdr:col>
      <xdr:colOff>409912</xdr:colOff>
      <xdr:row>5</xdr:row>
      <xdr:rowOff>40303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9FFF199B-461A-4BCD-A9F8-55132D819321}"/>
            </a:ext>
          </a:extLst>
        </xdr:cNvPr>
        <xdr:cNvGrpSpPr/>
      </xdr:nvGrpSpPr>
      <xdr:grpSpPr>
        <a:xfrm>
          <a:off x="12324229" y="301214"/>
          <a:ext cx="2054600" cy="778995"/>
          <a:chOff x="0" y="0"/>
          <a:chExt cx="6132696" cy="266400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5DB63257-FED8-4C00-8108-17233349C7BC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36941" y="0"/>
            <a:ext cx="4140000" cy="1980000"/>
          </a:xfrm>
          <a:prstGeom prst="rect">
            <a:avLst/>
          </a:prstGeom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71385853-253C-4C85-A8FF-6F87C267481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1944000"/>
            <a:ext cx="2703070" cy="720000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1937F7C3-207D-4C26-BA72-452C3829748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017101" y="1980000"/>
            <a:ext cx="3115595" cy="64800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1562100</xdr:colOff>
      <xdr:row>0</xdr:row>
      <xdr:rowOff>171450</xdr:rowOff>
    </xdr:from>
    <xdr:to>
      <xdr:col>1</xdr:col>
      <xdr:colOff>2524089</xdr:colOff>
      <xdr:row>6</xdr:row>
      <xdr:rowOff>457</xdr:rowOff>
    </xdr:to>
    <xdr:pic>
      <xdr:nvPicPr>
        <xdr:cNvPr id="6" name="Imagen 60">
          <a:extLst>
            <a:ext uri="{FF2B5EF4-FFF2-40B4-BE49-F238E27FC236}">
              <a16:creationId xmlns:a16="http://schemas.microsoft.com/office/drawing/2014/main" id="{A72B31FE-780C-4AB8-8885-EC024CB29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175260"/>
          <a:ext cx="960084" cy="1044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266700</xdr:colOff>
      <xdr:row>1</xdr:row>
      <xdr:rowOff>123825</xdr:rowOff>
    </xdr:from>
    <xdr:to>
      <xdr:col>11</xdr:col>
      <xdr:colOff>409912</xdr:colOff>
      <xdr:row>5</xdr:row>
      <xdr:rowOff>40303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EDFB0962-822A-4A1B-84D9-7E511E2BBED2}"/>
            </a:ext>
          </a:extLst>
        </xdr:cNvPr>
        <xdr:cNvGrpSpPr/>
      </xdr:nvGrpSpPr>
      <xdr:grpSpPr>
        <a:xfrm>
          <a:off x="12324229" y="301214"/>
          <a:ext cx="2054600" cy="778995"/>
          <a:chOff x="0" y="0"/>
          <a:chExt cx="6132696" cy="266400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74DAF3E0-0905-4D35-9D87-C0514667F5D3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36941" y="0"/>
            <a:ext cx="4140000" cy="1980000"/>
          </a:xfrm>
          <a:prstGeom prst="rect">
            <a:avLst/>
          </a:prstGeom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980846CD-F3F7-470A-8A0D-016B6FADEBD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1944000"/>
            <a:ext cx="2703070" cy="720000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50BA4D6B-A4C6-4FCF-BD26-25C12A348AE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017101" y="1980000"/>
            <a:ext cx="3115595" cy="64800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1562100</xdr:colOff>
      <xdr:row>0</xdr:row>
      <xdr:rowOff>171450</xdr:rowOff>
    </xdr:from>
    <xdr:to>
      <xdr:col>1</xdr:col>
      <xdr:colOff>2524089</xdr:colOff>
      <xdr:row>6</xdr:row>
      <xdr:rowOff>457</xdr:rowOff>
    </xdr:to>
    <xdr:pic>
      <xdr:nvPicPr>
        <xdr:cNvPr id="6" name="Imagen 60">
          <a:extLst>
            <a:ext uri="{FF2B5EF4-FFF2-40B4-BE49-F238E27FC236}">
              <a16:creationId xmlns:a16="http://schemas.microsoft.com/office/drawing/2014/main" id="{C015AFA9-8336-4D70-9231-6ECB1240B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175260"/>
          <a:ext cx="960084" cy="1044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talogo%20Pilonas_v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Pilona 1"/>
      <sheetName val="Pilona 2"/>
      <sheetName val="Pilona 3"/>
      <sheetName val="Pilona 4"/>
      <sheetName val="Pilona 5"/>
      <sheetName val="Pilona 6"/>
      <sheetName val="Pilona 7"/>
      <sheetName val="Pilona 8"/>
      <sheetName val="Pilona 9"/>
      <sheetName val="Pilona 10"/>
      <sheetName val="Pilona 11"/>
      <sheetName val="Pilona 12 Y 13"/>
      <sheetName val="Pilona 14"/>
      <sheetName val="Pilona 15"/>
      <sheetName val="Pilona 16"/>
      <sheetName val="Pilona 17+"/>
      <sheetName val="Pilona 18"/>
      <sheetName val="Pilona 19"/>
      <sheetName val="Pilona 20"/>
      <sheetName val="Pilona 21+"/>
      <sheetName val="Pilona 22+"/>
    </sheetNames>
    <sheetDataSet>
      <sheetData sheetId="0">
        <row r="6">
          <cell r="B6">
            <v>0</v>
          </cell>
          <cell r="E6">
            <v>0</v>
          </cell>
        </row>
        <row r="7">
          <cell r="B7">
            <v>1</v>
          </cell>
          <cell r="E7">
            <v>0</v>
          </cell>
        </row>
        <row r="8">
          <cell r="B8">
            <v>2</v>
          </cell>
          <cell r="E8">
            <v>0.25</v>
          </cell>
        </row>
        <row r="9">
          <cell r="B9">
            <v>3</v>
          </cell>
          <cell r="E9">
            <v>0.56000000000000005</v>
          </cell>
          <cell r="H9">
            <v>9</v>
          </cell>
        </row>
        <row r="10">
          <cell r="B10">
            <v>4</v>
          </cell>
          <cell r="E10">
            <v>0.99399999999999999</v>
          </cell>
          <cell r="H10">
            <v>12</v>
          </cell>
          <cell r="I10">
            <v>7</v>
          </cell>
        </row>
        <row r="11">
          <cell r="B11">
            <v>5</v>
          </cell>
          <cell r="E11">
            <v>1.552</v>
          </cell>
          <cell r="H11">
            <v>16</v>
          </cell>
        </row>
        <row r="12">
          <cell r="B12">
            <v>6</v>
          </cell>
          <cell r="E12">
            <v>2.2349999999999999</v>
          </cell>
          <cell r="H12">
            <v>19</v>
          </cell>
        </row>
        <row r="13">
          <cell r="B13">
            <v>7</v>
          </cell>
          <cell r="E13">
            <v>3.0419999999999998</v>
          </cell>
        </row>
        <row r="14">
          <cell r="B14">
            <v>8</v>
          </cell>
          <cell r="E14">
            <v>3.9729999999999999</v>
          </cell>
          <cell r="H14">
            <v>24</v>
          </cell>
        </row>
        <row r="15">
          <cell r="B15">
            <v>9</v>
          </cell>
          <cell r="E15">
            <v>5.0599999999999996</v>
          </cell>
        </row>
        <row r="16">
          <cell r="B16">
            <v>10</v>
          </cell>
          <cell r="E16">
            <v>6.4039999999999999</v>
          </cell>
          <cell r="H16">
            <v>38</v>
          </cell>
        </row>
        <row r="17">
          <cell r="B17">
            <v>11</v>
          </cell>
          <cell r="E17">
            <v>7.907</v>
          </cell>
        </row>
        <row r="18">
          <cell r="B18">
            <v>14</v>
          </cell>
          <cell r="E18">
            <v>11.38</v>
          </cell>
          <cell r="H18">
            <v>54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7"/>
  <sheetViews>
    <sheetView tabSelected="1" zoomScale="55" zoomScaleNormal="55" zoomScaleSheetLayoutView="85" workbookViewId="0">
      <pane xSplit="3" ySplit="8" topLeftCell="G18" activePane="bottomRight" state="frozen"/>
      <selection pane="topRight" activeCell="D1" sqref="D1"/>
      <selection pane="bottomLeft" activeCell="A9" sqref="A9"/>
      <selection pane="bottomRight" activeCell="H24" sqref="H24"/>
    </sheetView>
  </sheetViews>
  <sheetFormatPr baseColWidth="10" defaultColWidth="11.42578125" defaultRowHeight="15.75" x14ac:dyDescent="0.25"/>
  <cols>
    <col min="1" max="2" width="21.140625" style="2" customWidth="1"/>
    <col min="3" max="3" width="18.7109375" style="24" customWidth="1"/>
    <col min="4" max="4" width="18.7109375" style="2" customWidth="1"/>
    <col min="5" max="5" width="22.28515625" style="2" customWidth="1"/>
    <col min="6" max="6" width="11.140625" style="2" customWidth="1"/>
    <col min="7" max="7" width="12.140625" style="2" customWidth="1"/>
    <col min="8" max="8" width="57" style="5" bestFit="1" customWidth="1"/>
    <col min="9" max="9" width="10.28515625" style="2" bestFit="1" customWidth="1"/>
    <col min="10" max="10" width="16.85546875" style="17" customWidth="1"/>
    <col min="11" max="11" width="34.7109375" style="2" customWidth="1"/>
    <col min="12" max="12" width="21.42578125" style="2" customWidth="1"/>
    <col min="13" max="13" width="8.140625" style="2" bestFit="1" customWidth="1"/>
    <col min="14" max="14" width="11.42578125" style="2"/>
    <col min="15" max="15" width="20.5703125" style="2" bestFit="1" customWidth="1"/>
    <col min="16" max="16384" width="11.42578125" style="2"/>
  </cols>
  <sheetData>
    <row r="1" spans="1:15" ht="70.5" customHeight="1" x14ac:dyDescent="0.25">
      <c r="A1" s="109" t="s">
        <v>18</v>
      </c>
      <c r="B1" s="110"/>
      <c r="C1" s="110"/>
      <c r="D1" s="110"/>
      <c r="E1" s="110"/>
      <c r="F1" s="110"/>
      <c r="G1" s="110"/>
      <c r="H1" s="110"/>
      <c r="I1" s="110"/>
      <c r="J1" s="110"/>
      <c r="K1" s="111"/>
      <c r="L1" s="106"/>
    </row>
    <row r="2" spans="1:15" ht="15.75" customHeight="1" x14ac:dyDescent="0.25">
      <c r="A2" s="10" t="s">
        <v>3</v>
      </c>
      <c r="B2" s="112" t="s">
        <v>17</v>
      </c>
      <c r="C2" s="113"/>
      <c r="D2" s="113"/>
      <c r="E2" s="113"/>
      <c r="F2" s="113"/>
      <c r="G2" s="113"/>
      <c r="H2" s="113"/>
      <c r="I2" s="113"/>
      <c r="J2" s="114"/>
      <c r="K2" s="1" t="s">
        <v>8</v>
      </c>
      <c r="L2" s="107"/>
    </row>
    <row r="3" spans="1:15" ht="15.75" customHeight="1" x14ac:dyDescent="0.25">
      <c r="A3" s="11" t="s">
        <v>7</v>
      </c>
      <c r="B3" s="115"/>
      <c r="C3" s="116"/>
      <c r="D3" s="116"/>
      <c r="E3" s="116"/>
      <c r="F3" s="116"/>
      <c r="G3" s="116"/>
      <c r="H3" s="116"/>
      <c r="I3" s="116"/>
      <c r="J3" s="117"/>
      <c r="K3" s="12">
        <v>0</v>
      </c>
      <c r="L3" s="108"/>
    </row>
    <row r="4" spans="1:15" ht="15.75" customHeight="1" x14ac:dyDescent="0.25">
      <c r="B4" s="6"/>
      <c r="C4" s="23"/>
      <c r="D4" s="6"/>
      <c r="E4" s="6"/>
      <c r="F4" s="3"/>
      <c r="G4" s="3"/>
      <c r="H4" s="4"/>
      <c r="I4" s="3"/>
      <c r="J4" s="14"/>
      <c r="K4" s="3"/>
      <c r="L4" s="3"/>
    </row>
    <row r="5" spans="1:15" ht="17.25" customHeight="1" x14ac:dyDescent="0.25">
      <c r="A5" s="121" t="s">
        <v>0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3"/>
    </row>
    <row r="6" spans="1:15" ht="31.5" customHeight="1" x14ac:dyDescent="0.25">
      <c r="A6" s="124" t="s">
        <v>2</v>
      </c>
      <c r="B6" s="124"/>
      <c r="C6" s="124"/>
      <c r="D6" s="125"/>
      <c r="E6" s="125"/>
      <c r="F6" s="125"/>
      <c r="G6" s="18" t="s">
        <v>3</v>
      </c>
      <c r="H6" s="126"/>
      <c r="I6" s="127"/>
      <c r="J6" s="15"/>
      <c r="K6" s="18" t="s">
        <v>4</v>
      </c>
      <c r="L6" s="8"/>
    </row>
    <row r="7" spans="1:15" ht="80.25" hidden="1" customHeight="1" x14ac:dyDescent="0.25">
      <c r="A7" s="9" t="s">
        <v>16</v>
      </c>
      <c r="B7" s="9" t="s">
        <v>19</v>
      </c>
      <c r="C7" s="9" t="s">
        <v>15</v>
      </c>
      <c r="D7" s="9" t="s">
        <v>1</v>
      </c>
      <c r="E7" s="9" t="s">
        <v>14</v>
      </c>
      <c r="F7" s="9" t="s">
        <v>10</v>
      </c>
      <c r="G7" s="9" t="s">
        <v>11</v>
      </c>
      <c r="H7" s="9" t="s">
        <v>12</v>
      </c>
      <c r="I7" s="9" t="s">
        <v>5</v>
      </c>
      <c r="J7" s="16" t="s">
        <v>9</v>
      </c>
      <c r="K7" s="9" t="s">
        <v>6</v>
      </c>
      <c r="L7" s="9" t="s">
        <v>13</v>
      </c>
    </row>
    <row r="8" spans="1:15" ht="80.25" customHeight="1" x14ac:dyDescent="0.25">
      <c r="A8" s="9" t="s">
        <v>21</v>
      </c>
      <c r="B8" s="9" t="s">
        <v>22</v>
      </c>
      <c r="C8" s="9" t="s">
        <v>20</v>
      </c>
      <c r="D8" s="9" t="s">
        <v>1</v>
      </c>
      <c r="E8" s="9" t="s">
        <v>14</v>
      </c>
      <c r="F8" s="9" t="s">
        <v>10</v>
      </c>
      <c r="G8" s="9" t="s">
        <v>11</v>
      </c>
      <c r="H8" s="9" t="s">
        <v>12</v>
      </c>
      <c r="I8" s="9" t="s">
        <v>5</v>
      </c>
      <c r="J8" s="16" t="s">
        <v>9</v>
      </c>
      <c r="K8" s="9" t="s">
        <v>6</v>
      </c>
      <c r="L8" s="9" t="s">
        <v>13</v>
      </c>
    </row>
    <row r="9" spans="1:15" s="22" customFormat="1" ht="96" customHeight="1" x14ac:dyDescent="0.25">
      <c r="A9" s="73" t="s">
        <v>81</v>
      </c>
      <c r="B9" s="73"/>
      <c r="C9" s="25"/>
      <c r="D9" s="25" t="s">
        <v>82</v>
      </c>
      <c r="E9" s="25" t="s">
        <v>83</v>
      </c>
      <c r="F9" s="25" t="s">
        <v>84</v>
      </c>
      <c r="G9" s="74">
        <f>'Memoria P1'!A34</f>
        <v>6007</v>
      </c>
      <c r="H9" s="73" t="str">
        <f>'Memoria P1'!B34</f>
        <v>Pilote preexcavado en concreto tremie de 4000 psi (280 kg/cm2) acelerado a 2 días. incluye acelerante, alquiler de equipo de perforación con operario, motobomba, bentonita, mano de obra, transporte y disposición final de escombros en sitio autorizado. distancia de transporte 21 km.</v>
      </c>
      <c r="I9" s="74" t="str">
        <f>'Memoria P1'!C34</f>
        <v>m3</v>
      </c>
      <c r="J9" s="75">
        <f>'Memoria P1'!D34</f>
        <v>70.685834705770347</v>
      </c>
      <c r="K9" s="74"/>
      <c r="L9" s="25" t="s">
        <v>85</v>
      </c>
      <c r="O9" s="98"/>
    </row>
    <row r="10" spans="1:15" s="22" customFormat="1" ht="126.75" customHeight="1" x14ac:dyDescent="0.25">
      <c r="A10" s="73" t="s">
        <v>81</v>
      </c>
      <c r="B10" s="73"/>
      <c r="C10" s="25"/>
      <c r="D10" s="25" t="s">
        <v>82</v>
      </c>
      <c r="E10" s="25" t="s">
        <v>83</v>
      </c>
      <c r="F10" s="25" t="s">
        <v>86</v>
      </c>
      <c r="G10" s="74">
        <f>'Memoria P1'!A35</f>
        <v>3708</v>
      </c>
      <c r="H10" s="73" t="str">
        <f>'Memoria P1'!B35</f>
        <v>Acero de refuerzo fy=60000 psi. Suministro e instalación.  de acuerdo a lo estipulado por la nsr-10, norma Astm A-706, icontec 2289 para el acero pdr-60. incluye todos los costos de suministro de materiales (refuerzo (g60) figurado, corrugado, incluye el alambre de amarre), equipos, transportes, manejo, almacenamiento, desperdicios y mano de obra, en:</v>
      </c>
      <c r="I10" s="74" t="str">
        <f>'Memoria P1'!C35</f>
        <v>kg</v>
      </c>
      <c r="J10" s="75">
        <f>'Memoria P1'!D35</f>
        <v>14128.816568365204</v>
      </c>
      <c r="K10" s="74"/>
      <c r="L10" s="25" t="s">
        <v>85</v>
      </c>
      <c r="O10" s="98"/>
    </row>
    <row r="11" spans="1:15" s="22" customFormat="1" ht="55.5" customHeight="1" x14ac:dyDescent="0.25">
      <c r="A11" s="73" t="s">
        <v>81</v>
      </c>
      <c r="B11" s="73"/>
      <c r="C11" s="25"/>
      <c r="D11" s="25" t="s">
        <v>82</v>
      </c>
      <c r="E11" s="25" t="s">
        <v>83</v>
      </c>
      <c r="F11" s="25" t="s">
        <v>87</v>
      </c>
      <c r="G11" s="74">
        <f>'Memoria P1'!A39</f>
        <v>3637</v>
      </c>
      <c r="H11" s="73" t="str">
        <f>'Memoria P1'!B39</f>
        <v>Concreto 4000 psi, premezclado, grava común (incluye suministro, formaleteo en madera, bombeo, colocación y curado. No incluye refuerzo), en:</v>
      </c>
      <c r="I11" s="74" t="str">
        <f>'Memoria P1'!C39</f>
        <v>m3</v>
      </c>
      <c r="J11" s="75">
        <f>'Memoria P1'!D39</f>
        <v>60.101215563702155</v>
      </c>
      <c r="K11" s="74"/>
      <c r="L11" s="25" t="s">
        <v>85</v>
      </c>
      <c r="O11" s="98"/>
    </row>
    <row r="12" spans="1:15" s="22" customFormat="1" ht="55.5" customHeight="1" x14ac:dyDescent="0.25">
      <c r="A12" s="73" t="s">
        <v>81</v>
      </c>
      <c r="B12" s="20"/>
      <c r="C12" s="21"/>
      <c r="D12" s="25" t="s">
        <v>82</v>
      </c>
      <c r="E12" s="25" t="s">
        <v>83</v>
      </c>
      <c r="F12" s="25" t="s">
        <v>88</v>
      </c>
      <c r="G12" s="74">
        <f>'Memoria P1'!A42</f>
        <v>5055</v>
      </c>
      <c r="H12" s="73" t="str">
        <f>'Memoria P1'!B42</f>
        <v>Descabece de pilotes (incluye transporte y disposición final de escombros en sitio autorizado a 21 km.</v>
      </c>
      <c r="I12" s="74" t="str">
        <f>'Memoria P1'!C42</f>
        <v>m3</v>
      </c>
      <c r="J12" s="79">
        <f>'Memoria P1'!D42</f>
        <v>7.8539816339744828</v>
      </c>
      <c r="K12" s="74"/>
      <c r="L12" s="25" t="s">
        <v>85</v>
      </c>
      <c r="O12" s="98"/>
    </row>
    <row r="13" spans="1:15" ht="63" customHeight="1" x14ac:dyDescent="0.25">
      <c r="A13" s="73" t="s">
        <v>81</v>
      </c>
      <c r="B13" s="26"/>
      <c r="C13" s="27"/>
      <c r="D13" s="25" t="s">
        <v>82</v>
      </c>
      <c r="E13" s="25" t="s">
        <v>83</v>
      </c>
      <c r="F13" s="25" t="s">
        <v>92</v>
      </c>
      <c r="G13" s="76">
        <f>'Memoria P1'!A43</f>
        <v>6021</v>
      </c>
      <c r="H13" s="77" t="str">
        <f>'Memoria P1'!B43</f>
        <v>Concreto de nivelación 2000 psi grava común (140 kg/cm2) (premezclado. incluye suministro, fundida y nivelación y colocación. no incluye refuerzo, curado).</v>
      </c>
      <c r="I13" s="76" t="str">
        <f>'Memoria P1'!C43</f>
        <v>m3</v>
      </c>
      <c r="J13" s="78">
        <f>'Memoria P1'!D43</f>
        <v>1.1983407346410209</v>
      </c>
      <c r="K13" s="76"/>
      <c r="L13" s="25" t="s">
        <v>85</v>
      </c>
      <c r="O13" s="98"/>
    </row>
    <row r="14" spans="1:15" ht="39" customHeight="1" x14ac:dyDescent="0.25">
      <c r="A14" s="73" t="s">
        <v>81</v>
      </c>
      <c r="B14" s="7"/>
      <c r="C14" s="19"/>
      <c r="D14" s="25" t="s">
        <v>82</v>
      </c>
      <c r="E14" s="25" t="s">
        <v>83</v>
      </c>
      <c r="F14" s="25" t="s">
        <v>93</v>
      </c>
      <c r="G14" s="74">
        <f>'Memoria P1'!A44</f>
        <v>5416</v>
      </c>
      <c r="H14" s="73" t="str">
        <f>'Memoria P1'!B44</f>
        <v>Excavación mecánica para dados (nivel de funcionamiento, incluye cargue)</v>
      </c>
      <c r="I14" s="76" t="str">
        <f>'Memoria P1'!C44</f>
        <v>m3</v>
      </c>
      <c r="J14" s="78">
        <f>'Memoria P1'!D44</f>
        <v>143.4375</v>
      </c>
      <c r="K14" s="74"/>
      <c r="L14" s="25" t="s">
        <v>85</v>
      </c>
      <c r="O14" s="98"/>
    </row>
    <row r="15" spans="1:15" ht="69.75" customHeight="1" x14ac:dyDescent="0.25">
      <c r="A15" s="73" t="s">
        <v>81</v>
      </c>
      <c r="B15" s="7"/>
      <c r="C15" s="19"/>
      <c r="D15" s="25" t="s">
        <v>82</v>
      </c>
      <c r="E15" s="25" t="s">
        <v>83</v>
      </c>
      <c r="F15" s="25" t="s">
        <v>94</v>
      </c>
      <c r="G15" s="74">
        <f>'Memoria P1'!A45</f>
        <v>3017</v>
      </c>
      <c r="H15" s="73" t="str">
        <f>'Memoria P1'!B45</f>
        <v>Transporte y disposición final de escombros en sitio autorizado (distancia de transporte 21 km) a distancia mayor del acarreo libre (90m) en sitio autorizado por la entidad ambiental competente.</v>
      </c>
      <c r="I15" s="76" t="str">
        <f>'Memoria P1'!C45</f>
        <v>m3</v>
      </c>
      <c r="J15" s="78">
        <f>'Memoria P1'!D45</f>
        <v>143.4375</v>
      </c>
      <c r="K15" s="74"/>
      <c r="L15" s="25" t="s">
        <v>85</v>
      </c>
      <c r="O15" s="98"/>
    </row>
    <row r="16" spans="1:15" ht="55.5" customHeight="1" x14ac:dyDescent="0.25">
      <c r="A16" s="73" t="s">
        <v>81</v>
      </c>
      <c r="B16" s="7"/>
      <c r="C16" s="19"/>
      <c r="D16" s="25" t="s">
        <v>82</v>
      </c>
      <c r="E16" s="25" t="s">
        <v>83</v>
      </c>
      <c r="F16" s="25" t="s">
        <v>95</v>
      </c>
      <c r="G16" s="74">
        <f>'Memoria P1'!A46</f>
        <v>4908</v>
      </c>
      <c r="H16" s="73" t="str">
        <f>'Memoria P1'!B46</f>
        <v>Relleno con material de banco, incluye acarreo, equipo, herramienta, mano de obra y todo lo necesario para su correcta ejecución, P.U.O.T.</v>
      </c>
      <c r="I16" s="76" t="str">
        <f>'Memoria P1'!C46</f>
        <v>m3</v>
      </c>
      <c r="J16" s="78">
        <f>'Memoria P1'!D46</f>
        <v>91.641261478765955</v>
      </c>
      <c r="K16" s="74"/>
      <c r="L16" s="25" t="s">
        <v>85</v>
      </c>
      <c r="O16" s="98"/>
    </row>
    <row r="17" spans="1:15" ht="112.5" customHeight="1" x14ac:dyDescent="0.25">
      <c r="A17" s="73" t="s">
        <v>81</v>
      </c>
      <c r="B17" s="7"/>
      <c r="C17" s="19"/>
      <c r="D17" s="25" t="s">
        <v>82</v>
      </c>
      <c r="E17" s="25" t="s">
        <v>83</v>
      </c>
      <c r="F17" s="25" t="s">
        <v>96</v>
      </c>
      <c r="G17" s="74">
        <f>'Memoria P1'!A47</f>
        <v>6226</v>
      </c>
      <c r="H17" s="73" t="str">
        <f>'Memoria P1'!B47</f>
        <v>Demolición pavimento asfáltico de espesor 10 cm. incluye todos los costos de suministro de equipos (herramienta menor, martillo neumático, compresor, provisional de energía), transporte, manejo, almacenamiento, desperdicios, cargue y transporte de materiales sobrantes a escombrera autorizada y mano de obra</v>
      </c>
      <c r="I17" s="76" t="str">
        <f>'Memoria P1'!C47</f>
        <v>m2</v>
      </c>
      <c r="J17" s="78">
        <f>'Memoria P1'!D47</f>
        <v>8.4375</v>
      </c>
      <c r="K17" s="74"/>
      <c r="L17" s="25" t="s">
        <v>85</v>
      </c>
      <c r="O17" s="98"/>
    </row>
    <row r="18" spans="1:15" x14ac:dyDescent="0.25">
      <c r="A18" s="118"/>
      <c r="B18" s="119"/>
      <c r="C18" s="119"/>
      <c r="D18" s="119"/>
      <c r="E18" s="119"/>
      <c r="F18" s="119"/>
      <c r="G18" s="119"/>
      <c r="H18" s="119"/>
      <c r="I18" s="119"/>
      <c r="J18" s="119"/>
      <c r="K18" s="119"/>
      <c r="L18" s="120"/>
    </row>
    <row r="19" spans="1:15" ht="100.5" customHeight="1" x14ac:dyDescent="0.25">
      <c r="A19" s="73" t="s">
        <v>97</v>
      </c>
      <c r="B19" s="73"/>
      <c r="C19" s="25"/>
      <c r="D19" s="25" t="s">
        <v>82</v>
      </c>
      <c r="E19" s="25" t="s">
        <v>83</v>
      </c>
      <c r="F19" s="25" t="s">
        <v>84</v>
      </c>
      <c r="G19" s="74">
        <f>'Memoria P2'!$A$34</f>
        <v>6007</v>
      </c>
      <c r="H19" s="73" t="str">
        <f>'Memoria P2'!$B$34</f>
        <v>Pilote preexcavado en concreto tremie de 4000 psi (280 kg/cm2) acelerado a 2 días. incluye acelerante, alquiler de equipo de perforación con operario, motobomba, bentonita, mano de obra, transporte y disposición final de escombros en sitio autorizado. distancia de transporte 21 km.</v>
      </c>
      <c r="I19" s="74" t="str">
        <f>'Memoria P2'!C34</f>
        <v>m3</v>
      </c>
      <c r="J19" s="100">
        <f>'Memoria P2'!$D$34</f>
        <v>59.690260418206066</v>
      </c>
      <c r="K19" s="74"/>
      <c r="L19" s="25" t="s">
        <v>85</v>
      </c>
      <c r="O19" s="98"/>
    </row>
    <row r="20" spans="1:15" ht="118.5" customHeight="1" x14ac:dyDescent="0.25">
      <c r="A20" s="73" t="s">
        <v>97</v>
      </c>
      <c r="B20" s="73"/>
      <c r="C20" s="25"/>
      <c r="D20" s="25" t="s">
        <v>82</v>
      </c>
      <c r="E20" s="25" t="s">
        <v>83</v>
      </c>
      <c r="F20" s="25" t="s">
        <v>86</v>
      </c>
      <c r="G20" s="74">
        <f>'Memoria P2'!$A$35</f>
        <v>3708</v>
      </c>
      <c r="H20" s="73" t="str">
        <f>'Memoria P2'!$B$35</f>
        <v>Acero de refuerzo fy=60000 psi. Suministro e instalación.  de acuerdo a lo estipulado por la nsr-10, norma Astm A-706, icontec 2289 para el acero pdr-60. incluye todos los costos de suministro de materiales (refuerzo (g60) figurado, corrugado, incluye el alambre de amarre), equipos, transportes, manejo, almacenamiento, desperdicios y mano de obra, en:</v>
      </c>
      <c r="I20" s="74" t="str">
        <f>'Memoria P2'!$C$35</f>
        <v>kg</v>
      </c>
      <c r="J20" s="100">
        <f>'Memoria P2'!$D$35</f>
        <v>14197.066364128481</v>
      </c>
      <c r="K20" s="74"/>
      <c r="L20" s="25" t="s">
        <v>85</v>
      </c>
    </row>
    <row r="21" spans="1:15" ht="47.25" x14ac:dyDescent="0.25">
      <c r="A21" s="73" t="s">
        <v>97</v>
      </c>
      <c r="B21" s="73"/>
      <c r="C21" s="25"/>
      <c r="D21" s="25" t="s">
        <v>82</v>
      </c>
      <c r="E21" s="25" t="s">
        <v>83</v>
      </c>
      <c r="F21" s="25" t="s">
        <v>87</v>
      </c>
      <c r="G21" s="74">
        <f>'Memoria P2'!$A$39</f>
        <v>3637</v>
      </c>
      <c r="H21" s="73" t="str">
        <f>'Memoria P2'!$B$39</f>
        <v>Concreto 4000 psi, premezclado, grava común (incluye suministro, formaleteo en madera, bombeo, colocación y curado. No incluye refuerzo), en:</v>
      </c>
      <c r="I21" s="74" t="str">
        <f>'Memoria P2'!$C$39</f>
        <v>m3</v>
      </c>
      <c r="J21" s="100">
        <f>'Memoria P2'!$D$39</f>
        <v>70.115042147019622</v>
      </c>
      <c r="K21" s="74"/>
      <c r="L21" s="25" t="s">
        <v>85</v>
      </c>
      <c r="N21" s="13"/>
    </row>
    <row r="22" spans="1:15" ht="51.75" customHeight="1" x14ac:dyDescent="0.25">
      <c r="A22" s="73" t="s">
        <v>97</v>
      </c>
      <c r="B22" s="20"/>
      <c r="C22" s="21"/>
      <c r="D22" s="25" t="s">
        <v>82</v>
      </c>
      <c r="E22" s="25" t="s">
        <v>83</v>
      </c>
      <c r="F22" s="25" t="s">
        <v>88</v>
      </c>
      <c r="G22" s="74">
        <f>'Memoria P2'!$A$42</f>
        <v>5055</v>
      </c>
      <c r="H22" s="73" t="str">
        <f>'Memoria P2'!$B$42</f>
        <v>Descabece de pilotes (incluye transporte y disposición final de escombros en sitio autorizado a 21 km.</v>
      </c>
      <c r="I22" s="74" t="str">
        <f>'Memoria P2'!$C$42</f>
        <v>m3</v>
      </c>
      <c r="J22" s="101">
        <f>'Memoria P2'!$D$42</f>
        <v>9.4247779607693793</v>
      </c>
      <c r="K22" s="74"/>
      <c r="L22" s="25" t="s">
        <v>85</v>
      </c>
    </row>
    <row r="23" spans="1:15" ht="67.5" customHeight="1" x14ac:dyDescent="0.25">
      <c r="A23" s="73" t="s">
        <v>97</v>
      </c>
      <c r="B23" s="26"/>
      <c r="C23" s="27"/>
      <c r="D23" s="25" t="s">
        <v>82</v>
      </c>
      <c r="E23" s="25" t="s">
        <v>83</v>
      </c>
      <c r="F23" s="25" t="s">
        <v>92</v>
      </c>
      <c r="G23" s="74">
        <f>'Memoria P2'!$A$43</f>
        <v>6021</v>
      </c>
      <c r="H23" s="73" t="str">
        <f>'Memoria P2'!$B$43</f>
        <v>Concreto de nivelación 2000 psi grava común (140 kg/cm2) (premezclado. incluye suministro, fundida y nivelación y colocación. no incluye refuerzo, curado).</v>
      </c>
      <c r="I23" s="74" t="str">
        <f>'Memoria P2'!$C$43</f>
        <v>m3</v>
      </c>
      <c r="J23" s="79">
        <f>'Memoria P2'!$D$43</f>
        <v>1.1983407346410209</v>
      </c>
      <c r="K23" s="76"/>
      <c r="L23" s="25" t="s">
        <v>85</v>
      </c>
    </row>
    <row r="24" spans="1:15" ht="43.5" customHeight="1" x14ac:dyDescent="0.25">
      <c r="A24" s="73" t="s">
        <v>97</v>
      </c>
      <c r="B24" s="7"/>
      <c r="C24" s="19"/>
      <c r="D24" s="25" t="s">
        <v>82</v>
      </c>
      <c r="E24" s="25" t="s">
        <v>83</v>
      </c>
      <c r="F24" s="25" t="s">
        <v>93</v>
      </c>
      <c r="G24" s="74">
        <f>'Memoria P2'!$A$44</f>
        <v>5416</v>
      </c>
      <c r="H24" s="73" t="str">
        <f>'Memoria P2'!$B$44</f>
        <v>Excavación mecánica para dados (nivel de funcionamiento, incluye cargue)</v>
      </c>
      <c r="I24" s="74" t="str">
        <f>'Memoria P2'!$C$44</f>
        <v>m3</v>
      </c>
      <c r="J24" s="101">
        <f>'Memoria P2'!$D$44</f>
        <v>171.5625</v>
      </c>
      <c r="K24" s="74"/>
      <c r="L24" s="25" t="s">
        <v>85</v>
      </c>
    </row>
    <row r="25" spans="1:15" ht="73.5" customHeight="1" x14ac:dyDescent="0.25">
      <c r="A25" s="73" t="s">
        <v>97</v>
      </c>
      <c r="B25" s="7"/>
      <c r="C25" s="19"/>
      <c r="D25" s="25" t="s">
        <v>82</v>
      </c>
      <c r="E25" s="25" t="s">
        <v>83</v>
      </c>
      <c r="F25" s="25" t="s">
        <v>94</v>
      </c>
      <c r="G25" s="74">
        <f>'Memoria P2'!$A$45</f>
        <v>3017</v>
      </c>
      <c r="H25" s="73" t="str">
        <f>'Memoria P2'!$B$45</f>
        <v>Transporte y disposición final de escombros en sitio autorizado (distancia de transporte 21 km) a distancia mayor del acarreo libre (90m) en sitio autorizado por la entidad ambiental competente.</v>
      </c>
      <c r="I25" s="74" t="str">
        <f>'Memoria P2'!$C$45</f>
        <v>m3</v>
      </c>
      <c r="J25" s="101">
        <f>'Memoria P2'!$D$45</f>
        <v>171.5625</v>
      </c>
      <c r="K25" s="74"/>
      <c r="L25" s="25" t="s">
        <v>85</v>
      </c>
    </row>
    <row r="26" spans="1:15" ht="54.75" customHeight="1" x14ac:dyDescent="0.25">
      <c r="A26" s="73" t="s">
        <v>97</v>
      </c>
      <c r="B26" s="7"/>
      <c r="C26" s="19"/>
      <c r="D26" s="25" t="s">
        <v>82</v>
      </c>
      <c r="E26" s="25" t="s">
        <v>83</v>
      </c>
      <c r="F26" s="25" t="s">
        <v>95</v>
      </c>
      <c r="G26" s="74">
        <f>'Memoria P2'!$A$46</f>
        <v>4908</v>
      </c>
      <c r="H26" s="73" t="str">
        <f>'Memoria P2'!$B$46</f>
        <v>Relleno con material de banco, incluye acarreo, equipo, herramienta, mano de obra y todo lo necesario para su correcta ejecución, P.U.O.T.</v>
      </c>
      <c r="I26" s="74" t="str">
        <f>'Memoria P2'!$C$46</f>
        <v>m3</v>
      </c>
      <c r="J26" s="101">
        <f>'Memoria P2'!$D$46</f>
        <v>114.07212479413445</v>
      </c>
      <c r="K26" s="74"/>
      <c r="L26" s="25" t="s">
        <v>85</v>
      </c>
    </row>
    <row r="27" spans="1:15" ht="60" customHeight="1" x14ac:dyDescent="0.25">
      <c r="A27" s="73" t="s">
        <v>97</v>
      </c>
      <c r="B27" s="7"/>
      <c r="C27" s="19"/>
      <c r="D27" s="25" t="s">
        <v>82</v>
      </c>
      <c r="E27" s="25" t="s">
        <v>83</v>
      </c>
      <c r="F27" s="25" t="s">
        <v>96</v>
      </c>
      <c r="G27" s="74">
        <f>'Memoria P2'!$A$47</f>
        <v>5196</v>
      </c>
      <c r="H27" s="73" t="str">
        <f>'Memoria P2'!$B$47</f>
        <v>Demolición de concreto: espesores 8cm a 15cm. (incluye retiro de material, transporte y disposición final de escombros en sitio autorizado)</v>
      </c>
      <c r="I27" s="74" t="str">
        <f>'Memoria P2'!$C$47</f>
        <v>m3</v>
      </c>
      <c r="J27" s="79">
        <f>'Memoria P2'!$D$47</f>
        <v>8.4375</v>
      </c>
      <c r="K27" s="74"/>
      <c r="L27" s="25" t="s">
        <v>85</v>
      </c>
    </row>
    <row r="28" spans="1:15" x14ac:dyDescent="0.25">
      <c r="A28" s="118"/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20"/>
    </row>
    <row r="29" spans="1:15" ht="78.75" x14ac:dyDescent="0.25">
      <c r="A29" s="73" t="s">
        <v>116</v>
      </c>
      <c r="B29" s="73"/>
      <c r="C29" s="25"/>
      <c r="D29" s="25" t="s">
        <v>82</v>
      </c>
      <c r="E29" s="25" t="s">
        <v>83</v>
      </c>
      <c r="F29" s="25" t="s">
        <v>84</v>
      </c>
      <c r="G29" s="74">
        <f>'Memoria P3'!$A$34</f>
        <v>6007</v>
      </c>
      <c r="H29" s="73" t="str">
        <f>'Memoria P3'!$B$34</f>
        <v>Pilote preexcavado en concreto tremie de 4000 psi (280 kg/cm2) acelerado a 2 días. incluye acelerante, alquiler de equipo de perforación con operario, motobomba, bentonita, mano de obra, transporte y disposición final de escombros en sitio autorizado. distancia de transporte 21 km.</v>
      </c>
      <c r="I29" s="74" t="str">
        <f>'Memoria P3'!$C$34</f>
        <v>m3</v>
      </c>
      <c r="J29" s="75">
        <f>'Memoria P3'!$D$34</f>
        <v>53.407075111026487</v>
      </c>
      <c r="K29" s="74"/>
      <c r="L29" s="25" t="s">
        <v>85</v>
      </c>
      <c r="O29" s="98"/>
    </row>
    <row r="30" spans="1:15" ht="94.5" x14ac:dyDescent="0.25">
      <c r="A30" s="73" t="s">
        <v>116</v>
      </c>
      <c r="B30" s="73"/>
      <c r="C30" s="25"/>
      <c r="D30" s="25" t="s">
        <v>82</v>
      </c>
      <c r="E30" s="25" t="s">
        <v>83</v>
      </c>
      <c r="F30" s="25" t="s">
        <v>86</v>
      </c>
      <c r="G30" s="74">
        <f>'Memoria P3'!$A$35</f>
        <v>3708</v>
      </c>
      <c r="H30" s="73" t="str">
        <f>'Memoria P3'!$B$35</f>
        <v>Acero de refuerzo fy=60000 psi. Suministro e instalación.  de acuerdo a lo estipulado por la nsr-10, norma Astm A-706, icontec 2289 para el acero pdr-60. incluye todos los costos de suministro de materiales (refuerzo (g60) figurado, corrugado, incluye el alambre de amarre), equipos, transportes, manejo, almacenamiento, desperdicios y mano de obra, en:</v>
      </c>
      <c r="I30" s="74" t="str">
        <f>'Memoria P3'!$C$35</f>
        <v>kg</v>
      </c>
      <c r="J30" s="75">
        <f>'Memoria P3'!$D$35</f>
        <v>15874.540126285126</v>
      </c>
      <c r="K30" s="74"/>
      <c r="L30" s="25" t="s">
        <v>85</v>
      </c>
    </row>
    <row r="31" spans="1:15" ht="47.25" x14ac:dyDescent="0.25">
      <c r="A31" s="73" t="s">
        <v>116</v>
      </c>
      <c r="B31" s="73"/>
      <c r="C31" s="25"/>
      <c r="D31" s="25" t="s">
        <v>82</v>
      </c>
      <c r="E31" s="25" t="s">
        <v>83</v>
      </c>
      <c r="F31" s="25" t="s">
        <v>87</v>
      </c>
      <c r="G31" s="74">
        <f>'Memoria P3'!$A$39</f>
        <v>3637</v>
      </c>
      <c r="H31" s="73" t="str">
        <f>'Memoria P3'!$B$39</f>
        <v>Concreto 4000 psi, premezclado, grava común (incluye suministro, formaleteo en madera, bombeo, colocación y curado. No incluye refuerzo), en:</v>
      </c>
      <c r="I31" s="74" t="str">
        <f>'Memoria P3'!$C$39</f>
        <v>m3</v>
      </c>
      <c r="J31" s="75">
        <f>'Memoria P3'!$D$39</f>
        <v>75.132352999188726</v>
      </c>
      <c r="K31" s="74"/>
      <c r="L31" s="25" t="s">
        <v>85</v>
      </c>
    </row>
    <row r="32" spans="1:15" ht="31.5" x14ac:dyDescent="0.25">
      <c r="A32" s="73" t="s">
        <v>116</v>
      </c>
      <c r="B32" s="20"/>
      <c r="C32" s="21"/>
      <c r="D32" s="25" t="s">
        <v>82</v>
      </c>
      <c r="E32" s="25" t="s">
        <v>83</v>
      </c>
      <c r="F32" s="25" t="s">
        <v>88</v>
      </c>
      <c r="G32" s="74">
        <f>'Memoria P3'!$A$42</f>
        <v>5055</v>
      </c>
      <c r="H32" s="73" t="str">
        <f>'Memoria P3'!$B$42</f>
        <v>Descabece de pilotes (incluye transporte y disposición final de escombros en sitio autorizado a 21 km.</v>
      </c>
      <c r="I32" s="74" t="str">
        <f>'Memoria P3'!$C$42</f>
        <v>m3</v>
      </c>
      <c r="J32" s="79">
        <f>'Memoria P3'!$D$42</f>
        <v>9.4247779607693793</v>
      </c>
      <c r="K32" s="74"/>
      <c r="L32" s="25" t="s">
        <v>85</v>
      </c>
    </row>
    <row r="33" spans="1:15" ht="47.25" x14ac:dyDescent="0.25">
      <c r="A33" s="73" t="s">
        <v>116</v>
      </c>
      <c r="B33" s="26"/>
      <c r="C33" s="27"/>
      <c r="D33" s="25" t="s">
        <v>82</v>
      </c>
      <c r="E33" s="25" t="s">
        <v>83</v>
      </c>
      <c r="F33" s="25" t="s">
        <v>92</v>
      </c>
      <c r="G33" s="74">
        <f>'Memoria P3'!$A$43</f>
        <v>6021</v>
      </c>
      <c r="H33" s="73" t="str">
        <f>'Memoria P3'!$B$43</f>
        <v>Concreto de nivelación 2000 psi grava común (140 kg/cm2) (premezclado. incluye suministro, fundida y nivelación y colocación. no incluye refuerzo, curado).</v>
      </c>
      <c r="I33" s="74" t="str">
        <f>'Memoria P3'!$C$43</f>
        <v>m3</v>
      </c>
      <c r="J33" s="79">
        <f>'Memoria P3'!$D$43</f>
        <v>0.93584073464102069</v>
      </c>
      <c r="K33" s="76"/>
      <c r="L33" s="25" t="s">
        <v>85</v>
      </c>
    </row>
    <row r="34" spans="1:15" ht="31.5" x14ac:dyDescent="0.25">
      <c r="A34" s="73" t="s">
        <v>116</v>
      </c>
      <c r="B34" s="7"/>
      <c r="C34" s="19"/>
      <c r="D34" s="25" t="s">
        <v>82</v>
      </c>
      <c r="E34" s="25" t="s">
        <v>83</v>
      </c>
      <c r="F34" s="25" t="s">
        <v>93</v>
      </c>
      <c r="G34" s="74">
        <f>'Memoria P3'!$A$44</f>
        <v>5416</v>
      </c>
      <c r="H34" s="73" t="str">
        <f>'Memoria P3'!$B$44</f>
        <v>Excavación mecánica para dados (nivel de funcionamiento, incluye cargue)</v>
      </c>
      <c r="I34" s="74" t="str">
        <f>'Memoria P3'!$C$44</f>
        <v>m3</v>
      </c>
      <c r="J34" s="79">
        <f>'Memoria P3'!$D$44</f>
        <v>109.8</v>
      </c>
      <c r="K34" s="74"/>
      <c r="L34" s="25" t="s">
        <v>85</v>
      </c>
    </row>
    <row r="35" spans="1:15" ht="63" x14ac:dyDescent="0.25">
      <c r="A35" s="73" t="s">
        <v>116</v>
      </c>
      <c r="B35" s="7"/>
      <c r="C35" s="19"/>
      <c r="D35" s="25" t="s">
        <v>82</v>
      </c>
      <c r="E35" s="25" t="s">
        <v>83</v>
      </c>
      <c r="F35" s="25" t="s">
        <v>94</v>
      </c>
      <c r="G35" s="74">
        <f>'Memoria P3'!$A$45</f>
        <v>3017</v>
      </c>
      <c r="H35" s="73" t="str">
        <f>'Memoria P3'!$B$45</f>
        <v>Transporte y disposición final de escombros en sitio autorizado (distancia de transporte 21 km) a distancia mayor del acarreo libre (90m) en sitio autorizado por la entidad ambiental competente.</v>
      </c>
      <c r="I35" s="74" t="str">
        <f>'Memoria P3'!$C$45</f>
        <v>m3</v>
      </c>
      <c r="J35" s="79">
        <f>'Memoria P3'!$D$45</f>
        <v>109.8</v>
      </c>
      <c r="K35" s="74"/>
      <c r="L35" s="25" t="s">
        <v>85</v>
      </c>
    </row>
    <row r="36" spans="1:15" ht="47.25" x14ac:dyDescent="0.25">
      <c r="A36" s="73" t="s">
        <v>116</v>
      </c>
      <c r="B36" s="7"/>
      <c r="C36" s="19"/>
      <c r="D36" s="25" t="s">
        <v>82</v>
      </c>
      <c r="E36" s="25" t="s">
        <v>83</v>
      </c>
      <c r="F36" s="25" t="s">
        <v>95</v>
      </c>
      <c r="G36" s="74">
        <f>'Memoria P3'!$A$46</f>
        <v>4908</v>
      </c>
      <c r="H36" s="73" t="str">
        <f>'Memoria P3'!$B$46</f>
        <v>Relleno con material de banco, incluye acarreo, equipo, herramienta, mano de obra y todo lo necesario para su correcta ejecución, P.U.O.T.</v>
      </c>
      <c r="I36" s="74" t="str">
        <f>'Memoria P3'!$C$46</f>
        <v>m3</v>
      </c>
      <c r="J36" s="79">
        <f>'Memoria P3'!$D$46</f>
        <v>54.921848714633398</v>
      </c>
      <c r="K36" s="74"/>
      <c r="L36" s="25" t="s">
        <v>85</v>
      </c>
    </row>
    <row r="37" spans="1:15" ht="47.25" x14ac:dyDescent="0.25">
      <c r="A37" s="73" t="s">
        <v>116</v>
      </c>
      <c r="B37" s="7"/>
      <c r="C37" s="19"/>
      <c r="D37" s="25" t="s">
        <v>82</v>
      </c>
      <c r="E37" s="25" t="s">
        <v>83</v>
      </c>
      <c r="F37" s="25" t="s">
        <v>96</v>
      </c>
      <c r="G37" s="74">
        <f>'Memoria P3'!$A$47</f>
        <v>5196</v>
      </c>
      <c r="H37" s="73" t="str">
        <f>'Memoria P3'!$B$47</f>
        <v>Demolición de concreto: espesores 8cm a 15cm. (incluye retiro de material, transporte y disposición final de escombros en sitio autorizado)</v>
      </c>
      <c r="I37" s="74" t="str">
        <f>'Memoria P3'!$C$47</f>
        <v>m3</v>
      </c>
      <c r="J37" s="79">
        <f>'Memoria P3'!$D$47</f>
        <v>5.3999999999999995</v>
      </c>
      <c r="K37" s="74"/>
      <c r="L37" s="25" t="s">
        <v>85</v>
      </c>
    </row>
    <row r="38" spans="1:15" x14ac:dyDescent="0.25">
      <c r="A38" s="118"/>
      <c r="B38" s="119"/>
      <c r="C38" s="119"/>
      <c r="D38" s="119"/>
      <c r="E38" s="119"/>
      <c r="F38" s="119"/>
      <c r="G38" s="119"/>
      <c r="H38" s="119"/>
      <c r="I38" s="119"/>
      <c r="J38" s="119"/>
      <c r="K38" s="119"/>
      <c r="L38" s="120"/>
    </row>
    <row r="39" spans="1:15" ht="78.75" x14ac:dyDescent="0.25">
      <c r="A39" s="73" t="s">
        <v>117</v>
      </c>
      <c r="B39" s="73"/>
      <c r="C39" s="25"/>
      <c r="D39" s="25" t="s">
        <v>82</v>
      </c>
      <c r="E39" s="25" t="s">
        <v>83</v>
      </c>
      <c r="F39" s="25" t="s">
        <v>84</v>
      </c>
      <c r="G39" s="74">
        <f>'Memoria P4'!$A$34</f>
        <v>6007</v>
      </c>
      <c r="H39" s="73" t="str">
        <f>'Memoria P4'!$B$34</f>
        <v>Pilote preexcavado en concreto tremie de 4000 psi (280 kg/cm2) acelerado a 2 días. incluye acelerante, alquiler de equipo de perforación con operario, motobomba, bentonita, mano de obra, transporte y disposición final de escombros en sitio autorizado. distancia de transporte 21 km.</v>
      </c>
      <c r="I39" s="74" t="str">
        <f>'Memoria P4'!$C$34</f>
        <v>m3</v>
      </c>
      <c r="J39" s="75">
        <f>'Memoria P4'!$D$34</f>
        <v>38.798669271833944</v>
      </c>
      <c r="K39" s="74"/>
      <c r="L39" s="25" t="s">
        <v>85</v>
      </c>
      <c r="O39" s="98"/>
    </row>
    <row r="40" spans="1:15" ht="94.5" x14ac:dyDescent="0.25">
      <c r="A40" s="73" t="s">
        <v>117</v>
      </c>
      <c r="B40" s="73"/>
      <c r="C40" s="25"/>
      <c r="D40" s="25" t="s">
        <v>82</v>
      </c>
      <c r="E40" s="25" t="s">
        <v>83</v>
      </c>
      <c r="F40" s="25" t="s">
        <v>86</v>
      </c>
      <c r="G40" s="74">
        <f>'Memoria P4'!$A$35</f>
        <v>3708</v>
      </c>
      <c r="H40" s="73" t="str">
        <f>'Memoria P4'!$B$35</f>
        <v>Acero de refuerzo fy=60000 psi. Suministro e instalación.  de acuerdo a lo estipulado por la nsr-10, norma Astm A-706, icontec 2289 para el acero pdr-60. incluye todos los costos de suministro de materiales (refuerzo (g60) figurado, corrugado, incluye el alambre de amarre), equipos, transportes, manejo, almacenamiento, desperdicios y mano de obra, en:</v>
      </c>
      <c r="I40" s="74" t="str">
        <f>'Memoria P4'!$C$35</f>
        <v>kg</v>
      </c>
      <c r="J40" s="75">
        <f>'Memoria P4'!$D$35</f>
        <v>12282.052148152907</v>
      </c>
      <c r="K40" s="74"/>
      <c r="L40" s="25" t="s">
        <v>85</v>
      </c>
    </row>
    <row r="41" spans="1:15" ht="47.25" x14ac:dyDescent="0.25">
      <c r="A41" s="73" t="s">
        <v>117</v>
      </c>
      <c r="B41" s="73"/>
      <c r="C41" s="25"/>
      <c r="D41" s="25" t="s">
        <v>82</v>
      </c>
      <c r="E41" s="25" t="s">
        <v>83</v>
      </c>
      <c r="F41" s="25" t="s">
        <v>87</v>
      </c>
      <c r="G41" s="74">
        <f>'Memoria P4'!$A$39</f>
        <v>3637</v>
      </c>
      <c r="H41" s="73" t="str">
        <f>'Memoria P4'!$B$39</f>
        <v>Concreto 4000 psi, premezclado, grava común (incluye suministro, formaleteo en madera, bombeo, colocación y curado. No incluye refuerzo), en:</v>
      </c>
      <c r="I41" s="74" t="str">
        <f>'Memoria P4'!$C$39</f>
        <v>m3</v>
      </c>
      <c r="J41" s="75">
        <f>'Memoria P4'!$D$39</f>
        <v>66.580750411731103</v>
      </c>
      <c r="K41" s="74"/>
      <c r="L41" s="25" t="s">
        <v>85</v>
      </c>
    </row>
    <row r="42" spans="1:15" ht="31.5" x14ac:dyDescent="0.25">
      <c r="A42" s="73" t="s">
        <v>117</v>
      </c>
      <c r="B42" s="20"/>
      <c r="C42" s="21"/>
      <c r="D42" s="25" t="s">
        <v>82</v>
      </c>
      <c r="E42" s="25" t="s">
        <v>83</v>
      </c>
      <c r="F42" s="25" t="s">
        <v>88</v>
      </c>
      <c r="G42" s="74">
        <f>'Memoria P4'!$A$42</f>
        <v>5055</v>
      </c>
      <c r="H42" s="73" t="str">
        <f>'Memoria P4'!$B$42</f>
        <v>Descabece de pilotes (incluye transporte y disposición final de escombros en sitio autorizado a 21 km.</v>
      </c>
      <c r="I42" s="74" t="str">
        <f>'Memoria P4'!$C$42</f>
        <v>m3</v>
      </c>
      <c r="J42" s="79">
        <f>'Memoria P4'!$D$42</f>
        <v>7.3827427359360138</v>
      </c>
      <c r="K42" s="74"/>
      <c r="L42" s="25" t="s">
        <v>85</v>
      </c>
    </row>
    <row r="43" spans="1:15" ht="47.25" x14ac:dyDescent="0.25">
      <c r="A43" s="73" t="s">
        <v>117</v>
      </c>
      <c r="B43" s="26"/>
      <c r="C43" s="27"/>
      <c r="D43" s="25" t="s">
        <v>82</v>
      </c>
      <c r="E43" s="25" t="s">
        <v>83</v>
      </c>
      <c r="F43" s="25" t="s">
        <v>92</v>
      </c>
      <c r="G43" s="74">
        <f>'Memoria P4'!$A$43</f>
        <v>6021</v>
      </c>
      <c r="H43" s="73" t="str">
        <f>'Memoria P4'!$B$43</f>
        <v>Concreto de nivelación 2000 psi grava común (140 kg/cm2) (premezclado. incluye suministro, fundida y nivelación y colocación. no incluye refuerzo, curado).</v>
      </c>
      <c r="I43" s="74" t="str">
        <f>'Memoria P4'!$C$43</f>
        <v>m3</v>
      </c>
      <c r="J43" s="79">
        <f>'Memoria P4'!$D$43</f>
        <v>1.1983407346410209</v>
      </c>
      <c r="K43" s="76"/>
      <c r="L43" s="25" t="s">
        <v>85</v>
      </c>
    </row>
    <row r="44" spans="1:15" ht="31.5" x14ac:dyDescent="0.25">
      <c r="A44" s="73" t="s">
        <v>117</v>
      </c>
      <c r="B44" s="7"/>
      <c r="C44" s="19"/>
      <c r="D44" s="25" t="s">
        <v>82</v>
      </c>
      <c r="E44" s="25" t="s">
        <v>83</v>
      </c>
      <c r="F44" s="25" t="s">
        <v>93</v>
      </c>
      <c r="G44" s="74">
        <f>'Memoria P4'!$A$44</f>
        <v>5416</v>
      </c>
      <c r="H44" s="73" t="str">
        <f>'Memoria P4'!$B$44</f>
        <v>Excavación mecánica para dados (nivel de funcionamiento, incluye cargue)</v>
      </c>
      <c r="I44" s="74" t="str">
        <f>'Memoria P4'!$C$44</f>
        <v>m3</v>
      </c>
      <c r="J44" s="79">
        <f>'Memoria P4'!$D$44</f>
        <v>135</v>
      </c>
      <c r="K44" s="74"/>
      <c r="L44" s="25" t="s">
        <v>85</v>
      </c>
    </row>
    <row r="45" spans="1:15" ht="63" x14ac:dyDescent="0.25">
      <c r="A45" s="73" t="s">
        <v>117</v>
      </c>
      <c r="B45" s="7"/>
      <c r="C45" s="19"/>
      <c r="D45" s="25" t="s">
        <v>82</v>
      </c>
      <c r="E45" s="25" t="s">
        <v>83</v>
      </c>
      <c r="F45" s="25" t="s">
        <v>94</v>
      </c>
      <c r="G45" s="74">
        <f>'Memoria P4'!$A$45</f>
        <v>3017</v>
      </c>
      <c r="H45" s="73" t="str">
        <f>'Memoria P4'!$B$45</f>
        <v>Transporte y disposición final de escombros en sitio autorizado (distancia de transporte 21 km) a distancia mayor del acarreo libre (90m) en sitio autorizado por la entidad ambiental competente.</v>
      </c>
      <c r="I45" s="74" t="str">
        <f>'Memoria P4'!$C$45</f>
        <v>m3</v>
      </c>
      <c r="J45" s="79">
        <f>'Memoria P4'!$D$45</f>
        <v>135</v>
      </c>
      <c r="K45" s="74"/>
      <c r="L45" s="25" t="s">
        <v>85</v>
      </c>
    </row>
    <row r="46" spans="1:15" ht="47.25" x14ac:dyDescent="0.25">
      <c r="A46" s="73" t="s">
        <v>117</v>
      </c>
      <c r="B46" s="7"/>
      <c r="C46" s="19"/>
      <c r="D46" s="25" t="s">
        <v>82</v>
      </c>
      <c r="E46" s="25" t="s">
        <v>83</v>
      </c>
      <c r="F46" s="25" t="s">
        <v>95</v>
      </c>
      <c r="G46" s="74">
        <f>'Memoria P4'!$A$46</f>
        <v>4908</v>
      </c>
      <c r="H46" s="73" t="str">
        <f>'Memoria P4'!$B$46</f>
        <v>Relleno con material de banco, incluye acarreo, equipo, herramienta, mano de obra y todo lo necesario para su correcta ejecución, P.U.O.T.</v>
      </c>
      <c r="I46" s="74" t="str">
        <f>'Memoria P4'!$C$46</f>
        <v>m3</v>
      </c>
      <c r="J46" s="79">
        <f>'Memoria P4'!$D$46</f>
        <v>82.104204050009528</v>
      </c>
      <c r="K46" s="74"/>
      <c r="L46" s="25" t="s">
        <v>85</v>
      </c>
    </row>
    <row r="47" spans="1:15" ht="47.25" x14ac:dyDescent="0.25">
      <c r="A47" s="73" t="s">
        <v>117</v>
      </c>
      <c r="B47" s="7"/>
      <c r="C47" s="19"/>
      <c r="D47" s="25" t="s">
        <v>82</v>
      </c>
      <c r="E47" s="25" t="s">
        <v>83</v>
      </c>
      <c r="F47" s="25" t="s">
        <v>96</v>
      </c>
      <c r="G47" s="74">
        <f>'Memoria P4'!$A$47</f>
        <v>5196</v>
      </c>
      <c r="H47" s="73" t="str">
        <f>'Memoria P4'!$B$47</f>
        <v>Demolición de concreto: espesores 8cm a 15cm. (incluye retiro de material, transporte y disposición final de escombros en sitio autorizado)</v>
      </c>
      <c r="I47" s="74" t="str">
        <f>'Memoria P4'!$C$47</f>
        <v>m3</v>
      </c>
      <c r="J47" s="79">
        <f>'Memoria P4'!$D$47</f>
        <v>8.4375</v>
      </c>
      <c r="K47" s="74"/>
      <c r="L47" s="25" t="s">
        <v>85</v>
      </c>
    </row>
    <row r="48" spans="1:15" x14ac:dyDescent="0.25">
      <c r="A48" s="118"/>
      <c r="B48" s="119"/>
      <c r="C48" s="119"/>
      <c r="D48" s="119"/>
      <c r="E48" s="119"/>
      <c r="F48" s="119"/>
      <c r="G48" s="119"/>
      <c r="H48" s="119"/>
      <c r="I48" s="119"/>
      <c r="J48" s="119"/>
      <c r="K48" s="119"/>
      <c r="L48" s="120"/>
    </row>
    <row r="49" spans="1:15" ht="78.75" x14ac:dyDescent="0.25">
      <c r="A49" s="73" t="s">
        <v>118</v>
      </c>
      <c r="B49" s="73"/>
      <c r="C49" s="25"/>
      <c r="D49" s="25" t="s">
        <v>82</v>
      </c>
      <c r="E49" s="25" t="s">
        <v>83</v>
      </c>
      <c r="F49" s="25" t="s">
        <v>84</v>
      </c>
      <c r="G49" s="74">
        <f>'Memoria P5'!$A$34</f>
        <v>6007</v>
      </c>
      <c r="H49" s="73" t="str">
        <f>'Memoria P5'!$B$34</f>
        <v>Pilote preexcavado en concreto tremie de 4000 psi (280 kg/cm2) acelerado a 2 días. incluye acelerante, alquiler de equipo de perforación con operario, motobomba, bentonita, mano de obra, transporte y disposición final de escombros en sitio autorizado. distancia de transporte 21 km.</v>
      </c>
      <c r="I49" s="74" t="str">
        <f>'Memoria P5'!$C$34</f>
        <v>m3</v>
      </c>
      <c r="J49" s="75">
        <f>'Memoria P5'!$D$34</f>
        <v>48.883181689857182</v>
      </c>
      <c r="K49" s="74"/>
      <c r="L49" s="25" t="s">
        <v>85</v>
      </c>
      <c r="O49" s="98"/>
    </row>
    <row r="50" spans="1:15" ht="94.5" x14ac:dyDescent="0.25">
      <c r="A50" s="73" t="s">
        <v>118</v>
      </c>
      <c r="B50" s="73"/>
      <c r="C50" s="25"/>
      <c r="D50" s="25" t="s">
        <v>82</v>
      </c>
      <c r="E50" s="25" t="s">
        <v>83</v>
      </c>
      <c r="F50" s="25" t="s">
        <v>86</v>
      </c>
      <c r="G50" s="74">
        <f>'Memoria P5'!$A$35</f>
        <v>3708</v>
      </c>
      <c r="H50" s="73" t="str">
        <f>'Memoria P5'!$B$35</f>
        <v>Acero de refuerzo fy=60000 psi. Suministro e instalación.  de acuerdo a lo estipulado por la nsr-10, norma Astm A-706, icontec 2289 para el acero pdr-60. incluye todos los costos de suministro de materiales (refuerzo (g60) figurado, corrugado, incluye el alambre de amarre), equipos, transportes, manejo, almacenamiento, desperdicios y mano de obra, en:</v>
      </c>
      <c r="I50" s="74" t="str">
        <f>'Memoria P5'!$C$35</f>
        <v>kg</v>
      </c>
      <c r="J50" s="75">
        <f>'Memoria P5'!$D$35</f>
        <v>13635.825007648655</v>
      </c>
      <c r="K50" s="74"/>
      <c r="L50" s="25" t="s">
        <v>85</v>
      </c>
    </row>
    <row r="51" spans="1:15" ht="47.25" x14ac:dyDescent="0.25">
      <c r="A51" s="73" t="s">
        <v>118</v>
      </c>
      <c r="B51" s="73"/>
      <c r="C51" s="25"/>
      <c r="D51" s="25" t="s">
        <v>82</v>
      </c>
      <c r="E51" s="25" t="s">
        <v>83</v>
      </c>
      <c r="F51" s="25" t="s">
        <v>87</v>
      </c>
      <c r="G51" s="74">
        <f>'Memoria P5'!$A$39</f>
        <v>3637</v>
      </c>
      <c r="H51" s="73" t="str">
        <f>'Memoria P5'!$B$39</f>
        <v>Concreto 4000 psi, premezclado, grava común (incluye suministro, formaleteo en madera, bombeo, colocación y curado. No incluye refuerzo), en:</v>
      </c>
      <c r="I51" s="74" t="str">
        <f>'Memoria P5'!$C$39</f>
        <v>m3</v>
      </c>
      <c r="J51" s="75">
        <f>'Memoria P5'!$D$39</f>
        <v>73.649333882308142</v>
      </c>
      <c r="K51" s="74"/>
      <c r="L51" s="25" t="s">
        <v>85</v>
      </c>
    </row>
    <row r="52" spans="1:15" ht="31.5" x14ac:dyDescent="0.25">
      <c r="A52" s="73" t="s">
        <v>118</v>
      </c>
      <c r="B52" s="20"/>
      <c r="C52" s="21"/>
      <c r="D52" s="25" t="s">
        <v>82</v>
      </c>
      <c r="E52" s="25" t="s">
        <v>83</v>
      </c>
      <c r="F52" s="25" t="s">
        <v>88</v>
      </c>
      <c r="G52" s="74">
        <f>'Memoria P5'!$A$42</f>
        <v>5055</v>
      </c>
      <c r="H52" s="73" t="str">
        <f>'Memoria P5'!$B$42</f>
        <v>Descabece de pilotes (incluye transporte y disposición final de escombros en sitio autorizado a 21 km.</v>
      </c>
      <c r="I52" s="74" t="str">
        <f>'Memoria P5'!$C$42</f>
        <v>m3</v>
      </c>
      <c r="J52" s="79">
        <f>'Memoria P5'!$D$42</f>
        <v>11.184069846779664</v>
      </c>
      <c r="K52" s="74"/>
      <c r="L52" s="25" t="s">
        <v>85</v>
      </c>
    </row>
    <row r="53" spans="1:15" ht="47.25" x14ac:dyDescent="0.25">
      <c r="A53" s="73" t="s">
        <v>118</v>
      </c>
      <c r="B53" s="26"/>
      <c r="C53" s="27"/>
      <c r="D53" s="25" t="s">
        <v>82</v>
      </c>
      <c r="E53" s="25" t="s">
        <v>83</v>
      </c>
      <c r="F53" s="25" t="s">
        <v>92</v>
      </c>
      <c r="G53" s="74">
        <f>'Memoria P5'!$A$43</f>
        <v>6021</v>
      </c>
      <c r="H53" s="73" t="str">
        <f>'Memoria P5'!$B$43</f>
        <v>Concreto de nivelación 2000 psi grava común (140 kg/cm2) (premezclado. incluye suministro, fundida y nivelación y colocación. no incluye refuerzo, curado).</v>
      </c>
      <c r="I53" s="74" t="str">
        <f>'Memoria P5'!$C$43</f>
        <v>m3</v>
      </c>
      <c r="J53" s="79">
        <f>'Memoria P5'!$D$43</f>
        <v>1.1983407346410209</v>
      </c>
      <c r="K53" s="76"/>
      <c r="L53" s="25" t="s">
        <v>85</v>
      </c>
    </row>
    <row r="54" spans="1:15" ht="31.5" x14ac:dyDescent="0.25">
      <c r="A54" s="73" t="s">
        <v>118</v>
      </c>
      <c r="B54" s="7"/>
      <c r="C54" s="19"/>
      <c r="D54" s="25" t="s">
        <v>82</v>
      </c>
      <c r="E54" s="25" t="s">
        <v>83</v>
      </c>
      <c r="F54" s="25" t="s">
        <v>93</v>
      </c>
      <c r="G54" s="74">
        <f>'Memoria P5'!$A$44</f>
        <v>5416</v>
      </c>
      <c r="H54" s="73" t="str">
        <f>'Memoria P5'!$B$44</f>
        <v>Excavación mecánica para dados (nivel de funcionamiento, incluye cargue)</v>
      </c>
      <c r="I54" s="74" t="str">
        <f>'Memoria P5'!$C$44</f>
        <v>m3</v>
      </c>
      <c r="J54" s="79">
        <f>'Memoria P5'!$D$44</f>
        <v>203.0625</v>
      </c>
      <c r="K54" s="74"/>
      <c r="L54" s="25" t="s">
        <v>85</v>
      </c>
    </row>
    <row r="55" spans="1:15" ht="63" x14ac:dyDescent="0.25">
      <c r="A55" s="73" t="s">
        <v>118</v>
      </c>
      <c r="B55" s="7"/>
      <c r="C55" s="19"/>
      <c r="D55" s="25" t="s">
        <v>82</v>
      </c>
      <c r="E55" s="25" t="s">
        <v>83</v>
      </c>
      <c r="F55" s="25" t="s">
        <v>94</v>
      </c>
      <c r="G55" s="74">
        <f>'Memoria P5'!$A$45</f>
        <v>3017</v>
      </c>
      <c r="H55" s="73" t="str">
        <f>'Memoria P5'!$B$45</f>
        <v>Transporte y disposición final de escombros en sitio autorizado (distancia de transporte 21 km) a distancia mayor del acarreo libre (90m) en sitio autorizado por la entidad ambiental competente.</v>
      </c>
      <c r="I55" s="74" t="str">
        <f>'Memoria P5'!$C$45</f>
        <v>m3</v>
      </c>
      <c r="J55" s="79">
        <f>'Memoria P5'!$D$45</f>
        <v>203.0625</v>
      </c>
      <c r="K55" s="74"/>
      <c r="L55" s="25" t="s">
        <v>85</v>
      </c>
    </row>
    <row r="56" spans="1:15" ht="47.25" x14ac:dyDescent="0.25">
      <c r="A56" s="73" t="s">
        <v>118</v>
      </c>
      <c r="B56" s="7"/>
      <c r="C56" s="19"/>
      <c r="D56" s="25" t="s">
        <v>82</v>
      </c>
      <c r="E56" s="25" t="s">
        <v>83</v>
      </c>
      <c r="F56" s="25" t="s">
        <v>95</v>
      </c>
      <c r="G56" s="74">
        <f>'Memoria P5'!$A$46</f>
        <v>4908</v>
      </c>
      <c r="H56" s="73" t="str">
        <f>'Memoria P5'!$B$46</f>
        <v>Relleno con material de banco, incluye acarreo, equipo, herramienta, mano de obra y todo lo necesario para su correcta ejecución, P.U.O.T.</v>
      </c>
      <c r="I56" s="74" t="str">
        <f>'Memoria P5'!$C$46</f>
        <v>m3</v>
      </c>
      <c r="J56" s="79">
        <f>'Memoria P5'!$D$46</f>
        <v>141.61371805061131</v>
      </c>
      <c r="K56" s="74"/>
      <c r="L56" s="25" t="s">
        <v>85</v>
      </c>
    </row>
    <row r="57" spans="1:15" ht="47.25" x14ac:dyDescent="0.25">
      <c r="A57" s="73" t="s">
        <v>118</v>
      </c>
      <c r="B57" s="7"/>
      <c r="C57" s="19"/>
      <c r="D57" s="25" t="s">
        <v>82</v>
      </c>
      <c r="E57" s="25" t="s">
        <v>83</v>
      </c>
      <c r="F57" s="25" t="s">
        <v>96</v>
      </c>
      <c r="G57" s="74">
        <f>'Memoria P5'!$A$47</f>
        <v>5196</v>
      </c>
      <c r="H57" s="73" t="str">
        <f>'Memoria P5'!$B$47</f>
        <v>Demolición de concreto: espesores 8cm a 15cm. (incluye retiro de material, transporte y disposición final de escombros en sitio autorizado)</v>
      </c>
      <c r="I57" s="74" t="str">
        <f>'Memoria P5'!$C$47</f>
        <v>m3</v>
      </c>
      <c r="J57" s="79">
        <f>'Memoria P5'!$D$47</f>
        <v>8.4375</v>
      </c>
      <c r="K57" s="74"/>
      <c r="L57" s="25" t="s">
        <v>85</v>
      </c>
    </row>
    <row r="58" spans="1:15" x14ac:dyDescent="0.25">
      <c r="A58" s="118"/>
      <c r="B58" s="119"/>
      <c r="C58" s="119"/>
      <c r="D58" s="119"/>
      <c r="E58" s="119"/>
      <c r="F58" s="119"/>
      <c r="G58" s="119"/>
      <c r="H58" s="119"/>
      <c r="I58" s="119"/>
      <c r="J58" s="119"/>
      <c r="K58" s="119"/>
      <c r="L58" s="120"/>
    </row>
    <row r="59" spans="1:15" ht="78.75" x14ac:dyDescent="0.25">
      <c r="A59" s="73" t="s">
        <v>119</v>
      </c>
      <c r="B59" s="73"/>
      <c r="C59" s="25"/>
      <c r="D59" s="25" t="s">
        <v>82</v>
      </c>
      <c r="E59" s="25" t="s">
        <v>83</v>
      </c>
      <c r="F59" s="25" t="s">
        <v>84</v>
      </c>
      <c r="G59" s="74">
        <f>'Memoria P6'!A35</f>
        <v>6007</v>
      </c>
      <c r="H59" s="73" t="str">
        <f>'Memoria P6'!B35</f>
        <v>Pilote preexcavado en concreto tremie de 4000 psi (280 kg/cm2) acelerado a 2 días. incluye acelerante, alquiler de equipo de perforación con operario, motobomba, bentonita, mano de obra, transporte y disposición final de escombros en sitio autorizado. distancia de transporte 21 km.</v>
      </c>
      <c r="I59" s="74" t="str">
        <f>'Memoria P6'!$C$35</f>
        <v>m3</v>
      </c>
      <c r="J59" s="75">
        <f>'Memoria P6'!D35</f>
        <v>96.179859089651501</v>
      </c>
      <c r="K59" s="74"/>
      <c r="L59" s="25" t="s">
        <v>85</v>
      </c>
      <c r="O59" s="98"/>
    </row>
    <row r="60" spans="1:15" ht="94.5" x14ac:dyDescent="0.25">
      <c r="A60" s="73" t="s">
        <v>119</v>
      </c>
      <c r="B60" s="73"/>
      <c r="C60" s="25"/>
      <c r="D60" s="25" t="s">
        <v>82</v>
      </c>
      <c r="E60" s="25" t="s">
        <v>83</v>
      </c>
      <c r="F60" s="25" t="s">
        <v>86</v>
      </c>
      <c r="G60" s="74">
        <f>'Memoria P6'!A36</f>
        <v>3708</v>
      </c>
      <c r="H60" s="73" t="str">
        <f>'Memoria P6'!B36</f>
        <v>Acero de refuerzo fy=60000 psi. Suministro e instalación.  de acuerdo a lo estipulado por la nsr-10, norma Astm A-706, icontec 2289 para el acero pdr-60. incluye todos los costos de suministro de materiales (refuerzo (g60) figurado, corrugado, incluye el alambre de amarre), equipos, transportes, manejo, almacenamiento, desperdicios y mano de obra, en:</v>
      </c>
      <c r="I60" s="74" t="str">
        <f>'Memoria P6'!C36</f>
        <v>kg</v>
      </c>
      <c r="J60" s="75">
        <f>'Memoria P6'!D36</f>
        <v>24156.229182111703</v>
      </c>
      <c r="K60" s="74"/>
      <c r="L60" s="25" t="s">
        <v>85</v>
      </c>
    </row>
    <row r="61" spans="1:15" ht="47.25" x14ac:dyDescent="0.25">
      <c r="A61" s="73" t="s">
        <v>119</v>
      </c>
      <c r="B61" s="73"/>
      <c r="C61" s="25"/>
      <c r="D61" s="25" t="s">
        <v>82</v>
      </c>
      <c r="E61" s="25" t="s">
        <v>83</v>
      </c>
      <c r="F61" s="25" t="s">
        <v>87</v>
      </c>
      <c r="G61" s="74">
        <f>'Memoria P6'!A40</f>
        <v>3637</v>
      </c>
      <c r="H61" s="73" t="str">
        <f>'Memoria P6'!B40</f>
        <v>Concreto 4000 psi, premezclado, grava común (incluye suministro, formaleteo en madera, bombeo, colocación y curado. No incluye refuerzo), en:</v>
      </c>
      <c r="I61" s="74" t="str">
        <f>'Memoria P6'!C40</f>
        <v>m3</v>
      </c>
      <c r="J61" s="75">
        <f>'Memoria P6'!D40</f>
        <v>114.38445385609981</v>
      </c>
      <c r="K61" s="74"/>
      <c r="L61" s="25" t="s">
        <v>85</v>
      </c>
    </row>
    <row r="62" spans="1:15" ht="31.5" x14ac:dyDescent="0.25">
      <c r="A62" s="73" t="s">
        <v>119</v>
      </c>
      <c r="B62" s="20"/>
      <c r="C62" s="21"/>
      <c r="D62" s="25" t="s">
        <v>82</v>
      </c>
      <c r="E62" s="25" t="s">
        <v>83</v>
      </c>
      <c r="F62" s="25" t="s">
        <v>88</v>
      </c>
      <c r="G62" s="74">
        <f>'Memoria P6'!A43</f>
        <v>5055</v>
      </c>
      <c r="H62" s="73" t="str">
        <f>'Memoria P6'!B43</f>
        <v>Descabece de pilotes (incluye transporte y disposición final de escombros en sitio autorizado a 21 km.</v>
      </c>
      <c r="I62" s="74" t="str">
        <f>'Memoria P6'!C43</f>
        <v>m3</v>
      </c>
      <c r="J62" s="79">
        <f>'Memoria P6'!D43</f>
        <v>13.901547492134835</v>
      </c>
      <c r="K62" s="74"/>
      <c r="L62" s="25" t="s">
        <v>85</v>
      </c>
    </row>
    <row r="63" spans="1:15" ht="47.25" x14ac:dyDescent="0.25">
      <c r="A63" s="73" t="s">
        <v>119</v>
      </c>
      <c r="B63" s="26"/>
      <c r="C63" s="27"/>
      <c r="D63" s="25" t="s">
        <v>82</v>
      </c>
      <c r="E63" s="25" t="s">
        <v>83</v>
      </c>
      <c r="F63" s="25" t="s">
        <v>92</v>
      </c>
      <c r="G63" s="74">
        <f>'Memoria P6'!A44</f>
        <v>6021</v>
      </c>
      <c r="H63" s="73" t="str">
        <f>'Memoria P6'!B44</f>
        <v>Concreto de nivelación 2000 psi grava común (140 kg/cm2) (premezclado. incluye suministro, fundida y nivelación y colocación. no incluye refuerzo, curado).</v>
      </c>
      <c r="I63" s="74" t="str">
        <f>'Memoria P6'!C44</f>
        <v>m3</v>
      </c>
      <c r="J63" s="79">
        <f>'Memoria P6'!D44</f>
        <v>1.7287611019615312</v>
      </c>
      <c r="K63" s="76"/>
      <c r="L63" s="25" t="s">
        <v>85</v>
      </c>
    </row>
    <row r="64" spans="1:15" ht="31.5" x14ac:dyDescent="0.25">
      <c r="A64" s="73" t="s">
        <v>119</v>
      </c>
      <c r="B64" s="7"/>
      <c r="C64" s="19"/>
      <c r="D64" s="25" t="s">
        <v>82</v>
      </c>
      <c r="E64" s="25" t="s">
        <v>83</v>
      </c>
      <c r="F64" s="25" t="s">
        <v>125</v>
      </c>
      <c r="G64" s="74">
        <f>'Memoria P6'!A45</f>
        <v>5416</v>
      </c>
      <c r="H64" s="73" t="str">
        <f>'Memoria P6'!B45</f>
        <v>Excavación mecánica para dados (nivel de funcionamiento, incluye cargue)</v>
      </c>
      <c r="I64" s="74" t="str">
        <f>'Memoria P6'!C45</f>
        <v>m3</v>
      </c>
      <c r="J64" s="79">
        <f>'Memoria P6'!D45</f>
        <v>225</v>
      </c>
      <c r="K64" s="74"/>
      <c r="L64" s="25" t="s">
        <v>85</v>
      </c>
    </row>
    <row r="65" spans="1:15" ht="63" x14ac:dyDescent="0.25">
      <c r="A65" s="73" t="s">
        <v>119</v>
      </c>
      <c r="B65" s="7"/>
      <c r="C65" s="19"/>
      <c r="D65" s="25" t="s">
        <v>82</v>
      </c>
      <c r="E65" s="25" t="s">
        <v>83</v>
      </c>
      <c r="F65" s="25" t="s">
        <v>93</v>
      </c>
      <c r="G65" s="74">
        <f>'Memoria P6'!A46</f>
        <v>3017</v>
      </c>
      <c r="H65" s="73" t="str">
        <f>'Memoria P6'!B46</f>
        <v>Transporte y disposición final de escombros en sitio autorizado (distancia de transporte 21 km) a distancia mayor del acarreo libre (90m) en sitio autorizado por la entidad ambiental competente.</v>
      </c>
      <c r="I65" s="74" t="str">
        <f>'Memoria P6'!C46</f>
        <v>m3</v>
      </c>
      <c r="J65" s="79">
        <f>'Memoria P6'!D46</f>
        <v>225</v>
      </c>
      <c r="K65" s="74"/>
      <c r="L65" s="25" t="s">
        <v>85</v>
      </c>
    </row>
    <row r="66" spans="1:15" ht="47.25" x14ac:dyDescent="0.25">
      <c r="A66" s="73" t="s">
        <v>119</v>
      </c>
      <c r="B66" s="7"/>
      <c r="C66" s="19"/>
      <c r="D66" s="25" t="s">
        <v>82</v>
      </c>
      <c r="E66" s="25" t="s">
        <v>83</v>
      </c>
      <c r="F66" s="25" t="s">
        <v>94</v>
      </c>
      <c r="G66" s="74">
        <f>'Memoria P6'!A47</f>
        <v>4908</v>
      </c>
      <c r="H66" s="73" t="str">
        <f>'Memoria P6'!B47</f>
        <v>Relleno con material de banco, incluye acarreo, equipo, herramienta, mano de obra y todo lo necesario para su correcta ejecución, P.U.O.T.</v>
      </c>
      <c r="I66" s="74" t="str">
        <f>'Memoria P6'!C47</f>
        <v>m3</v>
      </c>
      <c r="J66" s="79">
        <f>'Memoria P6'!D47</f>
        <v>141.20945375747897</v>
      </c>
      <c r="K66" s="74"/>
      <c r="L66" s="25" t="s">
        <v>85</v>
      </c>
    </row>
    <row r="67" spans="1:15" ht="47.25" x14ac:dyDescent="0.25">
      <c r="A67" s="73" t="s">
        <v>119</v>
      </c>
      <c r="B67" s="7"/>
      <c r="C67" s="19"/>
      <c r="D67" s="25" t="s">
        <v>82</v>
      </c>
      <c r="E67" s="25" t="s">
        <v>83</v>
      </c>
      <c r="F67" s="25" t="s">
        <v>95</v>
      </c>
      <c r="G67" s="74">
        <f>'Memoria P6'!A48</f>
        <v>5196</v>
      </c>
      <c r="H67" s="73" t="str">
        <f>'Memoria P6'!B48</f>
        <v>Demolición de concreto: espesores 8cm a 15cm. (incluye retiro de material, transporte y disposición final de escombros en sitio autorizado)</v>
      </c>
      <c r="I67" s="74" t="str">
        <f>'Memoria P6'!C48</f>
        <v>m3</v>
      </c>
      <c r="J67" s="79">
        <f>'Memoria P6'!D48</f>
        <v>11.25</v>
      </c>
      <c r="K67" s="74"/>
      <c r="L67" s="25" t="s">
        <v>85</v>
      </c>
    </row>
    <row r="68" spans="1:15" x14ac:dyDescent="0.25">
      <c r="A68" s="118"/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20"/>
    </row>
    <row r="69" spans="1:15" ht="78.75" x14ac:dyDescent="0.25">
      <c r="A69" s="73" t="s">
        <v>120</v>
      </c>
      <c r="B69" s="73"/>
      <c r="C69" s="25"/>
      <c r="D69" s="25" t="s">
        <v>82</v>
      </c>
      <c r="E69" s="25" t="s">
        <v>83</v>
      </c>
      <c r="F69" s="25" t="s">
        <v>84</v>
      </c>
      <c r="G69" s="74">
        <f>'Memoria P7'!$A$34</f>
        <v>6007</v>
      </c>
      <c r="H69" s="73" t="str">
        <f>'Memoria P7'!$B$34</f>
        <v>Pilote preexcavado en concreto tremie de 4000 psi (280 kg/cm2) acelerado a 2 días. incluye acelerante, alquiler de equipo de perforación con operario, motobomba, bentonita, mano de obra, transporte y disposición final de escombros en sitio autorizado. distancia de transporte 21 km.</v>
      </c>
      <c r="I69" s="74" t="str">
        <f>'Memoria P7'!$C$34</f>
        <v>m3</v>
      </c>
      <c r="J69" s="75">
        <f>'Memoria P7'!$D$34</f>
        <v>83.170523911136186</v>
      </c>
      <c r="K69" s="74"/>
      <c r="L69" s="25" t="s">
        <v>85</v>
      </c>
      <c r="O69" s="98"/>
    </row>
    <row r="70" spans="1:15" ht="94.5" x14ac:dyDescent="0.25">
      <c r="A70" s="73" t="s">
        <v>120</v>
      </c>
      <c r="B70" s="73"/>
      <c r="C70" s="25"/>
      <c r="D70" s="25" t="s">
        <v>82</v>
      </c>
      <c r="E70" s="25" t="s">
        <v>83</v>
      </c>
      <c r="F70" s="25" t="s">
        <v>86</v>
      </c>
      <c r="G70" s="74">
        <f>'Memoria P7'!$A$35</f>
        <v>3708</v>
      </c>
      <c r="H70" s="73" t="str">
        <f>'Memoria P7'!$B$35</f>
        <v>Acero de refuerzo fy=60000 psi. Suministro e instalación.  de acuerdo a lo estipulado por la nsr-10, norma Astm A-706, icontec 2289 para el acero pdr-60. incluye todos los costos de suministro de materiales (refuerzo (g60) figurado, corrugado, incluye el alambre de amarre), equipos, transportes, manejo, almacenamiento, desperdicios y mano de obra, en:</v>
      </c>
      <c r="I70" s="74" t="str">
        <f>'Memoria P7'!$C$35</f>
        <v>kg</v>
      </c>
      <c r="J70" s="75">
        <f>'Memoria P7'!$D$35</f>
        <v>20035.497393637859</v>
      </c>
      <c r="K70" s="74"/>
      <c r="L70" s="25" t="s">
        <v>85</v>
      </c>
    </row>
    <row r="71" spans="1:15" ht="47.25" x14ac:dyDescent="0.25">
      <c r="A71" s="73" t="s">
        <v>120</v>
      </c>
      <c r="B71" s="73"/>
      <c r="C71" s="25"/>
      <c r="D71" s="25" t="s">
        <v>82</v>
      </c>
      <c r="E71" s="25" t="s">
        <v>83</v>
      </c>
      <c r="F71" s="25" t="s">
        <v>87</v>
      </c>
      <c r="G71" s="74">
        <f>'Memoria P7'!$A$39</f>
        <v>3637</v>
      </c>
      <c r="H71" s="73" t="str">
        <f>'Memoria P7'!$B$39</f>
        <v>Concreto 4000 psi, premezclado, grava común (incluye suministro, formaleteo en madera, bombeo, colocación y curado. No incluye refuerzo), en:</v>
      </c>
      <c r="I71" s="74" t="str">
        <f>'Memoria P7'!$C$39</f>
        <v>m3</v>
      </c>
      <c r="J71" s="75">
        <f>'Memoria P7'!$D$39</f>
        <v>77.631302570733197</v>
      </c>
      <c r="K71" s="74"/>
      <c r="L71" s="25" t="s">
        <v>85</v>
      </c>
    </row>
    <row r="72" spans="1:15" ht="31.5" x14ac:dyDescent="0.25">
      <c r="A72" s="73" t="s">
        <v>120</v>
      </c>
      <c r="B72" s="20"/>
      <c r="C72" s="21"/>
      <c r="D72" s="25" t="s">
        <v>82</v>
      </c>
      <c r="E72" s="25" t="s">
        <v>83</v>
      </c>
      <c r="F72" s="25" t="s">
        <v>88</v>
      </c>
      <c r="G72" s="74">
        <f>'Memoria P7'!$A$42</f>
        <v>5055</v>
      </c>
      <c r="H72" s="73" t="str">
        <f>'Memoria P7'!$B$42</f>
        <v>Descabece de pilotes (incluye transporte y disposición final de escombros en sitio autorizado a 21 km.</v>
      </c>
      <c r="I72" s="74" t="str">
        <f>'Memoria P7'!$C$42</f>
        <v>m3</v>
      </c>
      <c r="J72" s="79">
        <f>'Memoria P7'!$D$42</f>
        <v>7.7723002249811488</v>
      </c>
      <c r="K72" s="74"/>
      <c r="L72" s="25" t="s">
        <v>85</v>
      </c>
    </row>
    <row r="73" spans="1:15" ht="47.25" x14ac:dyDescent="0.25">
      <c r="A73" s="73" t="s">
        <v>120</v>
      </c>
      <c r="B73" s="26"/>
      <c r="C73" s="27"/>
      <c r="D73" s="25" t="s">
        <v>82</v>
      </c>
      <c r="E73" s="25" t="s">
        <v>83</v>
      </c>
      <c r="F73" s="25" t="s">
        <v>92</v>
      </c>
      <c r="G73" s="74">
        <f>'Memoria P7'!$A$43</f>
        <v>6021</v>
      </c>
      <c r="H73" s="73" t="str">
        <f>'Memoria P7'!$B$43</f>
        <v>Concreto de nivelación 2000 psi grava común (140 kg/cm2) (premezclado. incluye suministro, fundida y nivelación y colocación. no incluye refuerzo, curado).</v>
      </c>
      <c r="I73" s="74" t="str">
        <f>'Memoria P7'!$C$43</f>
        <v>m3</v>
      </c>
      <c r="J73" s="79">
        <f>'Memoria P7'!$D$43</f>
        <v>1.1983407346410209</v>
      </c>
      <c r="K73" s="76"/>
      <c r="L73" s="25" t="s">
        <v>85</v>
      </c>
    </row>
    <row r="74" spans="1:15" ht="31.5" x14ac:dyDescent="0.25">
      <c r="A74" s="73" t="s">
        <v>120</v>
      </c>
      <c r="B74" s="7"/>
      <c r="C74" s="19"/>
      <c r="D74" s="25" t="s">
        <v>82</v>
      </c>
      <c r="E74" s="25" t="s">
        <v>83</v>
      </c>
      <c r="F74" s="25" t="s">
        <v>93</v>
      </c>
      <c r="G74" s="74">
        <f>'Memoria P7'!$A$44</f>
        <v>5416</v>
      </c>
      <c r="H74" s="73" t="str">
        <f>'Memoria P7'!$B$44</f>
        <v>Excavación mecánica para dados (nivel de funcionamiento, incluye cargue)</v>
      </c>
      <c r="I74" s="74" t="str">
        <f>'Memoria P7'!$C$44</f>
        <v>m3</v>
      </c>
      <c r="J74" s="79">
        <f>'Memoria P7'!$D$44</f>
        <v>141.97499999999999</v>
      </c>
      <c r="K74" s="74"/>
      <c r="L74" s="25" t="s">
        <v>85</v>
      </c>
    </row>
    <row r="75" spans="1:15" ht="63" x14ac:dyDescent="0.25">
      <c r="A75" s="73" t="s">
        <v>120</v>
      </c>
      <c r="B75" s="7"/>
      <c r="C75" s="19"/>
      <c r="D75" s="25" t="s">
        <v>82</v>
      </c>
      <c r="E75" s="25" t="s">
        <v>83</v>
      </c>
      <c r="F75" s="25" t="s">
        <v>94</v>
      </c>
      <c r="G75" s="74">
        <f>'Memoria P7'!$A$45</f>
        <v>3017</v>
      </c>
      <c r="H75" s="73" t="str">
        <f>'Memoria P7'!$B$45</f>
        <v>Transporte y disposición final de escombros en sitio autorizado (distancia de transporte 21 km) a distancia mayor del acarreo libre (90m) en sitio autorizado por la entidad ambiental competente.</v>
      </c>
      <c r="I75" s="74" t="str">
        <f>'Memoria P7'!$C$45</f>
        <v>m3</v>
      </c>
      <c r="J75" s="79">
        <f>'Memoria P7'!$D$45</f>
        <v>141.97499999999999</v>
      </c>
      <c r="K75" s="74"/>
      <c r="L75" s="25" t="s">
        <v>85</v>
      </c>
    </row>
    <row r="76" spans="1:15" ht="47.25" x14ac:dyDescent="0.25">
      <c r="A76" s="73" t="s">
        <v>120</v>
      </c>
      <c r="B76" s="7"/>
      <c r="C76" s="19"/>
      <c r="D76" s="25" t="s">
        <v>82</v>
      </c>
      <c r="E76" s="25" t="s">
        <v>83</v>
      </c>
      <c r="F76" s="25" t="s">
        <v>95</v>
      </c>
      <c r="G76" s="74">
        <f>'Memoria P7'!$A$46</f>
        <v>4908</v>
      </c>
      <c r="H76" s="73" t="str">
        <f>'Memoria P7'!$B$46</f>
        <v>Relleno con material de banco, incluye acarreo, equipo, herramienta, mano de obra y todo lo necesario para su correcta ejecución, P.U.O.T.</v>
      </c>
      <c r="I76" s="74" t="str">
        <f>'Memoria P7'!$C$46</f>
        <v>m3</v>
      </c>
      <c r="J76" s="79">
        <f>'Memoria P7'!$D$46</f>
        <v>84.614953765368625</v>
      </c>
      <c r="K76" s="74"/>
      <c r="L76" s="25" t="s">
        <v>85</v>
      </c>
    </row>
    <row r="77" spans="1:15" x14ac:dyDescent="0.25">
      <c r="A77" s="118"/>
      <c r="B77" s="119"/>
      <c r="C77" s="119"/>
      <c r="D77" s="119"/>
      <c r="E77" s="119"/>
      <c r="F77" s="119"/>
      <c r="G77" s="119"/>
      <c r="H77" s="119"/>
      <c r="I77" s="119"/>
      <c r="J77" s="119"/>
      <c r="K77" s="119"/>
      <c r="L77" s="120"/>
    </row>
    <row r="78" spans="1:15" ht="78.75" x14ac:dyDescent="0.25">
      <c r="A78" s="73" t="s">
        <v>121</v>
      </c>
      <c r="B78" s="73"/>
      <c r="C78" s="25"/>
      <c r="D78" s="25" t="s">
        <v>82</v>
      </c>
      <c r="E78" s="25" t="s">
        <v>83</v>
      </c>
      <c r="F78" s="25" t="s">
        <v>84</v>
      </c>
      <c r="G78" s="74">
        <f>'Memoria P8'!$A$34</f>
        <v>6007</v>
      </c>
      <c r="H78" s="73" t="str">
        <f>'Memoria P8'!$B$34</f>
        <v>Pilote preexcavado en concreto tremie de 4000 psi (280 kg/cm2) acelerado a 2 días. incluye acelerante, alquiler de equipo de perforación con operario, motobomba, bentonita, mano de obra, transporte y disposición final de escombros en sitio autorizado. distancia de transporte 21 km.</v>
      </c>
      <c r="I78" s="74" t="str">
        <f>'Memoria P8'!$C$34</f>
        <v>m3</v>
      </c>
      <c r="J78" s="75">
        <f>'Memoria P8'!$D$34</f>
        <v>40.997784129346805</v>
      </c>
      <c r="K78" s="74"/>
      <c r="L78" s="25" t="s">
        <v>85</v>
      </c>
      <c r="O78" s="98"/>
    </row>
    <row r="79" spans="1:15" ht="94.5" x14ac:dyDescent="0.25">
      <c r="A79" s="73" t="s">
        <v>121</v>
      </c>
      <c r="B79" s="73"/>
      <c r="C79" s="25"/>
      <c r="D79" s="25" t="s">
        <v>82</v>
      </c>
      <c r="E79" s="25" t="s">
        <v>83</v>
      </c>
      <c r="F79" s="25" t="s">
        <v>86</v>
      </c>
      <c r="G79" s="74">
        <f>'Memoria P8'!$A$35</f>
        <v>3708</v>
      </c>
      <c r="H79" s="73" t="str">
        <f>'Memoria P8'!$B$35</f>
        <v>Acero de refuerzo fy=60000 psi. Suministro e instalación.  de acuerdo a lo estipulado por la nsr-10, norma Astm A-706, icontec 2289 para el acero pdr-60. incluye todos los costos de suministro de materiales (refuerzo (g60) figurado, corrugado, incluye el alambre de amarre), equipos, transportes, manejo, almacenamiento, desperdicios y mano de obra, en:</v>
      </c>
      <c r="I79" s="74" t="str">
        <f>'Memoria P8'!$C$35</f>
        <v>kg</v>
      </c>
      <c r="J79" s="75">
        <f>'Memoria P8'!$D$35</f>
        <v>12482.254851724214</v>
      </c>
      <c r="K79" s="74"/>
      <c r="L79" s="25" t="s">
        <v>85</v>
      </c>
    </row>
    <row r="80" spans="1:15" ht="47.25" x14ac:dyDescent="0.25">
      <c r="A80" s="73" t="s">
        <v>121</v>
      </c>
      <c r="B80" s="73"/>
      <c r="C80" s="25"/>
      <c r="D80" s="25" t="s">
        <v>82</v>
      </c>
      <c r="E80" s="25" t="s">
        <v>83</v>
      </c>
      <c r="F80" s="25" t="s">
        <v>87</v>
      </c>
      <c r="G80" s="74">
        <f>'Memoria P8'!$A$39</f>
        <v>3637</v>
      </c>
      <c r="H80" s="73" t="str">
        <f>'Memoria P8'!$B$39</f>
        <v>Concreto 4000 psi, premezclado, grava común (incluye suministro, formaleteo en madera, bombeo, colocación y curado. No incluye refuerzo), en:</v>
      </c>
      <c r="I80" s="74" t="str">
        <f>'Memoria P8'!$C$39</f>
        <v>m3</v>
      </c>
      <c r="J80" s="75">
        <f>'Memoria P8'!$D$39</f>
        <v>73.649333882308142</v>
      </c>
      <c r="K80" s="74"/>
      <c r="L80" s="25" t="s">
        <v>85</v>
      </c>
    </row>
    <row r="81" spans="1:15" ht="31.5" x14ac:dyDescent="0.25">
      <c r="A81" s="73" t="s">
        <v>121</v>
      </c>
      <c r="B81" s="20"/>
      <c r="C81" s="21"/>
      <c r="D81" s="25" t="s">
        <v>82</v>
      </c>
      <c r="E81" s="25" t="s">
        <v>83</v>
      </c>
      <c r="F81" s="25" t="s">
        <v>88</v>
      </c>
      <c r="G81" s="74">
        <f>'Memoria P8'!$A$42</f>
        <v>5055</v>
      </c>
      <c r="H81" s="73" t="str">
        <f>'Memoria P8'!$B$42</f>
        <v>Descabece de pilotes (incluye transporte y disposición final de escombros en sitio autorizado a 21 km.</v>
      </c>
      <c r="I81" s="74" t="str">
        <f>'Memoria P8'!$C$42</f>
        <v>m3</v>
      </c>
      <c r="J81" s="79">
        <f>'Memoria P8'!$D$42</f>
        <v>9.5818575934488681</v>
      </c>
      <c r="K81" s="74"/>
      <c r="L81" s="25" t="s">
        <v>85</v>
      </c>
    </row>
    <row r="82" spans="1:15" ht="47.25" x14ac:dyDescent="0.25">
      <c r="A82" s="73" t="s">
        <v>121</v>
      </c>
      <c r="B82" s="26"/>
      <c r="C82" s="27"/>
      <c r="D82" s="25" t="s">
        <v>82</v>
      </c>
      <c r="E82" s="25" t="s">
        <v>83</v>
      </c>
      <c r="F82" s="25" t="s">
        <v>92</v>
      </c>
      <c r="G82" s="74">
        <f>'Memoria P8'!$A$43</f>
        <v>6021</v>
      </c>
      <c r="H82" s="73" t="str">
        <f>'Memoria P8'!$B$43</f>
        <v>Concreto de nivelación 2000 psi grava común (140 kg/cm2) (premezclado. incluye suministro, fundida y nivelación y colocación. no incluye refuerzo, curado).</v>
      </c>
      <c r="I82" s="74" t="str">
        <f>'Memoria P8'!$C$43</f>
        <v>m3</v>
      </c>
      <c r="J82" s="79">
        <f>'Memoria P8'!$D$43</f>
        <v>1.1983407346410209</v>
      </c>
      <c r="K82" s="76"/>
      <c r="L82" s="25" t="s">
        <v>85</v>
      </c>
    </row>
    <row r="83" spans="1:15" ht="31.5" x14ac:dyDescent="0.25">
      <c r="A83" s="73" t="s">
        <v>121</v>
      </c>
      <c r="B83" s="7"/>
      <c r="C83" s="19"/>
      <c r="D83" s="25" t="s">
        <v>82</v>
      </c>
      <c r="E83" s="25" t="s">
        <v>83</v>
      </c>
      <c r="F83" s="25" t="s">
        <v>93</v>
      </c>
      <c r="G83" s="74">
        <f>'Memoria P8'!$A$44</f>
        <v>5416</v>
      </c>
      <c r="H83" s="73" t="str">
        <f>'Memoria P8'!$B$44</f>
        <v>Excavación mecánica para dados (nivel de funcionamiento, incluye cargue)</v>
      </c>
      <c r="I83" s="74" t="str">
        <f>'Memoria P8'!$C$44</f>
        <v>m3</v>
      </c>
      <c r="J83" s="79">
        <f>'Memoria P8'!$D$44</f>
        <v>174.37499999999997</v>
      </c>
      <c r="K83" s="74"/>
      <c r="L83" s="25" t="s">
        <v>85</v>
      </c>
    </row>
    <row r="84" spans="1:15" ht="63" x14ac:dyDescent="0.25">
      <c r="A84" s="73" t="s">
        <v>121</v>
      </c>
      <c r="B84" s="7"/>
      <c r="C84" s="19"/>
      <c r="D84" s="25" t="s">
        <v>82</v>
      </c>
      <c r="E84" s="25" t="s">
        <v>83</v>
      </c>
      <c r="F84" s="25" t="s">
        <v>94</v>
      </c>
      <c r="G84" s="74">
        <f>'Memoria P8'!$A$45</f>
        <v>3017</v>
      </c>
      <c r="H84" s="73" t="str">
        <f>'Memoria P8'!$B$45</f>
        <v>Transporte y disposición final de escombros en sitio autorizado (distancia de transporte 21 km) a distancia mayor del acarreo libre (90m) en sitio autorizado por la entidad ambiental competente.</v>
      </c>
      <c r="I84" s="74" t="str">
        <f>'Memoria P8'!$C$45</f>
        <v>m3</v>
      </c>
      <c r="J84" s="79">
        <f>'Memoria P8'!$D$45</f>
        <v>174.37499999999997</v>
      </c>
      <c r="K84" s="74"/>
      <c r="L84" s="25" t="s">
        <v>85</v>
      </c>
    </row>
    <row r="85" spans="1:15" ht="47.25" x14ac:dyDescent="0.25">
      <c r="A85" s="73" t="s">
        <v>121</v>
      </c>
      <c r="B85" s="7"/>
      <c r="C85" s="19"/>
      <c r="D85" s="25" t="s">
        <v>82</v>
      </c>
      <c r="E85" s="25" t="s">
        <v>83</v>
      </c>
      <c r="F85" s="25" t="s">
        <v>95</v>
      </c>
      <c r="G85" s="74">
        <f>'Memoria P8'!$A$46</f>
        <v>4908</v>
      </c>
      <c r="H85" s="73" t="str">
        <f>'Memoria P8'!$B$46</f>
        <v>Relleno con material de banco, incluye acarreo, equipo, herramienta, mano de obra y todo lo necesario para su correcta ejecución, P.U.O.T.</v>
      </c>
      <c r="I85" s="74" t="str">
        <f>'Memoria P8'!$C$46</f>
        <v>m3</v>
      </c>
      <c r="J85" s="79">
        <f>'Memoria P8'!$D$46</f>
        <v>116.53119562060559</v>
      </c>
      <c r="K85" s="74"/>
      <c r="L85" s="25" t="s">
        <v>85</v>
      </c>
    </row>
    <row r="86" spans="1:15" ht="47.25" x14ac:dyDescent="0.25">
      <c r="A86" s="73" t="s">
        <v>121</v>
      </c>
      <c r="B86" s="7"/>
      <c r="C86" s="19"/>
      <c r="D86" s="25" t="s">
        <v>82</v>
      </c>
      <c r="E86" s="25" t="s">
        <v>83</v>
      </c>
      <c r="F86" s="25" t="s">
        <v>96</v>
      </c>
      <c r="G86" s="74">
        <f>'Memoria P8'!$A$47</f>
        <v>5196</v>
      </c>
      <c r="H86" s="73" t="str">
        <f>'Memoria P8'!$B$47</f>
        <v>Demolición de concreto: espesores 8cm a 15cm. (incluye retiro de material, transporte y disposición final de escombros en sitio autorizado)</v>
      </c>
      <c r="I86" s="74" t="str">
        <f>'Memoria P8'!$C$47</f>
        <v>m3</v>
      </c>
      <c r="J86" s="79">
        <f>'Memoria P8'!$D$47</f>
        <v>8.4375</v>
      </c>
      <c r="K86" s="74"/>
      <c r="L86" s="25" t="s">
        <v>85</v>
      </c>
    </row>
    <row r="87" spans="1:15" x14ac:dyDescent="0.25">
      <c r="A87" s="118"/>
      <c r="B87" s="119"/>
      <c r="C87" s="119"/>
      <c r="D87" s="119"/>
      <c r="E87" s="119"/>
      <c r="F87" s="119"/>
      <c r="G87" s="119"/>
      <c r="H87" s="119"/>
      <c r="I87" s="119"/>
      <c r="J87" s="119"/>
      <c r="K87" s="119"/>
      <c r="L87" s="120"/>
    </row>
    <row r="88" spans="1:15" ht="78.75" x14ac:dyDescent="0.25">
      <c r="A88" s="73" t="s">
        <v>122</v>
      </c>
      <c r="B88" s="73"/>
      <c r="C88" s="25"/>
      <c r="D88" s="25" t="s">
        <v>82</v>
      </c>
      <c r="E88" s="25" t="s">
        <v>83</v>
      </c>
      <c r="F88" s="25" t="s">
        <v>84</v>
      </c>
      <c r="G88" s="74">
        <f>'Memoria P9'!$A$34</f>
        <v>6007</v>
      </c>
      <c r="H88" s="73" t="str">
        <f>'Memoria P9'!$B$34</f>
        <v>Pilote preexcavado en concreto tremie de 4000 psi (280 kg/cm2) acelerado a 2 días. incluye acelerante, alquiler de equipo de perforación con operario, motobomba, bentonita, mano de obra, transporte y disposición final de escombros en sitio autorizado. distancia de transporte 21 km.</v>
      </c>
      <c r="I88" s="74" t="str">
        <f>'Memoria P9'!$C$34</f>
        <v>m3</v>
      </c>
      <c r="J88" s="75">
        <f>'Memoria P9'!$D$34</f>
        <v>55.134951070500868</v>
      </c>
      <c r="K88" s="74"/>
      <c r="L88" s="25" t="s">
        <v>85</v>
      </c>
      <c r="O88" s="98"/>
    </row>
    <row r="89" spans="1:15" ht="94.5" x14ac:dyDescent="0.25">
      <c r="A89" s="73" t="s">
        <v>122</v>
      </c>
      <c r="B89" s="73"/>
      <c r="C89" s="25"/>
      <c r="D89" s="25" t="s">
        <v>82</v>
      </c>
      <c r="E89" s="25" t="s">
        <v>83</v>
      </c>
      <c r="F89" s="25" t="s">
        <v>86</v>
      </c>
      <c r="G89" s="74">
        <f>'Memoria P9'!$A$35</f>
        <v>3708</v>
      </c>
      <c r="H89" s="73" t="str">
        <f>'Memoria P9'!$B$35</f>
        <v>Acero de refuerzo fy=60000 psi. Suministro e instalación.  de acuerdo a lo estipulado por la nsr-10, norma Astm A-706, icontec 2289 para el acero pdr-60. incluye todos los costos de suministro de materiales (refuerzo (g60) figurado, corrugado, incluye el alambre de amarre), equipos, transportes, manejo, almacenamiento, desperdicios y mano de obra, en:</v>
      </c>
      <c r="I89" s="74" t="str">
        <f>'Memoria P9'!$C$35</f>
        <v>kg</v>
      </c>
      <c r="J89" s="75">
        <f>'Memoria P9'!$D$35</f>
        <v>16799.622286326983</v>
      </c>
      <c r="K89" s="74"/>
      <c r="L89" s="25" t="s">
        <v>85</v>
      </c>
    </row>
    <row r="90" spans="1:15" ht="47.25" x14ac:dyDescent="0.25">
      <c r="A90" s="73" t="s">
        <v>122</v>
      </c>
      <c r="B90" s="73"/>
      <c r="C90" s="25"/>
      <c r="D90" s="25" t="s">
        <v>82</v>
      </c>
      <c r="E90" s="25" t="s">
        <v>83</v>
      </c>
      <c r="F90" s="25" t="s">
        <v>87</v>
      </c>
      <c r="G90" s="74">
        <f>'Memoria P9'!$A$39</f>
        <v>3637</v>
      </c>
      <c r="H90" s="73" t="str">
        <f>'Memoria P9'!$B$39</f>
        <v>Concreto 4000 psi, premezclado, grava común (incluye suministro, formaleteo en madera, bombeo, colocación y curado. No incluye refuerzo), en:</v>
      </c>
      <c r="I90" s="74" t="str">
        <f>'Memoria P9'!$C$39</f>
        <v>m3</v>
      </c>
      <c r="J90" s="75">
        <f>'Memoria P9'!$D$39</f>
        <v>77.631302570733197</v>
      </c>
      <c r="K90" s="74"/>
      <c r="L90" s="25" t="s">
        <v>85</v>
      </c>
    </row>
    <row r="91" spans="1:15" ht="31.5" x14ac:dyDescent="0.25">
      <c r="A91" s="73" t="s">
        <v>122</v>
      </c>
      <c r="B91" s="20"/>
      <c r="C91" s="21"/>
      <c r="D91" s="25" t="s">
        <v>82</v>
      </c>
      <c r="E91" s="25" t="s">
        <v>83</v>
      </c>
      <c r="F91" s="25" t="s">
        <v>88</v>
      </c>
      <c r="G91" s="74">
        <f>'Memoria P9'!$A$42</f>
        <v>5055</v>
      </c>
      <c r="H91" s="73" t="str">
        <f>'Memoria P9'!$B$42</f>
        <v>Descabece de pilotes (incluye transporte y disposición final de escombros en sitio autorizado a 21 km.</v>
      </c>
      <c r="I91" s="74" t="str">
        <f>'Memoria P9'!$C$42</f>
        <v>m3</v>
      </c>
      <c r="J91" s="79">
        <f>'Memoria P9'!$D$42</f>
        <v>7.7283179278308909</v>
      </c>
      <c r="K91" s="74"/>
      <c r="L91" s="25" t="s">
        <v>85</v>
      </c>
    </row>
    <row r="92" spans="1:15" ht="47.25" x14ac:dyDescent="0.25">
      <c r="A92" s="73" t="s">
        <v>122</v>
      </c>
      <c r="B92" s="26"/>
      <c r="C92" s="27"/>
      <c r="D92" s="25" t="s">
        <v>82</v>
      </c>
      <c r="E92" s="25" t="s">
        <v>83</v>
      </c>
      <c r="F92" s="25" t="s">
        <v>92</v>
      </c>
      <c r="G92" s="74">
        <f>'Memoria P9'!$A$43</f>
        <v>6021</v>
      </c>
      <c r="H92" s="73" t="str">
        <f>'Memoria P9'!$B$43</f>
        <v>Concreto de nivelación 2000 psi grava común (140 kg/cm2) (premezclado. incluye suministro, fundida y nivelación y colocación. no incluye refuerzo, curado).</v>
      </c>
      <c r="I92" s="74" t="str">
        <f>'Memoria P9'!$C$43</f>
        <v>m3</v>
      </c>
      <c r="J92" s="79">
        <f>'Memoria P9'!$D$43</f>
        <v>1.1983407346410209</v>
      </c>
      <c r="K92" s="76"/>
      <c r="L92" s="25" t="s">
        <v>85</v>
      </c>
    </row>
    <row r="93" spans="1:15" ht="31.5" x14ac:dyDescent="0.25">
      <c r="A93" s="73" t="s">
        <v>122</v>
      </c>
      <c r="B93" s="7"/>
      <c r="C93" s="19"/>
      <c r="D93" s="25" t="s">
        <v>82</v>
      </c>
      <c r="E93" s="25" t="s">
        <v>83</v>
      </c>
      <c r="F93" s="25" t="s">
        <v>93</v>
      </c>
      <c r="G93" s="74">
        <f>'Memoria P9'!$A$44</f>
        <v>5416</v>
      </c>
      <c r="H93" s="73" t="str">
        <f>'Memoria P9'!$B$44</f>
        <v>Excavación mecánica para dados (nivel de funcionamiento, incluye cargue)</v>
      </c>
      <c r="I93" s="74" t="str">
        <f>'Memoria P9'!$C$44</f>
        <v>m3</v>
      </c>
      <c r="J93" s="79">
        <f>'Memoria P9'!$D$44</f>
        <v>141.1875</v>
      </c>
      <c r="K93" s="74"/>
      <c r="L93" s="25" t="s">
        <v>85</v>
      </c>
    </row>
    <row r="94" spans="1:15" ht="63" x14ac:dyDescent="0.25">
      <c r="A94" s="73" t="s">
        <v>122</v>
      </c>
      <c r="B94" s="7"/>
      <c r="C94" s="19"/>
      <c r="D94" s="25" t="s">
        <v>82</v>
      </c>
      <c r="E94" s="25" t="s">
        <v>83</v>
      </c>
      <c r="F94" s="25" t="s">
        <v>94</v>
      </c>
      <c r="G94" s="74">
        <f>'Memoria P9'!$A$45</f>
        <v>3017</v>
      </c>
      <c r="H94" s="73" t="str">
        <f>'Memoria P9'!$B$45</f>
        <v>Transporte y disposición final de escombros en sitio autorizado (distancia de transporte 21 km) a distancia mayor del acarreo libre (90m) en sitio autorizado por la entidad ambiental competente.</v>
      </c>
      <c r="I94" s="74" t="str">
        <f>'Memoria P9'!$C$45</f>
        <v>m3</v>
      </c>
      <c r="J94" s="79">
        <f>'Memoria P9'!$D$45</f>
        <v>141.1875</v>
      </c>
      <c r="K94" s="74"/>
      <c r="L94" s="25" t="s">
        <v>85</v>
      </c>
    </row>
    <row r="95" spans="1:15" ht="47.25" x14ac:dyDescent="0.25">
      <c r="A95" s="73" t="s">
        <v>122</v>
      </c>
      <c r="B95" s="7"/>
      <c r="C95" s="19"/>
      <c r="D95" s="25" t="s">
        <v>82</v>
      </c>
      <c r="E95" s="25" t="s">
        <v>83</v>
      </c>
      <c r="F95" s="25" t="s">
        <v>95</v>
      </c>
      <c r="G95" s="74">
        <f>'Memoria P9'!$A$46</f>
        <v>4908</v>
      </c>
      <c r="H95" s="73" t="str">
        <f>'Memoria P9'!$B$46</f>
        <v>Relleno con material de banco, incluye acarreo, equipo, herramienta, mano de obra y todo lo necesario para su correcta ejecución, P.U.O.T.</v>
      </c>
      <c r="I95" s="74" t="str">
        <f>'Memoria P9'!$C$46</f>
        <v>m3</v>
      </c>
      <c r="J95" s="79">
        <f>'Memoria P9'!$D$46</f>
        <v>83.977983177365388</v>
      </c>
      <c r="K95" s="74"/>
      <c r="L95" s="25" t="s">
        <v>85</v>
      </c>
    </row>
    <row r="96" spans="1:15" ht="47.25" x14ac:dyDescent="0.25">
      <c r="A96" s="73" t="s">
        <v>122</v>
      </c>
      <c r="B96" s="7"/>
      <c r="C96" s="19"/>
      <c r="D96" s="25" t="s">
        <v>82</v>
      </c>
      <c r="E96" s="25" t="s">
        <v>83</v>
      </c>
      <c r="F96" s="25" t="s">
        <v>96</v>
      </c>
      <c r="G96" s="74">
        <f>'Memoria P9'!$A$47</f>
        <v>5196</v>
      </c>
      <c r="H96" s="73" t="str">
        <f>'Memoria P9'!$B$47</f>
        <v>Demolición de concreto: espesores 8cm a 15cm. (incluye retiro de material, transporte y disposición final de escombros en sitio autorizado)</v>
      </c>
      <c r="I96" s="74" t="str">
        <f>'Memoria P9'!$C$47</f>
        <v>m3</v>
      </c>
      <c r="J96" s="79">
        <f>'Memoria P9'!$D$47</f>
        <v>8.4375</v>
      </c>
      <c r="K96" s="74"/>
      <c r="L96" s="25" t="s">
        <v>85</v>
      </c>
    </row>
    <row r="97" spans="1:15" x14ac:dyDescent="0.25">
      <c r="A97" s="118"/>
      <c r="B97" s="119"/>
      <c r="C97" s="119"/>
      <c r="D97" s="119"/>
      <c r="E97" s="119"/>
      <c r="F97" s="119"/>
      <c r="G97" s="119"/>
      <c r="H97" s="119"/>
      <c r="I97" s="119"/>
      <c r="J97" s="119"/>
      <c r="K97" s="119"/>
      <c r="L97" s="120"/>
    </row>
    <row r="98" spans="1:15" ht="78.75" x14ac:dyDescent="0.25">
      <c r="A98" s="73" t="s">
        <v>123</v>
      </c>
      <c r="B98" s="73"/>
      <c r="C98" s="25"/>
      <c r="D98" s="25" t="s">
        <v>82</v>
      </c>
      <c r="E98" s="25" t="s">
        <v>83</v>
      </c>
      <c r="F98" s="25" t="s">
        <v>84</v>
      </c>
      <c r="G98" s="74">
        <f>'Memoria P10'!$A$34</f>
        <v>6007</v>
      </c>
      <c r="H98" s="73" t="str">
        <f>'Memoria P10'!$B$34</f>
        <v>Pilote preexcavado en concreto tremie de 4000 psi (280 kg/cm2) acelerado a 2 días. incluye acelerante, alquiler de equipo de perforación con operario, motobomba, bentonita, mano de obra, transporte y disposición final de escombros en sitio autorizado. distancia de transporte 21 km.</v>
      </c>
      <c r="I98" s="74" t="str">
        <f>'Memoria P10'!$C$34</f>
        <v>m3</v>
      </c>
      <c r="J98" s="75">
        <f>'Memoria P10'!$D$34</f>
        <v>38.924332977977535</v>
      </c>
      <c r="K98" s="74"/>
      <c r="L98" s="25" t="s">
        <v>85</v>
      </c>
      <c r="O98" s="98"/>
    </row>
    <row r="99" spans="1:15" ht="94.5" x14ac:dyDescent="0.25">
      <c r="A99" s="73" t="s">
        <v>123</v>
      </c>
      <c r="B99" s="73"/>
      <c r="C99" s="25"/>
      <c r="D99" s="25" t="s">
        <v>82</v>
      </c>
      <c r="E99" s="25" t="s">
        <v>83</v>
      </c>
      <c r="F99" s="25" t="s">
        <v>86</v>
      </c>
      <c r="G99" s="74">
        <f>'Memoria P10'!$A$35</f>
        <v>3708</v>
      </c>
      <c r="H99" s="73" t="str">
        <f>'Memoria P10'!$B$35</f>
        <v>Acero de refuerzo fy=60000 psi. Suministro e instalación.  de acuerdo a lo estipulado por la nsr-10, norma Astm A-706, icontec 2289 para el acero pdr-60. incluye todos los costos de suministro de materiales (refuerzo (g60) figurado, corrugado, incluye el alambre de amarre), equipos, transportes, manejo, almacenamiento, desperdicios y mano de obra, en:</v>
      </c>
      <c r="I99" s="74" t="str">
        <f>'Memoria P10'!$C$35</f>
        <v>kg</v>
      </c>
      <c r="J99" s="75">
        <f>'Memoria P10'!$D$35</f>
        <v>12282.052148152907</v>
      </c>
      <c r="K99" s="74"/>
      <c r="L99" s="25" t="s">
        <v>85</v>
      </c>
    </row>
    <row r="100" spans="1:15" ht="47.25" x14ac:dyDescent="0.25">
      <c r="A100" s="73" t="s">
        <v>123</v>
      </c>
      <c r="B100" s="73"/>
      <c r="C100" s="25"/>
      <c r="D100" s="25" t="s">
        <v>82</v>
      </c>
      <c r="E100" s="25" t="s">
        <v>83</v>
      </c>
      <c r="F100" s="25" t="s">
        <v>87</v>
      </c>
      <c r="G100" s="74">
        <f>'Memoria P10'!$A$39</f>
        <v>3637</v>
      </c>
      <c r="H100" s="73" t="str">
        <f>'Memoria P10'!$B$39</f>
        <v>Concreto 4000 psi, premezclado, grava común (incluye suministro, formaleteo en madera, bombeo, colocación y curado. No incluye refuerzo), en:</v>
      </c>
      <c r="I100" s="74" t="str">
        <f>'Memoria P10'!$C$39</f>
        <v>m3</v>
      </c>
      <c r="J100" s="75">
        <f>'Memoria P10'!$D$39</f>
        <v>66.580750411731103</v>
      </c>
      <c r="K100" s="74"/>
      <c r="L100" s="25" t="s">
        <v>85</v>
      </c>
    </row>
    <row r="101" spans="1:15" ht="31.5" x14ac:dyDescent="0.25">
      <c r="A101" s="73" t="s">
        <v>123</v>
      </c>
      <c r="B101" s="20"/>
      <c r="C101" s="21"/>
      <c r="D101" s="25" t="s">
        <v>82</v>
      </c>
      <c r="E101" s="25" t="s">
        <v>83</v>
      </c>
      <c r="F101" s="25" t="s">
        <v>88</v>
      </c>
      <c r="G101" s="74">
        <f>'Memoria P10'!$A$42</f>
        <v>5055</v>
      </c>
      <c r="H101" s="73" t="str">
        <f>'Memoria P10'!$B$42</f>
        <v>Descabece de pilotes (incluye transporte y disposición final de escombros en sitio autorizado a 21 km.</v>
      </c>
      <c r="I101" s="74" t="str">
        <f>'Memoria P10'!$C$42</f>
        <v>m3</v>
      </c>
      <c r="J101" s="79">
        <f>'Memoria P10'!$D$42</f>
        <v>7.5084064420796057</v>
      </c>
      <c r="K101" s="74"/>
      <c r="L101" s="25" t="s">
        <v>85</v>
      </c>
    </row>
    <row r="102" spans="1:15" ht="47.25" x14ac:dyDescent="0.25">
      <c r="A102" s="73" t="s">
        <v>123</v>
      </c>
      <c r="B102" s="26"/>
      <c r="C102" s="27"/>
      <c r="D102" s="25" t="s">
        <v>82</v>
      </c>
      <c r="E102" s="25" t="s">
        <v>83</v>
      </c>
      <c r="F102" s="25" t="s">
        <v>92</v>
      </c>
      <c r="G102" s="74">
        <f>'Memoria P10'!$A$43</f>
        <v>6021</v>
      </c>
      <c r="H102" s="73" t="str">
        <f>'Memoria P10'!$B$43</f>
        <v>Concreto de nivelación 2000 psi grava común (140 kg/cm2) (premezclado. incluye suministro, fundida y nivelación y colocación. no incluye refuerzo, curado).</v>
      </c>
      <c r="I102" s="74" t="str">
        <f>'Memoria P10'!$C$43</f>
        <v>m3</v>
      </c>
      <c r="J102" s="79">
        <f>'Memoria P10'!$D$43</f>
        <v>1.1983407346410209</v>
      </c>
      <c r="K102" s="76"/>
      <c r="L102" s="25" t="s">
        <v>85</v>
      </c>
    </row>
    <row r="103" spans="1:15" ht="31.5" x14ac:dyDescent="0.25">
      <c r="A103" s="73" t="s">
        <v>123</v>
      </c>
      <c r="B103" s="7"/>
      <c r="C103" s="19"/>
      <c r="D103" s="25" t="s">
        <v>82</v>
      </c>
      <c r="E103" s="25" t="s">
        <v>83</v>
      </c>
      <c r="F103" s="25" t="s">
        <v>93</v>
      </c>
      <c r="G103" s="74">
        <f>'Memoria P10'!$A$44</f>
        <v>5416</v>
      </c>
      <c r="H103" s="73" t="str">
        <f>'Memoria P10'!$B$44</f>
        <v>Excavación mecánica para dados (nivel de funcionamiento, incluye cargue)</v>
      </c>
      <c r="I103" s="74" t="str">
        <f>'Memoria P10'!$C$44</f>
        <v>m3</v>
      </c>
      <c r="J103" s="79">
        <f>'Memoria P10'!$D$44</f>
        <v>137.25</v>
      </c>
      <c r="K103" s="74"/>
      <c r="L103" s="25" t="s">
        <v>85</v>
      </c>
    </row>
    <row r="104" spans="1:15" ht="63" x14ac:dyDescent="0.25">
      <c r="A104" s="73" t="s">
        <v>123</v>
      </c>
      <c r="B104" s="7"/>
      <c r="C104" s="19"/>
      <c r="D104" s="25" t="s">
        <v>82</v>
      </c>
      <c r="E104" s="25" t="s">
        <v>83</v>
      </c>
      <c r="F104" s="25" t="s">
        <v>94</v>
      </c>
      <c r="G104" s="74">
        <f>'Memoria P10'!$A$45</f>
        <v>3017</v>
      </c>
      <c r="H104" s="73" t="str">
        <f>'Memoria P10'!$B$45</f>
        <v>Transporte y disposición final de escombros en sitio autorizado (distancia de transporte 21 km) a distancia mayor del acarreo libre (90m) en sitio autorizado por la entidad ambiental competente.</v>
      </c>
      <c r="I104" s="74" t="str">
        <f>'Memoria P10'!$C$45</f>
        <v>m3</v>
      </c>
      <c r="J104" s="79">
        <f>'Memoria P10'!$D$45</f>
        <v>137.25</v>
      </c>
      <c r="K104" s="74"/>
      <c r="L104" s="25" t="s">
        <v>85</v>
      </c>
    </row>
    <row r="105" spans="1:15" ht="47.25" x14ac:dyDescent="0.25">
      <c r="A105" s="73" t="s">
        <v>123</v>
      </c>
      <c r="B105" s="7"/>
      <c r="C105" s="19"/>
      <c r="D105" s="25" t="s">
        <v>82</v>
      </c>
      <c r="E105" s="25" t="s">
        <v>83</v>
      </c>
      <c r="F105" s="25" t="s">
        <v>95</v>
      </c>
      <c r="G105" s="74">
        <f>'Memoria P10'!$A$46</f>
        <v>4908</v>
      </c>
      <c r="H105" s="73" t="str">
        <f>'Memoria P10'!$B$46</f>
        <v>Relleno con material de banco, incluye acarreo, equipo, herramienta, mano de obra y todo lo necesario para su correcta ejecución, P.U.O.T.</v>
      </c>
      <c r="I105" s="74" t="str">
        <f>'Memoria P10'!$C$46</f>
        <v>m3</v>
      </c>
      <c r="J105" s="79">
        <f>'Memoria P10'!$D$46</f>
        <v>84.071460711186447</v>
      </c>
      <c r="K105" s="74"/>
      <c r="L105" s="25" t="s">
        <v>85</v>
      </c>
    </row>
    <row r="106" spans="1:15" x14ac:dyDescent="0.25">
      <c r="A106" s="118"/>
      <c r="B106" s="119"/>
      <c r="C106" s="119"/>
      <c r="D106" s="119"/>
      <c r="E106" s="119"/>
      <c r="F106" s="119"/>
      <c r="G106" s="119"/>
      <c r="H106" s="119"/>
      <c r="I106" s="119"/>
      <c r="J106" s="119"/>
      <c r="K106" s="119"/>
      <c r="L106" s="120"/>
    </row>
    <row r="107" spans="1:15" ht="78.75" x14ac:dyDescent="0.25">
      <c r="A107" s="73" t="s">
        <v>124</v>
      </c>
      <c r="B107" s="73"/>
      <c r="C107" s="25"/>
      <c r="D107" s="25" t="s">
        <v>82</v>
      </c>
      <c r="E107" s="25" t="s">
        <v>83</v>
      </c>
      <c r="F107" s="25" t="s">
        <v>84</v>
      </c>
      <c r="G107" s="74">
        <f>'Memoria P11'!$A$34</f>
        <v>6007</v>
      </c>
      <c r="H107" s="73" t="str">
        <f>'Memoria P11'!$B$34</f>
        <v>Pilote preexcavado en concreto tremie de 4000 psi (280 kg/cm2) acelerado a 2 días. incluye acelerante, alquiler de equipo de perforación con operario, motobomba, bentonita, mano de obra, transporte y disposición final de escombros en sitio autorizado. distancia de transporte 21 km.</v>
      </c>
      <c r="I107" s="74" t="str">
        <f>'Memoria P11'!$C$34</f>
        <v>m3</v>
      </c>
      <c r="J107" s="75">
        <f>'Memoria P11'!$D$34</f>
        <v>58.433623356770156</v>
      </c>
      <c r="K107" s="74"/>
      <c r="L107" s="25" t="s">
        <v>85</v>
      </c>
      <c r="O107" s="98"/>
    </row>
    <row r="108" spans="1:15" ht="94.5" x14ac:dyDescent="0.25">
      <c r="A108" s="73" t="s">
        <v>124</v>
      </c>
      <c r="B108" s="73"/>
      <c r="C108" s="25"/>
      <c r="D108" s="25" t="s">
        <v>82</v>
      </c>
      <c r="E108" s="25" t="s">
        <v>83</v>
      </c>
      <c r="F108" s="25" t="s">
        <v>86</v>
      </c>
      <c r="G108" s="74">
        <f>'Memoria P11'!$A$35</f>
        <v>3708</v>
      </c>
      <c r="H108" s="73" t="str">
        <f>'Memoria P11'!$B$35</f>
        <v>Acero de refuerzo fy=60000 psi. Suministro e instalación.  de acuerdo a lo estipulado por la nsr-10, norma Astm A-706, icontec 2289 para el acero pdr-60. incluye todos los costos de suministro de materiales (refuerzo (g60) figurado, corrugado, incluye el alambre de amarre), equipos, transportes, manejo, almacenamiento, desperdicios y mano de obra, en:</v>
      </c>
      <c r="I108" s="74" t="str">
        <f>'Memoria P11'!$C$35</f>
        <v>kg</v>
      </c>
      <c r="J108" s="75">
        <f>'Memoria P11'!$D$35</f>
        <v>13425.54128224283</v>
      </c>
      <c r="K108" s="74"/>
      <c r="L108" s="25" t="s">
        <v>85</v>
      </c>
    </row>
    <row r="109" spans="1:15" ht="47.25" x14ac:dyDescent="0.25">
      <c r="A109" s="73" t="s">
        <v>124</v>
      </c>
      <c r="B109" s="73"/>
      <c r="C109" s="25"/>
      <c r="D109" s="25" t="s">
        <v>82</v>
      </c>
      <c r="E109" s="25" t="s">
        <v>83</v>
      </c>
      <c r="F109" s="25" t="s">
        <v>87</v>
      </c>
      <c r="G109" s="74">
        <f>'Memoria P11'!$A$39</f>
        <v>3637</v>
      </c>
      <c r="H109" s="73" t="str">
        <f>'Memoria P11'!$B$39</f>
        <v>Concreto 4000 psi, premezclado, grava común (incluye suministro, formaleteo en madera, bombeo, colocación y curado. No incluye refuerzo), en:</v>
      </c>
      <c r="I109" s="74" t="str">
        <f>'Memoria P11'!$C$39</f>
        <v>m3</v>
      </c>
      <c r="J109" s="75">
        <f>'Memoria P11'!$D$39</f>
        <v>68.446071049800054</v>
      </c>
      <c r="K109" s="74"/>
      <c r="L109" s="25" t="s">
        <v>85</v>
      </c>
    </row>
    <row r="110" spans="1:15" ht="31.5" x14ac:dyDescent="0.25">
      <c r="A110" s="73" t="s">
        <v>124</v>
      </c>
      <c r="B110" s="20"/>
      <c r="C110" s="21"/>
      <c r="D110" s="25" t="s">
        <v>82</v>
      </c>
      <c r="E110" s="25" t="s">
        <v>83</v>
      </c>
      <c r="F110" s="25" t="s">
        <v>88</v>
      </c>
      <c r="G110" s="74">
        <f>'Memoria P11'!$A$42</f>
        <v>5055</v>
      </c>
      <c r="H110" s="73" t="str">
        <f>'Memoria P11'!$B$42</f>
        <v>Descabece de pilotes (incluye transporte y disposición final de escombros en sitio autorizado a 21 km.</v>
      </c>
      <c r="I110" s="74" t="str">
        <f>'Memoria P11'!$C$42</f>
        <v>m3</v>
      </c>
      <c r="J110" s="79">
        <f>'Memoria P11'!$D$42</f>
        <v>8.1681408993334621</v>
      </c>
      <c r="K110" s="74"/>
      <c r="L110" s="25" t="s">
        <v>85</v>
      </c>
    </row>
    <row r="111" spans="1:15" ht="47.25" x14ac:dyDescent="0.25">
      <c r="A111" s="73" t="s">
        <v>124</v>
      </c>
      <c r="B111" s="26"/>
      <c r="C111" s="27"/>
      <c r="D111" s="25" t="s">
        <v>82</v>
      </c>
      <c r="E111" s="25" t="s">
        <v>83</v>
      </c>
      <c r="F111" s="25" t="s">
        <v>92</v>
      </c>
      <c r="G111" s="74">
        <f>'Memoria P11'!$A$43</f>
        <v>6021</v>
      </c>
      <c r="H111" s="73" t="str">
        <f>'Memoria P11'!$B$43</f>
        <v>Concreto de nivelación 2000 psi grava común (140 kg/cm2) (premezclado. incluye suministro, fundida y nivelación y colocación. no incluye refuerzo, curado).</v>
      </c>
      <c r="I111" s="74" t="str">
        <f>'Memoria P11'!$C$43</f>
        <v>m3</v>
      </c>
      <c r="J111" s="79">
        <f>'Memoria P11'!$D$43</f>
        <v>1.1983407346410209</v>
      </c>
      <c r="K111" s="76"/>
      <c r="L111" s="25" t="s">
        <v>85</v>
      </c>
    </row>
    <row r="112" spans="1:15" ht="31.5" x14ac:dyDescent="0.25">
      <c r="A112" s="73" t="s">
        <v>124</v>
      </c>
      <c r="B112" s="7"/>
      <c r="C112" s="19"/>
      <c r="D112" s="25" t="s">
        <v>82</v>
      </c>
      <c r="E112" s="25" t="s">
        <v>83</v>
      </c>
      <c r="F112" s="25" t="s">
        <v>93</v>
      </c>
      <c r="G112" s="74">
        <f>'Memoria P11'!$A$44</f>
        <v>5416</v>
      </c>
      <c r="H112" s="73" t="str">
        <f>'Memoria P11'!$B$44</f>
        <v>Excavación mecánica para dados (nivel de funcionamiento, incluye cargue)</v>
      </c>
      <c r="I112" s="74" t="str">
        <f>'Memoria P11'!$C$44</f>
        <v>m3</v>
      </c>
      <c r="J112" s="79">
        <f>'Memoria P11'!$D$44</f>
        <v>149.0625</v>
      </c>
      <c r="K112" s="74"/>
      <c r="L112" s="25" t="s">
        <v>85</v>
      </c>
    </row>
    <row r="113" spans="1:15" ht="63" x14ac:dyDescent="0.25">
      <c r="A113" s="73" t="s">
        <v>124</v>
      </c>
      <c r="B113" s="7"/>
      <c r="C113" s="19"/>
      <c r="D113" s="25" t="s">
        <v>82</v>
      </c>
      <c r="E113" s="25" t="s">
        <v>83</v>
      </c>
      <c r="F113" s="25" t="s">
        <v>94</v>
      </c>
      <c r="G113" s="74">
        <f>'Memoria P11'!$A$45</f>
        <v>3017</v>
      </c>
      <c r="H113" s="73" t="str">
        <f>'Memoria P11'!$B$45</f>
        <v>Transporte y disposición final de escombros en sitio autorizado (distancia de transporte 21 km) a distancia mayor del acarreo libre (90m) en sitio autorizado por la entidad ambiental competente.</v>
      </c>
      <c r="I113" s="74" t="str">
        <f>'Memoria P11'!$C$45</f>
        <v>m3</v>
      </c>
      <c r="J113" s="79">
        <f>'Memoria P11'!$D$45</f>
        <v>149.0625</v>
      </c>
      <c r="K113" s="74"/>
      <c r="L113" s="25" t="s">
        <v>85</v>
      </c>
    </row>
    <row r="114" spans="1:15" ht="47.25" x14ac:dyDescent="0.25">
      <c r="A114" s="73" t="s">
        <v>124</v>
      </c>
      <c r="B114" s="7"/>
      <c r="C114" s="19"/>
      <c r="D114" s="25" t="s">
        <v>82</v>
      </c>
      <c r="E114" s="25" t="s">
        <v>83</v>
      </c>
      <c r="F114" s="25" t="s">
        <v>95</v>
      </c>
      <c r="G114" s="74">
        <f>'Memoria P11'!$A$46</f>
        <v>4908</v>
      </c>
      <c r="H114" s="73" t="str">
        <f>'Memoria P11'!$B$46</f>
        <v>Relleno con material de banco, incluye acarreo, equipo, herramienta, mano de obra y todo lo necesario para su correcta ejecución, P.U.O.T.</v>
      </c>
      <c r="I114" s="74" t="str">
        <f>'Memoria P11'!$C$46</f>
        <v>m3</v>
      </c>
      <c r="J114" s="79">
        <f>'Memoria P11'!$D$46</f>
        <v>96.775387626642555</v>
      </c>
      <c r="K114" s="74"/>
      <c r="L114" s="25" t="s">
        <v>85</v>
      </c>
    </row>
    <row r="115" spans="1:15" ht="47.25" x14ac:dyDescent="0.25">
      <c r="A115" s="73" t="s">
        <v>124</v>
      </c>
      <c r="B115" s="7"/>
      <c r="C115" s="19"/>
      <c r="D115" s="25" t="s">
        <v>82</v>
      </c>
      <c r="E115" s="25" t="s">
        <v>83</v>
      </c>
      <c r="F115" s="25" t="s">
        <v>96</v>
      </c>
      <c r="G115" s="74">
        <f>'Memoria P11'!$A$47</f>
        <v>5196</v>
      </c>
      <c r="H115" s="73" t="str">
        <f>'Memoria P11'!$B$47</f>
        <v>Demolición de concreto: espesores 8cm a 15cm. (incluye retiro de material, transporte y disposición final de escombros en sitio autorizado)</v>
      </c>
      <c r="I115" s="74" t="str">
        <f>'Memoria P11'!$C$47</f>
        <v>m3</v>
      </c>
      <c r="J115" s="79">
        <f>'Memoria P11'!$D$47</f>
        <v>8.4375</v>
      </c>
      <c r="K115" s="74"/>
      <c r="L115" s="25" t="s">
        <v>85</v>
      </c>
    </row>
    <row r="117" spans="1:15" x14ac:dyDescent="0.25">
      <c r="O117" s="99"/>
    </row>
  </sheetData>
  <mergeCells count="17">
    <mergeCell ref="A87:L87"/>
    <mergeCell ref="A97:L97"/>
    <mergeCell ref="A106:L106"/>
    <mergeCell ref="A38:L38"/>
    <mergeCell ref="A48:L48"/>
    <mergeCell ref="A58:L58"/>
    <mergeCell ref="A68:L68"/>
    <mergeCell ref="A77:L77"/>
    <mergeCell ref="L1:L3"/>
    <mergeCell ref="A1:K1"/>
    <mergeCell ref="B2:J3"/>
    <mergeCell ref="A28:L28"/>
    <mergeCell ref="A18:L18"/>
    <mergeCell ref="A5:L5"/>
    <mergeCell ref="A6:C6"/>
    <mergeCell ref="D6:F6"/>
    <mergeCell ref="H6:I6"/>
  </mergeCells>
  <phoneticPr fontId="22" type="noConversion"/>
  <conditionalFormatting sqref="A6 K6:K7">
    <cfRule type="cellIs" dxfId="1" priority="2" operator="equal">
      <formula>"CREAR ESPECIFICACIÓN"</formula>
    </cfRule>
  </conditionalFormatting>
  <conditionalFormatting sqref="K8">
    <cfRule type="cellIs" dxfId="0" priority="1" operator="equal">
      <formula>"CREAR ESPECIFICACIÓN"</formula>
    </cfRule>
  </conditionalFormatting>
  <printOptions horizontalCentered="1"/>
  <pageMargins left="0.39370078740157483" right="0.19685039370078741" top="0.39370078740157483" bottom="0.39370078740157483" header="0.31496062992125984" footer="0.31496062992125984"/>
  <pageSetup scale="60" orientation="landscape" r:id="rId1"/>
  <headerFooter>
    <oddFooter>&amp;CPágina &amp;P de &amp;N&amp;R&amp;A / &amp;F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1D1DF-1357-47E7-AD95-A49876859839}">
  <sheetPr>
    <tabColor rgb="FFFFFF00"/>
  </sheetPr>
  <dimension ref="A2:M50"/>
  <sheetViews>
    <sheetView view="pageBreakPreview" zoomScale="85" zoomScaleNormal="85" zoomScaleSheetLayoutView="85" workbookViewId="0">
      <selection activeCell="G16" sqref="G16"/>
    </sheetView>
  </sheetViews>
  <sheetFormatPr baseColWidth="10" defaultRowHeight="14.25" x14ac:dyDescent="0.2"/>
  <cols>
    <col min="1" max="1" width="9.7109375" style="29" customWidth="1"/>
    <col min="2" max="2" width="42.85546875" style="29" customWidth="1"/>
    <col min="3" max="3" width="12.28515625" style="32" customWidth="1"/>
    <col min="4" max="4" width="12.85546875" style="32" customWidth="1"/>
    <col min="5" max="5" width="28.7109375" style="32" bestFit="1" customWidth="1"/>
    <col min="6" max="7" width="11.42578125" style="32"/>
    <col min="8" max="8" width="28.7109375" style="32" customWidth="1"/>
    <col min="9" max="10" width="11.42578125" style="32"/>
    <col min="11" max="11" width="28.7109375" style="32" customWidth="1"/>
    <col min="12" max="16384" width="11.42578125" style="29"/>
  </cols>
  <sheetData>
    <row r="2" spans="2:13" ht="16.5" x14ac:dyDescent="0.2">
      <c r="C2" s="30"/>
      <c r="D2" s="30"/>
      <c r="E2" s="31" t="s">
        <v>24</v>
      </c>
      <c r="F2" s="30"/>
      <c r="G2" s="30"/>
    </row>
    <row r="3" spans="2:13" ht="16.5" x14ac:dyDescent="0.3">
      <c r="C3" s="30"/>
      <c r="D3" s="30"/>
      <c r="E3" s="28" t="s">
        <v>25</v>
      </c>
      <c r="F3" s="30"/>
      <c r="G3" s="30"/>
    </row>
    <row r="4" spans="2:13" ht="16.5" x14ac:dyDescent="0.2">
      <c r="C4" s="30"/>
      <c r="D4" s="30"/>
      <c r="E4" s="33"/>
      <c r="F4" s="30"/>
      <c r="G4" s="30"/>
    </row>
    <row r="5" spans="2:13" ht="16.5" x14ac:dyDescent="0.3">
      <c r="C5" s="30"/>
      <c r="D5" s="30"/>
      <c r="E5" s="34" t="s">
        <v>26</v>
      </c>
      <c r="F5" s="30"/>
      <c r="G5" s="30"/>
    </row>
    <row r="7" spans="2:13" ht="16.5" x14ac:dyDescent="0.3">
      <c r="E7" s="132" t="s">
        <v>126</v>
      </c>
      <c r="F7" s="132"/>
      <c r="G7" s="132"/>
      <c r="H7" s="132"/>
      <c r="I7" s="132"/>
    </row>
    <row r="8" spans="2:13" ht="15" thickBot="1" x14ac:dyDescent="0.25"/>
    <row r="9" spans="2:13" x14ac:dyDescent="0.2">
      <c r="B9" s="133" t="s">
        <v>27</v>
      </c>
      <c r="C9" s="134"/>
      <c r="D9" s="35"/>
      <c r="E9" s="128" t="s">
        <v>28</v>
      </c>
      <c r="F9" s="129"/>
      <c r="G9" s="35"/>
      <c r="H9" s="128" t="s">
        <v>28</v>
      </c>
      <c r="I9" s="129"/>
      <c r="K9" s="128" t="s">
        <v>28</v>
      </c>
      <c r="L9" s="129"/>
    </row>
    <row r="10" spans="2:13" x14ac:dyDescent="0.2">
      <c r="B10" s="92" t="s">
        <v>29</v>
      </c>
      <c r="C10" s="37"/>
      <c r="D10" s="35"/>
      <c r="E10" s="92" t="s">
        <v>29</v>
      </c>
      <c r="F10" s="37"/>
      <c r="G10" s="35"/>
      <c r="H10" s="92" t="s">
        <v>30</v>
      </c>
      <c r="I10" s="38"/>
      <c r="J10" s="35"/>
      <c r="K10" s="92" t="s">
        <v>31</v>
      </c>
      <c r="L10" s="38"/>
    </row>
    <row r="11" spans="2:13" x14ac:dyDescent="0.2">
      <c r="B11" s="39" t="s">
        <v>32</v>
      </c>
      <c r="C11" s="40">
        <v>4</v>
      </c>
      <c r="D11" s="35" t="s">
        <v>33</v>
      </c>
      <c r="E11" s="39" t="s">
        <v>34</v>
      </c>
      <c r="F11" s="40">
        <v>16</v>
      </c>
      <c r="G11" s="35" t="s">
        <v>33</v>
      </c>
      <c r="H11" s="39" t="s">
        <v>34</v>
      </c>
      <c r="I11" s="40">
        <v>76</v>
      </c>
      <c r="J11" s="35" t="s">
        <v>33</v>
      </c>
      <c r="K11" s="39" t="s">
        <v>35</v>
      </c>
      <c r="L11" s="40">
        <v>20</v>
      </c>
      <c r="M11" s="29" t="s">
        <v>36</v>
      </c>
    </row>
    <row r="12" spans="2:13" x14ac:dyDescent="0.2">
      <c r="B12" s="39" t="s">
        <v>37</v>
      </c>
      <c r="C12" s="40">
        <v>100</v>
      </c>
      <c r="D12" s="35" t="s">
        <v>36</v>
      </c>
      <c r="E12" s="39" t="s">
        <v>38</v>
      </c>
      <c r="F12" s="40">
        <v>8</v>
      </c>
      <c r="G12" s="35" t="s">
        <v>39</v>
      </c>
      <c r="H12" s="39" t="s">
        <v>38</v>
      </c>
      <c r="I12" s="40">
        <v>14</v>
      </c>
      <c r="J12" s="35" t="s">
        <v>39</v>
      </c>
      <c r="K12" s="39" t="s">
        <v>40</v>
      </c>
      <c r="L12" s="40">
        <v>1</v>
      </c>
      <c r="M12" s="35"/>
    </row>
    <row r="13" spans="2:13" x14ac:dyDescent="0.2">
      <c r="B13" s="39" t="s">
        <v>41</v>
      </c>
      <c r="C13" s="40">
        <f>15+1.5+1.05</f>
        <v>17.55</v>
      </c>
      <c r="D13" s="35" t="s">
        <v>23</v>
      </c>
      <c r="E13" s="39" t="s">
        <v>42</v>
      </c>
      <c r="F13" s="41">
        <f>LOOKUP(F12,[1]Hoja2!$B$6:$B$18,[1]Hoja2!$E$6:$E$18)</f>
        <v>3.9729999999999999</v>
      </c>
      <c r="G13" s="35" t="s">
        <v>43</v>
      </c>
      <c r="H13" s="39" t="s">
        <v>42</v>
      </c>
      <c r="I13" s="41">
        <f>LOOKUP(I12,[1]Hoja2!$B$6:$B$18,[1]Hoja2!$E$6:$E$18)</f>
        <v>11.38</v>
      </c>
      <c r="J13" s="35" t="s">
        <v>43</v>
      </c>
      <c r="K13" s="39" t="s">
        <v>100</v>
      </c>
      <c r="L13" s="40">
        <v>17</v>
      </c>
      <c r="M13" s="35" t="s">
        <v>36</v>
      </c>
    </row>
    <row r="14" spans="2:13" x14ac:dyDescent="0.2">
      <c r="B14" s="92" t="s">
        <v>31</v>
      </c>
      <c r="C14" s="40"/>
      <c r="D14" s="35"/>
      <c r="E14" s="39" t="s">
        <v>45</v>
      </c>
      <c r="F14" s="42">
        <f>(C13-C18-0.5-0.15)+(IF(C12=100,1,1.2))</f>
        <v>16.939999999999998</v>
      </c>
      <c r="G14" s="35" t="s">
        <v>23</v>
      </c>
      <c r="H14" s="39" t="s">
        <v>45</v>
      </c>
      <c r="I14" s="42">
        <f>(C30+C17-0.3-0.15)+(2.4)</f>
        <v>6.4499999999999993</v>
      </c>
      <c r="J14" s="35" t="s">
        <v>23</v>
      </c>
      <c r="K14" s="39" t="s">
        <v>34</v>
      </c>
      <c r="L14" s="41">
        <f>IF(L12=1,(ROUNDUP(((C15-(2*L13/100))*(L12)/(L11/100))+1,0)),(ROUNDUP(((C15-(2*L13/100))*(L12)/(L11/100))+2,0)))</f>
        <v>27</v>
      </c>
      <c r="M14" s="29" t="s">
        <v>33</v>
      </c>
    </row>
    <row r="15" spans="2:13" x14ac:dyDescent="0.2">
      <c r="B15" s="39" t="s">
        <v>46</v>
      </c>
      <c r="C15" s="40">
        <v>5.5</v>
      </c>
      <c r="D15" s="35" t="s">
        <v>23</v>
      </c>
      <c r="E15" s="39" t="s">
        <v>47</v>
      </c>
      <c r="F15" s="38">
        <v>0.1</v>
      </c>
      <c r="G15" s="43" t="s">
        <v>23</v>
      </c>
      <c r="H15" s="39" t="s">
        <v>47</v>
      </c>
      <c r="I15" s="38">
        <v>0.1</v>
      </c>
      <c r="J15" s="43" t="s">
        <v>23</v>
      </c>
      <c r="K15" s="39" t="s">
        <v>38</v>
      </c>
      <c r="L15" s="40">
        <v>8</v>
      </c>
      <c r="M15" s="29" t="s">
        <v>39</v>
      </c>
    </row>
    <row r="16" spans="2:13" x14ac:dyDescent="0.2">
      <c r="B16" s="39" t="s">
        <v>48</v>
      </c>
      <c r="C16" s="40">
        <v>5.5</v>
      </c>
      <c r="D16" s="35" t="s">
        <v>23</v>
      </c>
      <c r="E16" s="39" t="s">
        <v>49</v>
      </c>
      <c r="F16" s="44">
        <v>103</v>
      </c>
      <c r="G16" s="35" t="s">
        <v>33</v>
      </c>
      <c r="H16" s="39" t="s">
        <v>49</v>
      </c>
      <c r="I16" s="41">
        <f>ROUNDUP((((C30+C17-0.3-0.15)/I15)+1),0)</f>
        <v>42</v>
      </c>
      <c r="J16" s="35" t="s">
        <v>33</v>
      </c>
      <c r="K16" s="39" t="s">
        <v>42</v>
      </c>
      <c r="L16" s="41">
        <f>LOOKUP(L15,[1]Hoja2!$B$6:$B$18,[1]Hoja2!$E$6:$E$18)</f>
        <v>3.9729999999999999</v>
      </c>
      <c r="M16" s="35" t="s">
        <v>43</v>
      </c>
    </row>
    <row r="17" spans="2:13" x14ac:dyDescent="0.2">
      <c r="B17" s="39" t="s">
        <v>50</v>
      </c>
      <c r="C17" s="40">
        <v>1.5</v>
      </c>
      <c r="D17" s="35" t="s">
        <v>23</v>
      </c>
      <c r="E17" s="39" t="s">
        <v>51</v>
      </c>
      <c r="F17" s="40">
        <v>4</v>
      </c>
      <c r="G17" s="35" t="s">
        <v>39</v>
      </c>
      <c r="H17" s="39" t="s">
        <v>51</v>
      </c>
      <c r="I17" s="40">
        <v>4</v>
      </c>
      <c r="J17" s="35" t="s">
        <v>39</v>
      </c>
      <c r="K17" s="39" t="s">
        <v>45</v>
      </c>
      <c r="L17" s="42">
        <f>(C15-(L13/100)-(L13/100))+0.9+0.9</f>
        <v>6.9600000000000009</v>
      </c>
      <c r="M17" s="35" t="s">
        <v>23</v>
      </c>
    </row>
    <row r="18" spans="2:13" x14ac:dyDescent="0.2">
      <c r="B18" s="39" t="s">
        <v>52</v>
      </c>
      <c r="C18" s="93">
        <v>0.96</v>
      </c>
      <c r="D18" s="35" t="s">
        <v>23</v>
      </c>
      <c r="E18" s="39" t="s">
        <v>53</v>
      </c>
      <c r="F18" s="41">
        <f>LOOKUP(F17,[1]Hoja2!$B$6:$B$18,[1]Hoja2!$E$6:$E$18)</f>
        <v>0.99399999999999999</v>
      </c>
      <c r="G18" s="35" t="s">
        <v>43</v>
      </c>
      <c r="H18" s="39" t="s">
        <v>53</v>
      </c>
      <c r="I18" s="41">
        <f>LOOKUP(I17,[1]Hoja2!$B$6:$B$18,[1]Hoja2!$E$6:$E$18)</f>
        <v>0.99399999999999999</v>
      </c>
      <c r="J18" s="35" t="s">
        <v>43</v>
      </c>
      <c r="K18" s="39" t="s">
        <v>54</v>
      </c>
      <c r="L18" s="40">
        <v>20</v>
      </c>
      <c r="M18" s="29" t="s">
        <v>36</v>
      </c>
    </row>
    <row r="19" spans="2:13" x14ac:dyDescent="0.2">
      <c r="B19" s="92" t="s">
        <v>55</v>
      </c>
      <c r="C19" s="40"/>
      <c r="D19" s="35"/>
      <c r="E19" s="39" t="s">
        <v>44</v>
      </c>
      <c r="F19" s="40">
        <v>10</v>
      </c>
      <c r="G19" s="35" t="s">
        <v>36</v>
      </c>
      <c r="H19" s="39" t="s">
        <v>44</v>
      </c>
      <c r="I19" s="40">
        <v>7</v>
      </c>
      <c r="J19" s="35" t="s">
        <v>36</v>
      </c>
      <c r="K19" s="39" t="s">
        <v>56</v>
      </c>
      <c r="L19" s="41">
        <f>ROUNDDOWN((C17-(25/100)-(25/100))/(L18/100)+1,0)</f>
        <v>6</v>
      </c>
      <c r="M19" s="29" t="s">
        <v>33</v>
      </c>
    </row>
    <row r="20" spans="2:13" x14ac:dyDescent="0.2">
      <c r="B20" s="39" t="s">
        <v>57</v>
      </c>
      <c r="C20" s="41">
        <f>+C15+1+1</f>
        <v>7.5</v>
      </c>
      <c r="D20" s="35" t="s">
        <v>23</v>
      </c>
      <c r="E20" s="39" t="s">
        <v>35</v>
      </c>
      <c r="F20" s="45">
        <f>(PI()*(C12-F19-F19))/F11</f>
        <v>15.707963267948966</v>
      </c>
      <c r="G20" s="35" t="s">
        <v>36</v>
      </c>
      <c r="H20" s="39" t="s">
        <v>35</v>
      </c>
      <c r="I20" s="45">
        <f>(PI()*(C29*(100)-I19-I19))/I11</f>
        <v>14.715881377341663</v>
      </c>
      <c r="J20" s="35" t="s">
        <v>36</v>
      </c>
      <c r="K20" s="39" t="s">
        <v>58</v>
      </c>
      <c r="L20" s="40">
        <v>6</v>
      </c>
      <c r="M20" s="29" t="s">
        <v>39</v>
      </c>
    </row>
    <row r="21" spans="2:13" ht="15" thickBot="1" x14ac:dyDescent="0.25">
      <c r="B21" s="39" t="s">
        <v>59</v>
      </c>
      <c r="C21" s="41">
        <f>+C16+1+1</f>
        <v>7.5</v>
      </c>
      <c r="D21" s="35" t="s">
        <v>23</v>
      </c>
      <c r="E21" s="46" t="s">
        <v>60</v>
      </c>
      <c r="F21" s="47">
        <f>((PI()*(C12-F19-F19))+(F20*(3)+F20*(3)+((LOOKUP(F17,[1]Hoja2!$B$6:$B$18,[1]Hoja2!$H$6:$H$18))*2)+20))/100</f>
        <v>3.8957519189487719</v>
      </c>
      <c r="G21" s="35" t="s">
        <v>23</v>
      </c>
      <c r="H21" s="46" t="s">
        <v>60</v>
      </c>
      <c r="I21" s="47">
        <f>((PI()*(C29*(100)-I19-I19))+(I20*(3)+I20*(3)+((LOOKUP(I17,[1]Hoja2!$B$6:$B$18,[1]Hoja2!$H$6:$H$18))*2)+20))/100</f>
        <v>12.507022729420164</v>
      </c>
      <c r="J21" s="35" t="s">
        <v>23</v>
      </c>
      <c r="K21" s="39" t="s">
        <v>61</v>
      </c>
      <c r="L21" s="41">
        <f>LOOKUP(L20,[1]Hoja2!$B$6:$B$18,[1]Hoja2!$E$6:$E$18)</f>
        <v>2.2349999999999999</v>
      </c>
      <c r="M21" s="35" t="s">
        <v>43</v>
      </c>
    </row>
    <row r="22" spans="2:13" ht="15" thickBot="1" x14ac:dyDescent="0.25">
      <c r="B22" s="39" t="s">
        <v>50</v>
      </c>
      <c r="C22" s="42">
        <f>+C18+C17+C27</f>
        <v>2.5099999999999998</v>
      </c>
      <c r="D22" s="35" t="s">
        <v>23</v>
      </c>
      <c r="K22" s="46" t="s">
        <v>62</v>
      </c>
      <c r="L22" s="48">
        <f>C15-(L13/100)-(L13/100)</f>
        <v>5.16</v>
      </c>
      <c r="M22" s="35" t="s">
        <v>23</v>
      </c>
    </row>
    <row r="23" spans="2:13" ht="15" thickBot="1" x14ac:dyDescent="0.25">
      <c r="B23" s="39"/>
      <c r="C23" s="38"/>
      <c r="D23" s="35"/>
      <c r="H23" s="128" t="s">
        <v>28</v>
      </c>
      <c r="I23" s="129"/>
    </row>
    <row r="24" spans="2:13" x14ac:dyDescent="0.2">
      <c r="B24" s="92" t="s">
        <v>63</v>
      </c>
      <c r="C24" s="40"/>
      <c r="D24" s="35"/>
      <c r="H24" s="135" t="s">
        <v>64</v>
      </c>
      <c r="I24" s="136"/>
      <c r="K24" s="128" t="s">
        <v>28</v>
      </c>
      <c r="L24" s="129"/>
      <c r="M24" s="32"/>
    </row>
    <row r="25" spans="2:13" x14ac:dyDescent="0.2">
      <c r="B25" s="39" t="s">
        <v>46</v>
      </c>
      <c r="C25" s="42">
        <f>+C15</f>
        <v>5.5</v>
      </c>
      <c r="D25" s="35" t="s">
        <v>23</v>
      </c>
      <c r="H25" s="39" t="s">
        <v>34</v>
      </c>
      <c r="I25" s="41">
        <f>IF(C29=2.5,12*2,IF(C29=3,13*2,IF(C29=3.7,14*2)))</f>
        <v>28</v>
      </c>
      <c r="J25" s="35" t="s">
        <v>33</v>
      </c>
      <c r="K25" s="135" t="s">
        <v>65</v>
      </c>
      <c r="L25" s="136"/>
      <c r="M25" s="32"/>
    </row>
    <row r="26" spans="2:13" x14ac:dyDescent="0.2">
      <c r="B26" s="39" t="s">
        <v>48</v>
      </c>
      <c r="C26" s="42">
        <f>+C16</f>
        <v>5.5</v>
      </c>
      <c r="D26" s="35" t="s">
        <v>23</v>
      </c>
      <c r="H26" s="39" t="s">
        <v>38</v>
      </c>
      <c r="I26" s="40">
        <v>4</v>
      </c>
      <c r="J26" s="35" t="s">
        <v>39</v>
      </c>
      <c r="K26" s="39" t="s">
        <v>34</v>
      </c>
      <c r="L26" s="40">
        <f>17*4</f>
        <v>68</v>
      </c>
      <c r="M26" s="35" t="s">
        <v>33</v>
      </c>
    </row>
    <row r="27" spans="2:13" x14ac:dyDescent="0.2">
      <c r="B27" s="39" t="s">
        <v>50</v>
      </c>
      <c r="C27" s="40">
        <v>0.05</v>
      </c>
      <c r="D27" s="35" t="s">
        <v>23</v>
      </c>
      <c r="H27" s="39" t="s">
        <v>42</v>
      </c>
      <c r="I27" s="41">
        <f>LOOKUP(I26,[1]Hoja2!$B$6:$B$18,[1]Hoja2!$E$6:$E$18)</f>
        <v>0.99399999999999999</v>
      </c>
      <c r="J27" s="35" t="s">
        <v>43</v>
      </c>
      <c r="K27" s="39" t="s">
        <v>38</v>
      </c>
      <c r="L27" s="40">
        <v>4</v>
      </c>
      <c r="M27" s="35" t="s">
        <v>39</v>
      </c>
    </row>
    <row r="28" spans="2:13" x14ac:dyDescent="0.2">
      <c r="B28" s="92" t="s">
        <v>66</v>
      </c>
      <c r="C28" s="40"/>
      <c r="D28" s="35"/>
      <c r="H28" s="39" t="s">
        <v>67</v>
      </c>
      <c r="I28" s="40">
        <v>13</v>
      </c>
      <c r="J28" s="35"/>
      <c r="K28" s="39" t="s">
        <v>42</v>
      </c>
      <c r="L28" s="41">
        <f>LOOKUP(L27,[1]Hoja2!$B$6:$B$18,[1]Hoja2!$E$6:$E$18)</f>
        <v>0.99399999999999999</v>
      </c>
      <c r="M28" s="35" t="s">
        <v>43</v>
      </c>
    </row>
    <row r="29" spans="2:13" ht="15" thickBot="1" x14ac:dyDescent="0.25">
      <c r="B29" s="39" t="s">
        <v>37</v>
      </c>
      <c r="C29" s="40">
        <v>3.7</v>
      </c>
      <c r="D29" s="35" t="s">
        <v>23</v>
      </c>
      <c r="H29" s="46" t="s">
        <v>68</v>
      </c>
      <c r="I29" s="47">
        <f>IF(C29=2.5,(1.8+([1]Hoja2!I10/100*4)+(0.2)),IF(C29=3,(2.09+([1]Hoja2!I10/100*4)+(0.2)),IF(C29=3.7,(2.07+([1]Hoja2!I10/100*4)+(0.2)))))</f>
        <v>2.5499999999999998</v>
      </c>
      <c r="J29" s="35" t="s">
        <v>23</v>
      </c>
      <c r="K29" s="46" t="s">
        <v>68</v>
      </c>
      <c r="L29" s="47">
        <f>((0.75+1.235)*2)+0.21+0.24</f>
        <v>4.4200000000000008</v>
      </c>
      <c r="M29" s="35" t="s">
        <v>23</v>
      </c>
    </row>
    <row r="30" spans="2:13" ht="15" thickBot="1" x14ac:dyDescent="0.25">
      <c r="B30" s="46" t="s">
        <v>69</v>
      </c>
      <c r="C30" s="49">
        <v>3</v>
      </c>
      <c r="D30" s="35" t="s">
        <v>23</v>
      </c>
      <c r="G30" s="35"/>
      <c r="K30" s="50"/>
      <c r="L30" s="51"/>
      <c r="M30" s="35"/>
    </row>
    <row r="31" spans="2:13" x14ac:dyDescent="0.2">
      <c r="B31" s="50"/>
      <c r="C31" s="52"/>
      <c r="D31" s="35"/>
      <c r="E31" s="50"/>
      <c r="F31" s="52"/>
      <c r="G31" s="35"/>
    </row>
    <row r="32" spans="2:13" x14ac:dyDescent="0.2">
      <c r="B32" s="50"/>
      <c r="C32" s="52"/>
      <c r="D32" s="35"/>
      <c r="E32" s="50"/>
      <c r="F32" s="52"/>
      <c r="G32" s="35"/>
    </row>
    <row r="33" spans="1:11" ht="25.5" x14ac:dyDescent="0.2">
      <c r="A33" s="53" t="s">
        <v>70</v>
      </c>
      <c r="B33" s="90" t="s">
        <v>71</v>
      </c>
      <c r="C33" s="55" t="s">
        <v>72</v>
      </c>
      <c r="D33" s="56" t="s">
        <v>113</v>
      </c>
      <c r="E33" s="57"/>
    </row>
    <row r="34" spans="1:11" ht="76.5" x14ac:dyDescent="0.2">
      <c r="A34" s="90">
        <v>6007</v>
      </c>
      <c r="B34" s="59" t="s">
        <v>74</v>
      </c>
      <c r="C34" s="91" t="s">
        <v>75</v>
      </c>
      <c r="D34" s="63">
        <f>((PI()*(C12*C12)/4/10000)*C13*C11)</f>
        <v>55.134951070500868</v>
      </c>
      <c r="E34" s="64"/>
      <c r="H34" s="65"/>
      <c r="K34" s="65"/>
    </row>
    <row r="35" spans="1:11" ht="102" x14ac:dyDescent="0.2">
      <c r="A35" s="130">
        <v>3708</v>
      </c>
      <c r="B35" s="59" t="s">
        <v>76</v>
      </c>
      <c r="C35" s="60" t="s">
        <v>77</v>
      </c>
      <c r="D35" s="66">
        <f>D36+D37+D38</f>
        <v>16799.622286326983</v>
      </c>
      <c r="H35" s="65"/>
      <c r="K35" s="65"/>
    </row>
    <row r="36" spans="1:11" x14ac:dyDescent="0.2">
      <c r="A36" s="130"/>
      <c r="B36" s="67" t="s">
        <v>29</v>
      </c>
      <c r="C36" s="131" t="s">
        <v>77</v>
      </c>
      <c r="D36" s="68">
        <f>((F14*F11*F13)+(F16*F18*F21))*C11*1.03</f>
        <v>6079.8707870191502</v>
      </c>
    </row>
    <row r="37" spans="1:11" x14ac:dyDescent="0.2">
      <c r="A37" s="130"/>
      <c r="B37" s="67" t="s">
        <v>31</v>
      </c>
      <c r="C37" s="131"/>
      <c r="D37" s="68">
        <f>(((L14*L16*L17*4)+(L19*L21*L22*4))+(L26*L28*L29))*1.03</f>
        <v>3668.8225904000005</v>
      </c>
    </row>
    <row r="38" spans="1:11" x14ac:dyDescent="0.2">
      <c r="A38" s="130"/>
      <c r="B38" s="67" t="s">
        <v>30</v>
      </c>
      <c r="C38" s="131"/>
      <c r="D38" s="69">
        <f>+(I11*I13*I14)+(I16*I18*I21)+(I25*I27*I29*I28)*1.03</f>
        <v>7050.928908907832</v>
      </c>
    </row>
    <row r="39" spans="1:11" ht="51" x14ac:dyDescent="0.2">
      <c r="A39" s="130">
        <v>3637</v>
      </c>
      <c r="B39" s="59" t="s">
        <v>78</v>
      </c>
      <c r="C39" s="91" t="s">
        <v>75</v>
      </c>
      <c r="D39" s="70">
        <f>D40+D41</f>
        <v>77.631302570733197</v>
      </c>
      <c r="H39" s="64"/>
      <c r="K39" s="64"/>
    </row>
    <row r="40" spans="1:11" x14ac:dyDescent="0.2">
      <c r="A40" s="130"/>
      <c r="B40" s="67" t="s">
        <v>31</v>
      </c>
      <c r="C40" s="131" t="s">
        <v>75</v>
      </c>
      <c r="D40" s="71">
        <f>C15*C16*C17</f>
        <v>45.375</v>
      </c>
    </row>
    <row r="41" spans="1:11" x14ac:dyDescent="0.2">
      <c r="A41" s="130"/>
      <c r="B41" s="67" t="s">
        <v>30</v>
      </c>
      <c r="C41" s="131"/>
      <c r="D41" s="71">
        <f>(PI()*C29*C29/4)*C30</f>
        <v>32.256302570733197</v>
      </c>
    </row>
    <row r="42" spans="1:11" ht="38.25" x14ac:dyDescent="0.2">
      <c r="A42" s="90">
        <v>5055</v>
      </c>
      <c r="B42" s="59" t="s">
        <v>79</v>
      </c>
      <c r="C42" s="91" t="s">
        <v>75</v>
      </c>
      <c r="D42" s="71">
        <f>((PI()*(C12*C12)/4/10000)*(C17+C18)*C11)</f>
        <v>7.7283179278308909</v>
      </c>
      <c r="H42" s="64"/>
      <c r="K42" s="64"/>
    </row>
    <row r="43" spans="1:11" ht="51" x14ac:dyDescent="0.2">
      <c r="A43" s="90">
        <v>6021</v>
      </c>
      <c r="B43" s="59" t="s">
        <v>89</v>
      </c>
      <c r="C43" s="91" t="s">
        <v>75</v>
      </c>
      <c r="D43" s="71">
        <f>(C25*C26*C27)-((PI()*C12*C12*0.1/4/10000)*C11)</f>
        <v>1.1983407346410209</v>
      </c>
      <c r="H43" s="64"/>
      <c r="K43" s="64"/>
    </row>
    <row r="44" spans="1:11" ht="25.5" x14ac:dyDescent="0.2">
      <c r="A44" s="94">
        <v>5416</v>
      </c>
      <c r="B44" s="81" t="s">
        <v>90</v>
      </c>
      <c r="C44" s="72" t="s">
        <v>75</v>
      </c>
      <c r="D44" s="95">
        <f>C20*C21*C22</f>
        <v>141.1875</v>
      </c>
      <c r="E44" s="96"/>
      <c r="H44" s="65"/>
      <c r="K44" s="65"/>
    </row>
    <row r="45" spans="1:11" ht="51" x14ac:dyDescent="0.2">
      <c r="A45" s="94">
        <v>3017</v>
      </c>
      <c r="B45" s="81" t="s">
        <v>91</v>
      </c>
      <c r="C45" s="72" t="s">
        <v>75</v>
      </c>
      <c r="D45" s="71">
        <f>D44</f>
        <v>141.1875</v>
      </c>
      <c r="E45" s="96"/>
      <c r="H45" s="64"/>
      <c r="K45" s="64"/>
    </row>
    <row r="46" spans="1:11" ht="38.25" x14ac:dyDescent="0.2">
      <c r="A46" s="94">
        <v>4908</v>
      </c>
      <c r="B46" s="59" t="s">
        <v>80</v>
      </c>
      <c r="C46" s="91" t="s">
        <v>75</v>
      </c>
      <c r="D46" s="71">
        <f>D44-(C25*C26*C27)-D40-((PI()*C29*C29/4)*C18)</f>
        <v>83.977983177365388</v>
      </c>
      <c r="K46" s="64"/>
    </row>
    <row r="47" spans="1:11" ht="51" x14ac:dyDescent="0.2">
      <c r="A47" s="94">
        <v>5196</v>
      </c>
      <c r="B47" s="81" t="s">
        <v>102</v>
      </c>
      <c r="C47" s="91" t="s">
        <v>75</v>
      </c>
      <c r="D47" s="71">
        <f>C20*C21*0.15</f>
        <v>8.4375</v>
      </c>
    </row>
    <row r="48" spans="1:11" x14ac:dyDescent="0.2">
      <c r="A48" s="94"/>
    </row>
    <row r="49" spans="1:1" x14ac:dyDescent="0.2">
      <c r="A49" s="94"/>
    </row>
    <row r="50" spans="1:1" x14ac:dyDescent="0.2">
      <c r="A50" s="94"/>
    </row>
  </sheetData>
  <mergeCells count="13">
    <mergeCell ref="K9:L9"/>
    <mergeCell ref="H23:I23"/>
    <mergeCell ref="A39:A41"/>
    <mergeCell ref="C40:C41"/>
    <mergeCell ref="E7:I7"/>
    <mergeCell ref="B9:C9"/>
    <mergeCell ref="E9:F9"/>
    <mergeCell ref="H9:I9"/>
    <mergeCell ref="H24:I24"/>
    <mergeCell ref="K24:L24"/>
    <mergeCell ref="K25:L25"/>
    <mergeCell ref="A35:A38"/>
    <mergeCell ref="C36:C38"/>
  </mergeCells>
  <pageMargins left="0.7" right="0.7" top="0.75" bottom="0.75" header="0.3" footer="0.3"/>
  <pageSetup scale="46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8E2B9-FCFB-493B-B4D7-17C4B017341A}">
  <sheetPr>
    <tabColor rgb="FFFFFF00"/>
  </sheetPr>
  <dimension ref="A2:M49"/>
  <sheetViews>
    <sheetView view="pageBreakPreview" zoomScale="85" zoomScaleNormal="85" zoomScaleSheetLayoutView="85" workbookViewId="0">
      <selection activeCell="F27" sqref="F27"/>
    </sheetView>
  </sheetViews>
  <sheetFormatPr baseColWidth="10" defaultRowHeight="14.25" x14ac:dyDescent="0.2"/>
  <cols>
    <col min="1" max="1" width="9.7109375" style="29" customWidth="1"/>
    <col min="2" max="2" width="42.85546875" style="29" customWidth="1"/>
    <col min="3" max="3" width="12.28515625" style="32" customWidth="1"/>
    <col min="4" max="4" width="12.85546875" style="32" customWidth="1"/>
    <col min="5" max="5" width="28.7109375" style="32" bestFit="1" customWidth="1"/>
    <col min="6" max="7" width="11.42578125" style="32"/>
    <col min="8" max="8" width="28.7109375" style="32" customWidth="1"/>
    <col min="9" max="10" width="11.42578125" style="32"/>
    <col min="11" max="11" width="28.7109375" style="32" customWidth="1"/>
    <col min="12" max="16384" width="11.42578125" style="29"/>
  </cols>
  <sheetData>
    <row r="2" spans="2:13" ht="16.5" x14ac:dyDescent="0.2">
      <c r="C2" s="30"/>
      <c r="D2" s="30"/>
      <c r="E2" s="31" t="s">
        <v>24</v>
      </c>
      <c r="F2" s="30"/>
      <c r="G2" s="30"/>
    </row>
    <row r="3" spans="2:13" ht="16.5" x14ac:dyDescent="0.3">
      <c r="C3" s="30"/>
      <c r="D3" s="30"/>
      <c r="E3" s="28" t="s">
        <v>25</v>
      </c>
      <c r="F3" s="30"/>
      <c r="G3" s="30"/>
    </row>
    <row r="4" spans="2:13" ht="16.5" x14ac:dyDescent="0.2">
      <c r="C4" s="30"/>
      <c r="D4" s="30"/>
      <c r="E4" s="33"/>
      <c r="F4" s="30"/>
      <c r="G4" s="30"/>
    </row>
    <row r="5" spans="2:13" ht="16.5" x14ac:dyDescent="0.3">
      <c r="C5" s="30"/>
      <c r="D5" s="30"/>
      <c r="E5" s="34" t="s">
        <v>26</v>
      </c>
      <c r="F5" s="30"/>
      <c r="G5" s="30"/>
    </row>
    <row r="7" spans="2:13" ht="16.5" x14ac:dyDescent="0.3">
      <c r="E7" s="132" t="s">
        <v>126</v>
      </c>
      <c r="F7" s="132"/>
      <c r="G7" s="132"/>
      <c r="H7" s="132"/>
      <c r="I7" s="132"/>
    </row>
    <row r="8" spans="2:13" ht="15" thickBot="1" x14ac:dyDescent="0.25"/>
    <row r="9" spans="2:13" x14ac:dyDescent="0.2">
      <c r="B9" s="133" t="s">
        <v>27</v>
      </c>
      <c r="C9" s="134"/>
      <c r="D9" s="35"/>
      <c r="E9" s="128" t="s">
        <v>28</v>
      </c>
      <c r="F9" s="129"/>
      <c r="G9" s="35"/>
      <c r="H9" s="128" t="s">
        <v>28</v>
      </c>
      <c r="I9" s="129"/>
      <c r="K9" s="128" t="s">
        <v>28</v>
      </c>
      <c r="L9" s="129"/>
    </row>
    <row r="10" spans="2:13" x14ac:dyDescent="0.2">
      <c r="B10" s="92" t="s">
        <v>29</v>
      </c>
      <c r="C10" s="37"/>
      <c r="D10" s="35"/>
      <c r="E10" s="92" t="s">
        <v>29</v>
      </c>
      <c r="F10" s="37"/>
      <c r="G10" s="35"/>
      <c r="H10" s="92" t="s">
        <v>30</v>
      </c>
      <c r="I10" s="38"/>
      <c r="J10" s="35"/>
      <c r="K10" s="92" t="s">
        <v>31</v>
      </c>
      <c r="L10" s="38"/>
    </row>
    <row r="11" spans="2:13" x14ac:dyDescent="0.2">
      <c r="B11" s="39" t="s">
        <v>32</v>
      </c>
      <c r="C11" s="40">
        <v>4</v>
      </c>
      <c r="D11" s="35" t="s">
        <v>33</v>
      </c>
      <c r="E11" s="39" t="s">
        <v>34</v>
      </c>
      <c r="F11" s="40">
        <v>16</v>
      </c>
      <c r="G11" s="35" t="s">
        <v>33</v>
      </c>
      <c r="H11" s="39" t="s">
        <v>34</v>
      </c>
      <c r="I11" s="40">
        <v>72</v>
      </c>
      <c r="J11" s="35" t="s">
        <v>33</v>
      </c>
      <c r="K11" s="39" t="s">
        <v>35</v>
      </c>
      <c r="L11" s="40">
        <v>20</v>
      </c>
      <c r="M11" s="29" t="s">
        <v>36</v>
      </c>
    </row>
    <row r="12" spans="2:13" x14ac:dyDescent="0.2">
      <c r="B12" s="39" t="s">
        <v>37</v>
      </c>
      <c r="C12" s="40">
        <v>100</v>
      </c>
      <c r="D12" s="35" t="s">
        <v>36</v>
      </c>
      <c r="E12" s="39" t="s">
        <v>38</v>
      </c>
      <c r="F12" s="40">
        <v>8</v>
      </c>
      <c r="G12" s="35" t="s">
        <v>39</v>
      </c>
      <c r="H12" s="39" t="s">
        <v>38</v>
      </c>
      <c r="I12" s="40">
        <v>11</v>
      </c>
      <c r="J12" s="35" t="s">
        <v>39</v>
      </c>
      <c r="K12" s="39" t="s">
        <v>40</v>
      </c>
      <c r="L12" s="40">
        <v>1</v>
      </c>
      <c r="M12" s="35"/>
    </row>
    <row r="13" spans="2:13" x14ac:dyDescent="0.2">
      <c r="B13" s="39" t="s">
        <v>41</v>
      </c>
      <c r="C13" s="40">
        <f>10+1.5+0.89</f>
        <v>12.39</v>
      </c>
      <c r="D13" s="35" t="s">
        <v>23</v>
      </c>
      <c r="E13" s="39" t="s">
        <v>42</v>
      </c>
      <c r="F13" s="41">
        <f>LOOKUP(F12,[1]Hoja2!$B$6:$B$18,[1]Hoja2!$E$6:$E$18)</f>
        <v>3.9729999999999999</v>
      </c>
      <c r="G13" s="35" t="s">
        <v>43</v>
      </c>
      <c r="H13" s="39" t="s">
        <v>42</v>
      </c>
      <c r="I13" s="41">
        <f>LOOKUP(I12,[1]Hoja2!$B$6:$B$18,[1]Hoja2!$E$6:$E$18)</f>
        <v>7.907</v>
      </c>
      <c r="J13" s="35" t="s">
        <v>43</v>
      </c>
      <c r="K13" s="39" t="s">
        <v>100</v>
      </c>
      <c r="L13" s="40">
        <v>17</v>
      </c>
      <c r="M13" s="35" t="s">
        <v>36</v>
      </c>
    </row>
    <row r="14" spans="2:13" x14ac:dyDescent="0.2">
      <c r="B14" s="92" t="s">
        <v>31</v>
      </c>
      <c r="C14" s="40"/>
      <c r="D14" s="35"/>
      <c r="E14" s="39" t="s">
        <v>45</v>
      </c>
      <c r="F14" s="42">
        <f>(C13-C18-0.5-0.15)+(IF(C12=100,1,1.2))</f>
        <v>11.85</v>
      </c>
      <c r="G14" s="35" t="s">
        <v>23</v>
      </c>
      <c r="H14" s="39" t="s">
        <v>45</v>
      </c>
      <c r="I14" s="42">
        <f>(C30+C17-0.3-0.15)+(2.4)</f>
        <v>6.4499999999999993</v>
      </c>
      <c r="J14" s="35" t="s">
        <v>23</v>
      </c>
      <c r="K14" s="39" t="s">
        <v>34</v>
      </c>
      <c r="L14" s="41">
        <f>IF(L12=1,(ROUNDUP(((C15-(2*L13/100))*(L12)/(L11/100))+1,0)),(ROUNDUP(((C15-(2*L13/100))*(L12)/(L11/100))+2,0)))</f>
        <v>27</v>
      </c>
      <c r="M14" s="29" t="s">
        <v>33</v>
      </c>
    </row>
    <row r="15" spans="2:13" x14ac:dyDescent="0.2">
      <c r="B15" s="39" t="s">
        <v>46</v>
      </c>
      <c r="C15" s="40">
        <v>5.5</v>
      </c>
      <c r="D15" s="35" t="s">
        <v>23</v>
      </c>
      <c r="E15" s="39" t="s">
        <v>47</v>
      </c>
      <c r="F15" s="38">
        <v>0.1</v>
      </c>
      <c r="G15" s="43" t="s">
        <v>23</v>
      </c>
      <c r="H15" s="39" t="s">
        <v>47</v>
      </c>
      <c r="I15" s="38">
        <v>0.1</v>
      </c>
      <c r="J15" s="43" t="s">
        <v>23</v>
      </c>
      <c r="K15" s="39" t="s">
        <v>38</v>
      </c>
      <c r="L15" s="40">
        <v>7</v>
      </c>
      <c r="M15" s="29" t="s">
        <v>39</v>
      </c>
    </row>
    <row r="16" spans="2:13" x14ac:dyDescent="0.2">
      <c r="B16" s="39" t="s">
        <v>48</v>
      </c>
      <c r="C16" s="40">
        <v>5.5</v>
      </c>
      <c r="D16" s="35" t="s">
        <v>23</v>
      </c>
      <c r="E16" s="39" t="s">
        <v>49</v>
      </c>
      <c r="F16" s="44">
        <v>78</v>
      </c>
      <c r="G16" s="35" t="s">
        <v>33</v>
      </c>
      <c r="H16" s="39" t="s">
        <v>49</v>
      </c>
      <c r="I16" s="41">
        <f>ROUNDUP((((C30+C17-0.3-0.15)/I15)+1),0)</f>
        <v>42</v>
      </c>
      <c r="J16" s="35" t="s">
        <v>33</v>
      </c>
      <c r="K16" s="39" t="s">
        <v>42</v>
      </c>
      <c r="L16" s="41">
        <f>LOOKUP(L15,[1]Hoja2!$B$6:$B$18,[1]Hoja2!$E$6:$E$18)</f>
        <v>3.0419999999999998</v>
      </c>
      <c r="M16" s="35" t="s">
        <v>43</v>
      </c>
    </row>
    <row r="17" spans="2:13" x14ac:dyDescent="0.2">
      <c r="B17" s="39" t="s">
        <v>50</v>
      </c>
      <c r="C17" s="40">
        <v>1.5</v>
      </c>
      <c r="D17" s="35" t="s">
        <v>23</v>
      </c>
      <c r="E17" s="39" t="s">
        <v>51</v>
      </c>
      <c r="F17" s="40">
        <v>4</v>
      </c>
      <c r="G17" s="35" t="s">
        <v>39</v>
      </c>
      <c r="H17" s="39" t="s">
        <v>51</v>
      </c>
      <c r="I17" s="40">
        <v>4</v>
      </c>
      <c r="J17" s="35" t="s">
        <v>39</v>
      </c>
      <c r="K17" s="39" t="s">
        <v>45</v>
      </c>
      <c r="L17" s="42">
        <f>(C15-(L13/100)-(L13/100))+0.9+0.9</f>
        <v>6.9600000000000009</v>
      </c>
      <c r="M17" s="35" t="s">
        <v>23</v>
      </c>
    </row>
    <row r="18" spans="2:13" x14ac:dyDescent="0.2">
      <c r="B18" s="39" t="s">
        <v>52</v>
      </c>
      <c r="C18" s="93">
        <v>0.89</v>
      </c>
      <c r="D18" s="35" t="s">
        <v>23</v>
      </c>
      <c r="E18" s="39" t="s">
        <v>53</v>
      </c>
      <c r="F18" s="41">
        <f>LOOKUP(F17,[1]Hoja2!$B$6:$B$18,[1]Hoja2!$E$6:$E$18)</f>
        <v>0.99399999999999999</v>
      </c>
      <c r="G18" s="35" t="s">
        <v>43</v>
      </c>
      <c r="H18" s="39" t="s">
        <v>53</v>
      </c>
      <c r="I18" s="41">
        <f>LOOKUP(I17,[1]Hoja2!$B$6:$B$18,[1]Hoja2!$E$6:$E$18)</f>
        <v>0.99399999999999999</v>
      </c>
      <c r="J18" s="35" t="s">
        <v>43</v>
      </c>
      <c r="K18" s="39" t="s">
        <v>54</v>
      </c>
      <c r="L18" s="40">
        <v>20</v>
      </c>
      <c r="M18" s="29" t="s">
        <v>36</v>
      </c>
    </row>
    <row r="19" spans="2:13" x14ac:dyDescent="0.2">
      <c r="B19" s="92" t="s">
        <v>55</v>
      </c>
      <c r="C19" s="40"/>
      <c r="D19" s="35"/>
      <c r="E19" s="39" t="s">
        <v>44</v>
      </c>
      <c r="F19" s="40">
        <v>10</v>
      </c>
      <c r="G19" s="35" t="s">
        <v>36</v>
      </c>
      <c r="H19" s="39" t="s">
        <v>44</v>
      </c>
      <c r="I19" s="40">
        <v>7</v>
      </c>
      <c r="J19" s="35" t="s">
        <v>36</v>
      </c>
      <c r="K19" s="39" t="s">
        <v>56</v>
      </c>
      <c r="L19" s="41">
        <f>ROUNDDOWN((C17-(25/100)-(25/100))/(L18/100)+1,0)</f>
        <v>6</v>
      </c>
      <c r="M19" s="29" t="s">
        <v>33</v>
      </c>
    </row>
    <row r="20" spans="2:13" x14ac:dyDescent="0.2">
      <c r="B20" s="39" t="s">
        <v>57</v>
      </c>
      <c r="C20" s="41">
        <f>+C15+1+1</f>
        <v>7.5</v>
      </c>
      <c r="D20" s="35" t="s">
        <v>23</v>
      </c>
      <c r="E20" s="39" t="s">
        <v>35</v>
      </c>
      <c r="F20" s="45">
        <f>(PI()*(C12-F19-F19))/F11</f>
        <v>15.707963267948966</v>
      </c>
      <c r="G20" s="35" t="s">
        <v>36</v>
      </c>
      <c r="H20" s="39" t="s">
        <v>35</v>
      </c>
      <c r="I20" s="45">
        <f>(PI()*(C29*(100)-I19-I19))/I11</f>
        <v>12.479104151759456</v>
      </c>
      <c r="J20" s="35" t="s">
        <v>36</v>
      </c>
      <c r="K20" s="39" t="s">
        <v>58</v>
      </c>
      <c r="L20" s="40">
        <v>6</v>
      </c>
      <c r="M20" s="29" t="s">
        <v>39</v>
      </c>
    </row>
    <row r="21" spans="2:13" ht="15" thickBot="1" x14ac:dyDescent="0.25">
      <c r="B21" s="39" t="s">
        <v>59</v>
      </c>
      <c r="C21" s="41">
        <f>+C16+1+1</f>
        <v>7.5</v>
      </c>
      <c r="D21" s="35" t="s">
        <v>23</v>
      </c>
      <c r="E21" s="46" t="s">
        <v>60</v>
      </c>
      <c r="F21" s="47">
        <f>((PI()*(C12-F19-F19))+(F20*(3)+F20*(3)+((LOOKUP(F17,[1]Hoja2!$B$6:$B$18,[1]Hoja2!$H$6:$H$18))*2)+20))/100</f>
        <v>3.8957519189487719</v>
      </c>
      <c r="G21" s="35" t="s">
        <v>23</v>
      </c>
      <c r="H21" s="46" t="s">
        <v>60</v>
      </c>
      <c r="I21" s="47">
        <f>((PI()*(C29*(100)-I19-I19))+(I20*(3)+I20*(3)+((LOOKUP(I17,[1]Hoja2!$B$6:$B$18,[1]Hoja2!$H$6:$H$18))*2)+20))/100</f>
        <v>10.173701238372375</v>
      </c>
      <c r="J21" s="35" t="s">
        <v>23</v>
      </c>
      <c r="K21" s="39" t="s">
        <v>61</v>
      </c>
      <c r="L21" s="41">
        <f>LOOKUP(L20,[1]Hoja2!$B$6:$B$18,[1]Hoja2!$E$6:$E$18)</f>
        <v>2.2349999999999999</v>
      </c>
      <c r="M21" s="35" t="s">
        <v>43</v>
      </c>
    </row>
    <row r="22" spans="2:13" ht="15" thickBot="1" x14ac:dyDescent="0.25">
      <c r="B22" s="39" t="s">
        <v>50</v>
      </c>
      <c r="C22" s="42">
        <f>+C18+C17+C27</f>
        <v>2.44</v>
      </c>
      <c r="D22" s="35" t="s">
        <v>23</v>
      </c>
      <c r="K22" s="46" t="s">
        <v>62</v>
      </c>
      <c r="L22" s="48">
        <f>C15-(L13/100)-(L13/100)</f>
        <v>5.16</v>
      </c>
      <c r="M22" s="35" t="s">
        <v>23</v>
      </c>
    </row>
    <row r="23" spans="2:13" ht="15" thickBot="1" x14ac:dyDescent="0.25">
      <c r="B23" s="39"/>
      <c r="C23" s="38"/>
      <c r="D23" s="35"/>
      <c r="H23" s="128" t="s">
        <v>28</v>
      </c>
      <c r="I23" s="129"/>
    </row>
    <row r="24" spans="2:13" x14ac:dyDescent="0.2">
      <c r="B24" s="92" t="s">
        <v>63</v>
      </c>
      <c r="C24" s="40"/>
      <c r="D24" s="35"/>
      <c r="H24" s="135" t="s">
        <v>64</v>
      </c>
      <c r="I24" s="136"/>
      <c r="K24" s="128" t="s">
        <v>28</v>
      </c>
      <c r="L24" s="129"/>
      <c r="M24" s="32"/>
    </row>
    <row r="25" spans="2:13" x14ac:dyDescent="0.2">
      <c r="B25" s="39" t="s">
        <v>46</v>
      </c>
      <c r="C25" s="42">
        <f>+C15</f>
        <v>5.5</v>
      </c>
      <c r="D25" s="35" t="s">
        <v>23</v>
      </c>
      <c r="H25" s="39" t="s">
        <v>34</v>
      </c>
      <c r="I25" s="41">
        <f>IF(C29=2.5,12*2,IF(C29=3,13*2,IF(C29=3.7,14*2)))</f>
        <v>26</v>
      </c>
      <c r="J25" s="35" t="s">
        <v>33</v>
      </c>
      <c r="K25" s="135" t="s">
        <v>65</v>
      </c>
      <c r="L25" s="136"/>
      <c r="M25" s="32"/>
    </row>
    <row r="26" spans="2:13" x14ac:dyDescent="0.2">
      <c r="B26" s="39" t="s">
        <v>48</v>
      </c>
      <c r="C26" s="42">
        <f>+C16</f>
        <v>5.5</v>
      </c>
      <c r="D26" s="35" t="s">
        <v>23</v>
      </c>
      <c r="H26" s="39" t="s">
        <v>38</v>
      </c>
      <c r="I26" s="40">
        <v>4</v>
      </c>
      <c r="J26" s="35" t="s">
        <v>39</v>
      </c>
      <c r="K26" s="39" t="s">
        <v>34</v>
      </c>
      <c r="L26" s="40">
        <f>17*4</f>
        <v>68</v>
      </c>
      <c r="M26" s="35" t="s">
        <v>33</v>
      </c>
    </row>
    <row r="27" spans="2:13" x14ac:dyDescent="0.2">
      <c r="B27" s="39" t="s">
        <v>50</v>
      </c>
      <c r="C27" s="40">
        <v>0.05</v>
      </c>
      <c r="D27" s="35" t="s">
        <v>23</v>
      </c>
      <c r="H27" s="39" t="s">
        <v>42</v>
      </c>
      <c r="I27" s="41">
        <f>LOOKUP(I26,[1]Hoja2!$B$6:$B$18,[1]Hoja2!$E$6:$E$18)</f>
        <v>0.99399999999999999</v>
      </c>
      <c r="J27" s="35" t="s">
        <v>43</v>
      </c>
      <c r="K27" s="39" t="s">
        <v>38</v>
      </c>
      <c r="L27" s="40">
        <v>4</v>
      </c>
      <c r="M27" s="35" t="s">
        <v>39</v>
      </c>
    </row>
    <row r="28" spans="2:13" x14ac:dyDescent="0.2">
      <c r="B28" s="92" t="s">
        <v>66</v>
      </c>
      <c r="C28" s="40"/>
      <c r="D28" s="35"/>
      <c r="H28" s="39" t="s">
        <v>67</v>
      </c>
      <c r="I28" s="40">
        <v>13</v>
      </c>
      <c r="J28" s="35"/>
      <c r="K28" s="39" t="s">
        <v>42</v>
      </c>
      <c r="L28" s="41">
        <f>LOOKUP(L27,[1]Hoja2!$B$6:$B$18,[1]Hoja2!$E$6:$E$18)</f>
        <v>0.99399999999999999</v>
      </c>
      <c r="M28" s="35" t="s">
        <v>43</v>
      </c>
    </row>
    <row r="29" spans="2:13" ht="15" thickBot="1" x14ac:dyDescent="0.25">
      <c r="B29" s="39" t="s">
        <v>37</v>
      </c>
      <c r="C29" s="40">
        <v>3</v>
      </c>
      <c r="D29" s="35" t="s">
        <v>23</v>
      </c>
      <c r="H29" s="46" t="s">
        <v>68</v>
      </c>
      <c r="I29" s="47">
        <f>IF(C29=2.5,(1.8+([1]Hoja2!I10/100*4)+(0.2)),IF(C29=3,(2.09+([1]Hoja2!I10/100*4)+(0.2)),IF(C29=3.7,(2.07+([1]Hoja2!I10/100*4)+(0.2)))))</f>
        <v>2.5700000000000003</v>
      </c>
      <c r="J29" s="35" t="s">
        <v>23</v>
      </c>
      <c r="K29" s="46" t="s">
        <v>68</v>
      </c>
      <c r="L29" s="47">
        <f>((0.75+1.235)*2)+0.21+0.24</f>
        <v>4.4200000000000008</v>
      </c>
      <c r="M29" s="35" t="s">
        <v>23</v>
      </c>
    </row>
    <row r="30" spans="2:13" ht="15" thickBot="1" x14ac:dyDescent="0.25">
      <c r="B30" s="46" t="s">
        <v>69</v>
      </c>
      <c r="C30" s="49">
        <v>3</v>
      </c>
      <c r="D30" s="35" t="s">
        <v>23</v>
      </c>
      <c r="G30" s="35"/>
      <c r="K30" s="50"/>
      <c r="L30" s="51"/>
      <c r="M30" s="35"/>
    </row>
    <row r="31" spans="2:13" x14ac:dyDescent="0.2">
      <c r="B31" s="50"/>
      <c r="C31" s="52"/>
      <c r="D31" s="35"/>
      <c r="E31" s="50"/>
      <c r="F31" s="52"/>
      <c r="G31" s="35"/>
    </row>
    <row r="32" spans="2:13" x14ac:dyDescent="0.2">
      <c r="B32" s="50"/>
      <c r="C32" s="52"/>
      <c r="D32" s="35"/>
      <c r="E32" s="50"/>
      <c r="F32" s="52"/>
      <c r="G32" s="35"/>
    </row>
    <row r="33" spans="1:11" ht="38.25" x14ac:dyDescent="0.2">
      <c r="A33" s="53" t="s">
        <v>70</v>
      </c>
      <c r="B33" s="90" t="s">
        <v>71</v>
      </c>
      <c r="C33" s="55" t="s">
        <v>72</v>
      </c>
      <c r="D33" s="56" t="s">
        <v>114</v>
      </c>
      <c r="E33" s="57"/>
    </row>
    <row r="34" spans="1:11" ht="76.5" x14ac:dyDescent="0.2">
      <c r="A34" s="90">
        <v>6007</v>
      </c>
      <c r="B34" s="59" t="s">
        <v>74</v>
      </c>
      <c r="C34" s="91" t="s">
        <v>75</v>
      </c>
      <c r="D34" s="63">
        <f>((PI()*(C12*C12)/4/10000)*C13*C11)</f>
        <v>38.924332977977535</v>
      </c>
      <c r="E34" s="64"/>
      <c r="H34" s="65"/>
      <c r="K34" s="65"/>
    </row>
    <row r="35" spans="1:11" ht="102" x14ac:dyDescent="0.2">
      <c r="A35" s="130">
        <v>3708</v>
      </c>
      <c r="B35" s="59" t="s">
        <v>76</v>
      </c>
      <c r="C35" s="60" t="s">
        <v>77</v>
      </c>
      <c r="D35" s="66">
        <f>D36+D37+D38</f>
        <v>12282.052148152907</v>
      </c>
      <c r="H35" s="65"/>
      <c r="K35" s="65"/>
    </row>
    <row r="36" spans="1:11" x14ac:dyDescent="0.2">
      <c r="A36" s="130"/>
      <c r="B36" s="67" t="s">
        <v>29</v>
      </c>
      <c r="C36" s="131" t="s">
        <v>77</v>
      </c>
      <c r="D36" s="68">
        <f>((F14*F11*F13)+(F16*F18*F21))*C11*1.03</f>
        <v>4347.9440996533367</v>
      </c>
    </row>
    <row r="37" spans="1:11" x14ac:dyDescent="0.2">
      <c r="A37" s="130"/>
      <c r="B37" s="67" t="s">
        <v>31</v>
      </c>
      <c r="C37" s="131"/>
      <c r="D37" s="68">
        <f>(((L14*L16*L17*4)+(L19*L21*L22*4))+(L26*L28*L29))*1.03</f>
        <v>2948.0140880000004</v>
      </c>
    </row>
    <row r="38" spans="1:11" x14ac:dyDescent="0.2">
      <c r="A38" s="130"/>
      <c r="B38" s="67" t="s">
        <v>30</v>
      </c>
      <c r="C38" s="131"/>
      <c r="D38" s="69">
        <f>+(I11*I13*I14)+(I16*I18*I21)+(I25*I27*I29*I28)*1.03</f>
        <v>4986.0939604995701</v>
      </c>
    </row>
    <row r="39" spans="1:11" ht="51" x14ac:dyDescent="0.2">
      <c r="A39" s="130">
        <v>3637</v>
      </c>
      <c r="B39" s="59" t="s">
        <v>78</v>
      </c>
      <c r="C39" s="91" t="s">
        <v>75</v>
      </c>
      <c r="D39" s="70">
        <f>D40+D41</f>
        <v>66.580750411731103</v>
      </c>
      <c r="H39" s="64"/>
      <c r="K39" s="64"/>
    </row>
    <row r="40" spans="1:11" x14ac:dyDescent="0.2">
      <c r="A40" s="130"/>
      <c r="B40" s="67" t="s">
        <v>31</v>
      </c>
      <c r="C40" s="131" t="s">
        <v>75</v>
      </c>
      <c r="D40" s="71">
        <f>C15*C16*C17</f>
        <v>45.375</v>
      </c>
    </row>
    <row r="41" spans="1:11" x14ac:dyDescent="0.2">
      <c r="A41" s="130"/>
      <c r="B41" s="67" t="s">
        <v>30</v>
      </c>
      <c r="C41" s="131"/>
      <c r="D41" s="71">
        <f>(PI()*C29*C29/4)*C30</f>
        <v>21.205750411731103</v>
      </c>
    </row>
    <row r="42" spans="1:11" ht="38.25" x14ac:dyDescent="0.2">
      <c r="A42" s="90">
        <v>5055</v>
      </c>
      <c r="B42" s="59" t="s">
        <v>79</v>
      </c>
      <c r="C42" s="91" t="s">
        <v>75</v>
      </c>
      <c r="D42" s="71">
        <f>((PI()*(C12*C12)/4/10000)*(C17+C18)*C11)</f>
        <v>7.5084064420796057</v>
      </c>
      <c r="H42" s="64"/>
      <c r="K42" s="64"/>
    </row>
    <row r="43" spans="1:11" ht="51" x14ac:dyDescent="0.2">
      <c r="A43" s="90">
        <v>6021</v>
      </c>
      <c r="B43" s="59" t="s">
        <v>89</v>
      </c>
      <c r="C43" s="91" t="s">
        <v>75</v>
      </c>
      <c r="D43" s="71">
        <f>(C25*C26*C27)-((PI()*C12*C12*0.1/4/10000)*C11)</f>
        <v>1.1983407346410209</v>
      </c>
      <c r="H43" s="64"/>
      <c r="K43" s="64"/>
    </row>
    <row r="44" spans="1:11" ht="25.5" x14ac:dyDescent="0.2">
      <c r="A44" s="94">
        <v>5416</v>
      </c>
      <c r="B44" s="81" t="s">
        <v>90</v>
      </c>
      <c r="C44" s="72" t="s">
        <v>75</v>
      </c>
      <c r="D44" s="95">
        <f>C20*C21*C22</f>
        <v>137.25</v>
      </c>
      <c r="E44" s="96"/>
      <c r="H44" s="65"/>
      <c r="K44" s="65"/>
    </row>
    <row r="45" spans="1:11" ht="51" x14ac:dyDescent="0.2">
      <c r="A45" s="94">
        <v>3017</v>
      </c>
      <c r="B45" s="81" t="s">
        <v>91</v>
      </c>
      <c r="C45" s="72" t="s">
        <v>75</v>
      </c>
      <c r="D45" s="71">
        <f>D44</f>
        <v>137.25</v>
      </c>
      <c r="E45" s="96"/>
      <c r="H45" s="64"/>
      <c r="K45" s="64"/>
    </row>
    <row r="46" spans="1:11" ht="38.25" x14ac:dyDescent="0.2">
      <c r="A46" s="94">
        <v>4908</v>
      </c>
      <c r="B46" s="59" t="s">
        <v>80</v>
      </c>
      <c r="C46" s="91" t="s">
        <v>75</v>
      </c>
      <c r="D46" s="71">
        <f>D44-(C25*C26*C27)-D40-((PI()*C29*C29/4)*C18)</f>
        <v>84.071460711186447</v>
      </c>
      <c r="K46" s="64"/>
    </row>
    <row r="47" spans="1:11" x14ac:dyDescent="0.2">
      <c r="A47" s="94"/>
    </row>
    <row r="48" spans="1:11" x14ac:dyDescent="0.2">
      <c r="A48" s="94"/>
    </row>
    <row r="49" spans="1:1" x14ac:dyDescent="0.2">
      <c r="A49" s="94"/>
    </row>
  </sheetData>
  <mergeCells count="13">
    <mergeCell ref="K9:L9"/>
    <mergeCell ref="H23:I23"/>
    <mergeCell ref="A39:A41"/>
    <mergeCell ref="C40:C41"/>
    <mergeCell ref="E7:I7"/>
    <mergeCell ref="B9:C9"/>
    <mergeCell ref="E9:F9"/>
    <mergeCell ref="H9:I9"/>
    <mergeCell ref="H24:I24"/>
    <mergeCell ref="K24:L24"/>
    <mergeCell ref="K25:L25"/>
    <mergeCell ref="A35:A38"/>
    <mergeCell ref="C36:C38"/>
  </mergeCells>
  <pageMargins left="0.7" right="0.7" top="0.75" bottom="0.75" header="0.3" footer="0.3"/>
  <pageSetup scale="46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C3AA4-2AB8-4B4C-A96F-FAC88D670206}">
  <sheetPr>
    <tabColor rgb="FFFFFF00"/>
  </sheetPr>
  <dimension ref="A2:M50"/>
  <sheetViews>
    <sheetView view="pageBreakPreview" zoomScale="85" zoomScaleNormal="85" zoomScaleSheetLayoutView="85" workbookViewId="0">
      <selection activeCell="F17" sqref="F17"/>
    </sheetView>
  </sheetViews>
  <sheetFormatPr baseColWidth="10" defaultRowHeight="14.25" x14ac:dyDescent="0.2"/>
  <cols>
    <col min="1" max="1" width="9.7109375" style="29" customWidth="1"/>
    <col min="2" max="2" width="42.85546875" style="29" customWidth="1"/>
    <col min="3" max="3" width="12.28515625" style="32" customWidth="1"/>
    <col min="4" max="4" width="12.85546875" style="32" customWidth="1"/>
    <col min="5" max="5" width="28.7109375" style="32" bestFit="1" customWidth="1"/>
    <col min="6" max="7" width="11.42578125" style="32"/>
    <col min="8" max="8" width="28.7109375" style="32" customWidth="1"/>
    <col min="9" max="10" width="11.42578125" style="32"/>
    <col min="11" max="11" width="28.7109375" style="32" customWidth="1"/>
    <col min="12" max="16384" width="11.42578125" style="29"/>
  </cols>
  <sheetData>
    <row r="2" spans="2:13" ht="16.5" x14ac:dyDescent="0.2">
      <c r="C2" s="30"/>
      <c r="D2" s="30"/>
      <c r="E2" s="31" t="s">
        <v>24</v>
      </c>
      <c r="F2" s="30"/>
      <c r="G2" s="30"/>
    </row>
    <row r="3" spans="2:13" ht="16.5" x14ac:dyDescent="0.3">
      <c r="C3" s="30"/>
      <c r="D3" s="30"/>
      <c r="E3" s="28" t="s">
        <v>25</v>
      </c>
      <c r="F3" s="30"/>
      <c r="G3" s="30"/>
    </row>
    <row r="4" spans="2:13" ht="16.5" x14ac:dyDescent="0.2">
      <c r="C4" s="30"/>
      <c r="D4" s="30"/>
      <c r="E4" s="33"/>
      <c r="F4" s="30"/>
      <c r="G4" s="30"/>
    </row>
    <row r="5" spans="2:13" ht="16.5" x14ac:dyDescent="0.3">
      <c r="C5" s="30"/>
      <c r="D5" s="30"/>
      <c r="E5" s="34" t="s">
        <v>26</v>
      </c>
      <c r="F5" s="30"/>
      <c r="G5" s="30"/>
    </row>
    <row r="7" spans="2:13" ht="16.5" x14ac:dyDescent="0.3">
      <c r="E7" s="132" t="s">
        <v>126</v>
      </c>
      <c r="F7" s="132"/>
      <c r="G7" s="132"/>
      <c r="H7" s="132"/>
      <c r="I7" s="132"/>
    </row>
    <row r="8" spans="2:13" ht="15" thickBot="1" x14ac:dyDescent="0.25"/>
    <row r="9" spans="2:13" x14ac:dyDescent="0.2">
      <c r="B9" s="133" t="s">
        <v>27</v>
      </c>
      <c r="C9" s="134"/>
      <c r="D9" s="35"/>
      <c r="E9" s="128" t="s">
        <v>28</v>
      </c>
      <c r="F9" s="129"/>
      <c r="G9" s="35"/>
      <c r="H9" s="128" t="s">
        <v>28</v>
      </c>
      <c r="I9" s="129"/>
      <c r="K9" s="128" t="s">
        <v>28</v>
      </c>
      <c r="L9" s="129"/>
    </row>
    <row r="10" spans="2:13" x14ac:dyDescent="0.2">
      <c r="B10" s="92" t="s">
        <v>29</v>
      </c>
      <c r="C10" s="37"/>
      <c r="D10" s="35"/>
      <c r="E10" s="92" t="s">
        <v>29</v>
      </c>
      <c r="F10" s="37"/>
      <c r="G10" s="35"/>
      <c r="H10" s="92" t="s">
        <v>30</v>
      </c>
      <c r="I10" s="38"/>
      <c r="J10" s="35"/>
      <c r="K10" s="92" t="s">
        <v>31</v>
      </c>
      <c r="L10" s="38"/>
    </row>
    <row r="11" spans="2:13" x14ac:dyDescent="0.2">
      <c r="B11" s="39" t="s">
        <v>32</v>
      </c>
      <c r="C11" s="40">
        <v>4</v>
      </c>
      <c r="D11" s="35" t="s">
        <v>33</v>
      </c>
      <c r="E11" s="39" t="s">
        <v>34</v>
      </c>
      <c r="F11" s="40">
        <v>16</v>
      </c>
      <c r="G11" s="35" t="s">
        <v>33</v>
      </c>
      <c r="H11" s="39" t="s">
        <v>34</v>
      </c>
      <c r="I11" s="40">
        <v>64</v>
      </c>
      <c r="J11" s="35" t="s">
        <v>33</v>
      </c>
      <c r="K11" s="39" t="s">
        <v>35</v>
      </c>
      <c r="L11" s="40">
        <v>25</v>
      </c>
      <c r="M11" s="29" t="s">
        <v>36</v>
      </c>
    </row>
    <row r="12" spans="2:13" x14ac:dyDescent="0.2">
      <c r="B12" s="39" t="s">
        <v>37</v>
      </c>
      <c r="C12" s="40">
        <v>100</v>
      </c>
      <c r="D12" s="35" t="s">
        <v>36</v>
      </c>
      <c r="E12" s="39" t="s">
        <v>38</v>
      </c>
      <c r="F12" s="40">
        <v>8</v>
      </c>
      <c r="G12" s="35" t="s">
        <v>39</v>
      </c>
      <c r="H12" s="39" t="s">
        <v>38</v>
      </c>
      <c r="I12" s="40">
        <v>10</v>
      </c>
      <c r="J12" s="35" t="s">
        <v>39</v>
      </c>
      <c r="K12" s="39" t="s">
        <v>40</v>
      </c>
      <c r="L12" s="40">
        <v>1</v>
      </c>
      <c r="M12" s="35"/>
    </row>
    <row r="13" spans="2:13" x14ac:dyDescent="0.2">
      <c r="B13" s="39" t="s">
        <v>41</v>
      </c>
      <c r="C13" s="40">
        <f>16+1.5+1.1</f>
        <v>18.600000000000001</v>
      </c>
      <c r="D13" s="35" t="s">
        <v>23</v>
      </c>
      <c r="E13" s="39" t="s">
        <v>42</v>
      </c>
      <c r="F13" s="41">
        <f>LOOKUP(F12,[1]Hoja2!$B$6:$B$18,[1]Hoja2!$E$6:$E$18)</f>
        <v>3.9729999999999999</v>
      </c>
      <c r="G13" s="35" t="s">
        <v>43</v>
      </c>
      <c r="H13" s="39" t="s">
        <v>42</v>
      </c>
      <c r="I13" s="41">
        <f>LOOKUP(I12,[1]Hoja2!$B$6:$B$18,[1]Hoja2!$E$6:$E$18)</f>
        <v>6.4039999999999999</v>
      </c>
      <c r="J13" s="35" t="s">
        <v>43</v>
      </c>
      <c r="K13" s="39" t="s">
        <v>100</v>
      </c>
      <c r="L13" s="40">
        <v>17</v>
      </c>
      <c r="M13" s="35" t="s">
        <v>36</v>
      </c>
    </row>
    <row r="14" spans="2:13" x14ac:dyDescent="0.2">
      <c r="B14" s="92" t="s">
        <v>31</v>
      </c>
      <c r="C14" s="40"/>
      <c r="D14" s="35"/>
      <c r="E14" s="39" t="s">
        <v>45</v>
      </c>
      <c r="F14" s="42">
        <f>(C13-C18-0.5-0.15)+(IF(C12=100,1,1.2))</f>
        <v>17.850000000000001</v>
      </c>
      <c r="G14" s="35" t="s">
        <v>23</v>
      </c>
      <c r="H14" s="39" t="s">
        <v>45</v>
      </c>
      <c r="I14" s="42">
        <f>(C30+C17-0.3-0.15)+(2.4)</f>
        <v>8.15</v>
      </c>
      <c r="J14" s="35" t="s">
        <v>23</v>
      </c>
      <c r="K14" s="39" t="s">
        <v>34</v>
      </c>
      <c r="L14" s="41">
        <f>IF(L12=1,(ROUNDUP(((C15-(2*L13/100))*(L12)/(L11/100))+1,0)),(ROUNDUP(((C15-(2*L13/100))*(L12)/(L11/100))+2,0)))</f>
        <v>22</v>
      </c>
      <c r="M14" s="29" t="s">
        <v>33</v>
      </c>
    </row>
    <row r="15" spans="2:13" x14ac:dyDescent="0.2">
      <c r="B15" s="39" t="s">
        <v>46</v>
      </c>
      <c r="C15" s="40">
        <v>5.5</v>
      </c>
      <c r="D15" s="35" t="s">
        <v>23</v>
      </c>
      <c r="E15" s="39" t="s">
        <v>47</v>
      </c>
      <c r="F15" s="38">
        <v>0.1</v>
      </c>
      <c r="G15" s="43" t="s">
        <v>23</v>
      </c>
      <c r="H15" s="39" t="s">
        <v>47</v>
      </c>
      <c r="I15" s="38">
        <v>0.1</v>
      </c>
      <c r="J15" s="43" t="s">
        <v>23</v>
      </c>
      <c r="K15" s="39" t="s">
        <v>38</v>
      </c>
      <c r="L15" s="40">
        <v>7</v>
      </c>
      <c r="M15" s="29" t="s">
        <v>39</v>
      </c>
    </row>
    <row r="16" spans="2:13" x14ac:dyDescent="0.2">
      <c r="B16" s="39" t="s">
        <v>48</v>
      </c>
      <c r="C16" s="40">
        <v>5.5</v>
      </c>
      <c r="D16" s="35" t="s">
        <v>23</v>
      </c>
      <c r="E16" s="39" t="s">
        <v>49</v>
      </c>
      <c r="F16" s="44">
        <v>108</v>
      </c>
      <c r="G16" s="35" t="s">
        <v>33</v>
      </c>
      <c r="H16" s="39" t="s">
        <v>49</v>
      </c>
      <c r="I16" s="41">
        <f>ROUNDUP((((C30+C17-0.3-0.15)/I15)+1),0)</f>
        <v>59</v>
      </c>
      <c r="J16" s="35" t="s">
        <v>33</v>
      </c>
      <c r="K16" s="39" t="s">
        <v>42</v>
      </c>
      <c r="L16" s="41">
        <f>LOOKUP(L15,[1]Hoja2!$B$6:$B$18,[1]Hoja2!$E$6:$E$18)</f>
        <v>3.0419999999999998</v>
      </c>
      <c r="M16" s="35" t="s">
        <v>43</v>
      </c>
    </row>
    <row r="17" spans="2:13" x14ac:dyDescent="0.2">
      <c r="B17" s="39" t="s">
        <v>50</v>
      </c>
      <c r="C17" s="40">
        <v>1.5</v>
      </c>
      <c r="D17" s="35" t="s">
        <v>23</v>
      </c>
      <c r="E17" s="39" t="s">
        <v>51</v>
      </c>
      <c r="F17" s="40">
        <v>4</v>
      </c>
      <c r="G17" s="35" t="s">
        <v>39</v>
      </c>
      <c r="H17" s="39" t="s">
        <v>51</v>
      </c>
      <c r="I17" s="40">
        <v>4</v>
      </c>
      <c r="J17" s="35" t="s">
        <v>39</v>
      </c>
      <c r="K17" s="39" t="s">
        <v>45</v>
      </c>
      <c r="L17" s="42">
        <f>(C15-(L13/100)-(L13/100))+0.9+0.9</f>
        <v>6.9600000000000009</v>
      </c>
      <c r="M17" s="35" t="s">
        <v>23</v>
      </c>
    </row>
    <row r="18" spans="2:13" x14ac:dyDescent="0.2">
      <c r="B18" s="39" t="s">
        <v>52</v>
      </c>
      <c r="C18" s="93">
        <v>1.1000000000000001</v>
      </c>
      <c r="D18" s="35" t="s">
        <v>23</v>
      </c>
      <c r="E18" s="39" t="s">
        <v>53</v>
      </c>
      <c r="F18" s="41">
        <f>LOOKUP(F17,[1]Hoja2!$B$6:$B$18,[1]Hoja2!$E$6:$E$18)</f>
        <v>0.99399999999999999</v>
      </c>
      <c r="G18" s="35" t="s">
        <v>43</v>
      </c>
      <c r="H18" s="39" t="s">
        <v>53</v>
      </c>
      <c r="I18" s="41">
        <f>LOOKUP(I17,[1]Hoja2!$B$6:$B$18,[1]Hoja2!$E$6:$E$18)</f>
        <v>0.99399999999999999</v>
      </c>
      <c r="J18" s="35" t="s">
        <v>43</v>
      </c>
      <c r="K18" s="39" t="s">
        <v>54</v>
      </c>
      <c r="L18" s="40">
        <v>20</v>
      </c>
      <c r="M18" s="29" t="s">
        <v>36</v>
      </c>
    </row>
    <row r="19" spans="2:13" x14ac:dyDescent="0.2">
      <c r="B19" s="92" t="s">
        <v>55</v>
      </c>
      <c r="C19" s="40"/>
      <c r="D19" s="35"/>
      <c r="E19" s="39" t="s">
        <v>44</v>
      </c>
      <c r="F19" s="40">
        <v>10</v>
      </c>
      <c r="G19" s="35" t="s">
        <v>36</v>
      </c>
      <c r="H19" s="39" t="s">
        <v>44</v>
      </c>
      <c r="I19" s="40">
        <v>7</v>
      </c>
      <c r="J19" s="35" t="s">
        <v>36</v>
      </c>
      <c r="K19" s="39" t="s">
        <v>56</v>
      </c>
      <c r="L19" s="41">
        <f>ROUNDDOWN((C17-(25/100)-(25/100))/(L18/100)+1,0)</f>
        <v>6</v>
      </c>
      <c r="M19" s="29" t="s">
        <v>33</v>
      </c>
    </row>
    <row r="20" spans="2:13" x14ac:dyDescent="0.2">
      <c r="B20" s="39" t="s">
        <v>57</v>
      </c>
      <c r="C20" s="41">
        <f>+C15+1+1</f>
        <v>7.5</v>
      </c>
      <c r="D20" s="35" t="s">
        <v>23</v>
      </c>
      <c r="E20" s="39" t="s">
        <v>35</v>
      </c>
      <c r="F20" s="45">
        <f>(PI()*(C12-F19-F19))/F11</f>
        <v>15.707963267948966</v>
      </c>
      <c r="G20" s="35" t="s">
        <v>36</v>
      </c>
      <c r="H20" s="39" t="s">
        <v>35</v>
      </c>
      <c r="I20" s="45">
        <f>(PI()*(C29*(100)-I19-I19))/I11</f>
        <v>11.584622910112362</v>
      </c>
      <c r="J20" s="35" t="s">
        <v>36</v>
      </c>
      <c r="K20" s="39" t="s">
        <v>58</v>
      </c>
      <c r="L20" s="40">
        <v>6</v>
      </c>
      <c r="M20" s="29" t="s">
        <v>39</v>
      </c>
    </row>
    <row r="21" spans="2:13" ht="15" thickBot="1" x14ac:dyDescent="0.25">
      <c r="B21" s="39" t="s">
        <v>59</v>
      </c>
      <c r="C21" s="41">
        <f>+C16+1+1</f>
        <v>7.5</v>
      </c>
      <c r="D21" s="35" t="s">
        <v>23</v>
      </c>
      <c r="E21" s="46" t="s">
        <v>60</v>
      </c>
      <c r="F21" s="47">
        <f>((PI()*(C12-F19-F19))+(F20*(3)+F20*(3)+((LOOKUP(F17,[1]Hoja2!$B$6:$B$18,[1]Hoja2!$H$6:$H$18))*2)+20))/100</f>
        <v>3.8957519189487719</v>
      </c>
      <c r="G21" s="35" t="s">
        <v>23</v>
      </c>
      <c r="H21" s="46" t="s">
        <v>60</v>
      </c>
      <c r="I21" s="47">
        <f>((PI()*(C29*(100)-I19-I19))+(I20*(3)+I20*(3)+((LOOKUP(I17,[1]Hoja2!$B$6:$B$18,[1]Hoja2!$H$6:$H$18))*2)+20))/100</f>
        <v>8.5492360370786535</v>
      </c>
      <c r="J21" s="35" t="s">
        <v>23</v>
      </c>
      <c r="K21" s="39" t="s">
        <v>61</v>
      </c>
      <c r="L21" s="41">
        <f>LOOKUP(L20,[1]Hoja2!$B$6:$B$18,[1]Hoja2!$E$6:$E$18)</f>
        <v>2.2349999999999999</v>
      </c>
      <c r="M21" s="35" t="s">
        <v>43</v>
      </c>
    </row>
    <row r="22" spans="2:13" ht="15" thickBot="1" x14ac:dyDescent="0.25">
      <c r="B22" s="39" t="s">
        <v>50</v>
      </c>
      <c r="C22" s="42">
        <f>+C18+C17+C27</f>
        <v>2.65</v>
      </c>
      <c r="D22" s="35" t="s">
        <v>23</v>
      </c>
      <c r="K22" s="46" t="s">
        <v>62</v>
      </c>
      <c r="L22" s="48">
        <f>C15-(L13/100)-(L13/100)</f>
        <v>5.16</v>
      </c>
      <c r="M22" s="35" t="s">
        <v>23</v>
      </c>
    </row>
    <row r="23" spans="2:13" ht="15" thickBot="1" x14ac:dyDescent="0.25">
      <c r="B23" s="39"/>
      <c r="C23" s="38"/>
      <c r="D23" s="35"/>
      <c r="H23" s="128" t="s">
        <v>28</v>
      </c>
      <c r="I23" s="129"/>
    </row>
    <row r="24" spans="2:13" x14ac:dyDescent="0.2">
      <c r="B24" s="92" t="s">
        <v>63</v>
      </c>
      <c r="C24" s="40"/>
      <c r="D24" s="35"/>
      <c r="H24" s="135" t="s">
        <v>64</v>
      </c>
      <c r="I24" s="136"/>
      <c r="K24" s="128" t="s">
        <v>28</v>
      </c>
      <c r="L24" s="129"/>
      <c r="M24" s="32"/>
    </row>
    <row r="25" spans="2:13" x14ac:dyDescent="0.2">
      <c r="B25" s="39" t="s">
        <v>46</v>
      </c>
      <c r="C25" s="42">
        <f>+C15</f>
        <v>5.5</v>
      </c>
      <c r="D25" s="35" t="s">
        <v>23</v>
      </c>
      <c r="H25" s="39" t="s">
        <v>34</v>
      </c>
      <c r="I25" s="41">
        <f>IF(C29=2.5,12*2,IF(C29=3,13*2,IF(C29=3.7,14*2)))</f>
        <v>24</v>
      </c>
      <c r="J25" s="35" t="s">
        <v>33</v>
      </c>
      <c r="K25" s="135" t="s">
        <v>65</v>
      </c>
      <c r="L25" s="136"/>
      <c r="M25" s="32"/>
    </row>
    <row r="26" spans="2:13" x14ac:dyDescent="0.2">
      <c r="B26" s="39" t="s">
        <v>48</v>
      </c>
      <c r="C26" s="42">
        <f>+C16</f>
        <v>5.5</v>
      </c>
      <c r="D26" s="35" t="s">
        <v>23</v>
      </c>
      <c r="H26" s="39" t="s">
        <v>38</v>
      </c>
      <c r="I26" s="40">
        <v>4</v>
      </c>
      <c r="J26" s="35" t="s">
        <v>39</v>
      </c>
      <c r="K26" s="39" t="s">
        <v>34</v>
      </c>
      <c r="L26" s="40">
        <f>14*4</f>
        <v>56</v>
      </c>
      <c r="M26" s="35" t="s">
        <v>33</v>
      </c>
    </row>
    <row r="27" spans="2:13" x14ac:dyDescent="0.2">
      <c r="B27" s="39" t="s">
        <v>50</v>
      </c>
      <c r="C27" s="40">
        <v>0.05</v>
      </c>
      <c r="D27" s="35" t="s">
        <v>23</v>
      </c>
      <c r="H27" s="39" t="s">
        <v>42</v>
      </c>
      <c r="I27" s="41">
        <f>LOOKUP(I26,[1]Hoja2!$B$6:$B$18,[1]Hoja2!$E$6:$E$18)</f>
        <v>0.99399999999999999</v>
      </c>
      <c r="J27" s="35" t="s">
        <v>43</v>
      </c>
      <c r="K27" s="39" t="s">
        <v>38</v>
      </c>
      <c r="L27" s="40">
        <v>4</v>
      </c>
      <c r="M27" s="35" t="s">
        <v>39</v>
      </c>
    </row>
    <row r="28" spans="2:13" x14ac:dyDescent="0.2">
      <c r="B28" s="92" t="s">
        <v>66</v>
      </c>
      <c r="C28" s="40"/>
      <c r="D28" s="35"/>
      <c r="H28" s="39" t="s">
        <v>67</v>
      </c>
      <c r="I28" s="40">
        <v>13</v>
      </c>
      <c r="J28" s="35"/>
      <c r="K28" s="39" t="s">
        <v>42</v>
      </c>
      <c r="L28" s="41">
        <f>LOOKUP(L27,[1]Hoja2!$B$6:$B$18,[1]Hoja2!$E$6:$E$18)</f>
        <v>0.99399999999999999</v>
      </c>
      <c r="M28" s="35" t="s">
        <v>43</v>
      </c>
    </row>
    <row r="29" spans="2:13" ht="15" thickBot="1" x14ac:dyDescent="0.25">
      <c r="B29" s="39" t="s">
        <v>37</v>
      </c>
      <c r="C29" s="40">
        <v>2.5</v>
      </c>
      <c r="D29" s="35" t="s">
        <v>23</v>
      </c>
      <c r="H29" s="46" t="s">
        <v>68</v>
      </c>
      <c r="I29" s="47">
        <f>IF(C29=2.5,(1.8+([1]Hoja2!I10/100*4)+(0.2)),IF(C29=3,(2.09+([1]Hoja2!I10/100*4)+(0.2)),IF(C29=3.7,(2.07+([1]Hoja2!I10/100*4)+(0.2)))))</f>
        <v>2.2800000000000002</v>
      </c>
      <c r="J29" s="35" t="s">
        <v>23</v>
      </c>
      <c r="K29" s="46" t="s">
        <v>68</v>
      </c>
      <c r="L29" s="47">
        <f>((0.75+1.235)*2)+0.21+0.24</f>
        <v>4.4200000000000008</v>
      </c>
      <c r="M29" s="35" t="s">
        <v>23</v>
      </c>
    </row>
    <row r="30" spans="2:13" ht="15" thickBot="1" x14ac:dyDescent="0.25">
      <c r="B30" s="46" t="s">
        <v>69</v>
      </c>
      <c r="C30" s="49">
        <v>4.7</v>
      </c>
      <c r="D30" s="35" t="s">
        <v>23</v>
      </c>
      <c r="G30" s="35"/>
      <c r="K30" s="50"/>
      <c r="L30" s="51"/>
      <c r="M30" s="35"/>
    </row>
    <row r="31" spans="2:13" x14ac:dyDescent="0.2">
      <c r="B31" s="50"/>
      <c r="C31" s="52"/>
      <c r="D31" s="35"/>
      <c r="E31" s="50"/>
      <c r="F31" s="52"/>
      <c r="G31" s="35"/>
    </row>
    <row r="32" spans="2:13" x14ac:dyDescent="0.2">
      <c r="B32" s="50"/>
      <c r="C32" s="52"/>
      <c r="D32" s="35"/>
      <c r="E32" s="50"/>
      <c r="F32" s="52"/>
      <c r="G32" s="35"/>
    </row>
    <row r="33" spans="1:11" ht="38.25" x14ac:dyDescent="0.2">
      <c r="A33" s="53" t="s">
        <v>70</v>
      </c>
      <c r="B33" s="90" t="s">
        <v>71</v>
      </c>
      <c r="C33" s="55" t="s">
        <v>72</v>
      </c>
      <c r="D33" s="56" t="s">
        <v>115</v>
      </c>
      <c r="E33" s="57"/>
    </row>
    <row r="34" spans="1:11" ht="76.5" x14ac:dyDescent="0.2">
      <c r="A34" s="90">
        <v>6007</v>
      </c>
      <c r="B34" s="59" t="s">
        <v>74</v>
      </c>
      <c r="C34" s="91" t="s">
        <v>75</v>
      </c>
      <c r="D34" s="63">
        <f>((PI()*(C12*C12)/4/10000)*C13*C11)</f>
        <v>58.433623356770156</v>
      </c>
      <c r="E34" s="64"/>
      <c r="H34" s="65"/>
      <c r="K34" s="65"/>
    </row>
    <row r="35" spans="1:11" ht="102" x14ac:dyDescent="0.2">
      <c r="A35" s="130">
        <v>3708</v>
      </c>
      <c r="B35" s="59" t="s">
        <v>76</v>
      </c>
      <c r="C35" s="60" t="s">
        <v>77</v>
      </c>
      <c r="D35" s="66">
        <f>D36+D37+D38</f>
        <v>13425.54128224283</v>
      </c>
      <c r="H35" s="65"/>
      <c r="K35" s="65"/>
    </row>
    <row r="36" spans="1:11" x14ac:dyDescent="0.2">
      <c r="A36" s="130"/>
      <c r="B36" s="67" t="s">
        <v>29</v>
      </c>
      <c r="C36" s="131" t="s">
        <v>77</v>
      </c>
      <c r="D36" s="68">
        <f>((F14*F11*F13)+(F16*F18*F21))*C11*1.03</f>
        <v>6397.9709072123142</v>
      </c>
    </row>
    <row r="37" spans="1:11" x14ac:dyDescent="0.2">
      <c r="A37" s="130"/>
      <c r="B37" s="67" t="s">
        <v>31</v>
      </c>
      <c r="C37" s="131"/>
      <c r="D37" s="68">
        <f>(((L14*L16*L17*4)+(L19*L21*L22*4))+(L26*L28*L29))*1.03</f>
        <v>2457.5608832000003</v>
      </c>
    </row>
    <row r="38" spans="1:11" x14ac:dyDescent="0.2">
      <c r="A38" s="130"/>
      <c r="B38" s="67" t="s">
        <v>30</v>
      </c>
      <c r="C38" s="131"/>
      <c r="D38" s="69">
        <f>+(I11*I13*I14)+(I16*I18*I21)+(I25*I27*I29*I28)*1.03</f>
        <v>4570.0094918305149</v>
      </c>
    </row>
    <row r="39" spans="1:11" ht="51" x14ac:dyDescent="0.2">
      <c r="A39" s="130">
        <v>3637</v>
      </c>
      <c r="B39" s="59" t="s">
        <v>78</v>
      </c>
      <c r="C39" s="91" t="s">
        <v>75</v>
      </c>
      <c r="D39" s="70">
        <f>D40+D41</f>
        <v>68.446071049800054</v>
      </c>
      <c r="H39" s="64"/>
      <c r="K39" s="64"/>
    </row>
    <row r="40" spans="1:11" x14ac:dyDescent="0.2">
      <c r="A40" s="130"/>
      <c r="B40" s="67" t="s">
        <v>31</v>
      </c>
      <c r="C40" s="131" t="s">
        <v>75</v>
      </c>
      <c r="D40" s="71">
        <f>C15*C16*C17</f>
        <v>45.375</v>
      </c>
    </row>
    <row r="41" spans="1:11" x14ac:dyDescent="0.2">
      <c r="A41" s="130"/>
      <c r="B41" s="67" t="s">
        <v>30</v>
      </c>
      <c r="C41" s="131"/>
      <c r="D41" s="71">
        <f>(PI()*C29*C29/4)*C30</f>
        <v>23.071071049800047</v>
      </c>
    </row>
    <row r="42" spans="1:11" ht="38.25" x14ac:dyDescent="0.2">
      <c r="A42" s="90">
        <v>5055</v>
      </c>
      <c r="B42" s="59" t="s">
        <v>79</v>
      </c>
      <c r="C42" s="91" t="s">
        <v>75</v>
      </c>
      <c r="D42" s="71">
        <f>((PI()*(C12*C12)/4/10000)*(C17+C18)*C11)</f>
        <v>8.1681408993334621</v>
      </c>
      <c r="H42" s="64"/>
      <c r="K42" s="64"/>
    </row>
    <row r="43" spans="1:11" ht="51" x14ac:dyDescent="0.2">
      <c r="A43" s="90">
        <v>6021</v>
      </c>
      <c r="B43" s="59" t="s">
        <v>89</v>
      </c>
      <c r="C43" s="91" t="s">
        <v>75</v>
      </c>
      <c r="D43" s="71">
        <f>(C25*C26*C27)-((PI()*C12*C12*0.1/4/10000)*C11)</f>
        <v>1.1983407346410209</v>
      </c>
      <c r="H43" s="64"/>
      <c r="K43" s="64"/>
    </row>
    <row r="44" spans="1:11" ht="25.5" x14ac:dyDescent="0.2">
      <c r="A44" s="94">
        <v>5416</v>
      </c>
      <c r="B44" s="81" t="s">
        <v>90</v>
      </c>
      <c r="C44" s="72" t="s">
        <v>75</v>
      </c>
      <c r="D44" s="95">
        <f>C20*C21*C22</f>
        <v>149.0625</v>
      </c>
      <c r="E44" s="96"/>
      <c r="H44" s="65"/>
      <c r="K44" s="65"/>
    </row>
    <row r="45" spans="1:11" ht="51" x14ac:dyDescent="0.2">
      <c r="A45" s="94">
        <v>3017</v>
      </c>
      <c r="B45" s="81" t="s">
        <v>91</v>
      </c>
      <c r="C45" s="72" t="s">
        <v>75</v>
      </c>
      <c r="D45" s="71">
        <f>D44</f>
        <v>149.0625</v>
      </c>
      <c r="E45" s="96"/>
      <c r="H45" s="64"/>
      <c r="K45" s="64"/>
    </row>
    <row r="46" spans="1:11" ht="38.25" x14ac:dyDescent="0.2">
      <c r="A46" s="94">
        <v>4908</v>
      </c>
      <c r="B46" s="59" t="s">
        <v>80</v>
      </c>
      <c r="C46" s="91" t="s">
        <v>75</v>
      </c>
      <c r="D46" s="71">
        <f>D44-(C25*C26*C27)-D40-((PI()*C29*C29/4)*C18)</f>
        <v>96.775387626642555</v>
      </c>
      <c r="K46" s="64"/>
    </row>
    <row r="47" spans="1:11" ht="51" x14ac:dyDescent="0.2">
      <c r="A47" s="94">
        <v>5196</v>
      </c>
      <c r="B47" s="81" t="s">
        <v>102</v>
      </c>
      <c r="C47" s="91" t="s">
        <v>75</v>
      </c>
      <c r="D47" s="71">
        <f>C20*C21*0.15</f>
        <v>8.4375</v>
      </c>
    </row>
    <row r="48" spans="1:11" x14ac:dyDescent="0.2">
      <c r="A48" s="94"/>
    </row>
    <row r="49" spans="1:1" x14ac:dyDescent="0.2">
      <c r="A49" s="94"/>
    </row>
    <row r="50" spans="1:1" x14ac:dyDescent="0.2">
      <c r="A50" s="94"/>
    </row>
  </sheetData>
  <mergeCells count="13">
    <mergeCell ref="K9:L9"/>
    <mergeCell ref="H23:I23"/>
    <mergeCell ref="A39:A41"/>
    <mergeCell ref="C40:C41"/>
    <mergeCell ref="E7:I7"/>
    <mergeCell ref="B9:C9"/>
    <mergeCell ref="E9:F9"/>
    <mergeCell ref="H9:I9"/>
    <mergeCell ref="H24:I24"/>
    <mergeCell ref="K24:L24"/>
    <mergeCell ref="K25:L25"/>
    <mergeCell ref="A35:A38"/>
    <mergeCell ref="C36:C38"/>
  </mergeCells>
  <pageMargins left="0.7" right="0.7" top="0.75" bottom="0.75" header="0.3" footer="0.3"/>
  <pageSetup scale="4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4E8E4-DE4F-4B8E-AB3A-177A876D110E}">
  <sheetPr>
    <tabColor rgb="FFFFFF00"/>
  </sheetPr>
  <dimension ref="A2:M47"/>
  <sheetViews>
    <sheetView view="pageBreakPreview" topLeftCell="A13" zoomScale="85" zoomScaleNormal="85" zoomScaleSheetLayoutView="85" workbookViewId="0">
      <selection activeCell="D39" sqref="D39"/>
    </sheetView>
  </sheetViews>
  <sheetFormatPr baseColWidth="10" defaultRowHeight="14.25" x14ac:dyDescent="0.2"/>
  <cols>
    <col min="1" max="1" width="9.7109375" style="29" customWidth="1"/>
    <col min="2" max="2" width="42.85546875" style="29" customWidth="1"/>
    <col min="3" max="3" width="12.28515625" style="32" customWidth="1"/>
    <col min="4" max="4" width="12.85546875" style="32" customWidth="1"/>
    <col min="5" max="5" width="28.7109375" style="32" bestFit="1" customWidth="1"/>
    <col min="6" max="7" width="11.42578125" style="32"/>
    <col min="8" max="8" width="28.7109375" style="32" customWidth="1"/>
    <col min="9" max="10" width="11.42578125" style="32"/>
    <col min="11" max="11" width="28.7109375" style="32" customWidth="1"/>
    <col min="12" max="16384" width="11.42578125" style="29"/>
  </cols>
  <sheetData>
    <row r="2" spans="2:13" ht="16.5" x14ac:dyDescent="0.2">
      <c r="C2" s="30"/>
      <c r="D2" s="30"/>
      <c r="E2" s="31" t="s">
        <v>24</v>
      </c>
      <c r="F2" s="30"/>
      <c r="G2" s="30"/>
    </row>
    <row r="3" spans="2:13" ht="16.5" x14ac:dyDescent="0.3">
      <c r="C3" s="30"/>
      <c r="D3" s="30"/>
      <c r="E3" s="28" t="s">
        <v>25</v>
      </c>
      <c r="F3" s="30"/>
      <c r="G3" s="30"/>
    </row>
    <row r="4" spans="2:13" ht="16.5" x14ac:dyDescent="0.2">
      <c r="C4" s="30"/>
      <c r="D4" s="30"/>
      <c r="E4" s="33"/>
      <c r="F4" s="30"/>
      <c r="G4" s="30"/>
    </row>
    <row r="5" spans="2:13" ht="16.5" x14ac:dyDescent="0.3">
      <c r="C5" s="30"/>
      <c r="D5" s="30"/>
      <c r="E5" s="34" t="s">
        <v>26</v>
      </c>
      <c r="F5" s="30"/>
      <c r="G5" s="30"/>
    </row>
    <row r="7" spans="2:13" ht="16.5" x14ac:dyDescent="0.3">
      <c r="E7" s="132" t="s">
        <v>126</v>
      </c>
      <c r="F7" s="132"/>
      <c r="G7" s="132"/>
      <c r="H7" s="132"/>
      <c r="I7" s="132"/>
    </row>
    <row r="8" spans="2:13" ht="15" thickBot="1" x14ac:dyDescent="0.25"/>
    <row r="9" spans="2:13" x14ac:dyDescent="0.2">
      <c r="B9" s="133" t="s">
        <v>27</v>
      </c>
      <c r="C9" s="134"/>
      <c r="D9" s="35"/>
      <c r="E9" s="128" t="s">
        <v>28</v>
      </c>
      <c r="F9" s="129"/>
      <c r="G9" s="35"/>
      <c r="H9" s="128" t="s">
        <v>28</v>
      </c>
      <c r="I9" s="129"/>
      <c r="K9" s="128" t="s">
        <v>28</v>
      </c>
      <c r="L9" s="129"/>
    </row>
    <row r="10" spans="2:13" x14ac:dyDescent="0.2">
      <c r="B10" s="36" t="s">
        <v>29</v>
      </c>
      <c r="C10" s="37"/>
      <c r="D10" s="35"/>
      <c r="E10" s="36" t="s">
        <v>29</v>
      </c>
      <c r="F10" s="37"/>
      <c r="G10" s="35"/>
      <c r="H10" s="36" t="s">
        <v>30</v>
      </c>
      <c r="I10" s="38"/>
      <c r="J10" s="35"/>
      <c r="K10" s="36" t="s">
        <v>31</v>
      </c>
      <c r="L10" s="38"/>
    </row>
    <row r="11" spans="2:13" x14ac:dyDescent="0.2">
      <c r="B11" s="39" t="s">
        <v>32</v>
      </c>
      <c r="C11" s="40">
        <v>4</v>
      </c>
      <c r="D11" s="35" t="s">
        <v>33</v>
      </c>
      <c r="E11" s="39" t="s">
        <v>34</v>
      </c>
      <c r="F11" s="40">
        <v>16</v>
      </c>
      <c r="G11" s="35" t="s">
        <v>33</v>
      </c>
      <c r="H11" s="39" t="s">
        <v>34</v>
      </c>
      <c r="I11" s="40">
        <v>64</v>
      </c>
      <c r="J11" s="35" t="s">
        <v>33</v>
      </c>
      <c r="K11" s="39" t="s">
        <v>35</v>
      </c>
      <c r="L11" s="40">
        <v>25</v>
      </c>
      <c r="M11" s="29" t="s">
        <v>36</v>
      </c>
    </row>
    <row r="12" spans="2:13" x14ac:dyDescent="0.2">
      <c r="B12" s="39" t="s">
        <v>37</v>
      </c>
      <c r="C12" s="40">
        <v>100</v>
      </c>
      <c r="D12" s="35" t="s">
        <v>36</v>
      </c>
      <c r="E12" s="39" t="s">
        <v>38</v>
      </c>
      <c r="F12" s="40">
        <v>8</v>
      </c>
      <c r="G12" s="35" t="s">
        <v>39</v>
      </c>
      <c r="H12" s="39" t="s">
        <v>38</v>
      </c>
      <c r="I12" s="40">
        <v>10</v>
      </c>
      <c r="J12" s="35" t="s">
        <v>39</v>
      </c>
      <c r="K12" s="39" t="s">
        <v>40</v>
      </c>
      <c r="L12" s="40">
        <v>1</v>
      </c>
      <c r="M12" s="35"/>
    </row>
    <row r="13" spans="2:13" x14ac:dyDescent="0.2">
      <c r="B13" s="39" t="s">
        <v>41</v>
      </c>
      <c r="C13" s="40">
        <f>20+1.5+1</f>
        <v>22.5</v>
      </c>
      <c r="D13" s="35" t="s">
        <v>23</v>
      </c>
      <c r="E13" s="39" t="s">
        <v>42</v>
      </c>
      <c r="F13" s="41">
        <f>LOOKUP(F12,[1]Hoja2!$B$6:$B$18,[1]Hoja2!$E$6:$E$18)</f>
        <v>3.9729999999999999</v>
      </c>
      <c r="G13" s="35" t="s">
        <v>43</v>
      </c>
      <c r="H13" s="39" t="s">
        <v>42</v>
      </c>
      <c r="I13" s="41">
        <f>LOOKUP(I12,[1]Hoja2!$B$6:$B$18,[1]Hoja2!$E$6:$E$18)</f>
        <v>6.4039999999999999</v>
      </c>
      <c r="J13" s="35" t="s">
        <v>43</v>
      </c>
      <c r="K13" s="39" t="s">
        <v>44</v>
      </c>
      <c r="L13" s="40">
        <v>10</v>
      </c>
      <c r="M13" s="35" t="s">
        <v>36</v>
      </c>
    </row>
    <row r="14" spans="2:13" x14ac:dyDescent="0.2">
      <c r="B14" s="36" t="s">
        <v>31</v>
      </c>
      <c r="C14" s="40"/>
      <c r="D14" s="35"/>
      <c r="E14" s="39" t="s">
        <v>45</v>
      </c>
      <c r="F14" s="42">
        <f>(C13-C18-0.5-0.15)+(IF(C12=100,1,1.2))</f>
        <v>21.85</v>
      </c>
      <c r="G14" s="35" t="s">
        <v>23</v>
      </c>
      <c r="H14" s="39" t="s">
        <v>45</v>
      </c>
      <c r="I14" s="42">
        <f>(C30+C17-0.3-0.15)+(2.4)</f>
        <v>6.4499999999999993</v>
      </c>
      <c r="J14" s="35" t="s">
        <v>23</v>
      </c>
      <c r="K14" s="39" t="s">
        <v>34</v>
      </c>
      <c r="L14" s="41">
        <f>IF(L12=1,(ROUNDUP(((C15-(2*L13/100))*(L12)/(L11/100))+1,0)),(ROUNDUP(((C15-(2*L13/100))*(L12)/(L11/100))+2,0)))</f>
        <v>23</v>
      </c>
      <c r="M14" s="29" t="s">
        <v>33</v>
      </c>
    </row>
    <row r="15" spans="2:13" x14ac:dyDescent="0.2">
      <c r="B15" s="39" t="s">
        <v>46</v>
      </c>
      <c r="C15" s="40">
        <v>5.5</v>
      </c>
      <c r="D15" s="35" t="s">
        <v>23</v>
      </c>
      <c r="E15" s="39" t="s">
        <v>47</v>
      </c>
      <c r="F15" s="38">
        <v>0.1</v>
      </c>
      <c r="G15" s="43" t="s">
        <v>23</v>
      </c>
      <c r="H15" s="39" t="s">
        <v>47</v>
      </c>
      <c r="I15" s="38">
        <v>0.1</v>
      </c>
      <c r="J15" s="43" t="s">
        <v>23</v>
      </c>
      <c r="K15" s="39" t="s">
        <v>38</v>
      </c>
      <c r="L15" s="40">
        <v>7</v>
      </c>
      <c r="M15" s="29" t="s">
        <v>39</v>
      </c>
    </row>
    <row r="16" spans="2:13" x14ac:dyDescent="0.2">
      <c r="B16" s="39" t="s">
        <v>48</v>
      </c>
      <c r="C16" s="40">
        <v>5.5</v>
      </c>
      <c r="D16" s="35" t="s">
        <v>23</v>
      </c>
      <c r="E16" s="39" t="s">
        <v>49</v>
      </c>
      <c r="F16" s="44">
        <v>128</v>
      </c>
      <c r="G16" s="35" t="s">
        <v>33</v>
      </c>
      <c r="H16" s="39" t="s">
        <v>49</v>
      </c>
      <c r="I16" s="97">
        <v>47</v>
      </c>
      <c r="J16" s="35" t="s">
        <v>33</v>
      </c>
      <c r="K16" s="39" t="s">
        <v>42</v>
      </c>
      <c r="L16" s="41">
        <f>LOOKUP(L15,[1]Hoja2!$B$6:$B$18,[1]Hoja2!$E$6:$E$18)</f>
        <v>3.0419999999999998</v>
      </c>
      <c r="M16" s="35" t="s">
        <v>43</v>
      </c>
    </row>
    <row r="17" spans="2:13" x14ac:dyDescent="0.2">
      <c r="B17" s="39" t="s">
        <v>50</v>
      </c>
      <c r="C17" s="40">
        <v>1.5</v>
      </c>
      <c r="D17" s="35" t="s">
        <v>23</v>
      </c>
      <c r="E17" s="39" t="s">
        <v>51</v>
      </c>
      <c r="F17" s="40">
        <v>4</v>
      </c>
      <c r="G17" s="35" t="s">
        <v>39</v>
      </c>
      <c r="H17" s="39" t="s">
        <v>51</v>
      </c>
      <c r="I17" s="40">
        <v>4</v>
      </c>
      <c r="J17" s="35" t="s">
        <v>39</v>
      </c>
      <c r="K17" s="39" t="s">
        <v>45</v>
      </c>
      <c r="L17" s="42">
        <f>(C15-(L13/100)-(L13/100))+0.9+0.9</f>
        <v>7.1000000000000014</v>
      </c>
      <c r="M17" s="35" t="s">
        <v>23</v>
      </c>
    </row>
    <row r="18" spans="2:13" x14ac:dyDescent="0.2">
      <c r="B18" s="39" t="s">
        <v>52</v>
      </c>
      <c r="C18" s="38">
        <v>1</v>
      </c>
      <c r="D18" s="35" t="s">
        <v>23</v>
      </c>
      <c r="E18" s="39" t="s">
        <v>53</v>
      </c>
      <c r="F18" s="41">
        <f>LOOKUP(F17,[1]Hoja2!$B$6:$B$18,[1]Hoja2!$E$6:$E$18)</f>
        <v>0.99399999999999999</v>
      </c>
      <c r="G18" s="35" t="s">
        <v>43</v>
      </c>
      <c r="H18" s="39" t="s">
        <v>53</v>
      </c>
      <c r="I18" s="41">
        <f>LOOKUP(I17,[1]Hoja2!$B$6:$B$18,[1]Hoja2!$E$6:$E$18)</f>
        <v>0.99399999999999999</v>
      </c>
      <c r="J18" s="35" t="s">
        <v>43</v>
      </c>
      <c r="K18" s="39" t="s">
        <v>54</v>
      </c>
      <c r="L18" s="40">
        <v>20</v>
      </c>
      <c r="M18" s="29" t="s">
        <v>36</v>
      </c>
    </row>
    <row r="19" spans="2:13" x14ac:dyDescent="0.2">
      <c r="B19" s="36" t="s">
        <v>55</v>
      </c>
      <c r="C19" s="40"/>
      <c r="D19" s="35"/>
      <c r="E19" s="39" t="s">
        <v>44</v>
      </c>
      <c r="F19" s="40">
        <v>10</v>
      </c>
      <c r="G19" s="35" t="s">
        <v>36</v>
      </c>
      <c r="H19" s="39" t="s">
        <v>44</v>
      </c>
      <c r="I19" s="40">
        <v>7</v>
      </c>
      <c r="J19" s="35" t="s">
        <v>36</v>
      </c>
      <c r="K19" s="39" t="s">
        <v>56</v>
      </c>
      <c r="L19" s="41">
        <f>ROUNDDOWN((C17-(25/100)-(25/100))/(L18/100)+1,0)</f>
        <v>6</v>
      </c>
      <c r="M19" s="29" t="s">
        <v>33</v>
      </c>
    </row>
    <row r="20" spans="2:13" x14ac:dyDescent="0.2">
      <c r="B20" s="39" t="s">
        <v>57</v>
      </c>
      <c r="C20" s="41">
        <f>+C15+1+1</f>
        <v>7.5</v>
      </c>
      <c r="D20" s="35" t="s">
        <v>23</v>
      </c>
      <c r="E20" s="39" t="s">
        <v>35</v>
      </c>
      <c r="F20" s="45">
        <f>(PI()*(C12-F19-F19))/F11</f>
        <v>15.707963267948966</v>
      </c>
      <c r="G20" s="35" t="s">
        <v>36</v>
      </c>
      <c r="H20" s="39" t="s">
        <v>35</v>
      </c>
      <c r="I20" s="45">
        <f>(PI()*(C29*(100)-I19-I19))/I11</f>
        <v>11.584622910112362</v>
      </c>
      <c r="J20" s="35" t="s">
        <v>36</v>
      </c>
      <c r="K20" s="39" t="s">
        <v>58</v>
      </c>
      <c r="L20" s="40">
        <v>6</v>
      </c>
      <c r="M20" s="29" t="s">
        <v>39</v>
      </c>
    </row>
    <row r="21" spans="2:13" ht="15" thickBot="1" x14ac:dyDescent="0.25">
      <c r="B21" s="39" t="s">
        <v>59</v>
      </c>
      <c r="C21" s="41">
        <f>+C16+1+1</f>
        <v>7.5</v>
      </c>
      <c r="D21" s="35" t="s">
        <v>23</v>
      </c>
      <c r="E21" s="46" t="s">
        <v>60</v>
      </c>
      <c r="F21" s="47">
        <f>((PI()*(C12-F19-F19))+(F20*(3)+F20*(3)+((LOOKUP(F17,[1]Hoja2!$B$6:$B$18,[1]Hoja2!$H$6:$H$18))*2)+20))/100</f>
        <v>3.8957519189487719</v>
      </c>
      <c r="G21" s="35" t="s">
        <v>23</v>
      </c>
      <c r="H21" s="46" t="s">
        <v>60</v>
      </c>
      <c r="I21" s="47">
        <f>((PI()*(C29*(100)-I19-I19))+(I20*(3)+I20*(3)+((LOOKUP(I17,[1]Hoja2!$B$6:$B$18,[1]Hoja2!$H$6:$H$18))*2)+20))/100</f>
        <v>8.5492360370786535</v>
      </c>
      <c r="J21" s="35" t="s">
        <v>23</v>
      </c>
      <c r="K21" s="39" t="s">
        <v>61</v>
      </c>
      <c r="L21" s="41">
        <f>LOOKUP(L20,[1]Hoja2!$B$6:$B$18,[1]Hoja2!$E$6:$E$18)</f>
        <v>2.2349999999999999</v>
      </c>
      <c r="M21" s="35" t="s">
        <v>43</v>
      </c>
    </row>
    <row r="22" spans="2:13" ht="15" thickBot="1" x14ac:dyDescent="0.25">
      <c r="B22" s="39" t="s">
        <v>50</v>
      </c>
      <c r="C22" s="42">
        <f>+C18+C17+C27</f>
        <v>2.5499999999999998</v>
      </c>
      <c r="D22" s="35" t="s">
        <v>23</v>
      </c>
      <c r="K22" s="46" t="s">
        <v>62</v>
      </c>
      <c r="L22" s="48">
        <f>C15-(L13/100)-(L13/100)</f>
        <v>5.3000000000000007</v>
      </c>
      <c r="M22" s="35" t="s">
        <v>23</v>
      </c>
    </row>
    <row r="23" spans="2:13" ht="15" thickBot="1" x14ac:dyDescent="0.25">
      <c r="B23" s="39"/>
      <c r="C23" s="38"/>
      <c r="D23" s="35"/>
      <c r="H23" s="128" t="s">
        <v>28</v>
      </c>
      <c r="I23" s="129"/>
    </row>
    <row r="24" spans="2:13" x14ac:dyDescent="0.2">
      <c r="B24" s="36" t="s">
        <v>63</v>
      </c>
      <c r="C24" s="40"/>
      <c r="D24" s="35"/>
      <c r="H24" s="135" t="s">
        <v>64</v>
      </c>
      <c r="I24" s="136"/>
      <c r="K24" s="128" t="s">
        <v>28</v>
      </c>
      <c r="L24" s="129"/>
      <c r="M24" s="32"/>
    </row>
    <row r="25" spans="2:13" x14ac:dyDescent="0.2">
      <c r="B25" s="39" t="s">
        <v>46</v>
      </c>
      <c r="C25" s="42">
        <f>+C15</f>
        <v>5.5</v>
      </c>
      <c r="D25" s="35" t="s">
        <v>23</v>
      </c>
      <c r="H25" s="39" t="s">
        <v>34</v>
      </c>
      <c r="I25" s="41">
        <f>IF(C29=2.5,12*2,IF(C29=3,13*2,IF(C29=3.7,14*2)))</f>
        <v>24</v>
      </c>
      <c r="J25" s="35" t="s">
        <v>33</v>
      </c>
      <c r="K25" s="135" t="s">
        <v>65</v>
      </c>
      <c r="L25" s="136"/>
      <c r="M25" s="32"/>
    </row>
    <row r="26" spans="2:13" x14ac:dyDescent="0.2">
      <c r="B26" s="39" t="s">
        <v>48</v>
      </c>
      <c r="C26" s="42">
        <f>+C16</f>
        <v>5.5</v>
      </c>
      <c r="D26" s="35" t="s">
        <v>23</v>
      </c>
      <c r="H26" s="39" t="s">
        <v>38</v>
      </c>
      <c r="I26" s="40">
        <v>4</v>
      </c>
      <c r="J26" s="35" t="s">
        <v>39</v>
      </c>
      <c r="K26" s="39" t="s">
        <v>34</v>
      </c>
      <c r="L26" s="40">
        <f>14*4</f>
        <v>56</v>
      </c>
      <c r="M26" s="35" t="s">
        <v>33</v>
      </c>
    </row>
    <row r="27" spans="2:13" x14ac:dyDescent="0.2">
      <c r="B27" s="39" t="s">
        <v>50</v>
      </c>
      <c r="C27" s="40">
        <v>0.05</v>
      </c>
      <c r="D27" s="35" t="s">
        <v>23</v>
      </c>
      <c r="H27" s="39" t="s">
        <v>42</v>
      </c>
      <c r="I27" s="41">
        <f>LOOKUP(I26,[1]Hoja2!$B$6:$B$18,[1]Hoja2!$E$6:$E$18)</f>
        <v>0.99399999999999999</v>
      </c>
      <c r="J27" s="35" t="s">
        <v>43</v>
      </c>
      <c r="K27" s="39" t="s">
        <v>38</v>
      </c>
      <c r="L27" s="40">
        <v>4</v>
      </c>
      <c r="M27" s="35" t="s">
        <v>39</v>
      </c>
    </row>
    <row r="28" spans="2:13" x14ac:dyDescent="0.2">
      <c r="B28" s="36" t="s">
        <v>66</v>
      </c>
      <c r="C28" s="40"/>
      <c r="D28" s="35"/>
      <c r="H28" s="39" t="s">
        <v>67</v>
      </c>
      <c r="I28" s="40">
        <v>13</v>
      </c>
      <c r="J28" s="35"/>
      <c r="K28" s="39" t="s">
        <v>42</v>
      </c>
      <c r="L28" s="41">
        <f>LOOKUP(L27,[1]Hoja2!$B$6:$B$18,[1]Hoja2!$E$6:$E$18)</f>
        <v>0.99399999999999999</v>
      </c>
      <c r="M28" s="35" t="s">
        <v>43</v>
      </c>
    </row>
    <row r="29" spans="2:13" ht="15" thickBot="1" x14ac:dyDescent="0.25">
      <c r="B29" s="39" t="s">
        <v>37</v>
      </c>
      <c r="C29" s="40">
        <v>2.5</v>
      </c>
      <c r="D29" s="35" t="s">
        <v>23</v>
      </c>
      <c r="H29" s="46" t="s">
        <v>68</v>
      </c>
      <c r="I29" s="47">
        <f>IF(C29=2.5,(1.8+([1]Hoja2!I10/100*4)+(0.2)),IF(C29=3,(2.09+([1]Hoja2!I10/100*4)+(0.2)),IF(C29=3.7,(2.07+([1]Hoja2!I10/100*4)+(0.2)))))</f>
        <v>2.2800000000000002</v>
      </c>
      <c r="J29" s="35" t="s">
        <v>23</v>
      </c>
      <c r="K29" s="46" t="s">
        <v>68</v>
      </c>
      <c r="L29" s="47">
        <f>((0.75+1.235)*2)+0.21+0.24</f>
        <v>4.4200000000000008</v>
      </c>
      <c r="M29" s="35" t="s">
        <v>23</v>
      </c>
    </row>
    <row r="30" spans="2:13" ht="15" thickBot="1" x14ac:dyDescent="0.25">
      <c r="B30" s="46" t="s">
        <v>69</v>
      </c>
      <c r="C30" s="49">
        <v>3</v>
      </c>
      <c r="D30" s="35" t="s">
        <v>23</v>
      </c>
      <c r="G30" s="35"/>
      <c r="K30" s="50"/>
      <c r="L30" s="51"/>
      <c r="M30" s="35"/>
    </row>
    <row r="31" spans="2:13" x14ac:dyDescent="0.2">
      <c r="B31" s="50"/>
      <c r="C31" s="52"/>
      <c r="D31" s="35"/>
      <c r="E31" s="50"/>
      <c r="F31" s="52"/>
      <c r="G31" s="35"/>
    </row>
    <row r="32" spans="2:13" x14ac:dyDescent="0.2">
      <c r="B32" s="50"/>
      <c r="C32" s="52"/>
      <c r="D32" s="35"/>
      <c r="E32" s="50"/>
      <c r="F32" s="52"/>
      <c r="G32" s="35"/>
    </row>
    <row r="33" spans="1:11" ht="25.5" x14ac:dyDescent="0.2">
      <c r="A33" s="53" t="s">
        <v>70</v>
      </c>
      <c r="B33" s="54" t="s">
        <v>71</v>
      </c>
      <c r="C33" s="55" t="s">
        <v>72</v>
      </c>
      <c r="D33" s="56" t="s">
        <v>73</v>
      </c>
      <c r="E33" s="57"/>
    </row>
    <row r="34" spans="1:11" ht="76.5" x14ac:dyDescent="0.2">
      <c r="A34" s="54">
        <v>6007</v>
      </c>
      <c r="B34" s="59" t="s">
        <v>74</v>
      </c>
      <c r="C34" s="62" t="s">
        <v>75</v>
      </c>
      <c r="D34" s="63">
        <f>((PI()*(C12*C12)/4/10000)*C13*C11)</f>
        <v>70.685834705770347</v>
      </c>
      <c r="E34" s="64"/>
      <c r="H34" s="65"/>
      <c r="K34" s="65"/>
    </row>
    <row r="35" spans="1:11" ht="102" x14ac:dyDescent="0.2">
      <c r="A35" s="130">
        <v>3708</v>
      </c>
      <c r="B35" s="59" t="s">
        <v>76</v>
      </c>
      <c r="C35" s="60" t="s">
        <v>77</v>
      </c>
      <c r="D35" s="66">
        <f>D36+D37+D38</f>
        <v>14128.816568365204</v>
      </c>
      <c r="H35" s="65"/>
      <c r="K35" s="65"/>
    </row>
    <row r="36" spans="1:11" x14ac:dyDescent="0.2">
      <c r="A36" s="130"/>
      <c r="B36" s="67" t="s">
        <v>29</v>
      </c>
      <c r="C36" s="131" t="s">
        <v>77</v>
      </c>
      <c r="D36" s="68">
        <f>((F14*F11*F13)+(F16*F18*F21))*C11*1.03</f>
        <v>7764.6554455849637</v>
      </c>
    </row>
    <row r="37" spans="1:11" x14ac:dyDescent="0.2">
      <c r="A37" s="130"/>
      <c r="B37" s="67" t="s">
        <v>31</v>
      </c>
      <c r="C37" s="131"/>
      <c r="D37" s="68">
        <f>(((L14*L16*L17*4)+(L19*L21*L22*4))+(L26*L28*L29))*1.03</f>
        <v>2592.8821184000008</v>
      </c>
    </row>
    <row r="38" spans="1:11" x14ac:dyDescent="0.2">
      <c r="A38" s="130"/>
      <c r="B38" s="67" t="s">
        <v>30</v>
      </c>
      <c r="C38" s="131"/>
      <c r="D38" s="69">
        <f>+(I11*I13*I14)+(I16*I18*I21)+(I25*I27*I29*I28)*1.03</f>
        <v>3771.2790043802406</v>
      </c>
    </row>
    <row r="39" spans="1:11" ht="51" x14ac:dyDescent="0.2">
      <c r="A39" s="130">
        <v>3637</v>
      </c>
      <c r="B39" s="59" t="s">
        <v>78</v>
      </c>
      <c r="C39" s="62" t="s">
        <v>75</v>
      </c>
      <c r="D39" s="70">
        <f>D40+D41</f>
        <v>60.101215563702155</v>
      </c>
      <c r="H39" s="64"/>
      <c r="K39" s="64"/>
    </row>
    <row r="40" spans="1:11" x14ac:dyDescent="0.2">
      <c r="A40" s="130"/>
      <c r="B40" s="67" t="s">
        <v>31</v>
      </c>
      <c r="C40" s="131" t="s">
        <v>75</v>
      </c>
      <c r="D40" s="71">
        <f>C15*C16*C17</f>
        <v>45.375</v>
      </c>
    </row>
    <row r="41" spans="1:11" x14ac:dyDescent="0.2">
      <c r="A41" s="130"/>
      <c r="B41" s="67" t="s">
        <v>30</v>
      </c>
      <c r="C41" s="131"/>
      <c r="D41" s="71">
        <f>(PI()*C29*C29/4)*C30</f>
        <v>14.726215563702155</v>
      </c>
    </row>
    <row r="42" spans="1:11" ht="38.25" x14ac:dyDescent="0.2">
      <c r="A42" s="54">
        <v>5055</v>
      </c>
      <c r="B42" s="59" t="s">
        <v>79</v>
      </c>
      <c r="C42" s="62" t="s">
        <v>75</v>
      </c>
      <c r="D42" s="71">
        <f>((PI()*(C12*C12)/4/10000)*(C17+C18)*C11)</f>
        <v>7.8539816339744828</v>
      </c>
      <c r="H42" s="64"/>
      <c r="K42" s="64"/>
    </row>
    <row r="43" spans="1:11" ht="51" x14ac:dyDescent="0.2">
      <c r="A43" s="54">
        <v>6021</v>
      </c>
      <c r="B43" s="59" t="s">
        <v>89</v>
      </c>
      <c r="C43" s="62" t="s">
        <v>75</v>
      </c>
      <c r="D43" s="71">
        <f>(C25*C26*C27)-((PI()*C12*C12*0.1/4/10000)*C11)</f>
        <v>1.1983407346410209</v>
      </c>
      <c r="H43" s="64"/>
      <c r="K43" s="64"/>
    </row>
    <row r="44" spans="1:11" s="89" customFormat="1" ht="25.5" x14ac:dyDescent="0.2">
      <c r="A44" s="82">
        <v>5416</v>
      </c>
      <c r="B44" s="83" t="s">
        <v>90</v>
      </c>
      <c r="C44" s="84" t="s">
        <v>75</v>
      </c>
      <c r="D44" s="85">
        <f>C20*C21*C22</f>
        <v>143.4375</v>
      </c>
      <c r="E44" s="86"/>
      <c r="F44" s="87"/>
      <c r="G44" s="87"/>
      <c r="H44" s="88"/>
      <c r="I44" s="87"/>
      <c r="J44" s="87"/>
      <c r="K44" s="88"/>
    </row>
    <row r="45" spans="1:11" ht="51" x14ac:dyDescent="0.2">
      <c r="A45" s="80">
        <v>3017</v>
      </c>
      <c r="B45" s="81" t="s">
        <v>91</v>
      </c>
      <c r="C45" s="72" t="s">
        <v>75</v>
      </c>
      <c r="D45" s="71">
        <f>D44</f>
        <v>143.4375</v>
      </c>
      <c r="K45" s="64"/>
    </row>
    <row r="46" spans="1:11" ht="38.25" x14ac:dyDescent="0.2">
      <c r="A46" s="80">
        <v>4908</v>
      </c>
      <c r="B46" s="59" t="s">
        <v>80</v>
      </c>
      <c r="C46" s="62" t="s">
        <v>75</v>
      </c>
      <c r="D46" s="71">
        <f>D44-(C25*C26*C27)-D40-((PI()*C29*C29/4)*C18)</f>
        <v>91.641261478765955</v>
      </c>
    </row>
    <row r="47" spans="1:11" ht="89.25" x14ac:dyDescent="0.2">
      <c r="A47" s="80">
        <v>6226</v>
      </c>
      <c r="B47" s="81" t="s">
        <v>98</v>
      </c>
      <c r="C47" s="62" t="s">
        <v>99</v>
      </c>
      <c r="D47" s="71">
        <f>C20*C21*0.15</f>
        <v>8.4375</v>
      </c>
    </row>
  </sheetData>
  <mergeCells count="13">
    <mergeCell ref="K9:L9"/>
    <mergeCell ref="H23:I23"/>
    <mergeCell ref="A39:A41"/>
    <mergeCell ref="C40:C41"/>
    <mergeCell ref="E7:I7"/>
    <mergeCell ref="B9:C9"/>
    <mergeCell ref="E9:F9"/>
    <mergeCell ref="H9:I9"/>
    <mergeCell ref="H24:I24"/>
    <mergeCell ref="K24:L24"/>
    <mergeCell ref="K25:L25"/>
    <mergeCell ref="A35:A38"/>
    <mergeCell ref="C36:C38"/>
  </mergeCells>
  <pageMargins left="0.7" right="0.7" top="0.75" bottom="0.75" header="0.3" footer="0.3"/>
  <pageSetup scale="4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ED3DD-F5DB-4B83-B105-EA946ABD128A}">
  <sheetPr>
    <tabColor rgb="FFFFFF00"/>
  </sheetPr>
  <dimension ref="A2:M50"/>
  <sheetViews>
    <sheetView view="pageBreakPreview" zoomScale="85" zoomScaleNormal="85" zoomScaleSheetLayoutView="85" workbookViewId="0">
      <selection activeCell="E43" sqref="E43"/>
    </sheetView>
  </sheetViews>
  <sheetFormatPr baseColWidth="10" defaultRowHeight="14.25" x14ac:dyDescent="0.2"/>
  <cols>
    <col min="1" max="1" width="9.7109375" style="29" customWidth="1"/>
    <col min="2" max="2" width="42.85546875" style="29" customWidth="1"/>
    <col min="3" max="3" width="12.28515625" style="32" customWidth="1"/>
    <col min="4" max="4" width="12.85546875" style="32" customWidth="1"/>
    <col min="5" max="5" width="28.7109375" style="32" bestFit="1" customWidth="1"/>
    <col min="6" max="7" width="11.42578125" style="32"/>
    <col min="8" max="8" width="28.7109375" style="32" customWidth="1"/>
    <col min="9" max="10" width="11.42578125" style="32"/>
    <col min="11" max="11" width="28.7109375" style="32" customWidth="1"/>
    <col min="12" max="16384" width="11.42578125" style="29"/>
  </cols>
  <sheetData>
    <row r="2" spans="2:13" ht="16.5" x14ac:dyDescent="0.2">
      <c r="C2" s="30"/>
      <c r="D2" s="30"/>
      <c r="E2" s="31" t="s">
        <v>24</v>
      </c>
      <c r="F2" s="30"/>
      <c r="G2" s="30"/>
    </row>
    <row r="3" spans="2:13" ht="16.5" x14ac:dyDescent="0.3">
      <c r="C3" s="30"/>
      <c r="D3" s="30"/>
      <c r="E3" s="28" t="s">
        <v>25</v>
      </c>
      <c r="F3" s="30"/>
      <c r="G3" s="30"/>
    </row>
    <row r="4" spans="2:13" ht="16.5" x14ac:dyDescent="0.2">
      <c r="C4" s="30"/>
      <c r="D4" s="30"/>
      <c r="E4" s="33"/>
      <c r="F4" s="30"/>
      <c r="G4" s="30"/>
    </row>
    <row r="5" spans="2:13" ht="16.5" x14ac:dyDescent="0.3">
      <c r="C5" s="30"/>
      <c r="D5" s="30"/>
      <c r="E5" s="34" t="s">
        <v>26</v>
      </c>
      <c r="F5" s="30"/>
      <c r="G5" s="30"/>
    </row>
    <row r="7" spans="2:13" ht="16.5" x14ac:dyDescent="0.3">
      <c r="E7" s="132" t="s">
        <v>126</v>
      </c>
      <c r="F7" s="132"/>
      <c r="G7" s="132"/>
      <c r="H7" s="132"/>
      <c r="I7" s="132"/>
    </row>
    <row r="8" spans="2:13" ht="15" thickBot="1" x14ac:dyDescent="0.25"/>
    <row r="9" spans="2:13" x14ac:dyDescent="0.2">
      <c r="B9" s="133" t="s">
        <v>27</v>
      </c>
      <c r="C9" s="134"/>
      <c r="D9" s="35"/>
      <c r="E9" s="128" t="s">
        <v>28</v>
      </c>
      <c r="F9" s="129"/>
      <c r="G9" s="35"/>
      <c r="H9" s="128" t="s">
        <v>28</v>
      </c>
      <c r="I9" s="129"/>
      <c r="K9" s="128" t="s">
        <v>28</v>
      </c>
      <c r="L9" s="129"/>
    </row>
    <row r="10" spans="2:13" x14ac:dyDescent="0.2">
      <c r="B10" s="92" t="s">
        <v>29</v>
      </c>
      <c r="C10" s="37"/>
      <c r="D10" s="35"/>
      <c r="E10" s="92" t="s">
        <v>29</v>
      </c>
      <c r="F10" s="37"/>
      <c r="G10" s="35"/>
      <c r="H10" s="92" t="s">
        <v>30</v>
      </c>
      <c r="I10" s="38"/>
      <c r="J10" s="35"/>
      <c r="K10" s="92" t="s">
        <v>31</v>
      </c>
      <c r="L10" s="38"/>
    </row>
    <row r="11" spans="2:13" x14ac:dyDescent="0.2">
      <c r="B11" s="39" t="s">
        <v>32</v>
      </c>
      <c r="C11" s="40">
        <v>4</v>
      </c>
      <c r="D11" s="35" t="s">
        <v>33</v>
      </c>
      <c r="E11" s="39" t="s">
        <v>34</v>
      </c>
      <c r="F11" s="40">
        <v>16</v>
      </c>
      <c r="G11" s="35" t="s">
        <v>33</v>
      </c>
      <c r="H11" s="39" t="s">
        <v>34</v>
      </c>
      <c r="I11" s="40">
        <v>72</v>
      </c>
      <c r="J11" s="35" t="s">
        <v>33</v>
      </c>
      <c r="K11" s="39" t="s">
        <v>35</v>
      </c>
      <c r="L11" s="40">
        <v>25</v>
      </c>
      <c r="M11" s="29" t="s">
        <v>36</v>
      </c>
    </row>
    <row r="12" spans="2:13" x14ac:dyDescent="0.2">
      <c r="B12" s="39" t="s">
        <v>37</v>
      </c>
      <c r="C12" s="40">
        <v>100</v>
      </c>
      <c r="D12" s="35" t="s">
        <v>36</v>
      </c>
      <c r="E12" s="39" t="s">
        <v>38</v>
      </c>
      <c r="F12" s="40">
        <v>8</v>
      </c>
      <c r="G12" s="35" t="s">
        <v>39</v>
      </c>
      <c r="H12" s="39" t="s">
        <v>38</v>
      </c>
      <c r="I12" s="40">
        <v>11</v>
      </c>
      <c r="J12" s="35" t="s">
        <v>39</v>
      </c>
      <c r="K12" s="39" t="s">
        <v>40</v>
      </c>
      <c r="L12" s="40">
        <v>1</v>
      </c>
      <c r="M12" s="35"/>
    </row>
    <row r="13" spans="2:13" x14ac:dyDescent="0.2">
      <c r="B13" s="39" t="s">
        <v>41</v>
      </c>
      <c r="C13" s="40">
        <f>16+1.5+1.5</f>
        <v>19</v>
      </c>
      <c r="D13" s="35" t="s">
        <v>23</v>
      </c>
      <c r="E13" s="39" t="s">
        <v>42</v>
      </c>
      <c r="F13" s="41">
        <f>LOOKUP(F12,[1]Hoja2!$B$6:$B$18,[1]Hoja2!$E$6:$E$18)</f>
        <v>3.9729999999999999</v>
      </c>
      <c r="G13" s="35" t="s">
        <v>43</v>
      </c>
      <c r="H13" s="39" t="s">
        <v>42</v>
      </c>
      <c r="I13" s="41">
        <f>LOOKUP(I12,[1]Hoja2!$B$6:$B$18,[1]Hoja2!$E$6:$E$18)</f>
        <v>7.907</v>
      </c>
      <c r="J13" s="35" t="s">
        <v>43</v>
      </c>
      <c r="K13" s="39" t="s">
        <v>100</v>
      </c>
      <c r="L13" s="40">
        <v>17</v>
      </c>
      <c r="M13" s="35" t="s">
        <v>36</v>
      </c>
    </row>
    <row r="14" spans="2:13" x14ac:dyDescent="0.2">
      <c r="B14" s="92" t="s">
        <v>31</v>
      </c>
      <c r="C14" s="40"/>
      <c r="D14" s="35"/>
      <c r="E14" s="39" t="s">
        <v>45</v>
      </c>
      <c r="F14" s="42">
        <f>(C13-C18-0.5-0.15)+(IF(C12=100,1,1.2))</f>
        <v>17.850000000000001</v>
      </c>
      <c r="G14" s="35" t="s">
        <v>23</v>
      </c>
      <c r="H14" s="39" t="s">
        <v>45</v>
      </c>
      <c r="I14" s="42">
        <f>(C30+C17-0.3-0.15)+(2.4)</f>
        <v>6.9499999999999993</v>
      </c>
      <c r="J14" s="35" t="s">
        <v>23</v>
      </c>
      <c r="K14" s="39" t="s">
        <v>34</v>
      </c>
      <c r="L14" s="41">
        <f>IF(L12=1,(ROUNDUP(((C15-(2*L13/100))*(L12)/(L11/100))+1,0)),(ROUNDUP(((C15-(2*L13/100))*(L12)/(L11/100))+2,0)))</f>
        <v>22</v>
      </c>
      <c r="M14" s="29" t="s">
        <v>33</v>
      </c>
    </row>
    <row r="15" spans="2:13" x14ac:dyDescent="0.2">
      <c r="B15" s="39" t="s">
        <v>46</v>
      </c>
      <c r="C15" s="40">
        <v>5.5</v>
      </c>
      <c r="D15" s="35" t="s">
        <v>23</v>
      </c>
      <c r="E15" s="39" t="s">
        <v>47</v>
      </c>
      <c r="F15" s="38">
        <v>0.1</v>
      </c>
      <c r="G15" s="43" t="s">
        <v>23</v>
      </c>
      <c r="H15" s="39" t="s">
        <v>47</v>
      </c>
      <c r="I15" s="38">
        <v>0.1</v>
      </c>
      <c r="J15" s="43" t="s">
        <v>23</v>
      </c>
      <c r="K15" s="39" t="s">
        <v>38</v>
      </c>
      <c r="L15" s="40">
        <v>7</v>
      </c>
      <c r="M15" s="29" t="s">
        <v>39</v>
      </c>
    </row>
    <row r="16" spans="2:13" x14ac:dyDescent="0.2">
      <c r="B16" s="39" t="s">
        <v>48</v>
      </c>
      <c r="C16" s="40">
        <v>5.5</v>
      </c>
      <c r="D16" s="35" t="s">
        <v>23</v>
      </c>
      <c r="E16" s="39" t="s">
        <v>49</v>
      </c>
      <c r="F16" s="44">
        <v>108</v>
      </c>
      <c r="G16" s="35" t="s">
        <v>33</v>
      </c>
      <c r="H16" s="39" t="s">
        <v>49</v>
      </c>
      <c r="I16" s="97">
        <v>49</v>
      </c>
      <c r="J16" s="35" t="s">
        <v>33</v>
      </c>
      <c r="K16" s="39" t="s">
        <v>42</v>
      </c>
      <c r="L16" s="41">
        <f>LOOKUP(L15,[1]Hoja2!$B$6:$B$18,[1]Hoja2!$E$6:$E$18)</f>
        <v>3.0419999999999998</v>
      </c>
      <c r="M16" s="35" t="s">
        <v>43</v>
      </c>
    </row>
    <row r="17" spans="2:13" x14ac:dyDescent="0.2">
      <c r="B17" s="39" t="s">
        <v>50</v>
      </c>
      <c r="C17" s="40">
        <v>1.5</v>
      </c>
      <c r="D17" s="35" t="s">
        <v>23</v>
      </c>
      <c r="E17" s="39" t="s">
        <v>51</v>
      </c>
      <c r="F17" s="40">
        <v>4</v>
      </c>
      <c r="G17" s="35" t="s">
        <v>39</v>
      </c>
      <c r="H17" s="39" t="s">
        <v>51</v>
      </c>
      <c r="I17" s="40">
        <v>4</v>
      </c>
      <c r="J17" s="35" t="s">
        <v>39</v>
      </c>
      <c r="K17" s="39" t="s">
        <v>45</v>
      </c>
      <c r="L17" s="42">
        <f>(C15-(L13/100)-(L13/100))+0.9+0.9</f>
        <v>6.9600000000000009</v>
      </c>
      <c r="M17" s="35" t="s">
        <v>23</v>
      </c>
    </row>
    <row r="18" spans="2:13" x14ac:dyDescent="0.2">
      <c r="B18" s="39" t="s">
        <v>52</v>
      </c>
      <c r="C18" s="93">
        <v>1.5</v>
      </c>
      <c r="D18" s="35" t="s">
        <v>23</v>
      </c>
      <c r="E18" s="39" t="s">
        <v>53</v>
      </c>
      <c r="F18" s="41">
        <f>LOOKUP(F17,[1]Hoja2!$B$6:$B$18,[1]Hoja2!$E$6:$E$18)</f>
        <v>0.99399999999999999</v>
      </c>
      <c r="G18" s="35" t="s">
        <v>43</v>
      </c>
      <c r="H18" s="39" t="s">
        <v>53</v>
      </c>
      <c r="I18" s="41">
        <f>LOOKUP(I17,[1]Hoja2!$B$6:$B$18,[1]Hoja2!$E$6:$E$18)</f>
        <v>0.99399999999999999</v>
      </c>
      <c r="J18" s="35" t="s">
        <v>43</v>
      </c>
      <c r="K18" s="39" t="s">
        <v>54</v>
      </c>
      <c r="L18" s="40">
        <v>20</v>
      </c>
      <c r="M18" s="29" t="s">
        <v>36</v>
      </c>
    </row>
    <row r="19" spans="2:13" x14ac:dyDescent="0.2">
      <c r="B19" s="92" t="s">
        <v>55</v>
      </c>
      <c r="C19" s="40"/>
      <c r="D19" s="35"/>
      <c r="E19" s="39" t="s">
        <v>44</v>
      </c>
      <c r="F19" s="40">
        <v>10</v>
      </c>
      <c r="G19" s="35" t="s">
        <v>36</v>
      </c>
      <c r="H19" s="39" t="s">
        <v>44</v>
      </c>
      <c r="I19" s="40">
        <v>7</v>
      </c>
      <c r="J19" s="35" t="s">
        <v>36</v>
      </c>
      <c r="K19" s="39" t="s">
        <v>56</v>
      </c>
      <c r="L19" s="41">
        <f>ROUNDDOWN((C17-(25/100)-(25/100))/(L18/100)+1,0)</f>
        <v>6</v>
      </c>
      <c r="M19" s="29" t="s">
        <v>33</v>
      </c>
    </row>
    <row r="20" spans="2:13" x14ac:dyDescent="0.2">
      <c r="B20" s="39" t="s">
        <v>57</v>
      </c>
      <c r="C20" s="41">
        <f>+C15+1+1</f>
        <v>7.5</v>
      </c>
      <c r="D20" s="35" t="s">
        <v>23</v>
      </c>
      <c r="E20" s="39" t="s">
        <v>35</v>
      </c>
      <c r="F20" s="45">
        <f>(PI()*(C12-F19-F19))/F11</f>
        <v>15.707963267948966</v>
      </c>
      <c r="G20" s="35" t="s">
        <v>36</v>
      </c>
      <c r="H20" s="39" t="s">
        <v>35</v>
      </c>
      <c r="I20" s="45">
        <f>(PI()*(C29*(100)-I19-I19))/I11</f>
        <v>12.479104151759456</v>
      </c>
      <c r="J20" s="35" t="s">
        <v>36</v>
      </c>
      <c r="K20" s="39" t="s">
        <v>58</v>
      </c>
      <c r="L20" s="40">
        <v>6</v>
      </c>
      <c r="M20" s="29" t="s">
        <v>39</v>
      </c>
    </row>
    <row r="21" spans="2:13" ht="15" thickBot="1" x14ac:dyDescent="0.25">
      <c r="B21" s="39" t="s">
        <v>59</v>
      </c>
      <c r="C21" s="41">
        <f>+C16+1+1</f>
        <v>7.5</v>
      </c>
      <c r="D21" s="35" t="s">
        <v>23</v>
      </c>
      <c r="E21" s="46" t="s">
        <v>60</v>
      </c>
      <c r="F21" s="47">
        <f>((PI()*(C12-F19-F19))+(F20*(3)+F20*(3)+((LOOKUP(F17,[1]Hoja2!$B$6:$B$18,[1]Hoja2!$H$6:$H$18))*2)+20))/100</f>
        <v>3.8957519189487719</v>
      </c>
      <c r="G21" s="35" t="s">
        <v>23</v>
      </c>
      <c r="H21" s="46" t="s">
        <v>60</v>
      </c>
      <c r="I21" s="47">
        <f>((PI()*(C29*(100)-I19-I19))+(I20*(3)+I20*(3)+((LOOKUP(I17,[1]Hoja2!$B$6:$B$18,[1]Hoja2!$H$6:$H$18))*2)+20))/100</f>
        <v>10.173701238372375</v>
      </c>
      <c r="J21" s="35" t="s">
        <v>23</v>
      </c>
      <c r="K21" s="39" t="s">
        <v>61</v>
      </c>
      <c r="L21" s="41">
        <f>LOOKUP(L20,[1]Hoja2!$B$6:$B$18,[1]Hoja2!$E$6:$E$18)</f>
        <v>2.2349999999999999</v>
      </c>
      <c r="M21" s="35" t="s">
        <v>43</v>
      </c>
    </row>
    <row r="22" spans="2:13" ht="15" thickBot="1" x14ac:dyDescent="0.25">
      <c r="B22" s="39" t="s">
        <v>50</v>
      </c>
      <c r="C22" s="42">
        <f>+C18+C17+C27</f>
        <v>3.05</v>
      </c>
      <c r="D22" s="35" t="s">
        <v>23</v>
      </c>
      <c r="K22" s="46" t="s">
        <v>62</v>
      </c>
      <c r="L22" s="48">
        <f>C15-(L13/100)-(L13/100)</f>
        <v>5.16</v>
      </c>
      <c r="M22" s="35" t="s">
        <v>23</v>
      </c>
    </row>
    <row r="23" spans="2:13" ht="15" thickBot="1" x14ac:dyDescent="0.25">
      <c r="B23" s="39"/>
      <c r="C23" s="38"/>
      <c r="D23" s="35"/>
      <c r="H23" s="128" t="s">
        <v>28</v>
      </c>
      <c r="I23" s="129"/>
    </row>
    <row r="24" spans="2:13" x14ac:dyDescent="0.2">
      <c r="B24" s="92" t="s">
        <v>63</v>
      </c>
      <c r="C24" s="40"/>
      <c r="D24" s="35"/>
      <c r="H24" s="135" t="s">
        <v>64</v>
      </c>
      <c r="I24" s="136"/>
      <c r="K24" s="128" t="s">
        <v>28</v>
      </c>
      <c r="L24" s="129"/>
      <c r="M24" s="32"/>
    </row>
    <row r="25" spans="2:13" x14ac:dyDescent="0.2">
      <c r="B25" s="39" t="s">
        <v>46</v>
      </c>
      <c r="C25" s="42">
        <f>+C15</f>
        <v>5.5</v>
      </c>
      <c r="D25" s="35" t="s">
        <v>23</v>
      </c>
      <c r="H25" s="39" t="s">
        <v>34</v>
      </c>
      <c r="I25" s="41">
        <f>IF(C29=2.5,12*2,IF(C29=3,13*2,IF(C29=3.7,14*2)))</f>
        <v>26</v>
      </c>
      <c r="J25" s="35" t="s">
        <v>33</v>
      </c>
      <c r="K25" s="135" t="s">
        <v>65</v>
      </c>
      <c r="L25" s="136"/>
      <c r="M25" s="32"/>
    </row>
    <row r="26" spans="2:13" x14ac:dyDescent="0.2">
      <c r="B26" s="39" t="s">
        <v>48</v>
      </c>
      <c r="C26" s="42">
        <f>+C16</f>
        <v>5.5</v>
      </c>
      <c r="D26" s="35" t="s">
        <v>23</v>
      </c>
      <c r="H26" s="39" t="s">
        <v>38</v>
      </c>
      <c r="I26" s="40">
        <v>4</v>
      </c>
      <c r="J26" s="35" t="s">
        <v>39</v>
      </c>
      <c r="K26" s="39" t="s">
        <v>34</v>
      </c>
      <c r="L26" s="40">
        <f>14*4</f>
        <v>56</v>
      </c>
      <c r="M26" s="35" t="s">
        <v>33</v>
      </c>
    </row>
    <row r="27" spans="2:13" x14ac:dyDescent="0.2">
      <c r="B27" s="39" t="s">
        <v>50</v>
      </c>
      <c r="C27" s="40">
        <v>0.05</v>
      </c>
      <c r="D27" s="35" t="s">
        <v>23</v>
      </c>
      <c r="H27" s="39" t="s">
        <v>42</v>
      </c>
      <c r="I27" s="41">
        <f>LOOKUP(I26,[1]Hoja2!$B$6:$B$18,[1]Hoja2!$E$6:$E$18)</f>
        <v>0.99399999999999999</v>
      </c>
      <c r="J27" s="35" t="s">
        <v>43</v>
      </c>
      <c r="K27" s="39" t="s">
        <v>38</v>
      </c>
      <c r="L27" s="40">
        <v>4</v>
      </c>
      <c r="M27" s="35" t="s">
        <v>39</v>
      </c>
    </row>
    <row r="28" spans="2:13" x14ac:dyDescent="0.2">
      <c r="B28" s="92" t="s">
        <v>66</v>
      </c>
      <c r="C28" s="40"/>
      <c r="D28" s="35"/>
      <c r="H28" s="39" t="s">
        <v>67</v>
      </c>
      <c r="I28" s="40">
        <v>13</v>
      </c>
      <c r="J28" s="35"/>
      <c r="K28" s="39" t="s">
        <v>42</v>
      </c>
      <c r="L28" s="41">
        <f>LOOKUP(L27,[1]Hoja2!$B$6:$B$18,[1]Hoja2!$E$6:$E$18)</f>
        <v>0.99399999999999999</v>
      </c>
      <c r="M28" s="35" t="s">
        <v>43</v>
      </c>
    </row>
    <row r="29" spans="2:13" ht="15" thickBot="1" x14ac:dyDescent="0.25">
      <c r="B29" s="39" t="s">
        <v>37</v>
      </c>
      <c r="C29" s="40">
        <v>3</v>
      </c>
      <c r="D29" s="35" t="s">
        <v>23</v>
      </c>
      <c r="H29" s="46" t="s">
        <v>68</v>
      </c>
      <c r="I29" s="47">
        <f>IF(C29=2.5,(1.8+([1]Hoja2!I10/100*4)+(0.2)),IF(C29=3,(2.09+([1]Hoja2!I10/100*4)+(0.2)),IF(C29=3.7,(2.07+([1]Hoja2!I10/100*4)+(0.2)))))</f>
        <v>2.5700000000000003</v>
      </c>
      <c r="J29" s="35" t="s">
        <v>23</v>
      </c>
      <c r="K29" s="46" t="s">
        <v>68</v>
      </c>
      <c r="L29" s="47">
        <f>((0.75+1.235)*2)+0.21+0.24</f>
        <v>4.4200000000000008</v>
      </c>
      <c r="M29" s="35" t="s">
        <v>23</v>
      </c>
    </row>
    <row r="30" spans="2:13" ht="15" thickBot="1" x14ac:dyDescent="0.25">
      <c r="B30" s="46" t="s">
        <v>69</v>
      </c>
      <c r="C30" s="49">
        <v>3.5</v>
      </c>
      <c r="D30" s="35" t="s">
        <v>23</v>
      </c>
      <c r="G30" s="35"/>
      <c r="K30" s="50"/>
      <c r="L30" s="51"/>
      <c r="M30" s="35"/>
    </row>
    <row r="31" spans="2:13" x14ac:dyDescent="0.2">
      <c r="B31" s="50"/>
      <c r="C31" s="52"/>
      <c r="D31" s="35"/>
      <c r="E31" s="50"/>
      <c r="F31" s="52"/>
      <c r="G31" s="35"/>
    </row>
    <row r="32" spans="2:13" x14ac:dyDescent="0.2">
      <c r="B32" s="50"/>
      <c r="C32" s="52"/>
      <c r="D32" s="35"/>
      <c r="E32" s="50"/>
      <c r="F32" s="52"/>
      <c r="G32" s="35"/>
    </row>
    <row r="33" spans="1:11" ht="25.5" x14ac:dyDescent="0.2">
      <c r="A33" s="53" t="s">
        <v>70</v>
      </c>
      <c r="B33" s="90" t="s">
        <v>71</v>
      </c>
      <c r="C33" s="55" t="s">
        <v>72</v>
      </c>
      <c r="D33" s="56" t="s">
        <v>101</v>
      </c>
      <c r="E33" s="57"/>
    </row>
    <row r="34" spans="1:11" ht="76.5" x14ac:dyDescent="0.2">
      <c r="A34" s="90">
        <v>6007</v>
      </c>
      <c r="B34" s="59" t="s">
        <v>74</v>
      </c>
      <c r="C34" s="91" t="s">
        <v>75</v>
      </c>
      <c r="D34" s="102">
        <f>((PI()*(C12*C12)/4/10000)*C13*C11)</f>
        <v>59.690260418206066</v>
      </c>
      <c r="E34" s="64"/>
      <c r="H34" s="65"/>
      <c r="K34" s="65"/>
    </row>
    <row r="35" spans="1:11" ht="102" x14ac:dyDescent="0.2">
      <c r="A35" s="130">
        <v>3708</v>
      </c>
      <c r="B35" s="59" t="s">
        <v>76</v>
      </c>
      <c r="C35" s="60" t="s">
        <v>77</v>
      </c>
      <c r="D35" s="103">
        <f>D36+D37+D38</f>
        <v>14197.066364128481</v>
      </c>
      <c r="H35" s="65"/>
      <c r="K35" s="65"/>
    </row>
    <row r="36" spans="1:11" x14ac:dyDescent="0.2">
      <c r="A36" s="130"/>
      <c r="B36" s="67" t="s">
        <v>29</v>
      </c>
      <c r="C36" s="131" t="s">
        <v>77</v>
      </c>
      <c r="D36" s="68">
        <f>((F14*F11*F13)+(F16*F18*F21))*C11*1.03</f>
        <v>6397.9709072123142</v>
      </c>
    </row>
    <row r="37" spans="1:11" x14ac:dyDescent="0.2">
      <c r="A37" s="130"/>
      <c r="B37" s="67" t="s">
        <v>31</v>
      </c>
      <c r="C37" s="131"/>
      <c r="D37" s="68">
        <f>(((L14*L16*L17*4)+(L19*L21*L22*4))+(L26*L28*L29))*1.03</f>
        <v>2457.5608832000003</v>
      </c>
    </row>
    <row r="38" spans="1:11" x14ac:dyDescent="0.2">
      <c r="A38" s="130"/>
      <c r="B38" s="67" t="s">
        <v>30</v>
      </c>
      <c r="C38" s="131"/>
      <c r="D38" s="69">
        <f>+(I11*I13*I14)+(I16*I18*I21)+(I25*I27*I29*I28)*1.03</f>
        <v>5341.5345737161651</v>
      </c>
    </row>
    <row r="39" spans="1:11" ht="51" x14ac:dyDescent="0.2">
      <c r="A39" s="130">
        <v>3637</v>
      </c>
      <c r="B39" s="59" t="s">
        <v>78</v>
      </c>
      <c r="C39" s="91" t="s">
        <v>75</v>
      </c>
      <c r="D39" s="104">
        <f>D40+D41</f>
        <v>70.115042147019622</v>
      </c>
      <c r="H39" s="64"/>
      <c r="K39" s="64"/>
    </row>
    <row r="40" spans="1:11" x14ac:dyDescent="0.2">
      <c r="A40" s="130"/>
      <c r="B40" s="67" t="s">
        <v>31</v>
      </c>
      <c r="C40" s="131" t="s">
        <v>75</v>
      </c>
      <c r="D40" s="71">
        <f>C15*C16*C17</f>
        <v>45.375</v>
      </c>
    </row>
    <row r="41" spans="1:11" x14ac:dyDescent="0.2">
      <c r="A41" s="130"/>
      <c r="B41" s="67" t="s">
        <v>30</v>
      </c>
      <c r="C41" s="131"/>
      <c r="D41" s="71">
        <f>(PI()*C29*C29/4)*C30</f>
        <v>24.740042147019622</v>
      </c>
    </row>
    <row r="42" spans="1:11" ht="38.25" x14ac:dyDescent="0.2">
      <c r="A42" s="90">
        <v>5055</v>
      </c>
      <c r="B42" s="59" t="s">
        <v>79</v>
      </c>
      <c r="C42" s="91" t="s">
        <v>75</v>
      </c>
      <c r="D42" s="105">
        <f>((PI()*(C12*C12)/4/10000)*(C17+C18)*C11)</f>
        <v>9.4247779607693793</v>
      </c>
      <c r="H42" s="64"/>
      <c r="K42" s="64"/>
    </row>
    <row r="43" spans="1:11" ht="51" x14ac:dyDescent="0.2">
      <c r="A43" s="90">
        <v>6021</v>
      </c>
      <c r="B43" s="59" t="s">
        <v>89</v>
      </c>
      <c r="C43" s="91" t="s">
        <v>75</v>
      </c>
      <c r="D43" s="71">
        <f>(C25*C26*C27)-((PI()*C12*C12*0.1/4/10000)*C11)</f>
        <v>1.1983407346410209</v>
      </c>
      <c r="H43" s="64"/>
      <c r="K43" s="64"/>
    </row>
    <row r="44" spans="1:11" ht="25.5" x14ac:dyDescent="0.2">
      <c r="A44" s="94">
        <v>5416</v>
      </c>
      <c r="B44" s="81" t="s">
        <v>90</v>
      </c>
      <c r="C44" s="72" t="s">
        <v>75</v>
      </c>
      <c r="D44" s="105">
        <f>C20*C21*C22</f>
        <v>171.5625</v>
      </c>
      <c r="E44" s="96"/>
      <c r="H44" s="65"/>
      <c r="K44" s="65"/>
    </row>
    <row r="45" spans="1:11" ht="51" x14ac:dyDescent="0.2">
      <c r="A45" s="94">
        <v>3017</v>
      </c>
      <c r="B45" s="81" t="s">
        <v>91</v>
      </c>
      <c r="C45" s="72" t="s">
        <v>75</v>
      </c>
      <c r="D45" s="105">
        <f>D44</f>
        <v>171.5625</v>
      </c>
      <c r="E45" s="96"/>
      <c r="H45" s="64"/>
      <c r="K45" s="64"/>
    </row>
    <row r="46" spans="1:11" ht="38.25" x14ac:dyDescent="0.2">
      <c r="A46" s="94">
        <v>4908</v>
      </c>
      <c r="B46" s="59" t="s">
        <v>80</v>
      </c>
      <c r="C46" s="91" t="s">
        <v>75</v>
      </c>
      <c r="D46" s="105">
        <f>D44-(C25*C26*C27)-D40-((PI()*C29*C29/4)*C18)</f>
        <v>114.07212479413445</v>
      </c>
      <c r="K46" s="64"/>
    </row>
    <row r="47" spans="1:11" ht="51" x14ac:dyDescent="0.2">
      <c r="A47" s="94">
        <v>5196</v>
      </c>
      <c r="B47" s="81" t="s">
        <v>102</v>
      </c>
      <c r="C47" s="91" t="s">
        <v>75</v>
      </c>
      <c r="D47" s="71">
        <f>C20*C21*0.15</f>
        <v>8.4375</v>
      </c>
    </row>
    <row r="48" spans="1:11" x14ac:dyDescent="0.2">
      <c r="A48" s="94"/>
    </row>
    <row r="49" spans="1:1" x14ac:dyDescent="0.2">
      <c r="A49" s="94"/>
    </row>
    <row r="50" spans="1:1" x14ac:dyDescent="0.2">
      <c r="A50" s="94"/>
    </row>
  </sheetData>
  <mergeCells count="13">
    <mergeCell ref="K9:L9"/>
    <mergeCell ref="H23:I23"/>
    <mergeCell ref="A39:A41"/>
    <mergeCell ref="C40:C41"/>
    <mergeCell ref="E7:I7"/>
    <mergeCell ref="B9:C9"/>
    <mergeCell ref="E9:F9"/>
    <mergeCell ref="H9:I9"/>
    <mergeCell ref="H24:I24"/>
    <mergeCell ref="K24:L24"/>
    <mergeCell ref="K25:L25"/>
    <mergeCell ref="A35:A38"/>
    <mergeCell ref="C36:C38"/>
  </mergeCells>
  <pageMargins left="0.7" right="0.7" top="0.75" bottom="0.75" header="0.3" footer="0.3"/>
  <pageSetup scale="4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12C91-DD6F-4762-8A83-440500A5FC56}">
  <sheetPr>
    <tabColor rgb="FFFFFF00"/>
  </sheetPr>
  <dimension ref="A2:M50"/>
  <sheetViews>
    <sheetView view="pageBreakPreview" zoomScale="85" zoomScaleNormal="85" zoomScaleSheetLayoutView="85" workbookViewId="0">
      <selection activeCell="E27" sqref="E27"/>
    </sheetView>
  </sheetViews>
  <sheetFormatPr baseColWidth="10" defaultRowHeight="14.25" x14ac:dyDescent="0.2"/>
  <cols>
    <col min="1" max="1" width="9.7109375" style="29" customWidth="1"/>
    <col min="2" max="2" width="43.5703125" style="29" customWidth="1"/>
    <col min="3" max="3" width="12.28515625" style="32" customWidth="1"/>
    <col min="4" max="4" width="12.85546875" style="32" customWidth="1"/>
    <col min="5" max="5" width="28.7109375" style="32" bestFit="1" customWidth="1"/>
    <col min="6" max="7" width="11.42578125" style="32"/>
    <col min="8" max="8" width="28.7109375" style="32" customWidth="1"/>
    <col min="9" max="10" width="11.42578125" style="32"/>
    <col min="11" max="11" width="28.7109375" style="32" customWidth="1"/>
    <col min="12" max="16384" width="11.42578125" style="29"/>
  </cols>
  <sheetData>
    <row r="2" spans="2:13" ht="16.5" x14ac:dyDescent="0.2">
      <c r="C2" s="30"/>
      <c r="D2" s="30"/>
      <c r="E2" s="31" t="s">
        <v>24</v>
      </c>
      <c r="F2" s="30"/>
      <c r="G2" s="30"/>
    </row>
    <row r="3" spans="2:13" ht="16.5" x14ac:dyDescent="0.3">
      <c r="C3" s="30"/>
      <c r="D3" s="30"/>
      <c r="E3" s="28" t="s">
        <v>25</v>
      </c>
      <c r="F3" s="30"/>
      <c r="G3" s="30"/>
    </row>
    <row r="4" spans="2:13" ht="16.5" x14ac:dyDescent="0.2">
      <c r="C4" s="30"/>
      <c r="D4" s="30"/>
      <c r="E4" s="33"/>
      <c r="F4" s="30"/>
      <c r="G4" s="30"/>
    </row>
    <row r="5" spans="2:13" ht="16.5" x14ac:dyDescent="0.3">
      <c r="C5" s="30"/>
      <c r="D5" s="30"/>
      <c r="E5" s="34" t="s">
        <v>26</v>
      </c>
      <c r="F5" s="30"/>
      <c r="G5" s="30"/>
    </row>
    <row r="7" spans="2:13" ht="16.5" x14ac:dyDescent="0.3">
      <c r="E7" s="132" t="s">
        <v>126</v>
      </c>
      <c r="F7" s="132"/>
      <c r="G7" s="132"/>
      <c r="H7" s="132"/>
      <c r="I7" s="132"/>
    </row>
    <row r="8" spans="2:13" ht="15" thickBot="1" x14ac:dyDescent="0.25"/>
    <row r="9" spans="2:13" x14ac:dyDescent="0.2">
      <c r="B9" s="133" t="s">
        <v>27</v>
      </c>
      <c r="C9" s="134"/>
      <c r="D9" s="35"/>
      <c r="E9" s="128" t="s">
        <v>28</v>
      </c>
      <c r="F9" s="129"/>
      <c r="G9" s="35"/>
      <c r="H9" s="128" t="s">
        <v>28</v>
      </c>
      <c r="I9" s="129"/>
      <c r="K9" s="128" t="s">
        <v>28</v>
      </c>
      <c r="L9" s="129"/>
    </row>
    <row r="10" spans="2:13" x14ac:dyDescent="0.2">
      <c r="B10" s="92" t="s">
        <v>29</v>
      </c>
      <c r="C10" s="37"/>
      <c r="D10" s="35"/>
      <c r="E10" s="92" t="s">
        <v>29</v>
      </c>
      <c r="F10" s="37"/>
      <c r="G10" s="35"/>
      <c r="H10" s="92" t="s">
        <v>30</v>
      </c>
      <c r="I10" s="38"/>
      <c r="J10" s="35"/>
      <c r="K10" s="92" t="s">
        <v>31</v>
      </c>
      <c r="L10" s="38"/>
    </row>
    <row r="11" spans="2:13" x14ac:dyDescent="0.2">
      <c r="B11" s="39" t="s">
        <v>32</v>
      </c>
      <c r="C11" s="40">
        <v>4</v>
      </c>
      <c r="D11" s="35" t="s">
        <v>33</v>
      </c>
      <c r="E11" s="39" t="s">
        <v>34</v>
      </c>
      <c r="F11" s="40">
        <v>16</v>
      </c>
      <c r="G11" s="35" t="s">
        <v>33</v>
      </c>
      <c r="H11" s="39" t="s">
        <v>34</v>
      </c>
      <c r="I11" s="40">
        <v>76</v>
      </c>
      <c r="J11" s="35" t="s">
        <v>33</v>
      </c>
      <c r="K11" s="39" t="s">
        <v>35</v>
      </c>
      <c r="L11" s="40">
        <v>25</v>
      </c>
      <c r="M11" s="29" t="s">
        <v>36</v>
      </c>
    </row>
    <row r="12" spans="2:13" x14ac:dyDescent="0.2">
      <c r="B12" s="39" t="s">
        <v>37</v>
      </c>
      <c r="C12" s="40">
        <v>100</v>
      </c>
      <c r="D12" s="35" t="s">
        <v>36</v>
      </c>
      <c r="E12" s="39" t="s">
        <v>38</v>
      </c>
      <c r="F12" s="40">
        <v>8</v>
      </c>
      <c r="G12" s="35" t="s">
        <v>39</v>
      </c>
      <c r="H12" s="39" t="s">
        <v>38</v>
      </c>
      <c r="I12" s="40">
        <v>14</v>
      </c>
      <c r="J12" s="35" t="s">
        <v>39</v>
      </c>
      <c r="K12" s="39" t="s">
        <v>40</v>
      </c>
      <c r="L12" s="40">
        <v>1</v>
      </c>
      <c r="M12" s="35"/>
    </row>
    <row r="13" spans="2:13" x14ac:dyDescent="0.2">
      <c r="B13" s="39" t="s">
        <v>41</v>
      </c>
      <c r="C13" s="40">
        <f>14+1.5+1.5</f>
        <v>17</v>
      </c>
      <c r="D13" s="35" t="s">
        <v>23</v>
      </c>
      <c r="E13" s="39" t="s">
        <v>42</v>
      </c>
      <c r="F13" s="41">
        <f>LOOKUP(F12,[1]Hoja2!$B$6:$B$18,[1]Hoja2!$E$6:$E$18)</f>
        <v>3.9729999999999999</v>
      </c>
      <c r="G13" s="35" t="s">
        <v>43</v>
      </c>
      <c r="H13" s="39" t="s">
        <v>42</v>
      </c>
      <c r="I13" s="41">
        <f>LOOKUP(I12,[1]Hoja2!$B$6:$B$18,[1]Hoja2!$E$6:$E$18)</f>
        <v>11.38</v>
      </c>
      <c r="J13" s="35" t="s">
        <v>43</v>
      </c>
      <c r="K13" s="39" t="s">
        <v>100</v>
      </c>
      <c r="L13" s="40">
        <v>17</v>
      </c>
      <c r="M13" s="35" t="s">
        <v>36</v>
      </c>
    </row>
    <row r="14" spans="2:13" x14ac:dyDescent="0.2">
      <c r="B14" s="92" t="s">
        <v>31</v>
      </c>
      <c r="C14" s="40"/>
      <c r="D14" s="35"/>
      <c r="E14" s="39" t="s">
        <v>45</v>
      </c>
      <c r="F14" s="42">
        <f>(C13-C18-0.5-0.15)+(IF(C12=100,1,1.2))</f>
        <v>15.85</v>
      </c>
      <c r="G14" s="35" t="s">
        <v>23</v>
      </c>
      <c r="H14" s="39" t="s">
        <v>45</v>
      </c>
      <c r="I14" s="42">
        <f>(C30+C17-0.3-0.15)+(2.4)</f>
        <v>6.9499999999999993</v>
      </c>
      <c r="J14" s="35" t="s">
        <v>23</v>
      </c>
      <c r="K14" s="39" t="s">
        <v>34</v>
      </c>
      <c r="L14" s="41">
        <f>IF(L12=1,(ROUNDUP(((C15-(2*L13/100))*(L12)/(L11/100))+1,0)),(ROUNDUP(((C15-(2*L13/100))*(L12)/(L11/100))+2,0)))</f>
        <v>20</v>
      </c>
      <c r="M14" s="29" t="s">
        <v>33</v>
      </c>
    </row>
    <row r="15" spans="2:13" x14ac:dyDescent="0.2">
      <c r="B15" s="39" t="s">
        <v>46</v>
      </c>
      <c r="C15" s="40">
        <v>5</v>
      </c>
      <c r="D15" s="35" t="s">
        <v>23</v>
      </c>
      <c r="E15" s="39" t="s">
        <v>47</v>
      </c>
      <c r="F15" s="38">
        <v>0.1</v>
      </c>
      <c r="G15" s="43" t="s">
        <v>23</v>
      </c>
      <c r="H15" s="39" t="s">
        <v>47</v>
      </c>
      <c r="I15" s="38">
        <v>0.1</v>
      </c>
      <c r="J15" s="43" t="s">
        <v>23</v>
      </c>
      <c r="K15" s="39" t="s">
        <v>38</v>
      </c>
      <c r="L15" s="40">
        <v>8</v>
      </c>
      <c r="M15" s="29" t="s">
        <v>39</v>
      </c>
    </row>
    <row r="16" spans="2:13" x14ac:dyDescent="0.2">
      <c r="B16" s="39" t="s">
        <v>48</v>
      </c>
      <c r="C16" s="40">
        <v>5</v>
      </c>
      <c r="D16" s="35" t="s">
        <v>23</v>
      </c>
      <c r="E16" s="39" t="s">
        <v>49</v>
      </c>
      <c r="F16" s="44">
        <v>98</v>
      </c>
      <c r="G16" s="35" t="s">
        <v>33</v>
      </c>
      <c r="H16" s="39" t="s">
        <v>49</v>
      </c>
      <c r="I16" s="97">
        <v>49</v>
      </c>
      <c r="J16" s="35" t="s">
        <v>33</v>
      </c>
      <c r="K16" s="39" t="s">
        <v>42</v>
      </c>
      <c r="L16" s="41">
        <f>LOOKUP(L15,[1]Hoja2!$B$6:$B$18,[1]Hoja2!$E$6:$E$18)</f>
        <v>3.9729999999999999</v>
      </c>
      <c r="M16" s="35" t="s">
        <v>43</v>
      </c>
    </row>
    <row r="17" spans="2:13" x14ac:dyDescent="0.2">
      <c r="B17" s="39" t="s">
        <v>50</v>
      </c>
      <c r="C17" s="40">
        <v>1.5</v>
      </c>
      <c r="D17" s="35" t="s">
        <v>23</v>
      </c>
      <c r="E17" s="39" t="s">
        <v>51</v>
      </c>
      <c r="F17" s="40">
        <v>4</v>
      </c>
      <c r="G17" s="35" t="s">
        <v>39</v>
      </c>
      <c r="H17" s="39" t="s">
        <v>51</v>
      </c>
      <c r="I17" s="40">
        <v>4</v>
      </c>
      <c r="J17" s="35" t="s">
        <v>39</v>
      </c>
      <c r="K17" s="39" t="s">
        <v>45</v>
      </c>
      <c r="L17" s="42">
        <f>(C15-(L13/100)-(L13/100))+0.9+0.9</f>
        <v>6.4600000000000009</v>
      </c>
      <c r="M17" s="35" t="s">
        <v>23</v>
      </c>
    </row>
    <row r="18" spans="2:13" x14ac:dyDescent="0.2">
      <c r="B18" s="39" t="s">
        <v>52</v>
      </c>
      <c r="C18" s="93">
        <v>1.5</v>
      </c>
      <c r="D18" s="35" t="s">
        <v>23</v>
      </c>
      <c r="E18" s="39" t="s">
        <v>53</v>
      </c>
      <c r="F18" s="41">
        <f>LOOKUP(F17,[1]Hoja2!$B$6:$B$18,[1]Hoja2!$E$6:$E$18)</f>
        <v>0.99399999999999999</v>
      </c>
      <c r="G18" s="35" t="s">
        <v>43</v>
      </c>
      <c r="H18" s="39" t="s">
        <v>53</v>
      </c>
      <c r="I18" s="41">
        <f>LOOKUP(I17,[1]Hoja2!$B$6:$B$18,[1]Hoja2!$E$6:$E$18)</f>
        <v>0.99399999999999999</v>
      </c>
      <c r="J18" s="35" t="s">
        <v>43</v>
      </c>
      <c r="K18" s="39" t="s">
        <v>54</v>
      </c>
      <c r="L18" s="40">
        <v>20</v>
      </c>
      <c r="M18" s="29" t="s">
        <v>36</v>
      </c>
    </row>
    <row r="19" spans="2:13" x14ac:dyDescent="0.2">
      <c r="B19" s="92" t="s">
        <v>55</v>
      </c>
      <c r="C19" s="40"/>
      <c r="D19" s="35"/>
      <c r="E19" s="39" t="s">
        <v>44</v>
      </c>
      <c r="F19" s="40">
        <v>10</v>
      </c>
      <c r="G19" s="35" t="s">
        <v>36</v>
      </c>
      <c r="H19" s="39" t="s">
        <v>44</v>
      </c>
      <c r="I19" s="40">
        <v>7</v>
      </c>
      <c r="J19" s="35" t="s">
        <v>36</v>
      </c>
      <c r="K19" s="39" t="s">
        <v>56</v>
      </c>
      <c r="L19" s="41">
        <f>ROUNDDOWN((C17-(25/100)-(25/100))/(L18/100)+1,0)</f>
        <v>6</v>
      </c>
      <c r="M19" s="29" t="s">
        <v>33</v>
      </c>
    </row>
    <row r="20" spans="2:13" x14ac:dyDescent="0.2">
      <c r="B20" s="39" t="s">
        <v>103</v>
      </c>
      <c r="C20" s="41">
        <f>+C15+0.5+0.5</f>
        <v>6</v>
      </c>
      <c r="D20" s="35" t="s">
        <v>23</v>
      </c>
      <c r="E20" s="39" t="s">
        <v>35</v>
      </c>
      <c r="F20" s="45">
        <f>(PI()*(C12-F19-F19))/F11</f>
        <v>15.707963267948966</v>
      </c>
      <c r="G20" s="35" t="s">
        <v>36</v>
      </c>
      <c r="H20" s="39" t="s">
        <v>35</v>
      </c>
      <c r="I20" s="45">
        <f>(PI()*(C29*(100)-I19-I19))/I11</f>
        <v>14.715881377341663</v>
      </c>
      <c r="J20" s="35" t="s">
        <v>36</v>
      </c>
      <c r="K20" s="39" t="s">
        <v>58</v>
      </c>
      <c r="L20" s="40">
        <v>6</v>
      </c>
      <c r="M20" s="29" t="s">
        <v>39</v>
      </c>
    </row>
    <row r="21" spans="2:13" ht="15" thickBot="1" x14ac:dyDescent="0.25">
      <c r="B21" s="39" t="s">
        <v>104</v>
      </c>
      <c r="C21" s="41">
        <f>+C16+0.5+0.5</f>
        <v>6</v>
      </c>
      <c r="D21" s="35" t="s">
        <v>23</v>
      </c>
      <c r="E21" s="46" t="s">
        <v>60</v>
      </c>
      <c r="F21" s="47">
        <f>((PI()*(C12-F19-F19))+(F20*(3)+F20*(3)+((LOOKUP(F17,[1]Hoja2!$B$6:$B$18,[1]Hoja2!$H$6:$H$18))*2)+20))/100</f>
        <v>3.8957519189487719</v>
      </c>
      <c r="G21" s="35" t="s">
        <v>23</v>
      </c>
      <c r="H21" s="46" t="s">
        <v>60</v>
      </c>
      <c r="I21" s="47">
        <f>((PI()*(C29*(100)-I19-I19))+(I20*(3)+I20*(3)+((LOOKUP(I17,[1]Hoja2!$B$6:$B$18,[1]Hoja2!$H$6:$H$18))*2)+20))/100</f>
        <v>12.507022729420164</v>
      </c>
      <c r="J21" s="35" t="s">
        <v>23</v>
      </c>
      <c r="K21" s="39" t="s">
        <v>61</v>
      </c>
      <c r="L21" s="41">
        <f>LOOKUP(L20,[1]Hoja2!$B$6:$B$18,[1]Hoja2!$E$6:$E$18)</f>
        <v>2.2349999999999999</v>
      </c>
      <c r="M21" s="35" t="s">
        <v>43</v>
      </c>
    </row>
    <row r="22" spans="2:13" ht="15" thickBot="1" x14ac:dyDescent="0.25">
      <c r="B22" s="39" t="s">
        <v>50</v>
      </c>
      <c r="C22" s="42">
        <f>+C18+C17+C27</f>
        <v>3.05</v>
      </c>
      <c r="D22" s="35" t="s">
        <v>23</v>
      </c>
      <c r="K22" s="46" t="s">
        <v>62</v>
      </c>
      <c r="L22" s="48">
        <f>C15-(L13/100)-(L13/100)</f>
        <v>4.66</v>
      </c>
      <c r="M22" s="35" t="s">
        <v>23</v>
      </c>
    </row>
    <row r="23" spans="2:13" ht="15" thickBot="1" x14ac:dyDescent="0.25">
      <c r="B23" s="39"/>
      <c r="C23" s="38"/>
      <c r="D23" s="35"/>
      <c r="H23" s="128" t="s">
        <v>28</v>
      </c>
      <c r="I23" s="129"/>
    </row>
    <row r="24" spans="2:13" x14ac:dyDescent="0.2">
      <c r="B24" s="92" t="s">
        <v>63</v>
      </c>
      <c r="C24" s="40"/>
      <c r="D24" s="35"/>
      <c r="H24" s="135" t="s">
        <v>64</v>
      </c>
      <c r="I24" s="136"/>
      <c r="K24" s="128" t="s">
        <v>28</v>
      </c>
      <c r="L24" s="129"/>
      <c r="M24" s="32"/>
    </row>
    <row r="25" spans="2:13" x14ac:dyDescent="0.2">
      <c r="B25" s="39" t="s">
        <v>46</v>
      </c>
      <c r="C25" s="42">
        <f>+C15</f>
        <v>5</v>
      </c>
      <c r="D25" s="35" t="s">
        <v>23</v>
      </c>
      <c r="H25" s="39" t="s">
        <v>34</v>
      </c>
      <c r="I25" s="41">
        <f>IF(C29=2.5,12*2,IF(C29=3,13*2,IF(C29=3.7,14*2)))</f>
        <v>28</v>
      </c>
      <c r="J25" s="35" t="s">
        <v>33</v>
      </c>
      <c r="K25" s="135" t="s">
        <v>65</v>
      </c>
      <c r="L25" s="136"/>
      <c r="M25" s="32"/>
    </row>
    <row r="26" spans="2:13" x14ac:dyDescent="0.2">
      <c r="B26" s="39" t="s">
        <v>48</v>
      </c>
      <c r="C26" s="42">
        <f>+C16</f>
        <v>5</v>
      </c>
      <c r="D26" s="35" t="s">
        <v>23</v>
      </c>
      <c r="H26" s="39" t="s">
        <v>38</v>
      </c>
      <c r="I26" s="40">
        <v>4</v>
      </c>
      <c r="J26" s="35" t="s">
        <v>39</v>
      </c>
      <c r="K26" s="39" t="s">
        <v>34</v>
      </c>
      <c r="L26" s="40">
        <f>12*4</f>
        <v>48</v>
      </c>
      <c r="M26" s="35" t="s">
        <v>33</v>
      </c>
    </row>
    <row r="27" spans="2:13" x14ac:dyDescent="0.2">
      <c r="B27" s="39" t="s">
        <v>50</v>
      </c>
      <c r="C27" s="40">
        <v>0.05</v>
      </c>
      <c r="D27" s="35" t="s">
        <v>23</v>
      </c>
      <c r="H27" s="39" t="s">
        <v>42</v>
      </c>
      <c r="I27" s="41">
        <f>LOOKUP(I26,[1]Hoja2!$B$6:$B$18,[1]Hoja2!$E$6:$E$18)</f>
        <v>0.99399999999999999</v>
      </c>
      <c r="J27" s="35" t="s">
        <v>43</v>
      </c>
      <c r="K27" s="39" t="s">
        <v>38</v>
      </c>
      <c r="L27" s="40">
        <v>4</v>
      </c>
      <c r="M27" s="35" t="s">
        <v>39</v>
      </c>
    </row>
    <row r="28" spans="2:13" x14ac:dyDescent="0.2">
      <c r="B28" s="92" t="s">
        <v>66</v>
      </c>
      <c r="C28" s="40"/>
      <c r="D28" s="35"/>
      <c r="H28" s="39" t="s">
        <v>67</v>
      </c>
      <c r="I28" s="40">
        <v>13</v>
      </c>
      <c r="J28" s="35"/>
      <c r="K28" s="39" t="s">
        <v>42</v>
      </c>
      <c r="L28" s="41">
        <f>LOOKUP(L27,[1]Hoja2!$B$6:$B$18,[1]Hoja2!$E$6:$E$18)</f>
        <v>0.99399999999999999</v>
      </c>
      <c r="M28" s="35" t="s">
        <v>43</v>
      </c>
    </row>
    <row r="29" spans="2:13" ht="15" thickBot="1" x14ac:dyDescent="0.25">
      <c r="B29" s="39" t="s">
        <v>37</v>
      </c>
      <c r="C29" s="40">
        <v>3.7</v>
      </c>
      <c r="D29" s="35" t="s">
        <v>23</v>
      </c>
      <c r="H29" s="46" t="s">
        <v>68</v>
      </c>
      <c r="I29" s="47">
        <f>IF(C29=2.5,(1.8+([1]Hoja2!I10/100*4)+(0.2)),IF(C29=3,(2.09+([1]Hoja2!I10/100*4)+(0.2)),IF(C29=3.7,(2.07+([1]Hoja2!I10/100*4)+(0.2)))))</f>
        <v>2.5499999999999998</v>
      </c>
      <c r="J29" s="35" t="s">
        <v>23</v>
      </c>
      <c r="K29" s="46" t="s">
        <v>68</v>
      </c>
      <c r="L29" s="47">
        <f>((0.75+1.235)*2)+0.21+0.24</f>
        <v>4.4200000000000008</v>
      </c>
      <c r="M29" s="35" t="s">
        <v>23</v>
      </c>
    </row>
    <row r="30" spans="2:13" ht="15" thickBot="1" x14ac:dyDescent="0.25">
      <c r="B30" s="46" t="s">
        <v>69</v>
      </c>
      <c r="C30" s="49">
        <v>3.5</v>
      </c>
      <c r="D30" s="35" t="s">
        <v>23</v>
      </c>
      <c r="G30" s="35"/>
      <c r="K30" s="50"/>
      <c r="L30" s="51"/>
      <c r="M30" s="35"/>
    </row>
    <row r="31" spans="2:13" x14ac:dyDescent="0.2">
      <c r="B31" s="50"/>
      <c r="C31" s="52"/>
      <c r="D31" s="35"/>
      <c r="E31" s="50"/>
      <c r="F31" s="52"/>
      <c r="G31" s="35"/>
    </row>
    <row r="32" spans="2:13" x14ac:dyDescent="0.2">
      <c r="B32" s="50"/>
      <c r="C32" s="52"/>
      <c r="D32" s="35"/>
      <c r="E32" s="50"/>
      <c r="F32" s="52"/>
      <c r="G32" s="35"/>
    </row>
    <row r="33" spans="1:11" ht="25.5" x14ac:dyDescent="0.2">
      <c r="A33" s="53" t="s">
        <v>70</v>
      </c>
      <c r="B33" s="90" t="s">
        <v>71</v>
      </c>
      <c r="C33" s="55" t="s">
        <v>72</v>
      </c>
      <c r="D33" s="56" t="s">
        <v>105</v>
      </c>
      <c r="E33" s="57"/>
    </row>
    <row r="34" spans="1:11" ht="76.5" x14ac:dyDescent="0.2">
      <c r="A34" s="90">
        <v>6007</v>
      </c>
      <c r="B34" s="59" t="s">
        <v>74</v>
      </c>
      <c r="C34" s="91" t="s">
        <v>75</v>
      </c>
      <c r="D34" s="63">
        <f>((PI()*(C12*C12)/4/10000)*C13*C11)</f>
        <v>53.407075111026487</v>
      </c>
      <c r="E34" s="64"/>
      <c r="H34" s="65"/>
      <c r="K34" s="65"/>
    </row>
    <row r="35" spans="1:11" ht="102" x14ac:dyDescent="0.2">
      <c r="A35" s="130">
        <v>3708</v>
      </c>
      <c r="B35" s="59" t="s">
        <v>76</v>
      </c>
      <c r="C35" s="60" t="s">
        <v>77</v>
      </c>
      <c r="D35" s="66">
        <f>D36+D37+D38</f>
        <v>15874.540126285126</v>
      </c>
      <c r="H35" s="65"/>
      <c r="K35" s="65"/>
    </row>
    <row r="36" spans="1:11" x14ac:dyDescent="0.2">
      <c r="A36" s="130"/>
      <c r="B36" s="67" t="s">
        <v>29</v>
      </c>
      <c r="C36" s="131" t="s">
        <v>77</v>
      </c>
      <c r="D36" s="68">
        <f>((F14*F11*F13)+(F16*F18*F21))*C11*1.03</f>
        <v>5714.628638025988</v>
      </c>
    </row>
    <row r="37" spans="1:11" x14ac:dyDescent="0.2">
      <c r="A37" s="130"/>
      <c r="B37" s="67" t="s">
        <v>31</v>
      </c>
      <c r="C37" s="131"/>
      <c r="D37" s="68">
        <f>(((L14*L16*L17*4)+(L19*L21*L22*4))+(L26*L28*L29))*1.03</f>
        <v>2589.5187151999999</v>
      </c>
    </row>
    <row r="38" spans="1:11" x14ac:dyDescent="0.2">
      <c r="A38" s="130"/>
      <c r="B38" s="67" t="s">
        <v>30</v>
      </c>
      <c r="C38" s="131"/>
      <c r="D38" s="69">
        <f>+(I11*I13*I14)+(I16*I18*I21)+(I25*I27*I29*I28)*1.03</f>
        <v>7570.3927730591386</v>
      </c>
    </row>
    <row r="39" spans="1:11" ht="51" x14ac:dyDescent="0.2">
      <c r="A39" s="130">
        <v>3637</v>
      </c>
      <c r="B39" s="59" t="s">
        <v>78</v>
      </c>
      <c r="C39" s="91" t="s">
        <v>75</v>
      </c>
      <c r="D39" s="70">
        <f>D40+D41</f>
        <v>75.132352999188726</v>
      </c>
      <c r="H39" s="64"/>
      <c r="K39" s="64"/>
    </row>
    <row r="40" spans="1:11" x14ac:dyDescent="0.2">
      <c r="A40" s="130"/>
      <c r="B40" s="67" t="s">
        <v>31</v>
      </c>
      <c r="C40" s="131" t="s">
        <v>75</v>
      </c>
      <c r="D40" s="71">
        <f>C15*C16*C17</f>
        <v>37.5</v>
      </c>
    </row>
    <row r="41" spans="1:11" x14ac:dyDescent="0.2">
      <c r="A41" s="130"/>
      <c r="B41" s="67" t="s">
        <v>30</v>
      </c>
      <c r="C41" s="131"/>
      <c r="D41" s="71">
        <f>(PI()*C29*C29/4)*C30</f>
        <v>37.632352999188733</v>
      </c>
    </row>
    <row r="42" spans="1:11" ht="38.25" x14ac:dyDescent="0.2">
      <c r="A42" s="90">
        <v>5055</v>
      </c>
      <c r="B42" s="59" t="s">
        <v>79</v>
      </c>
      <c r="C42" s="91" t="s">
        <v>75</v>
      </c>
      <c r="D42" s="71">
        <f>((PI()*(C12*C12)/4/10000)*(C17+C18)*C11)</f>
        <v>9.4247779607693793</v>
      </c>
      <c r="H42" s="64"/>
      <c r="K42" s="64"/>
    </row>
    <row r="43" spans="1:11" ht="51" x14ac:dyDescent="0.2">
      <c r="A43" s="90">
        <v>6021</v>
      </c>
      <c r="B43" s="59" t="s">
        <v>89</v>
      </c>
      <c r="C43" s="91" t="s">
        <v>75</v>
      </c>
      <c r="D43" s="71">
        <f>(C25*C26*C27)-((PI()*C12*C12*0.1/4/10000)*C11)</f>
        <v>0.93584073464102069</v>
      </c>
      <c r="H43" s="64"/>
      <c r="K43" s="64"/>
    </row>
    <row r="44" spans="1:11" ht="25.5" x14ac:dyDescent="0.2">
      <c r="A44" s="94">
        <v>5416</v>
      </c>
      <c r="B44" s="81" t="s">
        <v>90</v>
      </c>
      <c r="C44" s="72" t="s">
        <v>75</v>
      </c>
      <c r="D44" s="95">
        <f>C20*C21*C22</f>
        <v>109.8</v>
      </c>
      <c r="E44" s="96"/>
      <c r="H44" s="65"/>
      <c r="K44" s="65"/>
    </row>
    <row r="45" spans="1:11" ht="51" x14ac:dyDescent="0.2">
      <c r="A45" s="94">
        <v>3017</v>
      </c>
      <c r="B45" s="81" t="s">
        <v>91</v>
      </c>
      <c r="C45" s="72" t="s">
        <v>75</v>
      </c>
      <c r="D45" s="71">
        <f>D44</f>
        <v>109.8</v>
      </c>
      <c r="E45" s="96"/>
      <c r="H45" s="64"/>
      <c r="K45" s="64"/>
    </row>
    <row r="46" spans="1:11" ht="38.25" x14ac:dyDescent="0.2">
      <c r="A46" s="94">
        <v>4908</v>
      </c>
      <c r="B46" s="59" t="s">
        <v>80</v>
      </c>
      <c r="C46" s="91" t="s">
        <v>75</v>
      </c>
      <c r="D46" s="71">
        <f>D44-(C25*C26*C27)-D40-((PI()*C29*C29/4)*C18)</f>
        <v>54.921848714633398</v>
      </c>
      <c r="K46" s="64"/>
    </row>
    <row r="47" spans="1:11" ht="38.25" x14ac:dyDescent="0.2">
      <c r="A47" s="94">
        <v>5196</v>
      </c>
      <c r="B47" s="81" t="s">
        <v>102</v>
      </c>
      <c r="C47" s="91" t="s">
        <v>75</v>
      </c>
      <c r="D47" s="71">
        <f>C20*C21*0.15</f>
        <v>5.3999999999999995</v>
      </c>
    </row>
    <row r="48" spans="1:11" x14ac:dyDescent="0.2">
      <c r="A48" s="94"/>
    </row>
    <row r="49" spans="1:1" x14ac:dyDescent="0.2">
      <c r="A49" s="94"/>
    </row>
    <row r="50" spans="1:1" x14ac:dyDescent="0.2">
      <c r="A50" s="94"/>
    </row>
  </sheetData>
  <mergeCells count="13">
    <mergeCell ref="K9:L9"/>
    <mergeCell ref="H23:I23"/>
    <mergeCell ref="A39:A41"/>
    <mergeCell ref="C40:C41"/>
    <mergeCell ref="E7:I7"/>
    <mergeCell ref="B9:C9"/>
    <mergeCell ref="E9:F9"/>
    <mergeCell ref="H9:I9"/>
    <mergeCell ref="H24:I24"/>
    <mergeCell ref="K24:L24"/>
    <mergeCell ref="K25:L25"/>
    <mergeCell ref="A35:A38"/>
    <mergeCell ref="C36:C38"/>
  </mergeCells>
  <pageMargins left="0.7" right="0.7" top="0.75" bottom="0.75" header="0.3" footer="0.3"/>
  <pageSetup scale="4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ABBF8-4330-42F0-84AC-902813F21A59}">
  <sheetPr>
    <tabColor rgb="FFFFFF00"/>
  </sheetPr>
  <dimension ref="A2:M50"/>
  <sheetViews>
    <sheetView view="pageBreakPreview" zoomScale="85" zoomScaleNormal="85" zoomScaleSheetLayoutView="85" workbookViewId="0">
      <selection activeCell="F17" sqref="F17"/>
    </sheetView>
  </sheetViews>
  <sheetFormatPr baseColWidth="10" defaultRowHeight="14.25" x14ac:dyDescent="0.2"/>
  <cols>
    <col min="1" max="1" width="9.7109375" style="29" customWidth="1"/>
    <col min="2" max="2" width="42.85546875" style="29" customWidth="1"/>
    <col min="3" max="3" width="12.28515625" style="32" customWidth="1"/>
    <col min="4" max="4" width="12.85546875" style="32" customWidth="1"/>
    <col min="5" max="5" width="28.7109375" style="32" bestFit="1" customWidth="1"/>
    <col min="6" max="7" width="11.42578125" style="32"/>
    <col min="8" max="8" width="28.7109375" style="32" customWidth="1"/>
    <col min="9" max="10" width="11.42578125" style="32"/>
    <col min="11" max="11" width="28.7109375" style="32" customWidth="1"/>
    <col min="12" max="16384" width="11.42578125" style="29"/>
  </cols>
  <sheetData>
    <row r="2" spans="2:13" ht="16.5" x14ac:dyDescent="0.2">
      <c r="C2" s="30"/>
      <c r="D2" s="30"/>
      <c r="E2" s="31" t="s">
        <v>24</v>
      </c>
      <c r="F2" s="30"/>
      <c r="G2" s="30"/>
    </row>
    <row r="3" spans="2:13" ht="16.5" x14ac:dyDescent="0.3">
      <c r="C3" s="30"/>
      <c r="D3" s="30"/>
      <c r="E3" s="28" t="s">
        <v>25</v>
      </c>
      <c r="F3" s="30"/>
      <c r="G3" s="30"/>
    </row>
    <row r="4" spans="2:13" ht="16.5" x14ac:dyDescent="0.2">
      <c r="C4" s="30"/>
      <c r="D4" s="30"/>
      <c r="E4" s="33"/>
      <c r="F4" s="30"/>
      <c r="G4" s="30"/>
    </row>
    <row r="5" spans="2:13" ht="16.5" x14ac:dyDescent="0.3">
      <c r="C5" s="30"/>
      <c r="D5" s="30"/>
      <c r="E5" s="34" t="s">
        <v>26</v>
      </c>
      <c r="F5" s="30"/>
      <c r="G5" s="30"/>
    </row>
    <row r="7" spans="2:13" ht="16.5" x14ac:dyDescent="0.3">
      <c r="E7" s="132" t="s">
        <v>126</v>
      </c>
      <c r="F7" s="132"/>
      <c r="G7" s="132"/>
      <c r="H7" s="132"/>
      <c r="I7" s="132"/>
    </row>
    <row r="8" spans="2:13" ht="15" thickBot="1" x14ac:dyDescent="0.25"/>
    <row r="9" spans="2:13" x14ac:dyDescent="0.2">
      <c r="B9" s="133" t="s">
        <v>27</v>
      </c>
      <c r="C9" s="134"/>
      <c r="D9" s="35"/>
      <c r="E9" s="128" t="s">
        <v>28</v>
      </c>
      <c r="F9" s="129"/>
      <c r="G9" s="35"/>
      <c r="H9" s="128" t="s">
        <v>28</v>
      </c>
      <c r="I9" s="129"/>
      <c r="K9" s="128" t="s">
        <v>28</v>
      </c>
      <c r="L9" s="129"/>
    </row>
    <row r="10" spans="2:13" x14ac:dyDescent="0.2">
      <c r="B10" s="92" t="s">
        <v>29</v>
      </c>
      <c r="C10" s="37"/>
      <c r="D10" s="35"/>
      <c r="E10" s="92" t="s">
        <v>29</v>
      </c>
      <c r="F10" s="37"/>
      <c r="G10" s="35"/>
      <c r="H10" s="92" t="s">
        <v>30</v>
      </c>
      <c r="I10" s="38"/>
      <c r="J10" s="35"/>
      <c r="K10" s="92" t="s">
        <v>31</v>
      </c>
      <c r="L10" s="38"/>
    </row>
    <row r="11" spans="2:13" x14ac:dyDescent="0.2">
      <c r="B11" s="39" t="s">
        <v>32</v>
      </c>
      <c r="C11" s="40">
        <v>4</v>
      </c>
      <c r="D11" s="35" t="s">
        <v>33</v>
      </c>
      <c r="E11" s="39" t="s">
        <v>34</v>
      </c>
      <c r="F11" s="40">
        <v>16</v>
      </c>
      <c r="G11" s="35" t="s">
        <v>33</v>
      </c>
      <c r="H11" s="39" t="s">
        <v>34</v>
      </c>
      <c r="I11" s="40">
        <v>72</v>
      </c>
      <c r="J11" s="35" t="s">
        <v>33</v>
      </c>
      <c r="K11" s="39" t="s">
        <v>35</v>
      </c>
      <c r="L11" s="40">
        <v>20</v>
      </c>
      <c r="M11" s="29" t="s">
        <v>36</v>
      </c>
    </row>
    <row r="12" spans="2:13" x14ac:dyDescent="0.2">
      <c r="B12" s="39" t="s">
        <v>37</v>
      </c>
      <c r="C12" s="40">
        <v>100</v>
      </c>
      <c r="D12" s="35" t="s">
        <v>36</v>
      </c>
      <c r="E12" s="39" t="s">
        <v>38</v>
      </c>
      <c r="F12" s="40">
        <v>8</v>
      </c>
      <c r="G12" s="35" t="s">
        <v>39</v>
      </c>
      <c r="H12" s="39" t="s">
        <v>38</v>
      </c>
      <c r="I12" s="40">
        <v>11</v>
      </c>
      <c r="J12" s="35" t="s">
        <v>39</v>
      </c>
      <c r="K12" s="39" t="s">
        <v>40</v>
      </c>
      <c r="L12" s="40">
        <v>1</v>
      </c>
      <c r="M12" s="35"/>
    </row>
    <row r="13" spans="2:13" x14ac:dyDescent="0.2">
      <c r="B13" s="39" t="s">
        <v>41</v>
      </c>
      <c r="C13" s="40">
        <f>10+1.5+0.85</f>
        <v>12.35</v>
      </c>
      <c r="D13" s="35" t="s">
        <v>23</v>
      </c>
      <c r="E13" s="39" t="s">
        <v>42</v>
      </c>
      <c r="F13" s="41">
        <f>LOOKUP(F12,[1]Hoja2!$B$6:$B$18,[1]Hoja2!$E$6:$E$18)</f>
        <v>3.9729999999999999</v>
      </c>
      <c r="G13" s="35" t="s">
        <v>43</v>
      </c>
      <c r="H13" s="39" t="s">
        <v>42</v>
      </c>
      <c r="I13" s="41">
        <f>LOOKUP(I12,[1]Hoja2!$B$6:$B$18,[1]Hoja2!$E$6:$E$18)</f>
        <v>7.907</v>
      </c>
      <c r="J13" s="35" t="s">
        <v>43</v>
      </c>
      <c r="K13" s="39" t="s">
        <v>100</v>
      </c>
      <c r="L13" s="40">
        <v>17</v>
      </c>
      <c r="M13" s="35" t="s">
        <v>36</v>
      </c>
    </row>
    <row r="14" spans="2:13" x14ac:dyDescent="0.2">
      <c r="B14" s="92" t="s">
        <v>31</v>
      </c>
      <c r="C14" s="40"/>
      <c r="D14" s="35"/>
      <c r="E14" s="39" t="s">
        <v>45</v>
      </c>
      <c r="F14" s="42">
        <f>(C13-C18-0.5-0.15)+(IF(C12=100,1,1.2))</f>
        <v>11.85</v>
      </c>
      <c r="G14" s="35" t="s">
        <v>23</v>
      </c>
      <c r="H14" s="39" t="s">
        <v>45</v>
      </c>
      <c r="I14" s="42">
        <f>(C30+C17-0.3-0.15)+(2.4)</f>
        <v>6.4499999999999993</v>
      </c>
      <c r="J14" s="35" t="s">
        <v>23</v>
      </c>
      <c r="K14" s="39" t="s">
        <v>34</v>
      </c>
      <c r="L14" s="41">
        <f>IF(L12=1,(ROUNDUP(((C15-(2*L13/100))*(L12)/(L11/100))+1,0)),(ROUNDUP(((C15-(2*L13/100))*(L12)/(L11/100))+2,0)))</f>
        <v>27</v>
      </c>
      <c r="M14" s="29" t="s">
        <v>33</v>
      </c>
    </row>
    <row r="15" spans="2:13" x14ac:dyDescent="0.2">
      <c r="B15" s="39" t="s">
        <v>46</v>
      </c>
      <c r="C15" s="40">
        <v>5.5</v>
      </c>
      <c r="D15" s="35" t="s">
        <v>23</v>
      </c>
      <c r="E15" s="39" t="s">
        <v>47</v>
      </c>
      <c r="F15" s="38">
        <v>0.1</v>
      </c>
      <c r="G15" s="43" t="s">
        <v>23</v>
      </c>
      <c r="H15" s="39" t="s">
        <v>47</v>
      </c>
      <c r="I15" s="38">
        <v>0.1</v>
      </c>
      <c r="J15" s="43" t="s">
        <v>23</v>
      </c>
      <c r="K15" s="39" t="s">
        <v>38</v>
      </c>
      <c r="L15" s="40">
        <v>7</v>
      </c>
      <c r="M15" s="29" t="s">
        <v>39</v>
      </c>
    </row>
    <row r="16" spans="2:13" x14ac:dyDescent="0.2">
      <c r="B16" s="39" t="s">
        <v>48</v>
      </c>
      <c r="C16" s="40">
        <v>5.5</v>
      </c>
      <c r="D16" s="35" t="s">
        <v>23</v>
      </c>
      <c r="E16" s="39" t="s">
        <v>49</v>
      </c>
      <c r="F16" s="44">
        <v>78</v>
      </c>
      <c r="G16" s="35" t="s">
        <v>33</v>
      </c>
      <c r="H16" s="39" t="s">
        <v>49</v>
      </c>
      <c r="I16" s="41">
        <f>ROUNDUP((((C30+C17-0.3-0.15)/I15)+1),0)</f>
        <v>42</v>
      </c>
      <c r="J16" s="35" t="s">
        <v>33</v>
      </c>
      <c r="K16" s="39" t="s">
        <v>42</v>
      </c>
      <c r="L16" s="41">
        <f>LOOKUP(L15,[1]Hoja2!$B$6:$B$18,[1]Hoja2!$E$6:$E$18)</f>
        <v>3.0419999999999998</v>
      </c>
      <c r="M16" s="35" t="s">
        <v>43</v>
      </c>
    </row>
    <row r="17" spans="2:13" x14ac:dyDescent="0.2">
      <c r="B17" s="39" t="s">
        <v>50</v>
      </c>
      <c r="C17" s="40">
        <v>1.5</v>
      </c>
      <c r="D17" s="35" t="s">
        <v>23</v>
      </c>
      <c r="E17" s="39" t="s">
        <v>51</v>
      </c>
      <c r="F17" s="40">
        <v>4</v>
      </c>
      <c r="G17" s="35" t="s">
        <v>39</v>
      </c>
      <c r="H17" s="39" t="s">
        <v>51</v>
      </c>
      <c r="I17" s="40">
        <v>4</v>
      </c>
      <c r="J17" s="35" t="s">
        <v>39</v>
      </c>
      <c r="K17" s="39" t="s">
        <v>45</v>
      </c>
      <c r="L17" s="42">
        <f>(C15-(L13/100)-(L13/100))+0.9+0.9</f>
        <v>6.9600000000000009</v>
      </c>
      <c r="M17" s="35" t="s">
        <v>23</v>
      </c>
    </row>
    <row r="18" spans="2:13" x14ac:dyDescent="0.2">
      <c r="B18" s="39" t="s">
        <v>52</v>
      </c>
      <c r="C18" s="93">
        <v>0.85</v>
      </c>
      <c r="D18" s="35" t="s">
        <v>23</v>
      </c>
      <c r="E18" s="39" t="s">
        <v>53</v>
      </c>
      <c r="F18" s="41">
        <f>LOOKUP(F17,[1]Hoja2!$B$6:$B$18,[1]Hoja2!$E$6:$E$18)</f>
        <v>0.99399999999999999</v>
      </c>
      <c r="G18" s="35" t="s">
        <v>43</v>
      </c>
      <c r="H18" s="39" t="s">
        <v>53</v>
      </c>
      <c r="I18" s="41">
        <f>LOOKUP(I17,[1]Hoja2!$B$6:$B$18,[1]Hoja2!$E$6:$E$18)</f>
        <v>0.99399999999999999</v>
      </c>
      <c r="J18" s="35" t="s">
        <v>43</v>
      </c>
      <c r="K18" s="39" t="s">
        <v>54</v>
      </c>
      <c r="L18" s="40">
        <v>20</v>
      </c>
      <c r="M18" s="29" t="s">
        <v>36</v>
      </c>
    </row>
    <row r="19" spans="2:13" x14ac:dyDescent="0.2">
      <c r="B19" s="92" t="s">
        <v>55</v>
      </c>
      <c r="C19" s="40"/>
      <c r="D19" s="35"/>
      <c r="E19" s="39" t="s">
        <v>44</v>
      </c>
      <c r="F19" s="40">
        <v>10</v>
      </c>
      <c r="G19" s="35" t="s">
        <v>36</v>
      </c>
      <c r="H19" s="39" t="s">
        <v>44</v>
      </c>
      <c r="I19" s="40">
        <v>7</v>
      </c>
      <c r="J19" s="35" t="s">
        <v>36</v>
      </c>
      <c r="K19" s="39" t="s">
        <v>56</v>
      </c>
      <c r="L19" s="41">
        <f>ROUNDDOWN((C17-(25/100)-(25/100))/(L18/100)+1,0)</f>
        <v>6</v>
      </c>
      <c r="M19" s="29" t="s">
        <v>33</v>
      </c>
    </row>
    <row r="20" spans="2:13" x14ac:dyDescent="0.2">
      <c r="B20" s="39" t="s">
        <v>57</v>
      </c>
      <c r="C20" s="41">
        <f>+C15+1+1</f>
        <v>7.5</v>
      </c>
      <c r="D20" s="35" t="s">
        <v>23</v>
      </c>
      <c r="E20" s="39" t="s">
        <v>35</v>
      </c>
      <c r="F20" s="45">
        <f>(PI()*(C12-F19-F19))/F11</f>
        <v>15.707963267948966</v>
      </c>
      <c r="G20" s="35" t="s">
        <v>36</v>
      </c>
      <c r="H20" s="39" t="s">
        <v>35</v>
      </c>
      <c r="I20" s="45">
        <f>(PI()*(C29*(100)-I19-I19))/I11</f>
        <v>12.479104151759456</v>
      </c>
      <c r="J20" s="35" t="s">
        <v>36</v>
      </c>
      <c r="K20" s="39" t="s">
        <v>58</v>
      </c>
      <c r="L20" s="40">
        <v>6</v>
      </c>
      <c r="M20" s="29" t="s">
        <v>39</v>
      </c>
    </row>
    <row r="21" spans="2:13" ht="15" thickBot="1" x14ac:dyDescent="0.25">
      <c r="B21" s="39" t="s">
        <v>59</v>
      </c>
      <c r="C21" s="41">
        <f>+C16+1+1</f>
        <v>7.5</v>
      </c>
      <c r="D21" s="35" t="s">
        <v>23</v>
      </c>
      <c r="E21" s="46" t="s">
        <v>60</v>
      </c>
      <c r="F21" s="47">
        <f>((PI()*(C12-F19-F19))+(F20*(3)+F20*(3)+((LOOKUP(F17,[1]Hoja2!$B$6:$B$18,[1]Hoja2!$H$6:$H$18))*2)+20))/100</f>
        <v>3.8957519189487719</v>
      </c>
      <c r="G21" s="35" t="s">
        <v>23</v>
      </c>
      <c r="H21" s="46" t="s">
        <v>60</v>
      </c>
      <c r="I21" s="47">
        <f>((PI()*(C29*(100)-I19-I19))+(I20*(3)+I20*(3)+((LOOKUP(I17,[1]Hoja2!$B$6:$B$18,[1]Hoja2!$H$6:$H$18))*2)+20))/100</f>
        <v>10.173701238372375</v>
      </c>
      <c r="J21" s="35" t="s">
        <v>23</v>
      </c>
      <c r="K21" s="39" t="s">
        <v>61</v>
      </c>
      <c r="L21" s="41">
        <f>LOOKUP(L20,[1]Hoja2!$B$6:$B$18,[1]Hoja2!$E$6:$E$18)</f>
        <v>2.2349999999999999</v>
      </c>
      <c r="M21" s="35" t="s">
        <v>43</v>
      </c>
    </row>
    <row r="22" spans="2:13" ht="15" thickBot="1" x14ac:dyDescent="0.25">
      <c r="B22" s="39" t="s">
        <v>50</v>
      </c>
      <c r="C22" s="42">
        <f>+C18+C17+C27</f>
        <v>2.4</v>
      </c>
      <c r="D22" s="35" t="s">
        <v>23</v>
      </c>
      <c r="K22" s="46" t="s">
        <v>62</v>
      </c>
      <c r="L22" s="48">
        <f>C15-(L13/100)-(L13/100)</f>
        <v>5.16</v>
      </c>
      <c r="M22" s="35" t="s">
        <v>23</v>
      </c>
    </row>
    <row r="23" spans="2:13" ht="15" thickBot="1" x14ac:dyDescent="0.25">
      <c r="B23" s="39"/>
      <c r="C23" s="38"/>
      <c r="D23" s="35"/>
      <c r="H23" s="128" t="s">
        <v>28</v>
      </c>
      <c r="I23" s="129"/>
    </row>
    <row r="24" spans="2:13" x14ac:dyDescent="0.2">
      <c r="B24" s="92" t="s">
        <v>63</v>
      </c>
      <c r="C24" s="40"/>
      <c r="D24" s="35"/>
      <c r="H24" s="135" t="s">
        <v>64</v>
      </c>
      <c r="I24" s="136"/>
      <c r="K24" s="128" t="s">
        <v>28</v>
      </c>
      <c r="L24" s="129"/>
      <c r="M24" s="32"/>
    </row>
    <row r="25" spans="2:13" x14ac:dyDescent="0.2">
      <c r="B25" s="39" t="s">
        <v>46</v>
      </c>
      <c r="C25" s="42">
        <f>+C15</f>
        <v>5.5</v>
      </c>
      <c r="D25" s="35" t="s">
        <v>23</v>
      </c>
      <c r="H25" s="39" t="s">
        <v>34</v>
      </c>
      <c r="I25" s="41">
        <f>IF(C29=2.5,12*2,IF(C29=3,13*2,IF(C29=3.7,14*2)))</f>
        <v>26</v>
      </c>
      <c r="J25" s="35" t="s">
        <v>33</v>
      </c>
      <c r="K25" s="135" t="s">
        <v>65</v>
      </c>
      <c r="L25" s="136"/>
      <c r="M25" s="32"/>
    </row>
    <row r="26" spans="2:13" x14ac:dyDescent="0.2">
      <c r="B26" s="39" t="s">
        <v>48</v>
      </c>
      <c r="C26" s="42">
        <f>+C16</f>
        <v>5.5</v>
      </c>
      <c r="D26" s="35" t="s">
        <v>23</v>
      </c>
      <c r="H26" s="39" t="s">
        <v>38</v>
      </c>
      <c r="I26" s="40">
        <v>4</v>
      </c>
      <c r="J26" s="35" t="s">
        <v>39</v>
      </c>
      <c r="K26" s="39" t="s">
        <v>34</v>
      </c>
      <c r="L26" s="40">
        <f>17*4</f>
        <v>68</v>
      </c>
      <c r="M26" s="35" t="s">
        <v>33</v>
      </c>
    </row>
    <row r="27" spans="2:13" x14ac:dyDescent="0.2">
      <c r="B27" s="39" t="s">
        <v>50</v>
      </c>
      <c r="C27" s="40">
        <v>0.05</v>
      </c>
      <c r="D27" s="35" t="s">
        <v>23</v>
      </c>
      <c r="H27" s="39" t="s">
        <v>42</v>
      </c>
      <c r="I27" s="41">
        <f>LOOKUP(I26,[1]Hoja2!$B$6:$B$18,[1]Hoja2!$E$6:$E$18)</f>
        <v>0.99399999999999999</v>
      </c>
      <c r="J27" s="35" t="s">
        <v>43</v>
      </c>
      <c r="K27" s="39" t="s">
        <v>38</v>
      </c>
      <c r="L27" s="40">
        <v>4</v>
      </c>
      <c r="M27" s="35" t="s">
        <v>39</v>
      </c>
    </row>
    <row r="28" spans="2:13" x14ac:dyDescent="0.2">
      <c r="B28" s="92" t="s">
        <v>66</v>
      </c>
      <c r="C28" s="40"/>
      <c r="D28" s="35"/>
      <c r="H28" s="39" t="s">
        <v>67</v>
      </c>
      <c r="I28" s="40">
        <v>13</v>
      </c>
      <c r="J28" s="35"/>
      <c r="K28" s="39" t="s">
        <v>42</v>
      </c>
      <c r="L28" s="41">
        <f>LOOKUP(L27,[1]Hoja2!$B$6:$B$18,[1]Hoja2!$E$6:$E$18)</f>
        <v>0.99399999999999999</v>
      </c>
      <c r="M28" s="35" t="s">
        <v>43</v>
      </c>
    </row>
    <row r="29" spans="2:13" ht="15" thickBot="1" x14ac:dyDescent="0.25">
      <c r="B29" s="39" t="s">
        <v>37</v>
      </c>
      <c r="C29" s="40">
        <v>3</v>
      </c>
      <c r="D29" s="35" t="s">
        <v>23</v>
      </c>
      <c r="H29" s="46" t="s">
        <v>68</v>
      </c>
      <c r="I29" s="47">
        <f>IF(C29=2.5,(1.8+([1]Hoja2!I10/100*4)+(0.2)),IF(C29=3,(2.09+([1]Hoja2!I10/100*4)+(0.2)),IF(C29=3.7,(2.07+([1]Hoja2!I10/100*4)+(0.2)))))</f>
        <v>2.5700000000000003</v>
      </c>
      <c r="J29" s="35" t="s">
        <v>23</v>
      </c>
      <c r="K29" s="46" t="s">
        <v>68</v>
      </c>
      <c r="L29" s="47">
        <f>((0.75+1.235)*2)+0.21+0.24</f>
        <v>4.4200000000000008</v>
      </c>
      <c r="M29" s="35" t="s">
        <v>23</v>
      </c>
    </row>
    <row r="30" spans="2:13" ht="15" thickBot="1" x14ac:dyDescent="0.25">
      <c r="B30" s="46" t="s">
        <v>69</v>
      </c>
      <c r="C30" s="49">
        <v>3</v>
      </c>
      <c r="D30" s="35" t="s">
        <v>23</v>
      </c>
      <c r="G30" s="35"/>
      <c r="K30" s="50"/>
      <c r="L30" s="51"/>
      <c r="M30" s="35"/>
    </row>
    <row r="31" spans="2:13" x14ac:dyDescent="0.2">
      <c r="B31" s="50"/>
      <c r="C31" s="52"/>
      <c r="D31" s="35"/>
      <c r="E31" s="50"/>
      <c r="F31" s="52"/>
      <c r="G31" s="35"/>
    </row>
    <row r="32" spans="2:13" x14ac:dyDescent="0.2">
      <c r="B32" s="50"/>
      <c r="C32" s="52"/>
      <c r="D32" s="35"/>
      <c r="E32" s="50"/>
      <c r="F32" s="52"/>
      <c r="G32" s="35"/>
    </row>
    <row r="33" spans="1:11" ht="25.5" x14ac:dyDescent="0.2">
      <c r="A33" s="53" t="s">
        <v>70</v>
      </c>
      <c r="B33" s="90" t="s">
        <v>71</v>
      </c>
      <c r="C33" s="55" t="s">
        <v>72</v>
      </c>
      <c r="D33" s="56" t="s">
        <v>106</v>
      </c>
      <c r="E33" s="57"/>
    </row>
    <row r="34" spans="1:11" ht="76.5" x14ac:dyDescent="0.2">
      <c r="A34" s="90">
        <v>6007</v>
      </c>
      <c r="B34" s="59" t="s">
        <v>74</v>
      </c>
      <c r="C34" s="91" t="s">
        <v>75</v>
      </c>
      <c r="D34" s="63">
        <f>((PI()*(C12*C12)/4/10000)*C13*C11)</f>
        <v>38.798669271833944</v>
      </c>
      <c r="E34" s="64"/>
      <c r="H34" s="65"/>
      <c r="K34" s="65"/>
    </row>
    <row r="35" spans="1:11" ht="102" x14ac:dyDescent="0.2">
      <c r="A35" s="130">
        <v>3708</v>
      </c>
      <c r="B35" s="59" t="s">
        <v>76</v>
      </c>
      <c r="C35" s="60" t="s">
        <v>77</v>
      </c>
      <c r="D35" s="66">
        <f>D36+D37+D38</f>
        <v>12282.052148152907</v>
      </c>
      <c r="H35" s="65"/>
      <c r="K35" s="65"/>
    </row>
    <row r="36" spans="1:11" x14ac:dyDescent="0.2">
      <c r="A36" s="130"/>
      <c r="B36" s="67" t="s">
        <v>29</v>
      </c>
      <c r="C36" s="131" t="s">
        <v>77</v>
      </c>
      <c r="D36" s="68">
        <f>((F14*F11*F13)+(F16*F18*F21))*C11*1.03</f>
        <v>4347.9440996533367</v>
      </c>
    </row>
    <row r="37" spans="1:11" x14ac:dyDescent="0.2">
      <c r="A37" s="130"/>
      <c r="B37" s="67" t="s">
        <v>31</v>
      </c>
      <c r="C37" s="131"/>
      <c r="D37" s="68">
        <f>(((L14*L16*L17*4)+(L19*L21*L22*4))+(L26*L28*L29))*1.03</f>
        <v>2948.0140880000004</v>
      </c>
    </row>
    <row r="38" spans="1:11" x14ac:dyDescent="0.2">
      <c r="A38" s="130"/>
      <c r="B38" s="67" t="s">
        <v>30</v>
      </c>
      <c r="C38" s="131"/>
      <c r="D38" s="69">
        <f>+(I11*I13*I14)+(I16*I18*I21)+(I25*I27*I29*I28)*1.03</f>
        <v>4986.0939604995701</v>
      </c>
    </row>
    <row r="39" spans="1:11" ht="51" x14ac:dyDescent="0.2">
      <c r="A39" s="130">
        <v>3637</v>
      </c>
      <c r="B39" s="59" t="s">
        <v>78</v>
      </c>
      <c r="C39" s="91" t="s">
        <v>75</v>
      </c>
      <c r="D39" s="70">
        <f>D40+D41</f>
        <v>66.580750411731103</v>
      </c>
      <c r="H39" s="64"/>
      <c r="K39" s="64"/>
    </row>
    <row r="40" spans="1:11" x14ac:dyDescent="0.2">
      <c r="A40" s="130"/>
      <c r="B40" s="67" t="s">
        <v>31</v>
      </c>
      <c r="C40" s="131" t="s">
        <v>75</v>
      </c>
      <c r="D40" s="71">
        <f>C15*C16*C17</f>
        <v>45.375</v>
      </c>
    </row>
    <row r="41" spans="1:11" x14ac:dyDescent="0.2">
      <c r="A41" s="130"/>
      <c r="B41" s="67" t="s">
        <v>30</v>
      </c>
      <c r="C41" s="131"/>
      <c r="D41" s="71">
        <f>(PI()*C29*C29/4)*C30</f>
        <v>21.205750411731103</v>
      </c>
    </row>
    <row r="42" spans="1:11" ht="38.25" x14ac:dyDescent="0.2">
      <c r="A42" s="90">
        <v>5055</v>
      </c>
      <c r="B42" s="59" t="s">
        <v>79</v>
      </c>
      <c r="C42" s="91" t="s">
        <v>75</v>
      </c>
      <c r="D42" s="71">
        <f>((PI()*(C12*C12)/4/10000)*(C17+C18)*C11)</f>
        <v>7.3827427359360138</v>
      </c>
      <c r="H42" s="64"/>
      <c r="K42" s="64"/>
    </row>
    <row r="43" spans="1:11" ht="51" x14ac:dyDescent="0.2">
      <c r="A43" s="90">
        <v>6021</v>
      </c>
      <c r="B43" s="59" t="s">
        <v>89</v>
      </c>
      <c r="C43" s="91" t="s">
        <v>75</v>
      </c>
      <c r="D43" s="71">
        <f>(C25*C26*C27)-((PI()*C12*C12*0.1/4/10000)*C11)</f>
        <v>1.1983407346410209</v>
      </c>
      <c r="H43" s="64"/>
      <c r="K43" s="64"/>
    </row>
    <row r="44" spans="1:11" ht="25.5" x14ac:dyDescent="0.2">
      <c r="A44" s="94">
        <v>5416</v>
      </c>
      <c r="B44" s="81" t="s">
        <v>90</v>
      </c>
      <c r="C44" s="72" t="s">
        <v>75</v>
      </c>
      <c r="D44" s="95">
        <f>C20*C21*C22</f>
        <v>135</v>
      </c>
      <c r="E44" s="96"/>
      <c r="H44" s="65"/>
      <c r="K44" s="65"/>
    </row>
    <row r="45" spans="1:11" ht="51" x14ac:dyDescent="0.2">
      <c r="A45" s="94">
        <v>3017</v>
      </c>
      <c r="B45" s="81" t="s">
        <v>91</v>
      </c>
      <c r="C45" s="72" t="s">
        <v>75</v>
      </c>
      <c r="D45" s="71">
        <f>D44</f>
        <v>135</v>
      </c>
      <c r="E45" s="96"/>
      <c r="H45" s="64"/>
      <c r="K45" s="64"/>
    </row>
    <row r="46" spans="1:11" ht="38.25" x14ac:dyDescent="0.2">
      <c r="A46" s="94">
        <v>4908</v>
      </c>
      <c r="B46" s="59" t="s">
        <v>80</v>
      </c>
      <c r="C46" s="91" t="s">
        <v>75</v>
      </c>
      <c r="D46" s="71">
        <f>D44-(C25*C26*C27)-D40-((PI()*C29*C29/4)*C18)</f>
        <v>82.104204050009528</v>
      </c>
      <c r="K46" s="64"/>
    </row>
    <row r="47" spans="1:11" ht="51" x14ac:dyDescent="0.2">
      <c r="A47" s="94">
        <v>5196</v>
      </c>
      <c r="B47" s="81" t="s">
        <v>102</v>
      </c>
      <c r="C47" s="91" t="s">
        <v>75</v>
      </c>
      <c r="D47" s="71">
        <f>C20*C21*0.15</f>
        <v>8.4375</v>
      </c>
    </row>
    <row r="48" spans="1:11" x14ac:dyDescent="0.2">
      <c r="A48" s="94"/>
    </row>
    <row r="49" spans="1:1" x14ac:dyDescent="0.2">
      <c r="A49" s="94"/>
    </row>
    <row r="50" spans="1:1" x14ac:dyDescent="0.2">
      <c r="A50" s="94"/>
    </row>
  </sheetData>
  <mergeCells count="13">
    <mergeCell ref="K9:L9"/>
    <mergeCell ref="H23:I23"/>
    <mergeCell ref="A39:A41"/>
    <mergeCell ref="C40:C41"/>
    <mergeCell ref="E7:I7"/>
    <mergeCell ref="B9:C9"/>
    <mergeCell ref="E9:F9"/>
    <mergeCell ref="H9:I9"/>
    <mergeCell ref="H24:I24"/>
    <mergeCell ref="K24:L24"/>
    <mergeCell ref="K25:L25"/>
    <mergeCell ref="A35:A38"/>
    <mergeCell ref="C36:C38"/>
  </mergeCells>
  <pageMargins left="0.7" right="0.7" top="0.75" bottom="0.75" header="0.3" footer="0.3"/>
  <pageSetup scale="46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AFCF2-4280-4073-B1C1-AC14132878BD}">
  <sheetPr>
    <tabColor rgb="FFFFFF00"/>
  </sheetPr>
  <dimension ref="A2:M50"/>
  <sheetViews>
    <sheetView view="pageBreakPreview" zoomScale="85" zoomScaleNormal="85" zoomScaleSheetLayoutView="85" workbookViewId="0">
      <selection activeCell="G16" sqref="G16"/>
    </sheetView>
  </sheetViews>
  <sheetFormatPr baseColWidth="10" defaultRowHeight="14.25" x14ac:dyDescent="0.2"/>
  <cols>
    <col min="1" max="1" width="9.7109375" style="29" customWidth="1"/>
    <col min="2" max="2" width="42.85546875" style="29" customWidth="1"/>
    <col min="3" max="3" width="12.28515625" style="32" customWidth="1"/>
    <col min="4" max="4" width="12.85546875" style="32" customWidth="1"/>
    <col min="5" max="5" width="28.7109375" style="32" bestFit="1" customWidth="1"/>
    <col min="6" max="7" width="11.42578125" style="32"/>
    <col min="8" max="8" width="28.7109375" style="32" customWidth="1"/>
    <col min="9" max="10" width="11.42578125" style="32"/>
    <col min="11" max="11" width="28.7109375" style="32" customWidth="1"/>
    <col min="12" max="16384" width="11.42578125" style="29"/>
  </cols>
  <sheetData>
    <row r="2" spans="2:13" ht="16.5" x14ac:dyDescent="0.2">
      <c r="C2" s="30"/>
      <c r="D2" s="30"/>
      <c r="E2" s="31" t="s">
        <v>24</v>
      </c>
      <c r="F2" s="30"/>
      <c r="G2" s="30"/>
    </row>
    <row r="3" spans="2:13" ht="16.5" x14ac:dyDescent="0.3">
      <c r="C3" s="30"/>
      <c r="D3" s="30"/>
      <c r="E3" s="28" t="s">
        <v>25</v>
      </c>
      <c r="F3" s="30"/>
      <c r="G3" s="30"/>
    </row>
    <row r="4" spans="2:13" ht="16.5" x14ac:dyDescent="0.2">
      <c r="C4" s="30"/>
      <c r="D4" s="30"/>
      <c r="E4" s="33"/>
      <c r="F4" s="30"/>
      <c r="G4" s="30"/>
    </row>
    <row r="5" spans="2:13" ht="16.5" x14ac:dyDescent="0.3">
      <c r="C5" s="30"/>
      <c r="D5" s="30"/>
      <c r="E5" s="34" t="s">
        <v>26</v>
      </c>
      <c r="F5" s="30"/>
      <c r="G5" s="30"/>
    </row>
    <row r="7" spans="2:13" ht="16.5" x14ac:dyDescent="0.3">
      <c r="E7" s="132" t="s">
        <v>126</v>
      </c>
      <c r="F7" s="132"/>
      <c r="G7" s="132"/>
      <c r="H7" s="132"/>
      <c r="I7" s="132"/>
    </row>
    <row r="8" spans="2:13" ht="15" thickBot="1" x14ac:dyDescent="0.25"/>
    <row r="9" spans="2:13" x14ac:dyDescent="0.2">
      <c r="B9" s="133" t="s">
        <v>27</v>
      </c>
      <c r="C9" s="134"/>
      <c r="D9" s="35"/>
      <c r="E9" s="128" t="s">
        <v>28</v>
      </c>
      <c r="F9" s="129"/>
      <c r="G9" s="35"/>
      <c r="H9" s="128" t="s">
        <v>28</v>
      </c>
      <c r="I9" s="129"/>
      <c r="K9" s="128" t="s">
        <v>28</v>
      </c>
      <c r="L9" s="129"/>
    </row>
    <row r="10" spans="2:13" x14ac:dyDescent="0.2">
      <c r="B10" s="92" t="s">
        <v>29</v>
      </c>
      <c r="C10" s="37"/>
      <c r="D10" s="35"/>
      <c r="E10" s="92" t="s">
        <v>29</v>
      </c>
      <c r="F10" s="37"/>
      <c r="G10" s="35"/>
      <c r="H10" s="92" t="s">
        <v>30</v>
      </c>
      <c r="I10" s="38"/>
      <c r="J10" s="35"/>
      <c r="K10" s="92" t="s">
        <v>31</v>
      </c>
      <c r="L10" s="38"/>
    </row>
    <row r="11" spans="2:13" x14ac:dyDescent="0.2">
      <c r="B11" s="39" t="s">
        <v>32</v>
      </c>
      <c r="C11" s="40">
        <v>4</v>
      </c>
      <c r="D11" s="35" t="s">
        <v>33</v>
      </c>
      <c r="E11" s="39" t="s">
        <v>34</v>
      </c>
      <c r="F11" s="40">
        <v>16</v>
      </c>
      <c r="G11" s="35" t="s">
        <v>33</v>
      </c>
      <c r="H11" s="39" t="s">
        <v>34</v>
      </c>
      <c r="I11" s="40">
        <v>72</v>
      </c>
      <c r="J11" s="35" t="s">
        <v>33</v>
      </c>
      <c r="K11" s="39" t="s">
        <v>35</v>
      </c>
      <c r="L11" s="40">
        <v>20</v>
      </c>
      <c r="M11" s="29" t="s">
        <v>36</v>
      </c>
    </row>
    <row r="12" spans="2:13" x14ac:dyDescent="0.2">
      <c r="B12" s="39" t="s">
        <v>37</v>
      </c>
      <c r="C12" s="40">
        <v>100</v>
      </c>
      <c r="D12" s="35" t="s">
        <v>36</v>
      </c>
      <c r="E12" s="39" t="s">
        <v>38</v>
      </c>
      <c r="F12" s="40">
        <v>8</v>
      </c>
      <c r="G12" s="35" t="s">
        <v>39</v>
      </c>
      <c r="H12" s="39" t="s">
        <v>38</v>
      </c>
      <c r="I12" s="40">
        <v>11</v>
      </c>
      <c r="J12" s="35" t="s">
        <v>39</v>
      </c>
      <c r="K12" s="39" t="s">
        <v>40</v>
      </c>
      <c r="L12" s="40">
        <v>1</v>
      </c>
      <c r="M12" s="35"/>
    </row>
    <row r="13" spans="2:13" x14ac:dyDescent="0.2">
      <c r="B13" s="39" t="s">
        <v>41</v>
      </c>
      <c r="C13" s="40">
        <f>12+1.5+2.06</f>
        <v>15.56</v>
      </c>
      <c r="D13" s="35" t="s">
        <v>23</v>
      </c>
      <c r="E13" s="39" t="s">
        <v>42</v>
      </c>
      <c r="F13" s="41">
        <f>LOOKUP(F12,[1]Hoja2!$B$6:$B$18,[1]Hoja2!$E$6:$E$18)</f>
        <v>3.9729999999999999</v>
      </c>
      <c r="G13" s="35" t="s">
        <v>43</v>
      </c>
      <c r="H13" s="39" t="s">
        <v>42</v>
      </c>
      <c r="I13" s="41">
        <f>LOOKUP(I12,[1]Hoja2!$B$6:$B$18,[1]Hoja2!$E$6:$E$18)</f>
        <v>7.907</v>
      </c>
      <c r="J13" s="35" t="s">
        <v>43</v>
      </c>
      <c r="K13" s="39" t="s">
        <v>100</v>
      </c>
      <c r="L13" s="40">
        <v>17</v>
      </c>
      <c r="M13" s="35" t="s">
        <v>36</v>
      </c>
    </row>
    <row r="14" spans="2:13" x14ac:dyDescent="0.2">
      <c r="B14" s="92" t="s">
        <v>31</v>
      </c>
      <c r="C14" s="40"/>
      <c r="D14" s="35"/>
      <c r="E14" s="39" t="s">
        <v>45</v>
      </c>
      <c r="F14" s="42">
        <f>(C13-C18-0.5-0.15)+(IF(C12=100,1,1.2))</f>
        <v>13.85</v>
      </c>
      <c r="G14" s="35" t="s">
        <v>23</v>
      </c>
      <c r="H14" s="39" t="s">
        <v>45</v>
      </c>
      <c r="I14" s="42">
        <f>(C30+C17-0.3-0.15)+(2.4)</f>
        <v>7.4499999999999993</v>
      </c>
      <c r="J14" s="35" t="s">
        <v>23</v>
      </c>
      <c r="K14" s="39" t="s">
        <v>34</v>
      </c>
      <c r="L14" s="41">
        <f>IF(L12=1,(ROUNDUP(((C15-(2*L13/100))*(L12)/(L11/100))+1,0)),(ROUNDUP(((C15-(2*L13/100))*(L12)/(L11/100))+2,0)))</f>
        <v>27</v>
      </c>
      <c r="M14" s="29" t="s">
        <v>33</v>
      </c>
    </row>
    <row r="15" spans="2:13" x14ac:dyDescent="0.2">
      <c r="B15" s="39" t="s">
        <v>46</v>
      </c>
      <c r="C15" s="40">
        <v>5.5</v>
      </c>
      <c r="D15" s="35" t="s">
        <v>23</v>
      </c>
      <c r="E15" s="39" t="s">
        <v>47</v>
      </c>
      <c r="F15" s="38">
        <v>0.1</v>
      </c>
      <c r="G15" s="43" t="s">
        <v>23</v>
      </c>
      <c r="H15" s="39" t="s">
        <v>47</v>
      </c>
      <c r="I15" s="38">
        <v>0.1</v>
      </c>
      <c r="J15" s="43" t="s">
        <v>23</v>
      </c>
      <c r="K15" s="39" t="s">
        <v>38</v>
      </c>
      <c r="L15" s="40">
        <v>7</v>
      </c>
      <c r="M15" s="29" t="s">
        <v>39</v>
      </c>
    </row>
    <row r="16" spans="2:13" x14ac:dyDescent="0.2">
      <c r="B16" s="39" t="s">
        <v>48</v>
      </c>
      <c r="C16" s="40">
        <v>5.5</v>
      </c>
      <c r="D16" s="35" t="s">
        <v>23</v>
      </c>
      <c r="E16" s="39" t="s">
        <v>49</v>
      </c>
      <c r="F16" s="44">
        <v>88</v>
      </c>
      <c r="G16" s="35" t="s">
        <v>33</v>
      </c>
      <c r="H16" s="39" t="s">
        <v>49</v>
      </c>
      <c r="I16" s="41">
        <f>ROUNDUP((((C30+C17-0.3-0.15)/I15)+1),0)</f>
        <v>52</v>
      </c>
      <c r="J16" s="35" t="s">
        <v>33</v>
      </c>
      <c r="K16" s="39" t="s">
        <v>42</v>
      </c>
      <c r="L16" s="41">
        <f>LOOKUP(L15,[1]Hoja2!$B$6:$B$18,[1]Hoja2!$E$6:$E$18)</f>
        <v>3.0419999999999998</v>
      </c>
      <c r="M16" s="35" t="s">
        <v>43</v>
      </c>
    </row>
    <row r="17" spans="2:13" x14ac:dyDescent="0.2">
      <c r="B17" s="39" t="s">
        <v>50</v>
      </c>
      <c r="C17" s="40">
        <v>1.5</v>
      </c>
      <c r="D17" s="35" t="s">
        <v>23</v>
      </c>
      <c r="E17" s="39" t="s">
        <v>51</v>
      </c>
      <c r="F17" s="40">
        <v>4</v>
      </c>
      <c r="G17" s="35" t="s">
        <v>39</v>
      </c>
      <c r="H17" s="39" t="s">
        <v>51</v>
      </c>
      <c r="I17" s="40">
        <v>4</v>
      </c>
      <c r="J17" s="35" t="s">
        <v>39</v>
      </c>
      <c r="K17" s="39" t="s">
        <v>45</v>
      </c>
      <c r="L17" s="42">
        <f>(C15-(L13/100)-(L13/100))+0.9+0.9</f>
        <v>6.9600000000000009</v>
      </c>
      <c r="M17" s="35" t="s">
        <v>23</v>
      </c>
    </row>
    <row r="18" spans="2:13" x14ac:dyDescent="0.2">
      <c r="B18" s="39" t="s">
        <v>52</v>
      </c>
      <c r="C18" s="93">
        <v>2.06</v>
      </c>
      <c r="D18" s="35" t="s">
        <v>23</v>
      </c>
      <c r="E18" s="39" t="s">
        <v>53</v>
      </c>
      <c r="F18" s="41">
        <f>LOOKUP(F17,[1]Hoja2!$B$6:$B$18,[1]Hoja2!$E$6:$E$18)</f>
        <v>0.99399999999999999</v>
      </c>
      <c r="G18" s="35" t="s">
        <v>43</v>
      </c>
      <c r="H18" s="39" t="s">
        <v>53</v>
      </c>
      <c r="I18" s="41">
        <f>LOOKUP(I17,[1]Hoja2!$B$6:$B$18,[1]Hoja2!$E$6:$E$18)</f>
        <v>0.99399999999999999</v>
      </c>
      <c r="J18" s="35" t="s">
        <v>43</v>
      </c>
      <c r="K18" s="39" t="s">
        <v>54</v>
      </c>
      <c r="L18" s="40">
        <v>20</v>
      </c>
      <c r="M18" s="29" t="s">
        <v>36</v>
      </c>
    </row>
    <row r="19" spans="2:13" x14ac:dyDescent="0.2">
      <c r="B19" s="92" t="s">
        <v>55</v>
      </c>
      <c r="C19" s="40"/>
      <c r="D19" s="35"/>
      <c r="E19" s="39" t="s">
        <v>44</v>
      </c>
      <c r="F19" s="40">
        <v>10</v>
      </c>
      <c r="G19" s="35" t="s">
        <v>36</v>
      </c>
      <c r="H19" s="39" t="s">
        <v>44</v>
      </c>
      <c r="I19" s="40">
        <v>7</v>
      </c>
      <c r="J19" s="35" t="s">
        <v>36</v>
      </c>
      <c r="K19" s="39" t="s">
        <v>56</v>
      </c>
      <c r="L19" s="41">
        <f>ROUNDDOWN((C17-(25/100)-(25/100))/(L18/100)+1,0)</f>
        <v>6</v>
      </c>
      <c r="M19" s="29" t="s">
        <v>33</v>
      </c>
    </row>
    <row r="20" spans="2:13" x14ac:dyDescent="0.2">
      <c r="B20" s="39" t="s">
        <v>57</v>
      </c>
      <c r="C20" s="41">
        <f>+C15+1+1</f>
        <v>7.5</v>
      </c>
      <c r="D20" s="35" t="s">
        <v>23</v>
      </c>
      <c r="E20" s="39" t="s">
        <v>35</v>
      </c>
      <c r="F20" s="45">
        <f>(PI()*(C12-F19-F19))/F11</f>
        <v>15.707963267948966</v>
      </c>
      <c r="G20" s="35" t="s">
        <v>36</v>
      </c>
      <c r="H20" s="39" t="s">
        <v>35</v>
      </c>
      <c r="I20" s="45">
        <f>(PI()*(C29*(100)-I19-I19))/I11</f>
        <v>12.479104151759456</v>
      </c>
      <c r="J20" s="35" t="s">
        <v>36</v>
      </c>
      <c r="K20" s="39" t="s">
        <v>58</v>
      </c>
      <c r="L20" s="40">
        <v>6</v>
      </c>
      <c r="M20" s="29" t="s">
        <v>39</v>
      </c>
    </row>
    <row r="21" spans="2:13" ht="15" thickBot="1" x14ac:dyDescent="0.25">
      <c r="B21" s="39" t="s">
        <v>59</v>
      </c>
      <c r="C21" s="41">
        <f>+C16+1+1</f>
        <v>7.5</v>
      </c>
      <c r="D21" s="35" t="s">
        <v>23</v>
      </c>
      <c r="E21" s="46" t="s">
        <v>60</v>
      </c>
      <c r="F21" s="47">
        <f>((PI()*(C12-F19-F19))+(F20*(3)+F20*(3)+((LOOKUP(F17,[1]Hoja2!$B$6:$B$18,[1]Hoja2!$H$6:$H$18))*2)+20))/100</f>
        <v>3.8957519189487719</v>
      </c>
      <c r="G21" s="35" t="s">
        <v>23</v>
      </c>
      <c r="H21" s="46" t="s">
        <v>60</v>
      </c>
      <c r="I21" s="47">
        <f>((PI()*(C29*(100)-I19-I19))+(I20*(3)+I20*(3)+((LOOKUP(I17,[1]Hoja2!$B$6:$B$18,[1]Hoja2!$H$6:$H$18))*2)+20))/100</f>
        <v>10.173701238372375</v>
      </c>
      <c r="J21" s="35" t="s">
        <v>23</v>
      </c>
      <c r="K21" s="39" t="s">
        <v>61</v>
      </c>
      <c r="L21" s="41">
        <f>LOOKUP(L20,[1]Hoja2!$B$6:$B$18,[1]Hoja2!$E$6:$E$18)</f>
        <v>2.2349999999999999</v>
      </c>
      <c r="M21" s="35" t="s">
        <v>43</v>
      </c>
    </row>
    <row r="22" spans="2:13" ht="15" thickBot="1" x14ac:dyDescent="0.25">
      <c r="B22" s="39" t="s">
        <v>50</v>
      </c>
      <c r="C22" s="42">
        <f>+C18+C17+C27</f>
        <v>3.61</v>
      </c>
      <c r="D22" s="35" t="s">
        <v>23</v>
      </c>
      <c r="K22" s="46" t="s">
        <v>62</v>
      </c>
      <c r="L22" s="48">
        <f>C15-(L13/100)-(L13/100)</f>
        <v>5.16</v>
      </c>
      <c r="M22" s="35" t="s">
        <v>23</v>
      </c>
    </row>
    <row r="23" spans="2:13" ht="15" thickBot="1" x14ac:dyDescent="0.25">
      <c r="B23" s="39"/>
      <c r="C23" s="38"/>
      <c r="D23" s="35"/>
      <c r="H23" s="128" t="s">
        <v>28</v>
      </c>
      <c r="I23" s="129"/>
    </row>
    <row r="24" spans="2:13" x14ac:dyDescent="0.2">
      <c r="B24" s="92" t="s">
        <v>63</v>
      </c>
      <c r="C24" s="40"/>
      <c r="D24" s="35"/>
      <c r="H24" s="135" t="s">
        <v>64</v>
      </c>
      <c r="I24" s="136"/>
      <c r="K24" s="128" t="s">
        <v>28</v>
      </c>
      <c r="L24" s="129"/>
      <c r="M24" s="32"/>
    </row>
    <row r="25" spans="2:13" x14ac:dyDescent="0.2">
      <c r="B25" s="39" t="s">
        <v>46</v>
      </c>
      <c r="C25" s="42">
        <f>+C15</f>
        <v>5.5</v>
      </c>
      <c r="D25" s="35" t="s">
        <v>23</v>
      </c>
      <c r="H25" s="39" t="s">
        <v>34</v>
      </c>
      <c r="I25" s="41">
        <f>IF(C29=2.5,12*2,IF(C29=3,13*2,IF(C29=3.7,14*2)))</f>
        <v>26</v>
      </c>
      <c r="J25" s="35" t="s">
        <v>33</v>
      </c>
      <c r="K25" s="135" t="s">
        <v>65</v>
      </c>
      <c r="L25" s="136"/>
      <c r="M25" s="32"/>
    </row>
    <row r="26" spans="2:13" x14ac:dyDescent="0.2">
      <c r="B26" s="39" t="s">
        <v>48</v>
      </c>
      <c r="C26" s="42">
        <f>+C16</f>
        <v>5.5</v>
      </c>
      <c r="D26" s="35" t="s">
        <v>23</v>
      </c>
      <c r="H26" s="39" t="s">
        <v>38</v>
      </c>
      <c r="I26" s="40">
        <v>4</v>
      </c>
      <c r="J26" s="35" t="s">
        <v>39</v>
      </c>
      <c r="K26" s="39" t="s">
        <v>34</v>
      </c>
      <c r="L26" s="40">
        <f>17*4</f>
        <v>68</v>
      </c>
      <c r="M26" s="35" t="s">
        <v>33</v>
      </c>
    </row>
    <row r="27" spans="2:13" x14ac:dyDescent="0.2">
      <c r="B27" s="39" t="s">
        <v>50</v>
      </c>
      <c r="C27" s="40">
        <v>0.05</v>
      </c>
      <c r="D27" s="35" t="s">
        <v>23</v>
      </c>
      <c r="H27" s="39" t="s">
        <v>42</v>
      </c>
      <c r="I27" s="41">
        <f>LOOKUP(I26,[1]Hoja2!$B$6:$B$18,[1]Hoja2!$E$6:$E$18)</f>
        <v>0.99399999999999999</v>
      </c>
      <c r="J27" s="35" t="s">
        <v>43</v>
      </c>
      <c r="K27" s="39" t="s">
        <v>38</v>
      </c>
      <c r="L27" s="40">
        <v>4</v>
      </c>
      <c r="M27" s="35" t="s">
        <v>39</v>
      </c>
    </row>
    <row r="28" spans="2:13" x14ac:dyDescent="0.2">
      <c r="B28" s="92" t="s">
        <v>66</v>
      </c>
      <c r="C28" s="40"/>
      <c r="D28" s="35"/>
      <c r="H28" s="39" t="s">
        <v>67</v>
      </c>
      <c r="I28" s="40">
        <v>13</v>
      </c>
      <c r="J28" s="35"/>
      <c r="K28" s="39" t="s">
        <v>42</v>
      </c>
      <c r="L28" s="41">
        <f>LOOKUP(L27,[1]Hoja2!$B$6:$B$18,[1]Hoja2!$E$6:$E$18)</f>
        <v>0.99399999999999999</v>
      </c>
      <c r="M28" s="35" t="s">
        <v>43</v>
      </c>
    </row>
    <row r="29" spans="2:13" ht="15" thickBot="1" x14ac:dyDescent="0.25">
      <c r="B29" s="39" t="s">
        <v>37</v>
      </c>
      <c r="C29" s="40">
        <v>3</v>
      </c>
      <c r="D29" s="35" t="s">
        <v>23</v>
      </c>
      <c r="H29" s="46" t="s">
        <v>68</v>
      </c>
      <c r="I29" s="47">
        <f>IF(C29=2.5,(1.8+([1]Hoja2!I10/100*4)+(0.2)),IF(C29=3,(2.09+([1]Hoja2!I10/100*4)+(0.2)),IF(C29=3.7,(2.07+([1]Hoja2!I10/100*4)+(0.2)))))</f>
        <v>2.5700000000000003</v>
      </c>
      <c r="J29" s="35" t="s">
        <v>23</v>
      </c>
      <c r="K29" s="46" t="s">
        <v>68</v>
      </c>
      <c r="L29" s="47">
        <f>((0.75+1.235)*2)+0.21+0.24</f>
        <v>4.4200000000000008</v>
      </c>
      <c r="M29" s="35" t="s">
        <v>23</v>
      </c>
    </row>
    <row r="30" spans="2:13" ht="15" thickBot="1" x14ac:dyDescent="0.25">
      <c r="B30" s="46" t="s">
        <v>69</v>
      </c>
      <c r="C30" s="49">
        <v>4</v>
      </c>
      <c r="D30" s="35" t="s">
        <v>23</v>
      </c>
      <c r="G30" s="35"/>
      <c r="K30" s="50"/>
      <c r="L30" s="51"/>
      <c r="M30" s="35"/>
    </row>
    <row r="31" spans="2:13" x14ac:dyDescent="0.2">
      <c r="B31" s="50"/>
      <c r="C31" s="52"/>
      <c r="D31" s="35"/>
      <c r="E31" s="50"/>
      <c r="F31" s="52"/>
      <c r="G31" s="35"/>
    </row>
    <row r="32" spans="2:13" x14ac:dyDescent="0.2">
      <c r="B32" s="50"/>
      <c r="C32" s="52"/>
      <c r="D32" s="35"/>
      <c r="E32" s="50"/>
      <c r="F32" s="52"/>
      <c r="G32" s="35"/>
    </row>
    <row r="33" spans="1:11" ht="25.5" x14ac:dyDescent="0.2">
      <c r="A33" s="53" t="s">
        <v>70</v>
      </c>
      <c r="B33" s="90" t="s">
        <v>71</v>
      </c>
      <c r="C33" s="55" t="s">
        <v>72</v>
      </c>
      <c r="D33" s="56" t="s">
        <v>107</v>
      </c>
      <c r="E33" s="57"/>
    </row>
    <row r="34" spans="1:11" ht="76.5" x14ac:dyDescent="0.2">
      <c r="A34" s="90">
        <v>6007</v>
      </c>
      <c r="B34" s="59" t="s">
        <v>74</v>
      </c>
      <c r="C34" s="91" t="s">
        <v>75</v>
      </c>
      <c r="D34" s="63">
        <f>((PI()*(C12*C12)/4/10000)*C13*C11)</f>
        <v>48.883181689857182</v>
      </c>
      <c r="E34" s="64"/>
      <c r="H34" s="65"/>
      <c r="K34" s="65"/>
    </row>
    <row r="35" spans="1:11" ht="102" x14ac:dyDescent="0.2">
      <c r="A35" s="130">
        <v>3708</v>
      </c>
      <c r="B35" s="59" t="s">
        <v>76</v>
      </c>
      <c r="C35" s="60" t="s">
        <v>77</v>
      </c>
      <c r="D35" s="66">
        <f>D36+D37+D38</f>
        <v>13635.825007648655</v>
      </c>
      <c r="H35" s="65"/>
      <c r="K35" s="65"/>
    </row>
    <row r="36" spans="1:11" x14ac:dyDescent="0.2">
      <c r="A36" s="130"/>
      <c r="B36" s="67" t="s">
        <v>29</v>
      </c>
      <c r="C36" s="131" t="s">
        <v>77</v>
      </c>
      <c r="D36" s="68">
        <f>((F14*F11*F13)+(F16*F18*F21))*C11*1.03</f>
        <v>5031.2863688396619</v>
      </c>
    </row>
    <row r="37" spans="1:11" x14ac:dyDescent="0.2">
      <c r="A37" s="130"/>
      <c r="B37" s="67" t="s">
        <v>31</v>
      </c>
      <c r="C37" s="131"/>
      <c r="D37" s="68">
        <f>(((L14*L16*L17*4)+(L19*L21*L22*4))+(L26*L28*L29))*1.03</f>
        <v>2948.0140880000004</v>
      </c>
    </row>
    <row r="38" spans="1:11" x14ac:dyDescent="0.2">
      <c r="A38" s="130"/>
      <c r="B38" s="67" t="s">
        <v>30</v>
      </c>
      <c r="C38" s="131"/>
      <c r="D38" s="69">
        <f>+(I11*I13*I14)+(I16*I18*I21)+(I25*I27*I29*I28)*1.03</f>
        <v>5656.5245508089911</v>
      </c>
    </row>
    <row r="39" spans="1:11" ht="51" x14ac:dyDescent="0.2">
      <c r="A39" s="130">
        <v>3637</v>
      </c>
      <c r="B39" s="59" t="s">
        <v>78</v>
      </c>
      <c r="C39" s="91" t="s">
        <v>75</v>
      </c>
      <c r="D39" s="70">
        <f>D40+D41</f>
        <v>73.649333882308142</v>
      </c>
      <c r="H39" s="64"/>
      <c r="K39" s="64"/>
    </row>
    <row r="40" spans="1:11" x14ac:dyDescent="0.2">
      <c r="A40" s="130"/>
      <c r="B40" s="67" t="s">
        <v>31</v>
      </c>
      <c r="C40" s="131" t="s">
        <v>75</v>
      </c>
      <c r="D40" s="71">
        <f>C15*C16*C17</f>
        <v>45.375</v>
      </c>
    </row>
    <row r="41" spans="1:11" x14ac:dyDescent="0.2">
      <c r="A41" s="130"/>
      <c r="B41" s="67" t="s">
        <v>30</v>
      </c>
      <c r="C41" s="131"/>
      <c r="D41" s="71">
        <f>(PI()*C29*C29/4)*C30</f>
        <v>28.274333882308138</v>
      </c>
    </row>
    <row r="42" spans="1:11" ht="38.25" x14ac:dyDescent="0.2">
      <c r="A42" s="90">
        <v>5055</v>
      </c>
      <c r="B42" s="59" t="s">
        <v>79</v>
      </c>
      <c r="C42" s="91" t="s">
        <v>75</v>
      </c>
      <c r="D42" s="71">
        <f>((PI()*(C12*C12)/4/10000)*(C17+C18)*C11)</f>
        <v>11.184069846779664</v>
      </c>
      <c r="H42" s="64"/>
      <c r="K42" s="64"/>
    </row>
    <row r="43" spans="1:11" ht="51" x14ac:dyDescent="0.2">
      <c r="A43" s="90">
        <v>6021</v>
      </c>
      <c r="B43" s="59" t="s">
        <v>89</v>
      </c>
      <c r="C43" s="91" t="s">
        <v>75</v>
      </c>
      <c r="D43" s="71">
        <f>(C25*C26*C27)-((PI()*C12*C12*0.1/4/10000)*C11)</f>
        <v>1.1983407346410209</v>
      </c>
      <c r="H43" s="64"/>
      <c r="K43" s="64"/>
    </row>
    <row r="44" spans="1:11" ht="25.5" x14ac:dyDescent="0.2">
      <c r="A44" s="94">
        <v>5416</v>
      </c>
      <c r="B44" s="81" t="s">
        <v>90</v>
      </c>
      <c r="C44" s="72" t="s">
        <v>75</v>
      </c>
      <c r="D44" s="95">
        <f>C20*C21*C22</f>
        <v>203.0625</v>
      </c>
      <c r="E44" s="96"/>
      <c r="H44" s="65"/>
      <c r="K44" s="65"/>
    </row>
    <row r="45" spans="1:11" ht="51" x14ac:dyDescent="0.2">
      <c r="A45" s="94">
        <v>3017</v>
      </c>
      <c r="B45" s="81" t="s">
        <v>91</v>
      </c>
      <c r="C45" s="72" t="s">
        <v>75</v>
      </c>
      <c r="D45" s="71">
        <f>D44</f>
        <v>203.0625</v>
      </c>
      <c r="E45" s="96"/>
      <c r="H45" s="64"/>
      <c r="K45" s="64"/>
    </row>
    <row r="46" spans="1:11" ht="38.25" x14ac:dyDescent="0.2">
      <c r="A46" s="94">
        <v>4908</v>
      </c>
      <c r="B46" s="59" t="s">
        <v>80</v>
      </c>
      <c r="C46" s="91" t="s">
        <v>75</v>
      </c>
      <c r="D46" s="71">
        <f>D44-(C25*C26*C27)-D40-((PI()*C29*C29/4)*C18)</f>
        <v>141.61371805061131</v>
      </c>
      <c r="K46" s="64"/>
    </row>
    <row r="47" spans="1:11" ht="51" x14ac:dyDescent="0.2">
      <c r="A47" s="94">
        <v>5196</v>
      </c>
      <c r="B47" s="81" t="s">
        <v>102</v>
      </c>
      <c r="C47" s="91" t="s">
        <v>75</v>
      </c>
      <c r="D47" s="71">
        <f>C20*C21*0.15</f>
        <v>8.4375</v>
      </c>
    </row>
    <row r="48" spans="1:11" x14ac:dyDescent="0.2">
      <c r="A48" s="94"/>
    </row>
    <row r="49" spans="1:1" x14ac:dyDescent="0.2">
      <c r="A49" s="94"/>
    </row>
    <row r="50" spans="1:1" x14ac:dyDescent="0.2">
      <c r="A50" s="94"/>
    </row>
  </sheetData>
  <mergeCells count="13">
    <mergeCell ref="K9:L9"/>
    <mergeCell ref="H23:I23"/>
    <mergeCell ref="A39:A41"/>
    <mergeCell ref="C40:C41"/>
    <mergeCell ref="E7:I7"/>
    <mergeCell ref="B9:C9"/>
    <mergeCell ref="E9:F9"/>
    <mergeCell ref="H9:I9"/>
    <mergeCell ref="H24:I24"/>
    <mergeCell ref="K24:L24"/>
    <mergeCell ref="K25:L25"/>
    <mergeCell ref="A35:A38"/>
    <mergeCell ref="C36:C38"/>
  </mergeCells>
  <pageMargins left="0.7" right="0.7" top="0.75" bottom="0.75" header="0.3" footer="0.3"/>
  <pageSetup scale="46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BE0DF-A394-4551-8B01-5515E47BFCEA}">
  <sheetPr>
    <tabColor rgb="FFFFFF00"/>
  </sheetPr>
  <dimension ref="A2:M51"/>
  <sheetViews>
    <sheetView view="pageBreakPreview" topLeftCell="A4" zoomScale="85" zoomScaleNormal="85" zoomScaleSheetLayoutView="85" workbookViewId="0">
      <selection activeCell="E27" sqref="E27"/>
    </sheetView>
  </sheetViews>
  <sheetFormatPr baseColWidth="10" defaultRowHeight="14.25" x14ac:dyDescent="0.2"/>
  <cols>
    <col min="1" max="1" width="9.7109375" style="29" customWidth="1"/>
    <col min="2" max="2" width="42.85546875" style="29" customWidth="1"/>
    <col min="3" max="3" width="12.28515625" style="32" customWidth="1"/>
    <col min="4" max="4" width="12.85546875" style="32" customWidth="1"/>
    <col min="5" max="5" width="28.7109375" style="32" bestFit="1" customWidth="1"/>
    <col min="6" max="7" width="11.42578125" style="32"/>
    <col min="8" max="8" width="28.7109375" style="32" customWidth="1"/>
    <col min="9" max="10" width="11.42578125" style="32"/>
    <col min="11" max="11" width="30.42578125" style="32" customWidth="1"/>
    <col min="12" max="16384" width="11.42578125" style="29"/>
  </cols>
  <sheetData>
    <row r="2" spans="2:13" ht="16.5" x14ac:dyDescent="0.2">
      <c r="C2" s="30"/>
      <c r="D2" s="30"/>
      <c r="E2" s="31" t="s">
        <v>24</v>
      </c>
      <c r="F2" s="30"/>
      <c r="G2" s="30"/>
    </row>
    <row r="3" spans="2:13" ht="16.5" x14ac:dyDescent="0.3">
      <c r="C3" s="30"/>
      <c r="D3" s="30"/>
      <c r="E3" s="28" t="s">
        <v>25</v>
      </c>
      <c r="F3" s="30"/>
      <c r="G3" s="30"/>
    </row>
    <row r="4" spans="2:13" ht="16.5" x14ac:dyDescent="0.2">
      <c r="C4" s="30"/>
      <c r="D4" s="30"/>
      <c r="E4" s="33"/>
      <c r="F4" s="30"/>
      <c r="G4" s="30"/>
    </row>
    <row r="5" spans="2:13" ht="16.5" x14ac:dyDescent="0.3">
      <c r="C5" s="30"/>
      <c r="D5" s="30"/>
      <c r="E5" s="34" t="s">
        <v>26</v>
      </c>
      <c r="F5" s="30"/>
      <c r="G5" s="30"/>
    </row>
    <row r="7" spans="2:13" ht="16.5" x14ac:dyDescent="0.3">
      <c r="E7" s="132" t="s">
        <v>126</v>
      </c>
      <c r="F7" s="132"/>
      <c r="G7" s="132"/>
      <c r="H7" s="132"/>
      <c r="I7" s="132"/>
    </row>
    <row r="8" spans="2:13" ht="15" thickBot="1" x14ac:dyDescent="0.25"/>
    <row r="9" spans="2:13" x14ac:dyDescent="0.2">
      <c r="B9" s="133" t="s">
        <v>27</v>
      </c>
      <c r="C9" s="134"/>
      <c r="D9" s="35"/>
      <c r="E9" s="128" t="s">
        <v>28</v>
      </c>
      <c r="F9" s="129"/>
      <c r="G9" s="35"/>
      <c r="H9" s="128" t="s">
        <v>28</v>
      </c>
      <c r="I9" s="129"/>
      <c r="K9" s="128" t="s">
        <v>28</v>
      </c>
      <c r="L9" s="129"/>
    </row>
    <row r="10" spans="2:13" x14ac:dyDescent="0.2">
      <c r="B10" s="92" t="s">
        <v>29</v>
      </c>
      <c r="C10" s="37"/>
      <c r="D10" s="35"/>
      <c r="E10" s="92" t="s">
        <v>29</v>
      </c>
      <c r="F10" s="37"/>
      <c r="G10" s="35"/>
      <c r="H10" s="92" t="s">
        <v>30</v>
      </c>
      <c r="I10" s="38"/>
      <c r="J10" s="35"/>
      <c r="K10" s="92" t="s">
        <v>108</v>
      </c>
      <c r="L10" s="38"/>
    </row>
    <row r="11" spans="2:13" x14ac:dyDescent="0.2">
      <c r="B11" s="39" t="s">
        <v>32</v>
      </c>
      <c r="C11" s="40">
        <v>6</v>
      </c>
      <c r="D11" s="35" t="s">
        <v>33</v>
      </c>
      <c r="E11" s="39" t="s">
        <v>34</v>
      </c>
      <c r="F11" s="40">
        <v>16</v>
      </c>
      <c r="G11" s="35" t="s">
        <v>33</v>
      </c>
      <c r="H11" s="39" t="s">
        <v>34</v>
      </c>
      <c r="I11" s="40">
        <v>76</v>
      </c>
      <c r="J11" s="35" t="s">
        <v>33</v>
      </c>
      <c r="K11" s="39" t="s">
        <v>35</v>
      </c>
      <c r="L11" s="40">
        <v>20</v>
      </c>
      <c r="M11" s="29" t="s">
        <v>36</v>
      </c>
    </row>
    <row r="12" spans="2:13" x14ac:dyDescent="0.2">
      <c r="B12" s="39" t="s">
        <v>37</v>
      </c>
      <c r="C12" s="40">
        <v>100</v>
      </c>
      <c r="D12" s="35" t="s">
        <v>36</v>
      </c>
      <c r="E12" s="39" t="s">
        <v>38</v>
      </c>
      <c r="F12" s="40">
        <v>8</v>
      </c>
      <c r="G12" s="35" t="s">
        <v>39</v>
      </c>
      <c r="H12" s="39" t="s">
        <v>38</v>
      </c>
      <c r="I12" s="40">
        <v>14</v>
      </c>
      <c r="J12" s="35" t="s">
        <v>39</v>
      </c>
      <c r="K12" s="39" t="s">
        <v>40</v>
      </c>
      <c r="L12" s="40">
        <v>1</v>
      </c>
      <c r="M12" s="35"/>
    </row>
    <row r="13" spans="2:13" x14ac:dyDescent="0.2">
      <c r="B13" s="39" t="s">
        <v>41</v>
      </c>
      <c r="C13" s="40">
        <f>17+1.5+1.91</f>
        <v>20.41</v>
      </c>
      <c r="D13" s="35" t="s">
        <v>23</v>
      </c>
      <c r="E13" s="39" t="s">
        <v>42</v>
      </c>
      <c r="F13" s="41">
        <f>LOOKUP(F12,[1]Hoja2!$B$6:$B$18,[1]Hoja2!$E$6:$E$18)</f>
        <v>3.9729999999999999</v>
      </c>
      <c r="G13" s="35" t="s">
        <v>43</v>
      </c>
      <c r="H13" s="39" t="s">
        <v>42</v>
      </c>
      <c r="I13" s="41">
        <f>LOOKUP(I12,[1]Hoja2!$B$6:$B$18,[1]Hoja2!$E$6:$E$18)</f>
        <v>11.38</v>
      </c>
      <c r="J13" s="35" t="s">
        <v>43</v>
      </c>
      <c r="K13" s="39" t="s">
        <v>100</v>
      </c>
      <c r="L13" s="40">
        <v>17</v>
      </c>
      <c r="M13" s="35" t="s">
        <v>36</v>
      </c>
    </row>
    <row r="14" spans="2:13" x14ac:dyDescent="0.2">
      <c r="B14" s="92" t="s">
        <v>31</v>
      </c>
      <c r="C14" s="40"/>
      <c r="D14" s="35"/>
      <c r="E14" s="39" t="s">
        <v>45</v>
      </c>
      <c r="F14" s="42">
        <f>(C13-C18-0.5-0.15)+(IF(C12=100,1,1.2))</f>
        <v>19.310000000000002</v>
      </c>
      <c r="G14" s="35" t="s">
        <v>23</v>
      </c>
      <c r="H14" s="39" t="s">
        <v>45</v>
      </c>
      <c r="I14" s="42">
        <f>(C30+C17-0.3-0.15)+(2.4)</f>
        <v>7.9499999999999993</v>
      </c>
      <c r="J14" s="35" t="s">
        <v>23</v>
      </c>
      <c r="K14" s="39" t="s">
        <v>34</v>
      </c>
      <c r="L14" s="41">
        <f>IF(L12=1,(ROUNDUP(((C15-(2*L13/100))*(L12)/(L11/100))+1,0)),(ROUNDUP(((C15-(2*L13/100))*(L12)/(L11/100))+2,0)))</f>
        <v>27</v>
      </c>
      <c r="M14" s="29" t="s">
        <v>33</v>
      </c>
    </row>
    <row r="15" spans="2:13" x14ac:dyDescent="0.2">
      <c r="B15" s="39" t="s">
        <v>46</v>
      </c>
      <c r="C15" s="40">
        <v>5.5</v>
      </c>
      <c r="D15" s="35" t="s">
        <v>23</v>
      </c>
      <c r="E15" s="39" t="s">
        <v>47</v>
      </c>
      <c r="F15" s="38">
        <v>0.1</v>
      </c>
      <c r="G15" s="43" t="s">
        <v>23</v>
      </c>
      <c r="H15" s="39" t="s">
        <v>47</v>
      </c>
      <c r="I15" s="38">
        <v>0.1</v>
      </c>
      <c r="J15" s="43" t="s">
        <v>23</v>
      </c>
      <c r="K15" s="39" t="s">
        <v>38</v>
      </c>
      <c r="L15" s="40">
        <v>8</v>
      </c>
      <c r="M15" s="29" t="s">
        <v>39</v>
      </c>
    </row>
    <row r="16" spans="2:13" x14ac:dyDescent="0.2">
      <c r="B16" s="39" t="s">
        <v>48</v>
      </c>
      <c r="C16" s="40">
        <v>8</v>
      </c>
      <c r="D16" s="35" t="s">
        <v>23</v>
      </c>
      <c r="E16" s="39" t="s">
        <v>49</v>
      </c>
      <c r="F16" s="44">
        <v>113</v>
      </c>
      <c r="G16" s="35" t="s">
        <v>33</v>
      </c>
      <c r="H16" s="39" t="s">
        <v>49</v>
      </c>
      <c r="I16" s="41">
        <f>ROUNDUP((((C30+C17-0.3-0.15)/I15)+1),0)</f>
        <v>57</v>
      </c>
      <c r="J16" s="35" t="s">
        <v>33</v>
      </c>
      <c r="K16" s="39" t="s">
        <v>42</v>
      </c>
      <c r="L16" s="41">
        <f>LOOKUP(L15,[1]Hoja2!$B$6:$B$18,[1]Hoja2!$E$6:$E$18)</f>
        <v>3.9729999999999999</v>
      </c>
      <c r="M16" s="35" t="s">
        <v>43</v>
      </c>
    </row>
    <row r="17" spans="2:13" x14ac:dyDescent="0.2">
      <c r="B17" s="39" t="s">
        <v>50</v>
      </c>
      <c r="C17" s="40">
        <v>1.5</v>
      </c>
      <c r="D17" s="35" t="s">
        <v>23</v>
      </c>
      <c r="E17" s="39" t="s">
        <v>51</v>
      </c>
      <c r="F17" s="40">
        <v>4</v>
      </c>
      <c r="G17" s="35" t="s">
        <v>39</v>
      </c>
      <c r="H17" s="39" t="s">
        <v>51</v>
      </c>
      <c r="I17" s="40">
        <v>4</v>
      </c>
      <c r="J17" s="35" t="s">
        <v>39</v>
      </c>
      <c r="K17" s="39" t="s">
        <v>45</v>
      </c>
      <c r="L17" s="42">
        <f>(C15-(L13/100)-(L13/100))+0.9+0.9</f>
        <v>6.9600000000000009</v>
      </c>
      <c r="M17" s="35" t="s">
        <v>23</v>
      </c>
    </row>
    <row r="18" spans="2:13" x14ac:dyDescent="0.2">
      <c r="B18" s="39" t="s">
        <v>52</v>
      </c>
      <c r="C18" s="93">
        <v>1.45</v>
      </c>
      <c r="D18" s="35" t="s">
        <v>23</v>
      </c>
      <c r="E18" s="39" t="s">
        <v>53</v>
      </c>
      <c r="F18" s="41">
        <f>LOOKUP(F17,[1]Hoja2!$B$6:$B$18,[1]Hoja2!$E$6:$E$18)</f>
        <v>0.99399999999999999</v>
      </c>
      <c r="G18" s="35" t="s">
        <v>43</v>
      </c>
      <c r="H18" s="39" t="s">
        <v>53</v>
      </c>
      <c r="I18" s="41">
        <f>LOOKUP(I17,[1]Hoja2!$B$6:$B$18,[1]Hoja2!$E$6:$E$18)</f>
        <v>0.99399999999999999</v>
      </c>
      <c r="J18" s="35" t="s">
        <v>43</v>
      </c>
      <c r="K18" s="39" t="s">
        <v>54</v>
      </c>
      <c r="L18" s="40">
        <v>20</v>
      </c>
      <c r="M18" s="29" t="s">
        <v>36</v>
      </c>
    </row>
    <row r="19" spans="2:13" x14ac:dyDescent="0.2">
      <c r="B19" s="92" t="s">
        <v>55</v>
      </c>
      <c r="C19" s="40"/>
      <c r="D19" s="35"/>
      <c r="E19" s="39" t="s">
        <v>44</v>
      </c>
      <c r="F19" s="40">
        <v>10</v>
      </c>
      <c r="G19" s="35" t="s">
        <v>36</v>
      </c>
      <c r="H19" s="39" t="s">
        <v>44</v>
      </c>
      <c r="I19" s="40">
        <v>7</v>
      </c>
      <c r="J19" s="35" t="s">
        <v>36</v>
      </c>
      <c r="K19" s="39" t="s">
        <v>56</v>
      </c>
      <c r="L19" s="41">
        <f>ROUNDDOWN((C17-(25/100)-(25/100))/(L18/100)+1,0)</f>
        <v>6</v>
      </c>
      <c r="M19" s="29" t="s">
        <v>33</v>
      </c>
    </row>
    <row r="20" spans="2:13" x14ac:dyDescent="0.2">
      <c r="B20" s="39" t="s">
        <v>57</v>
      </c>
      <c r="C20" s="41">
        <f>+C15+1+1</f>
        <v>7.5</v>
      </c>
      <c r="D20" s="35" t="s">
        <v>23</v>
      </c>
      <c r="E20" s="39" t="s">
        <v>35</v>
      </c>
      <c r="F20" s="45">
        <f>(PI()*(C12-F19-F19))/F11</f>
        <v>15.707963267948966</v>
      </c>
      <c r="G20" s="35" t="s">
        <v>36</v>
      </c>
      <c r="H20" s="39" t="s">
        <v>35</v>
      </c>
      <c r="I20" s="45">
        <f>(PI()*(C29*(100)-I19-I19))/I11</f>
        <v>14.715881377341663</v>
      </c>
      <c r="J20" s="35" t="s">
        <v>36</v>
      </c>
      <c r="K20" s="39" t="s">
        <v>58</v>
      </c>
      <c r="L20" s="40">
        <v>6</v>
      </c>
      <c r="M20" s="29" t="s">
        <v>39</v>
      </c>
    </row>
    <row r="21" spans="2:13" ht="15" thickBot="1" x14ac:dyDescent="0.25">
      <c r="B21" s="39" t="s">
        <v>59</v>
      </c>
      <c r="C21" s="41">
        <f>+C16+1+1</f>
        <v>10</v>
      </c>
      <c r="D21" s="35" t="s">
        <v>23</v>
      </c>
      <c r="E21" s="46" t="s">
        <v>60</v>
      </c>
      <c r="F21" s="47">
        <f>((PI()*(C12-F19-F19))+(F20*(3)+F20*(3)+((LOOKUP(F17,[1]Hoja2!$B$6:$B$18,[1]Hoja2!$H$6:$H$18))*2)+20))/100</f>
        <v>3.8957519189487719</v>
      </c>
      <c r="G21" s="35" t="s">
        <v>23</v>
      </c>
      <c r="H21" s="46" t="s">
        <v>60</v>
      </c>
      <c r="I21" s="47">
        <f>((PI()*(C29*(100)-I19-I19))+(I20*(3)+I20*(3)+((LOOKUP(I17,[1]Hoja2!$B$6:$B$18,[1]Hoja2!$H$6:$H$18))*2)+20))/100</f>
        <v>12.507022729420164</v>
      </c>
      <c r="J21" s="35" t="s">
        <v>23</v>
      </c>
      <c r="K21" s="39" t="s">
        <v>61</v>
      </c>
      <c r="L21" s="41">
        <f>LOOKUP(L20,[1]Hoja2!$B$6:$B$18,[1]Hoja2!$E$6:$E$18)</f>
        <v>2.2349999999999999</v>
      </c>
      <c r="M21" s="35" t="s">
        <v>43</v>
      </c>
    </row>
    <row r="22" spans="2:13" ht="15" thickBot="1" x14ac:dyDescent="0.25">
      <c r="B22" s="39" t="s">
        <v>50</v>
      </c>
      <c r="C22" s="42">
        <f>+C18+C17+C27</f>
        <v>3</v>
      </c>
      <c r="D22" s="35" t="s">
        <v>23</v>
      </c>
      <c r="K22" s="46" t="s">
        <v>62</v>
      </c>
      <c r="L22" s="48">
        <f>C15-(L13/100)-(L13/100)</f>
        <v>5.16</v>
      </c>
      <c r="M22" s="35" t="s">
        <v>23</v>
      </c>
    </row>
    <row r="23" spans="2:13" ht="15" thickBot="1" x14ac:dyDescent="0.25">
      <c r="B23" s="39"/>
      <c r="C23" s="38"/>
      <c r="D23" s="35"/>
      <c r="H23" s="128" t="s">
        <v>28</v>
      </c>
      <c r="I23" s="129"/>
    </row>
    <row r="24" spans="2:13" x14ac:dyDescent="0.2">
      <c r="B24" s="92" t="s">
        <v>63</v>
      </c>
      <c r="C24" s="40"/>
      <c r="D24" s="35"/>
      <c r="H24" s="135" t="s">
        <v>64</v>
      </c>
      <c r="I24" s="136"/>
      <c r="K24" s="128" t="s">
        <v>28</v>
      </c>
      <c r="L24" s="129"/>
      <c r="M24" s="32"/>
    </row>
    <row r="25" spans="2:13" x14ac:dyDescent="0.2">
      <c r="B25" s="39" t="s">
        <v>46</v>
      </c>
      <c r="C25" s="42">
        <f>+C15</f>
        <v>5.5</v>
      </c>
      <c r="D25" s="35" t="s">
        <v>23</v>
      </c>
      <c r="H25" s="39" t="s">
        <v>34</v>
      </c>
      <c r="I25" s="41">
        <f>IF(C29=2.5,12*2,IF(C29=3,13*2,IF(C29=3.7,14*2)))</f>
        <v>28</v>
      </c>
      <c r="J25" s="35" t="s">
        <v>33</v>
      </c>
      <c r="K25" s="135" t="s">
        <v>65</v>
      </c>
      <c r="L25" s="136"/>
      <c r="M25" s="32"/>
    </row>
    <row r="26" spans="2:13" x14ac:dyDescent="0.2">
      <c r="B26" s="39" t="s">
        <v>48</v>
      </c>
      <c r="C26" s="42">
        <f>+C16</f>
        <v>8</v>
      </c>
      <c r="D26" s="35" t="s">
        <v>23</v>
      </c>
      <c r="H26" s="39" t="s">
        <v>38</v>
      </c>
      <c r="I26" s="40">
        <v>4</v>
      </c>
      <c r="J26" s="35" t="s">
        <v>39</v>
      </c>
      <c r="K26" s="39" t="s">
        <v>34</v>
      </c>
      <c r="L26" s="40">
        <f>(17*3)+(24*2)</f>
        <v>99</v>
      </c>
      <c r="M26" s="35" t="s">
        <v>33</v>
      </c>
    </row>
    <row r="27" spans="2:13" x14ac:dyDescent="0.2">
      <c r="B27" s="39" t="s">
        <v>50</v>
      </c>
      <c r="C27" s="40">
        <v>0.05</v>
      </c>
      <c r="D27" s="35" t="s">
        <v>23</v>
      </c>
      <c r="H27" s="39" t="s">
        <v>42</v>
      </c>
      <c r="I27" s="41">
        <f>LOOKUP(I26,[1]Hoja2!$B$6:$B$18,[1]Hoja2!$E$6:$E$18)</f>
        <v>0.99399999999999999</v>
      </c>
      <c r="J27" s="35" t="s">
        <v>43</v>
      </c>
      <c r="K27" s="39" t="s">
        <v>38</v>
      </c>
      <c r="L27" s="40">
        <v>4</v>
      </c>
      <c r="M27" s="35" t="s">
        <v>39</v>
      </c>
    </row>
    <row r="28" spans="2:13" x14ac:dyDescent="0.2">
      <c r="B28" s="92" t="s">
        <v>66</v>
      </c>
      <c r="C28" s="40"/>
      <c r="D28" s="35"/>
      <c r="H28" s="39" t="s">
        <v>67</v>
      </c>
      <c r="I28" s="40">
        <v>13</v>
      </c>
      <c r="J28" s="35"/>
      <c r="K28" s="39" t="s">
        <v>42</v>
      </c>
      <c r="L28" s="41">
        <f>LOOKUP(L27,[1]Hoja2!$B$6:$B$18,[1]Hoja2!$E$6:$E$18)</f>
        <v>0.99399999999999999</v>
      </c>
      <c r="M28" s="35" t="s">
        <v>43</v>
      </c>
    </row>
    <row r="29" spans="2:13" ht="15" thickBot="1" x14ac:dyDescent="0.25">
      <c r="B29" s="39" t="s">
        <v>37</v>
      </c>
      <c r="C29" s="40">
        <v>3.7</v>
      </c>
      <c r="D29" s="35" t="s">
        <v>23</v>
      </c>
      <c r="H29" s="46" t="s">
        <v>68</v>
      </c>
      <c r="I29" s="47">
        <f>IF(C29=2.5,(1.8+([1]Hoja2!I10/100*4)+(0.2)),IF(C29=3,(2.09+([1]Hoja2!I10/100*4)+(0.2)),IF(C29=3.7,(2.07+([1]Hoja2!I10/100*4)+(0.2)))))</f>
        <v>2.5499999999999998</v>
      </c>
      <c r="J29" s="35" t="s">
        <v>23</v>
      </c>
      <c r="K29" s="46" t="s">
        <v>68</v>
      </c>
      <c r="L29" s="47">
        <f>((0.75+1.235)*2)+0.21+0.24</f>
        <v>4.4200000000000008</v>
      </c>
      <c r="M29" s="35" t="s">
        <v>23</v>
      </c>
    </row>
    <row r="30" spans="2:13" ht="15" thickBot="1" x14ac:dyDescent="0.25">
      <c r="B30" s="46" t="s">
        <v>69</v>
      </c>
      <c r="C30" s="49">
        <v>4.5</v>
      </c>
      <c r="D30" s="35" t="s">
        <v>23</v>
      </c>
      <c r="G30" s="35"/>
      <c r="K30" s="50"/>
      <c r="L30" s="51"/>
      <c r="M30" s="35"/>
    </row>
    <row r="31" spans="2:13" x14ac:dyDescent="0.2">
      <c r="B31" s="50"/>
      <c r="C31" s="52"/>
      <c r="D31" s="35"/>
      <c r="E31" s="50"/>
      <c r="F31" s="52"/>
      <c r="G31" s="35"/>
      <c r="K31" s="128" t="s">
        <v>28</v>
      </c>
      <c r="L31" s="129"/>
    </row>
    <row r="32" spans="2:13" x14ac:dyDescent="0.2">
      <c r="B32" s="50"/>
      <c r="C32" s="52"/>
      <c r="D32" s="35"/>
      <c r="E32" s="50"/>
      <c r="F32" s="52"/>
      <c r="G32" s="35"/>
      <c r="K32" s="92" t="s">
        <v>109</v>
      </c>
      <c r="L32" s="38"/>
    </row>
    <row r="33" spans="1:13" ht="25.5" x14ac:dyDescent="0.2">
      <c r="A33" s="53" t="s">
        <v>70</v>
      </c>
      <c r="B33" s="90" t="s">
        <v>71</v>
      </c>
      <c r="C33" s="55" t="s">
        <v>72</v>
      </c>
      <c r="D33" s="56" t="s">
        <v>110</v>
      </c>
      <c r="E33" s="57"/>
      <c r="K33" s="39" t="s">
        <v>35</v>
      </c>
      <c r="L33" s="40">
        <v>20</v>
      </c>
      <c r="M33" s="29" t="s">
        <v>36</v>
      </c>
    </row>
    <row r="34" spans="1:13" x14ac:dyDescent="0.2">
      <c r="A34" s="58"/>
      <c r="B34" s="59"/>
      <c r="C34" s="60"/>
      <c r="D34" s="61"/>
      <c r="E34" s="57"/>
      <c r="K34" s="39" t="s">
        <v>40</v>
      </c>
      <c r="L34" s="40">
        <v>1</v>
      </c>
      <c r="M34" s="35"/>
    </row>
    <row r="35" spans="1:13" ht="76.5" x14ac:dyDescent="0.2">
      <c r="A35" s="90">
        <v>6007</v>
      </c>
      <c r="B35" s="59" t="s">
        <v>74</v>
      </c>
      <c r="C35" s="91" t="s">
        <v>75</v>
      </c>
      <c r="D35" s="63">
        <f>((PI()*(C12*C12)/4/10000)*C13*C11)</f>
        <v>96.179859089651501</v>
      </c>
      <c r="E35" s="64"/>
      <c r="H35" s="65"/>
      <c r="K35" s="39" t="s">
        <v>100</v>
      </c>
      <c r="L35" s="40">
        <v>17</v>
      </c>
      <c r="M35" s="35" t="s">
        <v>36</v>
      </c>
    </row>
    <row r="36" spans="1:13" ht="102" x14ac:dyDescent="0.2">
      <c r="A36" s="130">
        <v>3708</v>
      </c>
      <c r="B36" s="59" t="s">
        <v>76</v>
      </c>
      <c r="C36" s="60" t="s">
        <v>77</v>
      </c>
      <c r="D36" s="66">
        <f>D37+D38+D39</f>
        <v>24156.229182111703</v>
      </c>
      <c r="H36" s="65"/>
      <c r="K36" s="39" t="s">
        <v>34</v>
      </c>
      <c r="L36" s="41">
        <f>IF(L34=1,(ROUNDUP(((C16-(2*L35/100))*(L34)/(L33/100))+1,0)),(ROUNDUP(((C16-(2*L35/100))*(L34)/(L33/100))+2,0)))</f>
        <v>40</v>
      </c>
      <c r="M36" s="29" t="s">
        <v>33</v>
      </c>
    </row>
    <row r="37" spans="1:13" x14ac:dyDescent="0.2">
      <c r="A37" s="130"/>
      <c r="B37" s="67" t="s">
        <v>29</v>
      </c>
      <c r="C37" s="131" t="s">
        <v>77</v>
      </c>
      <c r="D37" s="68">
        <f>((F14*F11*F13)+(F16*F18*F21))*C11*1.03</f>
        <v>10290.174173108215</v>
      </c>
      <c r="K37" s="39" t="s">
        <v>38</v>
      </c>
      <c r="L37" s="40">
        <v>8</v>
      </c>
      <c r="M37" s="29" t="s">
        <v>39</v>
      </c>
    </row>
    <row r="38" spans="1:13" x14ac:dyDescent="0.2">
      <c r="A38" s="130"/>
      <c r="B38" s="67" t="s">
        <v>31</v>
      </c>
      <c r="C38" s="131"/>
      <c r="D38" s="68">
        <f>(((L14*L16*L17*2)+(L36*L38*L39*2)+(L19*L21*L22*2)+(L41*L43*L44))+(L26*L28*L29))*1.03</f>
        <v>5331.3263912000002</v>
      </c>
      <c r="K38" s="39" t="s">
        <v>42</v>
      </c>
      <c r="L38" s="41">
        <f>LOOKUP(L37,[1]Hoja2!$B$6:$B$18,[1]Hoja2!$E$6:$E$18)</f>
        <v>3.9729999999999999</v>
      </c>
      <c r="M38" s="35" t="s">
        <v>43</v>
      </c>
    </row>
    <row r="39" spans="1:13" x14ac:dyDescent="0.2">
      <c r="A39" s="130"/>
      <c r="B39" s="67" t="s">
        <v>30</v>
      </c>
      <c r="C39" s="131"/>
      <c r="D39" s="69">
        <f>+(I11*I13*I14)+(I16*I18*I21)+(I25*I27*I29*I28)*1.03</f>
        <v>8534.7286178034883</v>
      </c>
      <c r="K39" s="39" t="s">
        <v>45</v>
      </c>
      <c r="L39" s="42">
        <f>(C16-(L35/100)-(L35/100))+0.9+0.9</f>
        <v>9.4600000000000009</v>
      </c>
      <c r="M39" s="35" t="s">
        <v>23</v>
      </c>
    </row>
    <row r="40" spans="1:13" ht="51" x14ac:dyDescent="0.2">
      <c r="A40" s="130">
        <v>3637</v>
      </c>
      <c r="B40" s="59" t="s">
        <v>78</v>
      </c>
      <c r="C40" s="91" t="s">
        <v>75</v>
      </c>
      <c r="D40" s="70">
        <f>D41+D42</f>
        <v>114.38445385609981</v>
      </c>
      <c r="H40" s="64"/>
      <c r="K40" s="39" t="s">
        <v>54</v>
      </c>
      <c r="L40" s="40">
        <v>20</v>
      </c>
      <c r="M40" s="29" t="s">
        <v>36</v>
      </c>
    </row>
    <row r="41" spans="1:13" x14ac:dyDescent="0.2">
      <c r="A41" s="130"/>
      <c r="B41" s="67" t="s">
        <v>31</v>
      </c>
      <c r="C41" s="131" t="s">
        <v>75</v>
      </c>
      <c r="D41" s="71">
        <f>C15*C16*C17</f>
        <v>66</v>
      </c>
      <c r="K41" s="39" t="s">
        <v>56</v>
      </c>
      <c r="L41" s="41">
        <f>ROUNDDOWN((C17-(25/100)-(25/100))/(L40/100)+1,0)</f>
        <v>6</v>
      </c>
      <c r="M41" s="29" t="s">
        <v>33</v>
      </c>
    </row>
    <row r="42" spans="1:13" x14ac:dyDescent="0.2">
      <c r="A42" s="130"/>
      <c r="B42" s="67" t="s">
        <v>30</v>
      </c>
      <c r="C42" s="131"/>
      <c r="D42" s="71">
        <f>(PI()*C29*C29/4)*C30</f>
        <v>48.384453856099803</v>
      </c>
      <c r="K42" s="39" t="s">
        <v>58</v>
      </c>
      <c r="L42" s="40">
        <v>6</v>
      </c>
      <c r="M42" s="29" t="s">
        <v>39</v>
      </c>
    </row>
    <row r="43" spans="1:13" ht="38.25" x14ac:dyDescent="0.2">
      <c r="A43" s="90">
        <v>5055</v>
      </c>
      <c r="B43" s="59" t="s">
        <v>79</v>
      </c>
      <c r="C43" s="91" t="s">
        <v>75</v>
      </c>
      <c r="D43" s="71">
        <f>((PI()*(C12*C12)/4/10000)*(C17+C18)*C11)</f>
        <v>13.901547492134835</v>
      </c>
      <c r="H43" s="64"/>
      <c r="K43" s="39" t="s">
        <v>61</v>
      </c>
      <c r="L43" s="41">
        <f>LOOKUP(L42,[1]Hoja2!$B$6:$B$18,[1]Hoja2!$E$6:$E$18)</f>
        <v>2.2349999999999999</v>
      </c>
      <c r="M43" s="35" t="s">
        <v>43</v>
      </c>
    </row>
    <row r="44" spans="1:13" ht="51.75" thickBot="1" x14ac:dyDescent="0.25">
      <c r="A44" s="90">
        <v>6021</v>
      </c>
      <c r="B44" s="59" t="s">
        <v>89</v>
      </c>
      <c r="C44" s="91" t="s">
        <v>75</v>
      </c>
      <c r="D44" s="71">
        <f>(C25*C26*C27)-((PI()*C12*C12*0.1/4/10000)*C11)</f>
        <v>1.7287611019615312</v>
      </c>
      <c r="H44" s="64"/>
      <c r="K44" s="46" t="s">
        <v>62</v>
      </c>
      <c r="L44" s="48">
        <f>C16-(L35/100)-(L35/100)</f>
        <v>7.66</v>
      </c>
      <c r="M44" s="35" t="s">
        <v>23</v>
      </c>
    </row>
    <row r="45" spans="1:13" ht="25.5" x14ac:dyDescent="0.2">
      <c r="A45" s="94">
        <v>5416</v>
      </c>
      <c r="B45" s="81" t="s">
        <v>90</v>
      </c>
      <c r="C45" s="72" t="s">
        <v>75</v>
      </c>
      <c r="D45" s="95">
        <f>C20*C21*C22</f>
        <v>225</v>
      </c>
      <c r="E45" s="96"/>
      <c r="H45" s="65"/>
      <c r="K45" s="65"/>
    </row>
    <row r="46" spans="1:13" ht="51" x14ac:dyDescent="0.2">
      <c r="A46" s="94">
        <v>3017</v>
      </c>
      <c r="B46" s="81" t="s">
        <v>91</v>
      </c>
      <c r="C46" s="72" t="s">
        <v>75</v>
      </c>
      <c r="D46" s="71">
        <f>D45</f>
        <v>225</v>
      </c>
      <c r="E46" s="96"/>
      <c r="H46" s="64"/>
      <c r="K46" s="64"/>
    </row>
    <row r="47" spans="1:13" ht="38.25" x14ac:dyDescent="0.2">
      <c r="A47" s="94">
        <v>4908</v>
      </c>
      <c r="B47" s="59" t="s">
        <v>80</v>
      </c>
      <c r="C47" s="91" t="s">
        <v>75</v>
      </c>
      <c r="D47" s="71">
        <f>D45-(C25*C26*C27)-D41-((PI()*C29*C29/4)*C18)</f>
        <v>141.20945375747897</v>
      </c>
      <c r="K47" s="64"/>
    </row>
    <row r="48" spans="1:13" ht="51" x14ac:dyDescent="0.2">
      <c r="A48" s="94">
        <v>5196</v>
      </c>
      <c r="B48" s="81" t="s">
        <v>102</v>
      </c>
      <c r="C48" s="91" t="s">
        <v>75</v>
      </c>
      <c r="D48" s="71">
        <f>C20*C21*0.15</f>
        <v>11.25</v>
      </c>
    </row>
    <row r="49" spans="1:1" x14ac:dyDescent="0.2">
      <c r="A49" s="94"/>
    </row>
    <row r="50" spans="1:1" x14ac:dyDescent="0.2">
      <c r="A50" s="94"/>
    </row>
    <row r="51" spans="1:1" x14ac:dyDescent="0.2">
      <c r="A51" s="94"/>
    </row>
  </sheetData>
  <mergeCells count="14">
    <mergeCell ref="H23:I23"/>
    <mergeCell ref="A40:A42"/>
    <mergeCell ref="C41:C42"/>
    <mergeCell ref="H24:I24"/>
    <mergeCell ref="K24:L24"/>
    <mergeCell ref="K25:L25"/>
    <mergeCell ref="K31:L31"/>
    <mergeCell ref="A36:A39"/>
    <mergeCell ref="C37:C39"/>
    <mergeCell ref="E7:I7"/>
    <mergeCell ref="B9:C9"/>
    <mergeCell ref="E9:F9"/>
    <mergeCell ref="H9:I9"/>
    <mergeCell ref="K9:L9"/>
  </mergeCells>
  <pageMargins left="0.7" right="0.7" top="0.75" bottom="0.75" header="0.3" footer="0.3"/>
  <pageSetup scale="46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7CB35-F976-493C-861E-D0FFC7CF2A53}">
  <sheetPr>
    <tabColor rgb="FFFFFF00"/>
  </sheetPr>
  <dimension ref="A2:M49"/>
  <sheetViews>
    <sheetView view="pageBreakPreview" topLeftCell="A4" zoomScale="85" zoomScaleNormal="85" zoomScaleSheetLayoutView="85" workbookViewId="0">
      <selection activeCell="G16" sqref="G16"/>
    </sheetView>
  </sheetViews>
  <sheetFormatPr baseColWidth="10" defaultRowHeight="14.25" x14ac:dyDescent="0.2"/>
  <cols>
    <col min="1" max="1" width="9.7109375" style="29" customWidth="1"/>
    <col min="2" max="2" width="42.85546875" style="29" customWidth="1"/>
    <col min="3" max="3" width="12.28515625" style="32" customWidth="1"/>
    <col min="4" max="4" width="12.85546875" style="32" customWidth="1"/>
    <col min="5" max="5" width="28.7109375" style="32" bestFit="1" customWidth="1"/>
    <col min="6" max="7" width="11.42578125" style="32"/>
    <col min="8" max="8" width="28.7109375" style="32" customWidth="1"/>
    <col min="9" max="10" width="11.42578125" style="32"/>
    <col min="11" max="11" width="28.7109375" style="32" customWidth="1"/>
    <col min="12" max="16384" width="11.42578125" style="29"/>
  </cols>
  <sheetData>
    <row r="2" spans="2:13" ht="16.5" x14ac:dyDescent="0.2">
      <c r="C2" s="30"/>
      <c r="D2" s="30"/>
      <c r="E2" s="31" t="s">
        <v>24</v>
      </c>
      <c r="F2" s="30"/>
      <c r="G2" s="30"/>
    </row>
    <row r="3" spans="2:13" ht="16.5" x14ac:dyDescent="0.3">
      <c r="C3" s="30"/>
      <c r="D3" s="30"/>
      <c r="E3" s="28" t="s">
        <v>25</v>
      </c>
      <c r="F3" s="30"/>
      <c r="G3" s="30"/>
    </row>
    <row r="4" spans="2:13" ht="16.5" x14ac:dyDescent="0.2">
      <c r="C4" s="30"/>
      <c r="D4" s="30"/>
      <c r="E4" s="33"/>
      <c r="F4" s="30"/>
      <c r="G4" s="30"/>
    </row>
    <row r="5" spans="2:13" ht="16.5" x14ac:dyDescent="0.3">
      <c r="C5" s="30"/>
      <c r="D5" s="30"/>
      <c r="E5" s="34" t="s">
        <v>26</v>
      </c>
      <c r="F5" s="30"/>
      <c r="G5" s="30"/>
    </row>
    <row r="7" spans="2:13" ht="16.5" x14ac:dyDescent="0.3">
      <c r="E7" s="132" t="s">
        <v>126</v>
      </c>
      <c r="F7" s="132"/>
      <c r="G7" s="132"/>
      <c r="H7" s="132"/>
      <c r="I7" s="132"/>
    </row>
    <row r="8" spans="2:13" ht="15" thickBot="1" x14ac:dyDescent="0.25"/>
    <row r="9" spans="2:13" x14ac:dyDescent="0.2">
      <c r="B9" s="133" t="s">
        <v>27</v>
      </c>
      <c r="C9" s="134"/>
      <c r="D9" s="35"/>
      <c r="E9" s="128" t="s">
        <v>28</v>
      </c>
      <c r="F9" s="129"/>
      <c r="G9" s="35"/>
      <c r="H9" s="128" t="s">
        <v>28</v>
      </c>
      <c r="I9" s="129"/>
      <c r="K9" s="128" t="s">
        <v>28</v>
      </c>
      <c r="L9" s="129"/>
    </row>
    <row r="10" spans="2:13" x14ac:dyDescent="0.2">
      <c r="B10" s="92" t="s">
        <v>29</v>
      </c>
      <c r="C10" s="37"/>
      <c r="D10" s="35"/>
      <c r="E10" s="92" t="s">
        <v>29</v>
      </c>
      <c r="F10" s="37"/>
      <c r="G10" s="35"/>
      <c r="H10" s="92" t="s">
        <v>30</v>
      </c>
      <c r="I10" s="38"/>
      <c r="J10" s="35"/>
      <c r="K10" s="92" t="s">
        <v>31</v>
      </c>
      <c r="L10" s="38"/>
    </row>
    <row r="11" spans="2:13" x14ac:dyDescent="0.2">
      <c r="B11" s="39" t="s">
        <v>32</v>
      </c>
      <c r="C11" s="40">
        <v>4</v>
      </c>
      <c r="D11" s="35" t="s">
        <v>33</v>
      </c>
      <c r="E11" s="39" t="s">
        <v>34</v>
      </c>
      <c r="F11" s="40">
        <v>16</v>
      </c>
      <c r="G11" s="35" t="s">
        <v>33</v>
      </c>
      <c r="H11" s="39" t="s">
        <v>34</v>
      </c>
      <c r="I11" s="40">
        <v>76</v>
      </c>
      <c r="J11" s="35" t="s">
        <v>33</v>
      </c>
      <c r="K11" s="39" t="s">
        <v>35</v>
      </c>
      <c r="L11" s="40">
        <v>20</v>
      </c>
      <c r="M11" s="29" t="s">
        <v>36</v>
      </c>
    </row>
    <row r="12" spans="2:13" x14ac:dyDescent="0.2">
      <c r="B12" s="39" t="s">
        <v>37</v>
      </c>
      <c r="C12" s="40">
        <v>100</v>
      </c>
      <c r="D12" s="35" t="s">
        <v>36</v>
      </c>
      <c r="E12" s="39" t="s">
        <v>38</v>
      </c>
      <c r="F12" s="40">
        <v>8</v>
      </c>
      <c r="G12" s="35" t="s">
        <v>39</v>
      </c>
      <c r="H12" s="39" t="s">
        <v>38</v>
      </c>
      <c r="I12" s="40">
        <v>14</v>
      </c>
      <c r="J12" s="35" t="s">
        <v>39</v>
      </c>
      <c r="K12" s="39" t="s">
        <v>40</v>
      </c>
      <c r="L12" s="40">
        <v>1</v>
      </c>
      <c r="M12" s="35"/>
    </row>
    <row r="13" spans="2:13" x14ac:dyDescent="0.2">
      <c r="B13" s="39" t="s">
        <v>41</v>
      </c>
      <c r="C13" s="40">
        <f>24+1.5+0.974</f>
        <v>26.474</v>
      </c>
      <c r="D13" s="35" t="s">
        <v>23</v>
      </c>
      <c r="E13" s="39" t="s">
        <v>42</v>
      </c>
      <c r="F13" s="41">
        <f>LOOKUP(F12,[1]Hoja2!$B$6:$B$18,[1]Hoja2!$E$6:$E$18)</f>
        <v>3.9729999999999999</v>
      </c>
      <c r="G13" s="35" t="s">
        <v>43</v>
      </c>
      <c r="H13" s="39" t="s">
        <v>42</v>
      </c>
      <c r="I13" s="41">
        <f>LOOKUP(I12,[1]Hoja2!$B$6:$B$18,[1]Hoja2!$E$6:$E$18)</f>
        <v>11.38</v>
      </c>
      <c r="J13" s="35" t="s">
        <v>43</v>
      </c>
      <c r="K13" s="39" t="s">
        <v>100</v>
      </c>
      <c r="L13" s="40">
        <v>17</v>
      </c>
      <c r="M13" s="35" t="s">
        <v>36</v>
      </c>
    </row>
    <row r="14" spans="2:13" x14ac:dyDescent="0.2">
      <c r="B14" s="92" t="s">
        <v>31</v>
      </c>
      <c r="C14" s="40"/>
      <c r="D14" s="35"/>
      <c r="E14" s="39" t="s">
        <v>45</v>
      </c>
      <c r="F14" s="42">
        <f>(C13-C18-0.5-0.15)+(IF(C12=100,1,1.2))</f>
        <v>25.85</v>
      </c>
      <c r="G14" s="35" t="s">
        <v>23</v>
      </c>
      <c r="H14" s="39" t="s">
        <v>45</v>
      </c>
      <c r="I14" s="42">
        <f>(C30+C17-0.3-0.15)+(2.4)</f>
        <v>6.4499999999999993</v>
      </c>
      <c r="J14" s="35" t="s">
        <v>23</v>
      </c>
      <c r="K14" s="39" t="s">
        <v>34</v>
      </c>
      <c r="L14" s="41">
        <f>IF(L12=1,(ROUNDUP(((C15-(2*L13/100))*(L12)/(L11/100))+1,0)),(ROUNDUP(((C15-(2*L13/100))*(L12)/(L11/100))+2,0)))</f>
        <v>27</v>
      </c>
      <c r="M14" s="29" t="s">
        <v>33</v>
      </c>
    </row>
    <row r="15" spans="2:13" x14ac:dyDescent="0.2">
      <c r="B15" s="39" t="s">
        <v>46</v>
      </c>
      <c r="C15" s="40">
        <v>5.5</v>
      </c>
      <c r="D15" s="35" t="s">
        <v>23</v>
      </c>
      <c r="E15" s="39" t="s">
        <v>47</v>
      </c>
      <c r="F15" s="38">
        <v>0.1</v>
      </c>
      <c r="G15" s="43" t="s">
        <v>23</v>
      </c>
      <c r="H15" s="39" t="s">
        <v>47</v>
      </c>
      <c r="I15" s="38">
        <v>0.1</v>
      </c>
      <c r="J15" s="43" t="s">
        <v>23</v>
      </c>
      <c r="K15" s="39" t="s">
        <v>38</v>
      </c>
      <c r="L15" s="40">
        <v>8</v>
      </c>
      <c r="M15" s="29" t="s">
        <v>39</v>
      </c>
    </row>
    <row r="16" spans="2:13" x14ac:dyDescent="0.2">
      <c r="B16" s="39" t="s">
        <v>48</v>
      </c>
      <c r="C16" s="40">
        <v>5.5</v>
      </c>
      <c r="D16" s="35" t="s">
        <v>23</v>
      </c>
      <c r="E16" s="39" t="s">
        <v>49</v>
      </c>
      <c r="F16" s="44">
        <v>158</v>
      </c>
      <c r="G16" s="35" t="s">
        <v>33</v>
      </c>
      <c r="H16" s="39" t="s">
        <v>49</v>
      </c>
      <c r="I16" s="97">
        <v>44</v>
      </c>
      <c r="J16" s="35" t="s">
        <v>33</v>
      </c>
      <c r="K16" s="39" t="s">
        <v>42</v>
      </c>
      <c r="L16" s="41">
        <f>LOOKUP(L15,[1]Hoja2!$B$6:$B$18,[1]Hoja2!$E$6:$E$18)</f>
        <v>3.9729999999999999</v>
      </c>
      <c r="M16" s="35" t="s">
        <v>43</v>
      </c>
    </row>
    <row r="17" spans="2:13" x14ac:dyDescent="0.2">
      <c r="B17" s="39" t="s">
        <v>50</v>
      </c>
      <c r="C17" s="40">
        <v>1.5</v>
      </c>
      <c r="D17" s="35" t="s">
        <v>23</v>
      </c>
      <c r="E17" s="39" t="s">
        <v>51</v>
      </c>
      <c r="F17" s="40">
        <v>4</v>
      </c>
      <c r="G17" s="35" t="s">
        <v>39</v>
      </c>
      <c r="H17" s="39" t="s">
        <v>51</v>
      </c>
      <c r="I17" s="40">
        <v>4</v>
      </c>
      <c r="J17" s="35" t="s">
        <v>39</v>
      </c>
      <c r="K17" s="39" t="s">
        <v>45</v>
      </c>
      <c r="L17" s="42">
        <f>(C15-(L13/100)-(L13/100))+0.9+0.9</f>
        <v>6.9600000000000009</v>
      </c>
      <c r="M17" s="35" t="s">
        <v>23</v>
      </c>
    </row>
    <row r="18" spans="2:13" x14ac:dyDescent="0.2">
      <c r="B18" s="39" t="s">
        <v>52</v>
      </c>
      <c r="C18" s="93">
        <v>0.97399999999999998</v>
      </c>
      <c r="D18" s="35" t="s">
        <v>23</v>
      </c>
      <c r="E18" s="39" t="s">
        <v>53</v>
      </c>
      <c r="F18" s="41">
        <f>LOOKUP(F17,[1]Hoja2!$B$6:$B$18,[1]Hoja2!$E$6:$E$18)</f>
        <v>0.99399999999999999</v>
      </c>
      <c r="G18" s="35" t="s">
        <v>43</v>
      </c>
      <c r="H18" s="39" t="s">
        <v>53</v>
      </c>
      <c r="I18" s="41">
        <f>LOOKUP(I17,[1]Hoja2!$B$6:$B$18,[1]Hoja2!$E$6:$E$18)</f>
        <v>0.99399999999999999</v>
      </c>
      <c r="J18" s="35" t="s">
        <v>43</v>
      </c>
      <c r="K18" s="39" t="s">
        <v>54</v>
      </c>
      <c r="L18" s="40">
        <v>20</v>
      </c>
      <c r="M18" s="29" t="s">
        <v>36</v>
      </c>
    </row>
    <row r="19" spans="2:13" x14ac:dyDescent="0.2">
      <c r="B19" s="92" t="s">
        <v>55</v>
      </c>
      <c r="C19" s="40"/>
      <c r="D19" s="35"/>
      <c r="E19" s="39" t="s">
        <v>44</v>
      </c>
      <c r="F19" s="40">
        <v>10</v>
      </c>
      <c r="G19" s="35" t="s">
        <v>36</v>
      </c>
      <c r="H19" s="39" t="s">
        <v>44</v>
      </c>
      <c r="I19" s="40">
        <v>7</v>
      </c>
      <c r="J19" s="35" t="s">
        <v>36</v>
      </c>
      <c r="K19" s="39" t="s">
        <v>56</v>
      </c>
      <c r="L19" s="41">
        <f>ROUNDDOWN((C17-(25/100)-(25/100))/(L18/100)+1,0)</f>
        <v>6</v>
      </c>
      <c r="M19" s="29" t="s">
        <v>33</v>
      </c>
    </row>
    <row r="20" spans="2:13" x14ac:dyDescent="0.2">
      <c r="B20" s="39" t="s">
        <v>57</v>
      </c>
      <c r="C20" s="41">
        <f>+C15+1+1</f>
        <v>7.5</v>
      </c>
      <c r="D20" s="35" t="s">
        <v>23</v>
      </c>
      <c r="E20" s="39" t="s">
        <v>35</v>
      </c>
      <c r="F20" s="45">
        <f>(PI()*(C12-F19-F19))/F11</f>
        <v>15.707963267948966</v>
      </c>
      <c r="G20" s="35" t="s">
        <v>36</v>
      </c>
      <c r="H20" s="39" t="s">
        <v>35</v>
      </c>
      <c r="I20" s="45">
        <f>(PI()*(C29*(100)-I19-I19))/I11</f>
        <v>14.715881377341663</v>
      </c>
      <c r="J20" s="35" t="s">
        <v>36</v>
      </c>
      <c r="K20" s="39" t="s">
        <v>58</v>
      </c>
      <c r="L20" s="40">
        <v>6</v>
      </c>
      <c r="M20" s="29" t="s">
        <v>39</v>
      </c>
    </row>
    <row r="21" spans="2:13" ht="15" thickBot="1" x14ac:dyDescent="0.25">
      <c r="B21" s="39" t="s">
        <v>59</v>
      </c>
      <c r="C21" s="41">
        <f>+C16+1+1</f>
        <v>7.5</v>
      </c>
      <c r="D21" s="35" t="s">
        <v>23</v>
      </c>
      <c r="E21" s="46" t="s">
        <v>60</v>
      </c>
      <c r="F21" s="47">
        <f>((PI()*(C12-F19-F19))+(F20*(3)+F20*(3)+((LOOKUP(F17,[1]Hoja2!$B$6:$B$18,[1]Hoja2!$H$6:$H$18))*2)+20))/100</f>
        <v>3.8957519189487719</v>
      </c>
      <c r="G21" s="35" t="s">
        <v>23</v>
      </c>
      <c r="H21" s="46" t="s">
        <v>60</v>
      </c>
      <c r="I21" s="47">
        <f>((PI()*(C29*(100)-I19-I19))+(I20*(3)+I20*(3)+((LOOKUP(I17,[1]Hoja2!$B$6:$B$18,[1]Hoja2!$H$6:$H$18))*2)+20))/100</f>
        <v>12.507022729420164</v>
      </c>
      <c r="J21" s="35" t="s">
        <v>23</v>
      </c>
      <c r="K21" s="39" t="s">
        <v>61</v>
      </c>
      <c r="L21" s="41">
        <f>LOOKUP(L20,[1]Hoja2!$B$6:$B$18,[1]Hoja2!$E$6:$E$18)</f>
        <v>2.2349999999999999</v>
      </c>
      <c r="M21" s="35" t="s">
        <v>43</v>
      </c>
    </row>
    <row r="22" spans="2:13" ht="15" thickBot="1" x14ac:dyDescent="0.25">
      <c r="B22" s="39" t="s">
        <v>50</v>
      </c>
      <c r="C22" s="42">
        <f>+C18+C17+C27</f>
        <v>2.524</v>
      </c>
      <c r="D22" s="35" t="s">
        <v>23</v>
      </c>
      <c r="K22" s="46" t="s">
        <v>62</v>
      </c>
      <c r="L22" s="48">
        <f>C15-(L13/100)-(L13/100)</f>
        <v>5.16</v>
      </c>
      <c r="M22" s="35" t="s">
        <v>23</v>
      </c>
    </row>
    <row r="23" spans="2:13" ht="15" thickBot="1" x14ac:dyDescent="0.25">
      <c r="B23" s="39"/>
      <c r="C23" s="38"/>
      <c r="D23" s="35"/>
      <c r="H23" s="128" t="s">
        <v>28</v>
      </c>
      <c r="I23" s="129"/>
    </row>
    <row r="24" spans="2:13" x14ac:dyDescent="0.2">
      <c r="B24" s="92" t="s">
        <v>63</v>
      </c>
      <c r="C24" s="40"/>
      <c r="D24" s="35"/>
      <c r="H24" s="135" t="s">
        <v>64</v>
      </c>
      <c r="I24" s="136"/>
      <c r="K24" s="128" t="s">
        <v>28</v>
      </c>
      <c r="L24" s="129"/>
      <c r="M24" s="32"/>
    </row>
    <row r="25" spans="2:13" x14ac:dyDescent="0.2">
      <c r="B25" s="39" t="s">
        <v>46</v>
      </c>
      <c r="C25" s="42">
        <f>+C15</f>
        <v>5.5</v>
      </c>
      <c r="D25" s="35" t="s">
        <v>23</v>
      </c>
      <c r="H25" s="39" t="s">
        <v>34</v>
      </c>
      <c r="I25" s="41">
        <f>IF(C29=2.5,12*2,IF(C29=3,13*2,IF(C29=3.7,14*2)))</f>
        <v>28</v>
      </c>
      <c r="J25" s="35" t="s">
        <v>33</v>
      </c>
      <c r="K25" s="135" t="s">
        <v>65</v>
      </c>
      <c r="L25" s="136"/>
      <c r="M25" s="32"/>
    </row>
    <row r="26" spans="2:13" x14ac:dyDescent="0.2">
      <c r="B26" s="39" t="s">
        <v>48</v>
      </c>
      <c r="C26" s="42">
        <f>+C16</f>
        <v>5.5</v>
      </c>
      <c r="D26" s="35" t="s">
        <v>23</v>
      </c>
      <c r="H26" s="39" t="s">
        <v>38</v>
      </c>
      <c r="I26" s="40">
        <v>4</v>
      </c>
      <c r="J26" s="35" t="s">
        <v>39</v>
      </c>
      <c r="K26" s="39" t="s">
        <v>34</v>
      </c>
      <c r="L26" s="40">
        <f>17*4</f>
        <v>68</v>
      </c>
      <c r="M26" s="35" t="s">
        <v>33</v>
      </c>
    </row>
    <row r="27" spans="2:13" x14ac:dyDescent="0.2">
      <c r="B27" s="39" t="s">
        <v>50</v>
      </c>
      <c r="C27" s="40">
        <v>0.05</v>
      </c>
      <c r="D27" s="35" t="s">
        <v>23</v>
      </c>
      <c r="H27" s="39" t="s">
        <v>42</v>
      </c>
      <c r="I27" s="41">
        <f>LOOKUP(I26,[1]Hoja2!$B$6:$B$18,[1]Hoja2!$E$6:$E$18)</f>
        <v>0.99399999999999999</v>
      </c>
      <c r="J27" s="35" t="s">
        <v>43</v>
      </c>
      <c r="K27" s="39" t="s">
        <v>38</v>
      </c>
      <c r="L27" s="40">
        <v>4</v>
      </c>
      <c r="M27" s="35" t="s">
        <v>39</v>
      </c>
    </row>
    <row r="28" spans="2:13" x14ac:dyDescent="0.2">
      <c r="B28" s="92" t="s">
        <v>66</v>
      </c>
      <c r="C28" s="40"/>
      <c r="D28" s="35"/>
      <c r="H28" s="39" t="s">
        <v>67</v>
      </c>
      <c r="I28" s="40">
        <v>13</v>
      </c>
      <c r="J28" s="35"/>
      <c r="K28" s="39" t="s">
        <v>42</v>
      </c>
      <c r="L28" s="41">
        <f>LOOKUP(L27,[1]Hoja2!$B$6:$B$18,[1]Hoja2!$E$6:$E$18)</f>
        <v>0.99399999999999999</v>
      </c>
      <c r="M28" s="35" t="s">
        <v>43</v>
      </c>
    </row>
    <row r="29" spans="2:13" ht="15" thickBot="1" x14ac:dyDescent="0.25">
      <c r="B29" s="39" t="s">
        <v>37</v>
      </c>
      <c r="C29" s="40">
        <v>3.7</v>
      </c>
      <c r="D29" s="35" t="s">
        <v>23</v>
      </c>
      <c r="H29" s="46" t="s">
        <v>68</v>
      </c>
      <c r="I29" s="47">
        <f>IF(C29=2.5,(1.8+([1]Hoja2!I10/100*4)+(0.2)),IF(C29=3,(2.09+([1]Hoja2!I10/100*4)+(0.2)),IF(C29=3.7,(2.07+([1]Hoja2!I10/100*4)+(0.2)))))</f>
        <v>2.5499999999999998</v>
      </c>
      <c r="J29" s="35" t="s">
        <v>23</v>
      </c>
      <c r="K29" s="46" t="s">
        <v>68</v>
      </c>
      <c r="L29" s="47">
        <f>((0.75+1.235)*2)+0.21+0.24</f>
        <v>4.4200000000000008</v>
      </c>
      <c r="M29" s="35" t="s">
        <v>23</v>
      </c>
    </row>
    <row r="30" spans="2:13" ht="15" thickBot="1" x14ac:dyDescent="0.25">
      <c r="B30" s="46" t="s">
        <v>69</v>
      </c>
      <c r="C30" s="49">
        <v>3</v>
      </c>
      <c r="D30" s="35" t="s">
        <v>23</v>
      </c>
      <c r="G30" s="35"/>
      <c r="K30" s="50"/>
      <c r="L30" s="51"/>
      <c r="M30" s="35"/>
    </row>
    <row r="31" spans="2:13" x14ac:dyDescent="0.2">
      <c r="B31" s="50"/>
      <c r="C31" s="52"/>
      <c r="D31" s="35"/>
      <c r="E31" s="50"/>
      <c r="F31" s="52"/>
      <c r="G31" s="35"/>
    </row>
    <row r="32" spans="2:13" x14ac:dyDescent="0.2">
      <c r="B32" s="50"/>
      <c r="C32" s="52"/>
      <c r="D32" s="35"/>
      <c r="E32" s="50"/>
      <c r="F32" s="52"/>
      <c r="G32" s="35"/>
    </row>
    <row r="33" spans="1:11" ht="25.5" x14ac:dyDescent="0.2">
      <c r="A33" s="53" t="s">
        <v>70</v>
      </c>
      <c r="B33" s="90" t="s">
        <v>71</v>
      </c>
      <c r="C33" s="55" t="s">
        <v>72</v>
      </c>
      <c r="D33" s="56" t="s">
        <v>111</v>
      </c>
      <c r="E33" s="57"/>
    </row>
    <row r="34" spans="1:11" ht="76.5" x14ac:dyDescent="0.2">
      <c r="A34" s="90">
        <v>6007</v>
      </c>
      <c r="B34" s="59" t="s">
        <v>74</v>
      </c>
      <c r="C34" s="91" t="s">
        <v>75</v>
      </c>
      <c r="D34" s="63">
        <f>((PI()*(C12*C12)/4/10000)*C13*C11)</f>
        <v>83.170523911136186</v>
      </c>
      <c r="E34" s="64"/>
      <c r="H34" s="65"/>
      <c r="K34" s="65"/>
    </row>
    <row r="35" spans="1:11" ht="102" x14ac:dyDescent="0.2">
      <c r="A35" s="130">
        <v>3708</v>
      </c>
      <c r="B35" s="59" t="s">
        <v>76</v>
      </c>
      <c r="C35" s="60" t="s">
        <v>77</v>
      </c>
      <c r="D35" s="66">
        <f>D36+D37+D38</f>
        <v>20035.497393637859</v>
      </c>
      <c r="H35" s="65"/>
      <c r="K35" s="65"/>
    </row>
    <row r="36" spans="1:11" x14ac:dyDescent="0.2">
      <c r="A36" s="130"/>
      <c r="B36" s="67" t="s">
        <v>29</v>
      </c>
      <c r="C36" s="131" t="s">
        <v>77</v>
      </c>
      <c r="D36" s="68">
        <f>((F14*F11*F13)+(F16*F18*F21))*C11*1.03</f>
        <v>9290.881933143939</v>
      </c>
    </row>
    <row r="37" spans="1:11" x14ac:dyDescent="0.2">
      <c r="A37" s="130"/>
      <c r="B37" s="67" t="s">
        <v>31</v>
      </c>
      <c r="C37" s="131"/>
      <c r="D37" s="68">
        <f>(((L14*L16*L17*4)+(L19*L21*L22*4))+(L26*L28*L29))*1.03</f>
        <v>3668.8225904000005</v>
      </c>
    </row>
    <row r="38" spans="1:11" x14ac:dyDescent="0.2">
      <c r="A38" s="130"/>
      <c r="B38" s="67" t="s">
        <v>30</v>
      </c>
      <c r="C38" s="131"/>
      <c r="D38" s="69">
        <f>+(I11*I13*I14)+(I16*I18*I21)+(I25*I27*I29*I28)*1.03</f>
        <v>7075.7928700939201</v>
      </c>
    </row>
    <row r="39" spans="1:11" ht="51" x14ac:dyDescent="0.2">
      <c r="A39" s="130">
        <v>3637</v>
      </c>
      <c r="B39" s="59" t="s">
        <v>78</v>
      </c>
      <c r="C39" s="91" t="s">
        <v>75</v>
      </c>
      <c r="D39" s="70">
        <f>D40+D41</f>
        <v>77.631302570733197</v>
      </c>
      <c r="H39" s="64"/>
      <c r="K39" s="64"/>
    </row>
    <row r="40" spans="1:11" x14ac:dyDescent="0.2">
      <c r="A40" s="130"/>
      <c r="B40" s="67" t="s">
        <v>31</v>
      </c>
      <c r="C40" s="131" t="s">
        <v>75</v>
      </c>
      <c r="D40" s="71">
        <f>C15*C16*C17</f>
        <v>45.375</v>
      </c>
    </row>
    <row r="41" spans="1:11" x14ac:dyDescent="0.2">
      <c r="A41" s="130"/>
      <c r="B41" s="67" t="s">
        <v>30</v>
      </c>
      <c r="C41" s="131"/>
      <c r="D41" s="71">
        <f>(PI()*C29*C29/4)*C30</f>
        <v>32.256302570733197</v>
      </c>
    </row>
    <row r="42" spans="1:11" ht="38.25" x14ac:dyDescent="0.2">
      <c r="A42" s="90">
        <v>5055</v>
      </c>
      <c r="B42" s="59" t="s">
        <v>79</v>
      </c>
      <c r="C42" s="91" t="s">
        <v>75</v>
      </c>
      <c r="D42" s="71">
        <f>((PI()*(C12*C12)/4/10000)*(C17+C18)*C11)</f>
        <v>7.7723002249811488</v>
      </c>
      <c r="H42" s="64"/>
      <c r="K42" s="64"/>
    </row>
    <row r="43" spans="1:11" ht="51" x14ac:dyDescent="0.2">
      <c r="A43" s="90">
        <v>6021</v>
      </c>
      <c r="B43" s="59" t="s">
        <v>89</v>
      </c>
      <c r="C43" s="91" t="s">
        <v>75</v>
      </c>
      <c r="D43" s="71">
        <f>(C25*C26*C27)-((PI()*C12*C12*0.1/4/10000)*C11)</f>
        <v>1.1983407346410209</v>
      </c>
      <c r="H43" s="64"/>
      <c r="K43" s="64"/>
    </row>
    <row r="44" spans="1:11" ht="25.5" x14ac:dyDescent="0.2">
      <c r="A44" s="94">
        <v>5416</v>
      </c>
      <c r="B44" s="81" t="s">
        <v>90</v>
      </c>
      <c r="C44" s="72" t="s">
        <v>75</v>
      </c>
      <c r="D44" s="95">
        <f>C20*C21*C22</f>
        <v>141.97499999999999</v>
      </c>
      <c r="E44" s="96"/>
      <c r="H44" s="65"/>
      <c r="K44" s="65"/>
    </row>
    <row r="45" spans="1:11" ht="51" x14ac:dyDescent="0.2">
      <c r="A45" s="94">
        <v>3017</v>
      </c>
      <c r="B45" s="81" t="s">
        <v>91</v>
      </c>
      <c r="C45" s="72" t="s">
        <v>75</v>
      </c>
      <c r="D45" s="71">
        <f>D44</f>
        <v>141.97499999999999</v>
      </c>
      <c r="E45" s="96"/>
      <c r="H45" s="64"/>
      <c r="K45" s="64"/>
    </row>
    <row r="46" spans="1:11" ht="38.25" x14ac:dyDescent="0.2">
      <c r="A46" s="94">
        <v>4908</v>
      </c>
      <c r="B46" s="59" t="s">
        <v>80</v>
      </c>
      <c r="C46" s="91" t="s">
        <v>75</v>
      </c>
      <c r="D46" s="71">
        <f>D44-(C25*C26*C27)-D40-((PI()*C29*C29/4)*C18)</f>
        <v>84.614953765368625</v>
      </c>
      <c r="K46" s="64"/>
    </row>
    <row r="47" spans="1:11" x14ac:dyDescent="0.2">
      <c r="A47" s="94"/>
    </row>
    <row r="48" spans="1:11" x14ac:dyDescent="0.2">
      <c r="A48" s="94"/>
    </row>
    <row r="49" spans="1:1" x14ac:dyDescent="0.2">
      <c r="A49" s="94"/>
    </row>
  </sheetData>
  <mergeCells count="13">
    <mergeCell ref="K9:L9"/>
    <mergeCell ref="H23:I23"/>
    <mergeCell ref="A39:A41"/>
    <mergeCell ref="C40:C41"/>
    <mergeCell ref="E7:I7"/>
    <mergeCell ref="B9:C9"/>
    <mergeCell ref="E9:F9"/>
    <mergeCell ref="H9:I9"/>
    <mergeCell ref="H24:I24"/>
    <mergeCell ref="K24:L24"/>
    <mergeCell ref="K25:L25"/>
    <mergeCell ref="A35:A38"/>
    <mergeCell ref="C36:C38"/>
  </mergeCells>
  <pageMargins left="0.7" right="0.7" top="0.75" bottom="0.75" header="0.3" footer="0.3"/>
  <pageSetup scale="46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0407A-4227-41B3-8FD7-7EB6167B0362}">
  <sheetPr>
    <tabColor rgb="FFFFFF00"/>
  </sheetPr>
  <dimension ref="A2:M50"/>
  <sheetViews>
    <sheetView view="pageBreakPreview" zoomScale="85" zoomScaleNormal="85" zoomScaleSheetLayoutView="85" workbookViewId="0">
      <selection activeCell="G16" sqref="G16"/>
    </sheetView>
  </sheetViews>
  <sheetFormatPr baseColWidth="10" defaultRowHeight="14.25" x14ac:dyDescent="0.2"/>
  <cols>
    <col min="1" max="1" width="9.7109375" style="29" customWidth="1"/>
    <col min="2" max="2" width="42.85546875" style="29" customWidth="1"/>
    <col min="3" max="3" width="12.28515625" style="32" customWidth="1"/>
    <col min="4" max="4" width="12.85546875" style="32" customWidth="1"/>
    <col min="5" max="5" width="28.7109375" style="32" bestFit="1" customWidth="1"/>
    <col min="6" max="7" width="11.42578125" style="32"/>
    <col min="8" max="8" width="28.7109375" style="32" customWidth="1"/>
    <col min="9" max="10" width="11.42578125" style="32"/>
    <col min="11" max="11" width="28.7109375" style="32" customWidth="1"/>
    <col min="12" max="16384" width="11.42578125" style="29"/>
  </cols>
  <sheetData>
    <row r="2" spans="2:13" ht="16.5" x14ac:dyDescent="0.2">
      <c r="C2" s="30"/>
      <c r="D2" s="30"/>
      <c r="E2" s="31" t="s">
        <v>24</v>
      </c>
      <c r="F2" s="30"/>
      <c r="G2" s="30"/>
    </row>
    <row r="3" spans="2:13" ht="16.5" x14ac:dyDescent="0.3">
      <c r="C3" s="30"/>
      <c r="D3" s="30"/>
      <c r="E3" s="28" t="s">
        <v>25</v>
      </c>
      <c r="F3" s="30"/>
      <c r="G3" s="30"/>
    </row>
    <row r="4" spans="2:13" ht="16.5" x14ac:dyDescent="0.2">
      <c r="C4" s="30"/>
      <c r="D4" s="30"/>
      <c r="E4" s="33"/>
      <c r="F4" s="30"/>
      <c r="G4" s="30"/>
    </row>
    <row r="5" spans="2:13" ht="16.5" x14ac:dyDescent="0.3">
      <c r="C5" s="30"/>
      <c r="D5" s="30"/>
      <c r="E5" s="34" t="s">
        <v>26</v>
      </c>
      <c r="F5" s="30"/>
      <c r="G5" s="30"/>
    </row>
    <row r="7" spans="2:13" ht="16.5" x14ac:dyDescent="0.3">
      <c r="E7" s="132" t="s">
        <v>126</v>
      </c>
      <c r="F7" s="132"/>
      <c r="G7" s="132"/>
      <c r="H7" s="132"/>
      <c r="I7" s="132"/>
    </row>
    <row r="8" spans="2:13" ht="15" thickBot="1" x14ac:dyDescent="0.25"/>
    <row r="9" spans="2:13" x14ac:dyDescent="0.2">
      <c r="B9" s="133" t="s">
        <v>27</v>
      </c>
      <c r="C9" s="134"/>
      <c r="D9" s="35"/>
      <c r="E9" s="128" t="s">
        <v>28</v>
      </c>
      <c r="F9" s="129"/>
      <c r="G9" s="35"/>
      <c r="H9" s="128" t="s">
        <v>28</v>
      </c>
      <c r="I9" s="129"/>
      <c r="K9" s="128" t="s">
        <v>28</v>
      </c>
      <c r="L9" s="129"/>
    </row>
    <row r="10" spans="2:13" x14ac:dyDescent="0.2">
      <c r="B10" s="92" t="s">
        <v>29</v>
      </c>
      <c r="C10" s="37"/>
      <c r="D10" s="35"/>
      <c r="E10" s="92" t="s">
        <v>29</v>
      </c>
      <c r="F10" s="37"/>
      <c r="G10" s="35"/>
      <c r="H10" s="92" t="s">
        <v>30</v>
      </c>
      <c r="I10" s="38"/>
      <c r="J10" s="35"/>
      <c r="K10" s="92" t="s">
        <v>31</v>
      </c>
      <c r="L10" s="38"/>
    </row>
    <row r="11" spans="2:13" x14ac:dyDescent="0.2">
      <c r="B11" s="39" t="s">
        <v>32</v>
      </c>
      <c r="C11" s="40">
        <v>4</v>
      </c>
      <c r="D11" s="35" t="s">
        <v>33</v>
      </c>
      <c r="E11" s="39" t="s">
        <v>34</v>
      </c>
      <c r="F11" s="40">
        <v>16</v>
      </c>
      <c r="G11" s="35" t="s">
        <v>33</v>
      </c>
      <c r="H11" s="39" t="s">
        <v>34</v>
      </c>
      <c r="I11" s="40">
        <v>72</v>
      </c>
      <c r="J11" s="35" t="s">
        <v>33</v>
      </c>
      <c r="K11" s="39" t="s">
        <v>35</v>
      </c>
      <c r="L11" s="40">
        <v>25</v>
      </c>
      <c r="M11" s="29" t="s">
        <v>36</v>
      </c>
    </row>
    <row r="12" spans="2:13" x14ac:dyDescent="0.2">
      <c r="B12" s="39" t="s">
        <v>37</v>
      </c>
      <c r="C12" s="40">
        <v>100</v>
      </c>
      <c r="D12" s="35" t="s">
        <v>36</v>
      </c>
      <c r="E12" s="39" t="s">
        <v>38</v>
      </c>
      <c r="F12" s="40">
        <v>8</v>
      </c>
      <c r="G12" s="35" t="s">
        <v>39</v>
      </c>
      <c r="H12" s="39" t="s">
        <v>38</v>
      </c>
      <c r="I12" s="40">
        <v>11</v>
      </c>
      <c r="J12" s="35" t="s">
        <v>39</v>
      </c>
      <c r="K12" s="39" t="s">
        <v>40</v>
      </c>
      <c r="L12" s="40">
        <v>1</v>
      </c>
      <c r="M12" s="35"/>
    </row>
    <row r="13" spans="2:13" x14ac:dyDescent="0.2">
      <c r="B13" s="39" t="s">
        <v>41</v>
      </c>
      <c r="C13" s="40">
        <f>10+1.5+1.55</f>
        <v>13.05</v>
      </c>
      <c r="D13" s="35" t="s">
        <v>23</v>
      </c>
      <c r="E13" s="39" t="s">
        <v>42</v>
      </c>
      <c r="F13" s="41">
        <f>LOOKUP(F12,[1]Hoja2!$B$6:$B$18,[1]Hoja2!$E$6:$E$18)</f>
        <v>3.9729999999999999</v>
      </c>
      <c r="G13" s="35" t="s">
        <v>43</v>
      </c>
      <c r="H13" s="39" t="s">
        <v>42</v>
      </c>
      <c r="I13" s="41">
        <f>LOOKUP(I12,[1]Hoja2!$B$6:$B$18,[1]Hoja2!$E$6:$E$18)</f>
        <v>7.907</v>
      </c>
      <c r="J13" s="35" t="s">
        <v>43</v>
      </c>
      <c r="K13" s="39" t="s">
        <v>100</v>
      </c>
      <c r="L13" s="40">
        <v>17</v>
      </c>
      <c r="M13" s="35" t="s">
        <v>36</v>
      </c>
    </row>
    <row r="14" spans="2:13" x14ac:dyDescent="0.2">
      <c r="B14" s="92" t="s">
        <v>31</v>
      </c>
      <c r="C14" s="40"/>
      <c r="D14" s="35"/>
      <c r="E14" s="39" t="s">
        <v>45</v>
      </c>
      <c r="F14" s="42">
        <f>(C13-C18-0.5-0.15)+(IF(C12=100,1,1.2))</f>
        <v>11.85</v>
      </c>
      <c r="G14" s="35" t="s">
        <v>23</v>
      </c>
      <c r="H14" s="39" t="s">
        <v>45</v>
      </c>
      <c r="I14" s="42">
        <f>(C30+C17-0.3-0.15)+(2.4)</f>
        <v>7.4499999999999993</v>
      </c>
      <c r="J14" s="35" t="s">
        <v>23</v>
      </c>
      <c r="K14" s="39" t="s">
        <v>34</v>
      </c>
      <c r="L14" s="41">
        <f>IF(L12=1,(ROUNDUP(((C15-(2*L13/100))*(L12)/(L11/100))+1,0)),(ROUNDUP(((C15-(2*L13/100))*(L12)/(L11/100))+2,0)))</f>
        <v>22</v>
      </c>
      <c r="M14" s="29" t="s">
        <v>33</v>
      </c>
    </row>
    <row r="15" spans="2:13" x14ac:dyDescent="0.2">
      <c r="B15" s="39" t="s">
        <v>46</v>
      </c>
      <c r="C15" s="40">
        <v>5.5</v>
      </c>
      <c r="D15" s="35" t="s">
        <v>23</v>
      </c>
      <c r="E15" s="39" t="s">
        <v>47</v>
      </c>
      <c r="F15" s="38">
        <v>0.1</v>
      </c>
      <c r="G15" s="43" t="s">
        <v>23</v>
      </c>
      <c r="H15" s="39" t="s">
        <v>47</v>
      </c>
      <c r="I15" s="38">
        <v>0.1</v>
      </c>
      <c r="J15" s="43" t="s">
        <v>23</v>
      </c>
      <c r="K15" s="39" t="s">
        <v>38</v>
      </c>
      <c r="L15" s="40">
        <v>7</v>
      </c>
      <c r="M15" s="29" t="s">
        <v>39</v>
      </c>
    </row>
    <row r="16" spans="2:13" x14ac:dyDescent="0.2">
      <c r="B16" s="39" t="s">
        <v>48</v>
      </c>
      <c r="C16" s="40">
        <v>5.5</v>
      </c>
      <c r="D16" s="35" t="s">
        <v>23</v>
      </c>
      <c r="E16" s="39" t="s">
        <v>49</v>
      </c>
      <c r="F16" s="44">
        <v>78</v>
      </c>
      <c r="G16" s="35" t="s">
        <v>33</v>
      </c>
      <c r="H16" s="39" t="s">
        <v>49</v>
      </c>
      <c r="I16" s="97">
        <v>54</v>
      </c>
      <c r="J16" s="35" t="s">
        <v>33</v>
      </c>
      <c r="K16" s="39" t="s">
        <v>42</v>
      </c>
      <c r="L16" s="41">
        <f>LOOKUP(L15,[1]Hoja2!$B$6:$B$18,[1]Hoja2!$E$6:$E$18)</f>
        <v>3.0419999999999998</v>
      </c>
      <c r="M16" s="35" t="s">
        <v>43</v>
      </c>
    </row>
    <row r="17" spans="2:13" x14ac:dyDescent="0.2">
      <c r="B17" s="39" t="s">
        <v>50</v>
      </c>
      <c r="C17" s="40">
        <v>1.5</v>
      </c>
      <c r="D17" s="35" t="s">
        <v>23</v>
      </c>
      <c r="E17" s="39" t="s">
        <v>51</v>
      </c>
      <c r="F17" s="40">
        <v>4</v>
      </c>
      <c r="G17" s="35" t="s">
        <v>39</v>
      </c>
      <c r="H17" s="39" t="s">
        <v>51</v>
      </c>
      <c r="I17" s="40">
        <v>4</v>
      </c>
      <c r="J17" s="35" t="s">
        <v>39</v>
      </c>
      <c r="K17" s="39" t="s">
        <v>45</v>
      </c>
      <c r="L17" s="42">
        <f>(C15-(L13/100)-(L13/100))+0.9+0.9</f>
        <v>6.9600000000000009</v>
      </c>
      <c r="M17" s="35" t="s">
        <v>23</v>
      </c>
    </row>
    <row r="18" spans="2:13" x14ac:dyDescent="0.2">
      <c r="B18" s="39" t="s">
        <v>52</v>
      </c>
      <c r="C18" s="93">
        <v>1.55</v>
      </c>
      <c r="D18" s="35" t="s">
        <v>23</v>
      </c>
      <c r="E18" s="39" t="s">
        <v>53</v>
      </c>
      <c r="F18" s="41">
        <f>LOOKUP(F17,[1]Hoja2!$B$6:$B$18,[1]Hoja2!$E$6:$E$18)</f>
        <v>0.99399999999999999</v>
      </c>
      <c r="G18" s="35" t="s">
        <v>43</v>
      </c>
      <c r="H18" s="39" t="s">
        <v>53</v>
      </c>
      <c r="I18" s="41">
        <f>LOOKUP(I17,[1]Hoja2!$B$6:$B$18,[1]Hoja2!$E$6:$E$18)</f>
        <v>0.99399999999999999</v>
      </c>
      <c r="J18" s="35" t="s">
        <v>43</v>
      </c>
      <c r="K18" s="39" t="s">
        <v>54</v>
      </c>
      <c r="L18" s="40">
        <v>20</v>
      </c>
      <c r="M18" s="29" t="s">
        <v>36</v>
      </c>
    </row>
    <row r="19" spans="2:13" x14ac:dyDescent="0.2">
      <c r="B19" s="92" t="s">
        <v>55</v>
      </c>
      <c r="C19" s="40"/>
      <c r="D19" s="35"/>
      <c r="E19" s="39" t="s">
        <v>44</v>
      </c>
      <c r="F19" s="40">
        <v>10</v>
      </c>
      <c r="G19" s="35" t="s">
        <v>36</v>
      </c>
      <c r="H19" s="39" t="s">
        <v>44</v>
      </c>
      <c r="I19" s="40">
        <v>7</v>
      </c>
      <c r="J19" s="35" t="s">
        <v>36</v>
      </c>
      <c r="K19" s="39" t="s">
        <v>56</v>
      </c>
      <c r="L19" s="41">
        <f>ROUNDDOWN((C17-(25/100)-(25/100))/(L18/100)+1,0)</f>
        <v>6</v>
      </c>
      <c r="M19" s="29" t="s">
        <v>33</v>
      </c>
    </row>
    <row r="20" spans="2:13" x14ac:dyDescent="0.2">
      <c r="B20" s="39" t="s">
        <v>57</v>
      </c>
      <c r="C20" s="41">
        <f>+C15+1+1</f>
        <v>7.5</v>
      </c>
      <c r="D20" s="35" t="s">
        <v>23</v>
      </c>
      <c r="E20" s="39" t="s">
        <v>35</v>
      </c>
      <c r="F20" s="45">
        <f>(PI()*(C12-F19-F19))/F11</f>
        <v>15.707963267948966</v>
      </c>
      <c r="G20" s="35" t="s">
        <v>36</v>
      </c>
      <c r="H20" s="39" t="s">
        <v>35</v>
      </c>
      <c r="I20" s="45">
        <f>(PI()*(C29*(100)-I19-I19))/I11</f>
        <v>12.479104151759456</v>
      </c>
      <c r="J20" s="35" t="s">
        <v>36</v>
      </c>
      <c r="K20" s="39" t="s">
        <v>58</v>
      </c>
      <c r="L20" s="40">
        <v>6</v>
      </c>
      <c r="M20" s="29" t="s">
        <v>39</v>
      </c>
    </row>
    <row r="21" spans="2:13" ht="15" thickBot="1" x14ac:dyDescent="0.25">
      <c r="B21" s="39" t="s">
        <v>59</v>
      </c>
      <c r="C21" s="41">
        <f>+C16+1+1</f>
        <v>7.5</v>
      </c>
      <c r="D21" s="35" t="s">
        <v>23</v>
      </c>
      <c r="E21" s="46" t="s">
        <v>60</v>
      </c>
      <c r="F21" s="47">
        <f>((PI()*(C12-F19-F19))+(F20*(3)+F20*(3)+((LOOKUP(F17,[1]Hoja2!$B$6:$B$18,[1]Hoja2!$H$6:$H$18))*2)+20))/100</f>
        <v>3.8957519189487719</v>
      </c>
      <c r="G21" s="35" t="s">
        <v>23</v>
      </c>
      <c r="H21" s="46" t="s">
        <v>60</v>
      </c>
      <c r="I21" s="47">
        <f>((PI()*(C29*(100)-I19-I19))+(I20*(3)+I20*(3)+((LOOKUP(I17,[1]Hoja2!$B$6:$B$18,[1]Hoja2!$H$6:$H$18))*2)+20))/100</f>
        <v>10.173701238372375</v>
      </c>
      <c r="J21" s="35" t="s">
        <v>23</v>
      </c>
      <c r="K21" s="39" t="s">
        <v>61</v>
      </c>
      <c r="L21" s="41">
        <f>LOOKUP(L20,[1]Hoja2!$B$6:$B$18,[1]Hoja2!$E$6:$E$18)</f>
        <v>2.2349999999999999</v>
      </c>
      <c r="M21" s="35" t="s">
        <v>43</v>
      </c>
    </row>
    <row r="22" spans="2:13" ht="15" thickBot="1" x14ac:dyDescent="0.25">
      <c r="B22" s="39" t="s">
        <v>50</v>
      </c>
      <c r="C22" s="42">
        <f>+C18+C17+C27</f>
        <v>3.0999999999999996</v>
      </c>
      <c r="D22" s="35" t="s">
        <v>23</v>
      </c>
      <c r="K22" s="46" t="s">
        <v>62</v>
      </c>
      <c r="L22" s="48">
        <f>C15-(L13/100)-(L13/100)</f>
        <v>5.16</v>
      </c>
      <c r="M22" s="35" t="s">
        <v>23</v>
      </c>
    </row>
    <row r="23" spans="2:13" ht="15" thickBot="1" x14ac:dyDescent="0.25">
      <c r="B23" s="39"/>
      <c r="C23" s="38"/>
      <c r="D23" s="35"/>
      <c r="H23" s="128" t="s">
        <v>28</v>
      </c>
      <c r="I23" s="129"/>
    </row>
    <row r="24" spans="2:13" x14ac:dyDescent="0.2">
      <c r="B24" s="92" t="s">
        <v>63</v>
      </c>
      <c r="C24" s="40"/>
      <c r="D24" s="35"/>
      <c r="H24" s="135" t="s">
        <v>64</v>
      </c>
      <c r="I24" s="136"/>
      <c r="K24" s="128" t="s">
        <v>28</v>
      </c>
      <c r="L24" s="129"/>
      <c r="M24" s="32"/>
    </row>
    <row r="25" spans="2:13" x14ac:dyDescent="0.2">
      <c r="B25" s="39" t="s">
        <v>46</v>
      </c>
      <c r="C25" s="42">
        <f>+C15</f>
        <v>5.5</v>
      </c>
      <c r="D25" s="35" t="s">
        <v>23</v>
      </c>
      <c r="H25" s="39" t="s">
        <v>34</v>
      </c>
      <c r="I25" s="41">
        <f>IF(C29=2.5,12*2,IF(C29=3,13*2,IF(C29=3.7,14*2)))</f>
        <v>26</v>
      </c>
      <c r="J25" s="35" t="s">
        <v>33</v>
      </c>
      <c r="K25" s="135" t="s">
        <v>65</v>
      </c>
      <c r="L25" s="136"/>
      <c r="M25" s="32"/>
    </row>
    <row r="26" spans="2:13" x14ac:dyDescent="0.2">
      <c r="B26" s="39" t="s">
        <v>48</v>
      </c>
      <c r="C26" s="42">
        <f>+C16</f>
        <v>5.5</v>
      </c>
      <c r="D26" s="35" t="s">
        <v>23</v>
      </c>
      <c r="H26" s="39" t="s">
        <v>38</v>
      </c>
      <c r="I26" s="40">
        <v>4</v>
      </c>
      <c r="J26" s="35" t="s">
        <v>39</v>
      </c>
      <c r="K26" s="39" t="s">
        <v>34</v>
      </c>
      <c r="L26" s="40">
        <f>14*4</f>
        <v>56</v>
      </c>
      <c r="M26" s="35" t="s">
        <v>33</v>
      </c>
    </row>
    <row r="27" spans="2:13" x14ac:dyDescent="0.2">
      <c r="B27" s="39" t="s">
        <v>50</v>
      </c>
      <c r="C27" s="40">
        <v>0.05</v>
      </c>
      <c r="D27" s="35" t="s">
        <v>23</v>
      </c>
      <c r="H27" s="39" t="s">
        <v>42</v>
      </c>
      <c r="I27" s="41">
        <f>LOOKUP(I26,[1]Hoja2!$B$6:$B$18,[1]Hoja2!$E$6:$E$18)</f>
        <v>0.99399999999999999</v>
      </c>
      <c r="J27" s="35" t="s">
        <v>43</v>
      </c>
      <c r="K27" s="39" t="s">
        <v>38</v>
      </c>
      <c r="L27" s="40">
        <v>4</v>
      </c>
      <c r="M27" s="35" t="s">
        <v>39</v>
      </c>
    </row>
    <row r="28" spans="2:13" x14ac:dyDescent="0.2">
      <c r="B28" s="92" t="s">
        <v>66</v>
      </c>
      <c r="C28" s="40"/>
      <c r="D28" s="35"/>
      <c r="H28" s="39" t="s">
        <v>67</v>
      </c>
      <c r="I28" s="40">
        <v>13</v>
      </c>
      <c r="J28" s="35"/>
      <c r="K28" s="39" t="s">
        <v>42</v>
      </c>
      <c r="L28" s="41">
        <f>LOOKUP(L27,[1]Hoja2!$B$6:$B$18,[1]Hoja2!$E$6:$E$18)</f>
        <v>0.99399999999999999</v>
      </c>
      <c r="M28" s="35" t="s">
        <v>43</v>
      </c>
    </row>
    <row r="29" spans="2:13" ht="15" thickBot="1" x14ac:dyDescent="0.25">
      <c r="B29" s="39" t="s">
        <v>37</v>
      </c>
      <c r="C29" s="40">
        <v>3</v>
      </c>
      <c r="D29" s="35" t="s">
        <v>23</v>
      </c>
      <c r="H29" s="46" t="s">
        <v>68</v>
      </c>
      <c r="I29" s="47">
        <f>IF(C29=2.5,(1.8+([1]Hoja2!I10/100*4)+(0.2)),IF(C29=3,(2.09+([1]Hoja2!I10/100*4)+(0.2)),IF(C29=3.7,(2.07+([1]Hoja2!I10/100*4)+(0.2)))))</f>
        <v>2.5700000000000003</v>
      </c>
      <c r="J29" s="35" t="s">
        <v>23</v>
      </c>
      <c r="K29" s="46" t="s">
        <v>68</v>
      </c>
      <c r="L29" s="47">
        <f>((0.75+1.235)*2)+0.21+0.24</f>
        <v>4.4200000000000008</v>
      </c>
      <c r="M29" s="35" t="s">
        <v>23</v>
      </c>
    </row>
    <row r="30" spans="2:13" ht="15" thickBot="1" x14ac:dyDescent="0.25">
      <c r="B30" s="46" t="s">
        <v>69</v>
      </c>
      <c r="C30" s="49">
        <v>4</v>
      </c>
      <c r="D30" s="35" t="s">
        <v>23</v>
      </c>
      <c r="G30" s="35"/>
      <c r="K30" s="50"/>
      <c r="L30" s="51"/>
      <c r="M30" s="35"/>
    </row>
    <row r="31" spans="2:13" x14ac:dyDescent="0.2">
      <c r="B31" s="50"/>
      <c r="C31" s="52"/>
      <c r="D31" s="35"/>
      <c r="E31" s="50"/>
      <c r="F31" s="52"/>
      <c r="G31" s="35"/>
    </row>
    <row r="32" spans="2:13" x14ac:dyDescent="0.2">
      <c r="B32" s="50"/>
      <c r="C32" s="52"/>
      <c r="D32" s="35"/>
      <c r="E32" s="50"/>
      <c r="F32" s="52"/>
      <c r="G32" s="35"/>
    </row>
    <row r="33" spans="1:11" ht="25.5" x14ac:dyDescent="0.2">
      <c r="A33" s="53" t="s">
        <v>70</v>
      </c>
      <c r="B33" s="90" t="s">
        <v>71</v>
      </c>
      <c r="C33" s="55" t="s">
        <v>72</v>
      </c>
      <c r="D33" s="56" t="s">
        <v>112</v>
      </c>
      <c r="E33" s="57"/>
    </row>
    <row r="34" spans="1:11" ht="76.5" x14ac:dyDescent="0.2">
      <c r="A34" s="90">
        <v>6007</v>
      </c>
      <c r="B34" s="59" t="s">
        <v>74</v>
      </c>
      <c r="C34" s="91" t="s">
        <v>75</v>
      </c>
      <c r="D34" s="63">
        <f>((PI()*(C12*C12)/4/10000)*C13*C11)</f>
        <v>40.997784129346805</v>
      </c>
      <c r="E34" s="64"/>
      <c r="H34" s="65"/>
      <c r="K34" s="65"/>
    </row>
    <row r="35" spans="1:11" ht="102" x14ac:dyDescent="0.2">
      <c r="A35" s="130">
        <v>3708</v>
      </c>
      <c r="B35" s="59" t="s">
        <v>76</v>
      </c>
      <c r="C35" s="60" t="s">
        <v>77</v>
      </c>
      <c r="D35" s="66">
        <f>D36+D37+D38</f>
        <v>12482.254851724214</v>
      </c>
      <c r="H35" s="65"/>
      <c r="K35" s="65"/>
    </row>
    <row r="36" spans="1:11" x14ac:dyDescent="0.2">
      <c r="A36" s="130"/>
      <c r="B36" s="67" t="s">
        <v>29</v>
      </c>
      <c r="C36" s="131" t="s">
        <v>77</v>
      </c>
      <c r="D36" s="68">
        <f>((F14*F11*F13)+(F16*F18*F21))*C11*1.03</f>
        <v>4347.9440996533367</v>
      </c>
    </row>
    <row r="37" spans="1:11" x14ac:dyDescent="0.2">
      <c r="A37" s="130"/>
      <c r="B37" s="67" t="s">
        <v>31</v>
      </c>
      <c r="C37" s="131"/>
      <c r="D37" s="68">
        <f>(((L14*L16*L17*4)+(L19*L21*L22*4))+(L26*L28*L29))*1.03</f>
        <v>2457.5608832000003</v>
      </c>
    </row>
    <row r="38" spans="1:11" x14ac:dyDescent="0.2">
      <c r="A38" s="130"/>
      <c r="B38" s="67" t="s">
        <v>30</v>
      </c>
      <c r="C38" s="131"/>
      <c r="D38" s="69">
        <f>+(I11*I13*I14)+(I16*I18*I21)+(I25*I27*I29*I28)*1.03</f>
        <v>5676.7498688708756</v>
      </c>
    </row>
    <row r="39" spans="1:11" ht="51" x14ac:dyDescent="0.2">
      <c r="A39" s="130">
        <v>3637</v>
      </c>
      <c r="B39" s="59" t="s">
        <v>78</v>
      </c>
      <c r="C39" s="91" t="s">
        <v>75</v>
      </c>
      <c r="D39" s="70">
        <f>D40+D41</f>
        <v>73.649333882308142</v>
      </c>
      <c r="H39" s="64"/>
      <c r="K39" s="64"/>
    </row>
    <row r="40" spans="1:11" x14ac:dyDescent="0.2">
      <c r="A40" s="130"/>
      <c r="B40" s="67" t="s">
        <v>31</v>
      </c>
      <c r="C40" s="131" t="s">
        <v>75</v>
      </c>
      <c r="D40" s="71">
        <f>C15*C16*C17</f>
        <v>45.375</v>
      </c>
    </row>
    <row r="41" spans="1:11" x14ac:dyDescent="0.2">
      <c r="A41" s="130"/>
      <c r="B41" s="67" t="s">
        <v>30</v>
      </c>
      <c r="C41" s="131"/>
      <c r="D41" s="71">
        <f>(PI()*C29*C29/4)*C30</f>
        <v>28.274333882308138</v>
      </c>
    </row>
    <row r="42" spans="1:11" ht="38.25" x14ac:dyDescent="0.2">
      <c r="A42" s="90">
        <v>5055</v>
      </c>
      <c r="B42" s="59" t="s">
        <v>79</v>
      </c>
      <c r="C42" s="91" t="s">
        <v>75</v>
      </c>
      <c r="D42" s="71">
        <f>((PI()*(C12*C12)/4/10000)*(C17+C18)*C11)</f>
        <v>9.5818575934488681</v>
      </c>
      <c r="H42" s="64"/>
      <c r="K42" s="64"/>
    </row>
    <row r="43" spans="1:11" ht="51" x14ac:dyDescent="0.2">
      <c r="A43" s="90">
        <v>6021</v>
      </c>
      <c r="B43" s="59" t="s">
        <v>89</v>
      </c>
      <c r="C43" s="91" t="s">
        <v>75</v>
      </c>
      <c r="D43" s="71">
        <f>(C25*C26*C27)-((PI()*C12*C12*0.1/4/10000)*C11)</f>
        <v>1.1983407346410209</v>
      </c>
      <c r="H43" s="64"/>
      <c r="K43" s="64"/>
    </row>
    <row r="44" spans="1:11" ht="25.5" x14ac:dyDescent="0.2">
      <c r="A44" s="94">
        <v>5416</v>
      </c>
      <c r="B44" s="81" t="s">
        <v>90</v>
      </c>
      <c r="C44" s="72" t="s">
        <v>75</v>
      </c>
      <c r="D44" s="95">
        <f>C20*C21*C22</f>
        <v>174.37499999999997</v>
      </c>
      <c r="E44" s="96"/>
      <c r="H44" s="65"/>
      <c r="K44" s="65"/>
    </row>
    <row r="45" spans="1:11" ht="51" x14ac:dyDescent="0.2">
      <c r="A45" s="94">
        <v>3017</v>
      </c>
      <c r="B45" s="81" t="s">
        <v>91</v>
      </c>
      <c r="C45" s="72" t="s">
        <v>75</v>
      </c>
      <c r="D45" s="71">
        <f>D44</f>
        <v>174.37499999999997</v>
      </c>
      <c r="E45" s="96"/>
      <c r="H45" s="64"/>
      <c r="K45" s="64"/>
    </row>
    <row r="46" spans="1:11" ht="38.25" x14ac:dyDescent="0.2">
      <c r="A46" s="94">
        <v>4908</v>
      </c>
      <c r="B46" s="59" t="s">
        <v>80</v>
      </c>
      <c r="C46" s="91" t="s">
        <v>75</v>
      </c>
      <c r="D46" s="71">
        <f>D44-(C25*C26*C27)-D40-((PI()*C29*C29/4)*C18)</f>
        <v>116.53119562060559</v>
      </c>
      <c r="K46" s="64"/>
    </row>
    <row r="47" spans="1:11" ht="51" x14ac:dyDescent="0.2">
      <c r="A47" s="94">
        <v>5196</v>
      </c>
      <c r="B47" s="81" t="s">
        <v>102</v>
      </c>
      <c r="C47" s="91" t="s">
        <v>75</v>
      </c>
      <c r="D47" s="71">
        <f>C20*C21*0.15</f>
        <v>8.4375</v>
      </c>
    </row>
    <row r="48" spans="1:11" x14ac:dyDescent="0.2">
      <c r="A48" s="94"/>
    </row>
    <row r="49" spans="1:1" x14ac:dyDescent="0.2">
      <c r="A49" s="94"/>
    </row>
    <row r="50" spans="1:1" x14ac:dyDescent="0.2">
      <c r="A50" s="94"/>
    </row>
  </sheetData>
  <mergeCells count="13">
    <mergeCell ref="K9:L9"/>
    <mergeCell ref="H23:I23"/>
    <mergeCell ref="A39:A41"/>
    <mergeCell ref="C40:C41"/>
    <mergeCell ref="E7:I7"/>
    <mergeCell ref="B9:C9"/>
    <mergeCell ref="E9:F9"/>
    <mergeCell ref="H9:I9"/>
    <mergeCell ref="H24:I24"/>
    <mergeCell ref="K24:L24"/>
    <mergeCell ref="K25:L25"/>
    <mergeCell ref="A35:A38"/>
    <mergeCell ref="C36:C38"/>
  </mergeCells>
  <pageMargins left="0.7" right="0.7" top="0.75" bottom="0.75" header="0.3" footer="0.3"/>
  <pageSetup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2</vt:i4>
      </vt:variant>
    </vt:vector>
  </HeadingPairs>
  <TitlesOfParts>
    <vt:vector size="14" baseType="lpstr">
      <vt:lpstr>Cantidades</vt:lpstr>
      <vt:lpstr>Memoria P1</vt:lpstr>
      <vt:lpstr>Memoria P2</vt:lpstr>
      <vt:lpstr>Memoria P3</vt:lpstr>
      <vt:lpstr>Memoria P4</vt:lpstr>
      <vt:lpstr>Memoria P5</vt:lpstr>
      <vt:lpstr>Memoria P6</vt:lpstr>
      <vt:lpstr>Memoria P7</vt:lpstr>
      <vt:lpstr>Memoria P8</vt:lpstr>
      <vt:lpstr>Memoria P9</vt:lpstr>
      <vt:lpstr>Memoria P10</vt:lpstr>
      <vt:lpstr>Memoria P11</vt:lpstr>
      <vt:lpstr>Cantidades!Área_de_impresión</vt:lpstr>
      <vt:lpstr>Cantidades!Títulos_a_imprimir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Maryary Suned Quinche Sanchez</dc:creator>
  <cp:lastModifiedBy>Cal y Mayor</cp:lastModifiedBy>
  <cp:lastPrinted>2018-06-29T21:20:17Z</cp:lastPrinted>
  <dcterms:created xsi:type="dcterms:W3CDTF">2018-06-18T21:48:50Z</dcterms:created>
  <dcterms:modified xsi:type="dcterms:W3CDTF">2022-03-31T18:18:52Z</dcterms:modified>
</cp:coreProperties>
</file>