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auhtemoc.rios\Downloads\CUAUHTEMOC\TELE\MASTILES\CANTIDADES DE OBRA\"/>
    </mc:Choice>
  </mc:AlternateContent>
  <xr:revisionPtr revIDLastSave="0" documentId="13_ncr:1_{396F6B38-60A2-4F88-9E45-C27DAFBF7B7A}" xr6:coauthVersionLast="47" xr6:coauthVersionMax="47" xr10:uidLastSave="{00000000-0000-0000-0000-000000000000}"/>
  <bookViews>
    <workbookView xWindow="-120" yWindow="-120" windowWidth="20730" windowHeight="11160" tabRatio="729" xr2:uid="{00000000-000D-0000-FFFF-FFFF00000000}"/>
  </bookViews>
  <sheets>
    <sheet name="Cantidades" sheetId="1" r:id="rId1"/>
    <sheet name="Memoria P1" sheetId="5" r:id="rId2"/>
    <sheet name="Memoria P2" sheetId="6" r:id="rId3"/>
    <sheet name="Memoria P3" sheetId="7" r:id="rId4"/>
    <sheet name="Memoria P4" sheetId="8" r:id="rId5"/>
    <sheet name="Memoria P5" sheetId="9" r:id="rId6"/>
    <sheet name="Memoria P6" sheetId="16" r:id="rId7"/>
    <sheet name="Memoria P7" sheetId="11" r:id="rId8"/>
    <sheet name="Memoria P8" sheetId="12" r:id="rId9"/>
    <sheet name="Memoria P9" sheetId="13" r:id="rId10"/>
    <sheet name="Memoria P10" sheetId="14" r:id="rId11"/>
    <sheet name="Memoria P11" sheetId="15" r:id="rId12"/>
  </sheets>
  <externalReferences>
    <externalReference r:id="rId13"/>
  </externalReferences>
  <definedNames>
    <definedName name="_xlnm._FilterDatabase" localSheetId="0" hidden="1">Cantidades!$A$7:$N$35</definedName>
    <definedName name="_xlnm.Print_Area" localSheetId="0">Cantidades!$A$1:$L$15</definedName>
    <definedName name="_xlnm.Print_Titles" localSheetId="0">Cantidades!$1:$7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30" i="1"/>
  <c r="J29" i="1"/>
  <c r="J28" i="1"/>
  <c r="J27" i="1"/>
  <c r="J21" i="1"/>
  <c r="J20" i="1"/>
  <c r="J19" i="1"/>
  <c r="J9" i="1"/>
  <c r="J12" i="1"/>
  <c r="J11" i="1"/>
  <c r="J10" i="1"/>
  <c r="I37" i="1" l="1"/>
  <c r="H37" i="1"/>
  <c r="G37" i="1"/>
  <c r="I36" i="1"/>
  <c r="H36" i="1"/>
  <c r="G36" i="1"/>
  <c r="L19" i="15"/>
  <c r="L19" i="14"/>
  <c r="L19" i="13"/>
  <c r="L19" i="12"/>
  <c r="L19" i="11"/>
  <c r="L41" i="16"/>
  <c r="L19" i="16"/>
  <c r="L19" i="9"/>
  <c r="L19" i="8"/>
  <c r="L19" i="7"/>
  <c r="L19" i="6"/>
  <c r="L19" i="5"/>
  <c r="I27" i="1"/>
  <c r="I34" i="1"/>
  <c r="I33" i="1"/>
  <c r="I32" i="1"/>
  <c r="I31" i="1"/>
  <c r="I30" i="1"/>
  <c r="I29" i="1"/>
  <c r="I28" i="1"/>
  <c r="H34" i="1"/>
  <c r="H33" i="1"/>
  <c r="H32" i="1"/>
  <c r="H31" i="1"/>
  <c r="H30" i="1"/>
  <c r="H29" i="1"/>
  <c r="H28" i="1"/>
  <c r="H27" i="1"/>
  <c r="G34" i="1"/>
  <c r="G33" i="1"/>
  <c r="G32" i="1"/>
  <c r="G31" i="1"/>
  <c r="G30" i="1"/>
  <c r="G29" i="1"/>
  <c r="G28" i="1"/>
  <c r="G27" i="1"/>
  <c r="I25" i="1"/>
  <c r="I24" i="1"/>
  <c r="I23" i="1"/>
  <c r="I22" i="1"/>
  <c r="I21" i="1"/>
  <c r="I20" i="1"/>
  <c r="I19" i="1"/>
  <c r="H25" i="1"/>
  <c r="H24" i="1"/>
  <c r="H23" i="1"/>
  <c r="H22" i="1"/>
  <c r="H21" i="1"/>
  <c r="H20" i="1"/>
  <c r="H19" i="1"/>
  <c r="H18" i="1"/>
  <c r="G25" i="1"/>
  <c r="G24" i="1"/>
  <c r="G23" i="1"/>
  <c r="G22" i="1"/>
  <c r="G21" i="1"/>
  <c r="G20" i="1"/>
  <c r="G19" i="1"/>
  <c r="G18" i="1"/>
  <c r="I18" i="1"/>
  <c r="L44" i="16"/>
  <c r="L43" i="16"/>
  <c r="D43" i="16"/>
  <c r="D42" i="16"/>
  <c r="D41" i="16"/>
  <c r="L39" i="16"/>
  <c r="L38" i="16"/>
  <c r="L36" i="16"/>
  <c r="D35" i="16"/>
  <c r="L29" i="16"/>
  <c r="I29" i="16"/>
  <c r="L28" i="16"/>
  <c r="I27" i="16"/>
  <c r="L26" i="16"/>
  <c r="C26" i="16"/>
  <c r="I25" i="16"/>
  <c r="C25" i="16"/>
  <c r="L22" i="16"/>
  <c r="C22" i="16"/>
  <c r="L21" i="16"/>
  <c r="C21" i="16"/>
  <c r="D45" i="16" s="1"/>
  <c r="I20" i="16"/>
  <c r="I21" i="16" s="1"/>
  <c r="F20" i="16"/>
  <c r="F21" i="16" s="1"/>
  <c r="C20" i="16"/>
  <c r="I18" i="16"/>
  <c r="F18" i="16"/>
  <c r="L17" i="16"/>
  <c r="L16" i="16"/>
  <c r="I16" i="16"/>
  <c r="L14" i="16"/>
  <c r="I14" i="16"/>
  <c r="F14" i="16"/>
  <c r="I13" i="16"/>
  <c r="F13" i="16"/>
  <c r="D44" i="16" l="1"/>
  <c r="D48" i="16"/>
  <c r="D40" i="16"/>
  <c r="D37" i="16"/>
  <c r="D39" i="16"/>
  <c r="D38" i="16"/>
  <c r="D47" i="16"/>
  <c r="D46" i="16"/>
  <c r="D36" i="16" l="1"/>
  <c r="D42" i="15"/>
  <c r="D41" i="15"/>
  <c r="D40" i="15"/>
  <c r="D34" i="15"/>
  <c r="L29" i="15"/>
  <c r="I29" i="15"/>
  <c r="L28" i="15"/>
  <c r="I27" i="15"/>
  <c r="L26" i="15"/>
  <c r="C26" i="15"/>
  <c r="I25" i="15"/>
  <c r="C25" i="15"/>
  <c r="L22" i="15"/>
  <c r="C22" i="15"/>
  <c r="L21" i="15"/>
  <c r="C21" i="15"/>
  <c r="I20" i="15"/>
  <c r="I21" i="15" s="1"/>
  <c r="F20" i="15"/>
  <c r="F21" i="15" s="1"/>
  <c r="C20" i="15"/>
  <c r="I18" i="15"/>
  <c r="F18" i="15"/>
  <c r="L17" i="15"/>
  <c r="L16" i="15"/>
  <c r="I16" i="15"/>
  <c r="L14" i="15"/>
  <c r="I14" i="15"/>
  <c r="F14" i="15"/>
  <c r="I13" i="15"/>
  <c r="F13" i="15"/>
  <c r="D42" i="14"/>
  <c r="D41" i="14"/>
  <c r="D40" i="14"/>
  <c r="D39" i="14" s="1"/>
  <c r="D34" i="14"/>
  <c r="L29" i="14"/>
  <c r="I29" i="14"/>
  <c r="L28" i="14"/>
  <c r="I27" i="14"/>
  <c r="L26" i="14"/>
  <c r="C26" i="14"/>
  <c r="I25" i="14"/>
  <c r="C25" i="14"/>
  <c r="L22" i="14"/>
  <c r="C22" i="14"/>
  <c r="L21" i="14"/>
  <c r="C21" i="14"/>
  <c r="I20" i="14"/>
  <c r="I21" i="14" s="1"/>
  <c r="F20" i="14"/>
  <c r="F21" i="14" s="1"/>
  <c r="C20" i="14"/>
  <c r="I18" i="14"/>
  <c r="F18" i="14"/>
  <c r="L17" i="14"/>
  <c r="L16" i="14"/>
  <c r="I16" i="14"/>
  <c r="L14" i="14"/>
  <c r="I14" i="14"/>
  <c r="F14" i="14"/>
  <c r="I13" i="14"/>
  <c r="F13" i="14"/>
  <c r="D42" i="13"/>
  <c r="D41" i="13"/>
  <c r="D40" i="13"/>
  <c r="D34" i="13"/>
  <c r="L29" i="13"/>
  <c r="I29" i="13"/>
  <c r="L28" i="13"/>
  <c r="I27" i="13"/>
  <c r="L26" i="13"/>
  <c r="C26" i="13"/>
  <c r="I25" i="13"/>
  <c r="C25" i="13"/>
  <c r="D43" i="13" s="1"/>
  <c r="L22" i="13"/>
  <c r="C22" i="13"/>
  <c r="L21" i="13"/>
  <c r="C21" i="13"/>
  <c r="I20" i="13"/>
  <c r="I21" i="13" s="1"/>
  <c r="F20" i="13"/>
  <c r="F21" i="13" s="1"/>
  <c r="C20" i="13"/>
  <c r="D44" i="13" s="1"/>
  <c r="I18" i="13"/>
  <c r="F18" i="13"/>
  <c r="L17" i="13"/>
  <c r="L16" i="13"/>
  <c r="I16" i="13"/>
  <c r="L14" i="13"/>
  <c r="I14" i="13"/>
  <c r="F14" i="13"/>
  <c r="I13" i="13"/>
  <c r="F13" i="13"/>
  <c r="D42" i="12"/>
  <c r="D41" i="12"/>
  <c r="D39" i="12" s="1"/>
  <c r="D40" i="12"/>
  <c r="D34" i="12"/>
  <c r="L29" i="12"/>
  <c r="I29" i="12"/>
  <c r="L28" i="12"/>
  <c r="I27" i="12"/>
  <c r="L26" i="12"/>
  <c r="C26" i="12"/>
  <c r="I25" i="12"/>
  <c r="C25" i="12"/>
  <c r="D43" i="12" s="1"/>
  <c r="L22" i="12"/>
  <c r="C22" i="12"/>
  <c r="L21" i="12"/>
  <c r="C21" i="12"/>
  <c r="I20" i="12"/>
  <c r="I21" i="12" s="1"/>
  <c r="F20" i="12"/>
  <c r="F21" i="12" s="1"/>
  <c r="C20" i="12"/>
  <c r="I18" i="12"/>
  <c r="F18" i="12"/>
  <c r="L17" i="12"/>
  <c r="L16" i="12"/>
  <c r="L14" i="12"/>
  <c r="I14" i="12"/>
  <c r="F14" i="12"/>
  <c r="I13" i="12"/>
  <c r="F13" i="12"/>
  <c r="D42" i="11"/>
  <c r="D41" i="11"/>
  <c r="D40" i="11"/>
  <c r="D39" i="11" s="1"/>
  <c r="D34" i="11"/>
  <c r="L29" i="11"/>
  <c r="I29" i="11"/>
  <c r="L28" i="11"/>
  <c r="I27" i="11"/>
  <c r="L26" i="11"/>
  <c r="C26" i="11"/>
  <c r="I25" i="11"/>
  <c r="C25" i="11"/>
  <c r="D43" i="11" s="1"/>
  <c r="L22" i="11"/>
  <c r="C22" i="11"/>
  <c r="L21" i="11"/>
  <c r="C21" i="11"/>
  <c r="I20" i="11"/>
  <c r="I21" i="11" s="1"/>
  <c r="F20" i="11"/>
  <c r="F21" i="11" s="1"/>
  <c r="C20" i="11"/>
  <c r="I18" i="11"/>
  <c r="F18" i="11"/>
  <c r="L17" i="11"/>
  <c r="L16" i="11"/>
  <c r="L14" i="11"/>
  <c r="I14" i="11"/>
  <c r="F14" i="11"/>
  <c r="I13" i="11"/>
  <c r="F13" i="11"/>
  <c r="D42" i="9"/>
  <c r="D41" i="9"/>
  <c r="D40" i="9"/>
  <c r="D34" i="9"/>
  <c r="L29" i="9"/>
  <c r="I29" i="9"/>
  <c r="L28" i="9"/>
  <c r="I27" i="9"/>
  <c r="L26" i="9"/>
  <c r="C26" i="9"/>
  <c r="I25" i="9"/>
  <c r="C25" i="9"/>
  <c r="D43" i="9" s="1"/>
  <c r="L22" i="9"/>
  <c r="C22" i="9"/>
  <c r="L21" i="9"/>
  <c r="C21" i="9"/>
  <c r="I20" i="9"/>
  <c r="I21" i="9" s="1"/>
  <c r="F20" i="9"/>
  <c r="F21" i="9" s="1"/>
  <c r="C20" i="9"/>
  <c r="D47" i="9" s="1"/>
  <c r="I18" i="9"/>
  <c r="F18" i="9"/>
  <c r="L17" i="9"/>
  <c r="L16" i="9"/>
  <c r="I16" i="9"/>
  <c r="L14" i="9"/>
  <c r="I14" i="9"/>
  <c r="F14" i="9"/>
  <c r="I13" i="9"/>
  <c r="F13" i="9"/>
  <c r="D42" i="8"/>
  <c r="D41" i="8"/>
  <c r="D39" i="8" s="1"/>
  <c r="D40" i="8"/>
  <c r="D34" i="8"/>
  <c r="L29" i="8"/>
  <c r="I29" i="8"/>
  <c r="L28" i="8"/>
  <c r="I27" i="8"/>
  <c r="L26" i="8"/>
  <c r="C26" i="8"/>
  <c r="I25" i="8"/>
  <c r="C25" i="8"/>
  <c r="D43" i="8" s="1"/>
  <c r="L22" i="8"/>
  <c r="C22" i="8"/>
  <c r="L21" i="8"/>
  <c r="C21" i="8"/>
  <c r="I20" i="8"/>
  <c r="I21" i="8" s="1"/>
  <c r="F20" i="8"/>
  <c r="F21" i="8" s="1"/>
  <c r="C20" i="8"/>
  <c r="D47" i="8" s="1"/>
  <c r="I18" i="8"/>
  <c r="F18" i="8"/>
  <c r="L17" i="8"/>
  <c r="L16" i="8"/>
  <c r="I16" i="8"/>
  <c r="L14" i="8"/>
  <c r="I14" i="8"/>
  <c r="F14" i="8"/>
  <c r="I13" i="8"/>
  <c r="F13" i="8"/>
  <c r="D42" i="7"/>
  <c r="D41" i="7"/>
  <c r="D40" i="7"/>
  <c r="D39" i="7"/>
  <c r="D34" i="7"/>
  <c r="L29" i="7"/>
  <c r="I29" i="7"/>
  <c r="L28" i="7"/>
  <c r="I27" i="7"/>
  <c r="L26" i="7"/>
  <c r="C26" i="7"/>
  <c r="I25" i="7"/>
  <c r="C25" i="7"/>
  <c r="L22" i="7"/>
  <c r="C22" i="7"/>
  <c r="L21" i="7"/>
  <c r="C21" i="7"/>
  <c r="I20" i="7"/>
  <c r="I21" i="7" s="1"/>
  <c r="F20" i="7"/>
  <c r="F21" i="7" s="1"/>
  <c r="C20" i="7"/>
  <c r="I18" i="7"/>
  <c r="F18" i="7"/>
  <c r="L17" i="7"/>
  <c r="L16" i="7"/>
  <c r="L14" i="7"/>
  <c r="I14" i="7"/>
  <c r="F14" i="7"/>
  <c r="I13" i="7"/>
  <c r="F13" i="7"/>
  <c r="D42" i="6"/>
  <c r="D41" i="6"/>
  <c r="D40" i="6"/>
  <c r="D39" i="6" s="1"/>
  <c r="D34" i="6"/>
  <c r="L29" i="6"/>
  <c r="I29" i="6"/>
  <c r="L28" i="6"/>
  <c r="I27" i="6"/>
  <c r="L26" i="6"/>
  <c r="C26" i="6"/>
  <c r="I25" i="6"/>
  <c r="C25" i="6"/>
  <c r="D43" i="6" s="1"/>
  <c r="L22" i="6"/>
  <c r="C22" i="6"/>
  <c r="L21" i="6"/>
  <c r="C21" i="6"/>
  <c r="I20" i="6"/>
  <c r="I21" i="6" s="1"/>
  <c r="F20" i="6"/>
  <c r="F21" i="6" s="1"/>
  <c r="C20" i="6"/>
  <c r="D44" i="6" s="1"/>
  <c r="I18" i="6"/>
  <c r="F18" i="6"/>
  <c r="L17" i="6"/>
  <c r="L16" i="6"/>
  <c r="L14" i="6"/>
  <c r="I14" i="6"/>
  <c r="F14" i="6"/>
  <c r="I13" i="6"/>
  <c r="F13" i="6"/>
  <c r="I16" i="1"/>
  <c r="I15" i="1"/>
  <c r="I14" i="1"/>
  <c r="G14" i="1"/>
  <c r="H14" i="1"/>
  <c r="G16" i="1"/>
  <c r="H16" i="1"/>
  <c r="G15" i="1"/>
  <c r="H15" i="1"/>
  <c r="D39" i="9" l="1"/>
  <c r="D39" i="13"/>
  <c r="D44" i="12"/>
  <c r="D44" i="9"/>
  <c r="D43" i="15"/>
  <c r="D47" i="7"/>
  <c r="D39" i="15"/>
  <c r="D44" i="14"/>
  <c r="D37" i="7"/>
  <c r="D37" i="9"/>
  <c r="D37" i="12"/>
  <c r="D37" i="15"/>
  <c r="D36" i="12"/>
  <c r="D37" i="14"/>
  <c r="D38" i="15"/>
  <c r="D47" i="15"/>
  <c r="D38" i="14"/>
  <c r="D43" i="14"/>
  <c r="D36" i="14"/>
  <c r="D47" i="13"/>
  <c r="D46" i="13"/>
  <c r="D36" i="13"/>
  <c r="D37" i="13"/>
  <c r="D38" i="12"/>
  <c r="D47" i="12"/>
  <c r="D38" i="11"/>
  <c r="D44" i="11"/>
  <c r="D36" i="11"/>
  <c r="D37" i="11"/>
  <c r="D36" i="8"/>
  <c r="D44" i="8"/>
  <c r="D37" i="8"/>
  <c r="D38" i="7"/>
  <c r="D43" i="7"/>
  <c r="D36" i="7"/>
  <c r="D46" i="6"/>
  <c r="D37" i="6"/>
  <c r="D47" i="6"/>
  <c r="D36" i="6"/>
  <c r="D45" i="9"/>
  <c r="D46" i="12"/>
  <c r="D45" i="12"/>
  <c r="D38" i="9"/>
  <c r="D38" i="13"/>
  <c r="D36" i="15"/>
  <c r="D38" i="8"/>
  <c r="D36" i="9"/>
  <c r="D38" i="6"/>
  <c r="D46" i="11"/>
  <c r="D45" i="6"/>
  <c r="D44" i="7"/>
  <c r="D45" i="13"/>
  <c r="D44" i="15"/>
  <c r="G13" i="1"/>
  <c r="I13" i="1"/>
  <c r="H13" i="1"/>
  <c r="I12" i="1"/>
  <c r="G12" i="1"/>
  <c r="H12" i="1"/>
  <c r="I11" i="1"/>
  <c r="G11" i="1"/>
  <c r="H11" i="1"/>
  <c r="I10" i="1"/>
  <c r="H10" i="1"/>
  <c r="G10" i="1"/>
  <c r="G9" i="1"/>
  <c r="I9" i="1"/>
  <c r="H9" i="1"/>
  <c r="D42" i="5"/>
  <c r="D41" i="5"/>
  <c r="D40" i="5"/>
  <c r="D39" i="5" s="1"/>
  <c r="D34" i="5"/>
  <c r="L29" i="5"/>
  <c r="I29" i="5"/>
  <c r="L28" i="5"/>
  <c r="I27" i="5"/>
  <c r="L26" i="5"/>
  <c r="C26" i="5"/>
  <c r="I25" i="5"/>
  <c r="C25" i="5"/>
  <c r="D43" i="5" s="1"/>
  <c r="L22" i="5"/>
  <c r="C22" i="5"/>
  <c r="L21" i="5"/>
  <c r="C21" i="5"/>
  <c r="I20" i="5"/>
  <c r="I21" i="5" s="1"/>
  <c r="F20" i="5"/>
  <c r="F21" i="5" s="1"/>
  <c r="C20" i="5"/>
  <c r="I18" i="5"/>
  <c r="F18" i="5"/>
  <c r="L17" i="5"/>
  <c r="L16" i="5"/>
  <c r="L14" i="5"/>
  <c r="I14" i="5"/>
  <c r="F14" i="5"/>
  <c r="I13" i="5"/>
  <c r="F13" i="5"/>
  <c r="D46" i="8" l="1"/>
  <c r="D45" i="14"/>
  <c r="D45" i="11"/>
  <c r="D46" i="14"/>
  <c r="D46" i="9"/>
  <c r="D35" i="7"/>
  <c r="D35" i="15"/>
  <c r="D35" i="12"/>
  <c r="D35" i="14"/>
  <c r="D35" i="6"/>
  <c r="D35" i="11"/>
  <c r="D35" i="13"/>
  <c r="D35" i="9"/>
  <c r="D35" i="8"/>
  <c r="D45" i="8"/>
  <c r="D46" i="7"/>
  <c r="D45" i="7"/>
  <c r="D46" i="15"/>
  <c r="D45" i="15"/>
  <c r="D47" i="5"/>
  <c r="D44" i="5"/>
  <c r="D36" i="5"/>
  <c r="D37" i="5"/>
  <c r="D38" i="5"/>
  <c r="D35" i="5" l="1"/>
  <c r="D45" i="5"/>
  <c r="D46" i="5"/>
</calcChain>
</file>

<file path=xl/sharedStrings.xml><?xml version="1.0" encoding="utf-8"?>
<sst xmlns="http://schemas.openxmlformats.org/spreadsheetml/2006/main" count="2003" uniqueCount="120">
  <si>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</si>
  <si>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</si>
  <si>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</si>
  <si>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</si>
  <si>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</si>
  <si>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</si>
  <si>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</si>
  <si>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</si>
  <si>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</si>
  <si>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</si>
  <si>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</si>
  <si>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</si>
  <si>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</si>
  <si>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</si>
  <si>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</si>
  <si>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</si>
  <si>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</si>
  <si>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</si>
  <si>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</si>
  <si>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</si>
  <si>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</si>
  <si>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</si>
  <si>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</si>
  <si>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</si>
  <si>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</si>
  <si>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</si>
  <si>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</si>
  <si>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</si>
  <si>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</si>
  <si>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</si>
  <si>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</si>
  <si>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</si>
  <si>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</si>
  <si>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</si>
  <si>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</si>
  <si>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</si>
  <si>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</si>
  <si>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</si>
  <si>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</si>
  <si>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</si>
  <si>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</si>
  <si>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</si>
  <si>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</si>
  <si>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</si>
  <si>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</si>
  <si>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</si>
  <si>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</si>
  <si>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</si>
  <si>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</si>
  <si>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</si>
  <si>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</si>
  <si>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</si>
  <si>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</si>
  <si>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</si>
  <si>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</si>
  <si>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</si>
  <si>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</si>
  <si>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</si>
  <si>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</si>
  <si>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</si>
  <si>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</si>
  <si>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</si>
  <si>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</si>
  <si>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</si>
  <si>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</si>
  <si>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</si>
  <si>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</si>
  <si>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</si>
  <si>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</si>
  <si>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</si>
  <si>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</si>
  <si>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</si>
  <si>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</si>
  <si>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Cimentación 
Pilona No. 1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</si>
  <si>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</si>
  <si>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</si>
  <si>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</si>
  <si>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</si>
  <si>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</si>
  <si>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</si>
  <si>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</si>
  <si>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</si>
  <si>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</si>
  <si>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</si>
  <si>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</si>
  <si>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</si>
  <si>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</si>
  <si>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</si>
  <si>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</si>
  <si>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</si>
  <si>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</si>
  <si>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</si>
  <si>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</si>
  <si>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</si>
  <si>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</si>
  <si>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t>
  </si>
  <si>
    <t>m2</t>
  </si>
  <si>
    <t>Distancia a paño primer varilla</t>
  </si>
  <si>
    <t>Cimentación 
Pilona No. 2</t>
  </si>
  <si>
    <t>Demolición de concreto: espesores 8cm a 15cm. (incluye retiro de material, transporte y disposición final de escombros en sitio autorizado)</t>
  </si>
  <si>
    <t>(Considerando 0.5m más a cada lado)          Ancho:</t>
  </si>
  <si>
    <t>(Considerando 0.5m más a cada lado)           Largo:</t>
  </si>
  <si>
    <t>Cimentación 
Pilona No. 3</t>
  </si>
  <si>
    <t>Cimentación 
Pilona No. 4</t>
  </si>
  <si>
    <t>Cimentación 
Pilona No. 5</t>
  </si>
  <si>
    <t>Zapata Sentido Longitudinal</t>
  </si>
  <si>
    <t>Zapata Sentido Transversal</t>
  </si>
  <si>
    <t>Cimentación 
Pilona No. 6</t>
  </si>
  <si>
    <t>Cimentación 
Pilona No. 7</t>
  </si>
  <si>
    <t>Cimentación 
Pilona No. 8</t>
  </si>
  <si>
    <t>Cimentación 
Pilona No. 9</t>
  </si>
  <si>
    <t>Cimentación 
Pilona No. 10</t>
  </si>
  <si>
    <t>Cimentación 
Pilona No. 11</t>
  </si>
  <si>
    <t>ESTRUCTURAL PILONAS SECCIÓN 1</t>
  </si>
  <si>
    <t>MASTIL 1</t>
  </si>
  <si>
    <t>MASTIL 2</t>
  </si>
  <si>
    <t>MASTIL 3</t>
  </si>
  <si>
    <t>TRABE DE LIGA</t>
  </si>
  <si>
    <t>LA VICTORIA TRAMO</t>
  </si>
  <si>
    <t>LA VICTORIA TRAMO2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</si>
</sst>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_);_(* \(#,##0.0\);_(* &quot;-&quot;??_);_(@_)"/>
    <numFmt numFmtId="165" formatCode="d/mm/yyyy;@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2"/>
      <color rgb="FF0070C0"/>
      <name val="Times New Roman"/>
      <family val="1"/>
    </font>
    <font>
      <sz val="18"/>
      <color rgb="FF0070C0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3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3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6" fillId="0" borderId="18" xfId="3" applyFont="1" applyBorder="1" applyAlignment="1">
      <alignment horizontal="left"/>
    </xf>
    <xf numFmtId="0" fontId="15" fillId="0" borderId="19" xfId="3" applyFont="1" applyBorder="1" applyAlignment="1">
      <alignment horizontal="center"/>
    </xf>
    <xf numFmtId="166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6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6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1" xfId="3" applyBorder="1"/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0" fontId="18" fillId="2" borderId="1" xfId="4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4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4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2" fontId="18" fillId="0" borderId="1" xfId="4" applyNumberFormat="1" applyFill="1" applyBorder="1" applyAlignment="1">
      <alignment horizontal="center" vertical="center" wrapText="1"/>
    </xf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horizontal="center"/>
    </xf>
    <xf numFmtId="0" fontId="18" fillId="0" borderId="0" xfId="4" applyFill="1" applyAlignment="1">
      <alignment vertical="center" wrapText="1"/>
    </xf>
    <xf numFmtId="0" fontId="13" fillId="0" borderId="0" xfId="3" applyFill="1"/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4" fontId="23" fillId="2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 wrapText="1"/>
    </xf>
    <xf numFmtId="4" fontId="25" fillId="0" borderId="1" xfId="1" applyNumberFormat="1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4" fontId="23" fillId="3" borderId="1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91F9D8D-5F44-498C-A9A7-C4FBD25A0DC8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4EFC59-5316-41FF-A641-35B15A34CDD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41D602-942E-4793-85CF-0CF686596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C976FE-7285-4669-B3B0-46461449B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0E1624F-9248-49EF-84E0-546C911B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6BC1529-EFAC-424F-9DFB-02DDD4CA700F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C4AB421-836C-4175-AE46-82FD892747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723252-2541-4C8C-ADFC-C331CCF79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DA768E-F245-4F11-9413-EC6CD19A3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DBCBD2B4-3E86-40C9-80F5-EC39AEB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B534AE-79BB-439C-B003-46DA420C883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C31587-04A2-43E4-A6D0-CAD69E171C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864177-F516-4FA1-9B76-D5A961E22C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E7960C-1994-449E-84D7-B0B28AEF9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62A4E48-3370-48A8-8AFA-2F8CB9C5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142203</xdr:colOff>
      <xdr:row>1</xdr:row>
      <xdr:rowOff>120015</xdr:rowOff>
    </xdr:from>
    <xdr:to>
      <xdr:col>11</xdr:col>
      <xdr:colOff>289225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312C47-1658-4AC8-8B8D-5FF89C6F1CB6}"/>
            </a:ext>
          </a:extLst>
        </xdr:cNvPr>
        <xdr:cNvGrpSpPr/>
      </xdr:nvGrpSpPr>
      <xdr:grpSpPr>
        <a:xfrm>
          <a:off x="12210938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D93704E-0408-4471-B8E9-BD610ED93A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27A2EF4-178C-464E-91C7-34D77583A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1066456-A44B-4976-B27D-0E9AC5560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4316E8C-43CC-44D0-AB7D-B075199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81115D-BEA6-4054-BED0-C8E329752450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7BCE12-A212-461D-B92B-D6B802FD46E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51B6A5B-1D0A-452C-B4A4-6CB70AE02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33223C-C05C-4C07-B964-9753DF6819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D3176C8-AA0A-45B3-9C27-12081728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EF4F63-09B0-4221-AA81-810B60225848}"/>
            </a:ext>
          </a:extLst>
        </xdr:cNvPr>
        <xdr:cNvGrpSpPr/>
      </xdr:nvGrpSpPr>
      <xdr:grpSpPr>
        <a:xfrm>
          <a:off x="12380259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E51AB02-66A7-4260-B5B4-8FE044ED796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9083283-9773-4B13-986F-A8C77A3F1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1013DA2-E4C4-4818-AD0C-B3BC88FAA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F23B3A5-6102-4256-8DD1-DE0A341E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F152A8-BA57-4287-B4B8-E3FD06093F8A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984416D-79BB-4A3D-B439-DDD6AED51C1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0C2C07-B9A9-4A6F-B692-28D1E2C64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84581C2-7530-4006-8CD2-59529078B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98A4C5F-0DC5-492C-BE88-239F2FF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2EFDDE-105C-4329-9D6A-4A4A95E26EE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4A6D897-9C78-4C51-B2D1-845108B3DB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CED24E4-E4C3-4D1D-8669-92A0D62CD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BD947A6-787E-4FE5-9007-3B527993F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FDE2FEE-2043-4B72-B9A8-42525A03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897881-B56D-4E11-96C5-BCF1E250939C}"/>
            </a:ext>
          </a:extLst>
        </xdr:cNvPr>
        <xdr:cNvGrpSpPr/>
      </xdr:nvGrpSpPr>
      <xdr:grpSpPr>
        <a:xfrm>
          <a:off x="12335435" y="303119"/>
          <a:ext cx="2171477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B453EE6-A28A-4835-B72B-00BE0998091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B76B9-1E2A-4CAE-B14B-BD23B5CCA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6D4CDB-6B39-4C6F-8E8B-6FBE4AD86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254B2A4-E372-4665-BE3C-9DB5D749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FF199B-461A-4BCD-A9F8-55132D81932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DB63257-FED8-4C00-8108-17233349C7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1385853-253C-4C85-A8FF-6F87C2674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37F7C3-207D-4C26-BA72-452C382974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72B31FE-780C-4AB8-8885-EC024CB2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FB0962-822A-4A1B-84D9-7E511E2BBED2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4DAF3E0-0905-4D35-9D87-C0514667F5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0846CD-F3F7-470A-8A0D-016B6FADEB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BA4D6B-A4C6-4FCF-BD26-25C12A348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015AFA9-8336-4D70-9231-6ECB124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ymsc-my.sharepoint.com/personal/alugo_calymayor_com_mx/Documents/Documentos/2021/Cable%20San%20Cristobal/Info%20M&#225;stiles/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70" zoomScaleNormal="70" zoomScaleSheetLayoutView="85" workbookViewId="0">
      <selection activeCell="B38" sqref="B38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19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95" customWidth="1"/>
    <col min="11" max="11" width="34.7109375" style="2" customWidth="1"/>
    <col min="12" max="12" width="21.42578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06"/>
    </row>
    <row r="2" spans="1:12" ht="15.75" customHeight="1" x14ac:dyDescent="0.25">
      <c r="A2" s="9" t="s">
        <v>3</v>
      </c>
      <c r="B2" s="112" t="s">
        <v>17</v>
      </c>
      <c r="C2" s="113"/>
      <c r="D2" s="113"/>
      <c r="E2" s="113"/>
      <c r="F2" s="113"/>
      <c r="G2" s="113"/>
      <c r="H2" s="113"/>
      <c r="I2" s="113"/>
      <c r="J2" s="114"/>
      <c r="K2" s="1" t="s">
        <v>8</v>
      </c>
      <c r="L2" s="107"/>
    </row>
    <row r="3" spans="1:12" ht="15.75" customHeight="1" x14ac:dyDescent="0.25">
      <c r="A3" s="10" t="s">
        <v>7</v>
      </c>
      <c r="B3" s="115"/>
      <c r="C3" s="116"/>
      <c r="D3" s="116"/>
      <c r="E3" s="116"/>
      <c r="F3" s="116"/>
      <c r="G3" s="116"/>
      <c r="H3" s="116"/>
      <c r="I3" s="116"/>
      <c r="J3" s="117"/>
      <c r="K3" s="11">
        <v>0</v>
      </c>
      <c r="L3" s="108"/>
    </row>
    <row r="4" spans="1:12" ht="15.75" customHeight="1" x14ac:dyDescent="0.25">
      <c r="B4" s="6"/>
      <c r="C4" s="18"/>
      <c r="D4" s="6"/>
      <c r="E4" s="6"/>
      <c r="F4" s="3"/>
      <c r="G4" s="3"/>
      <c r="H4" s="4"/>
      <c r="I4" s="3"/>
      <c r="J4" s="89"/>
      <c r="K4" s="3"/>
      <c r="L4" s="3"/>
    </row>
    <row r="5" spans="1:12" ht="17.25" customHeight="1" x14ac:dyDescent="0.25">
      <c r="A5" s="118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31.5" customHeight="1" x14ac:dyDescent="0.25">
      <c r="A6" s="121" t="s">
        <v>2</v>
      </c>
      <c r="B6" s="121"/>
      <c r="C6" s="121"/>
      <c r="D6" s="122"/>
      <c r="E6" s="122"/>
      <c r="F6" s="122"/>
      <c r="G6" s="14" t="s">
        <v>3</v>
      </c>
      <c r="H6" s="123"/>
      <c r="I6" s="124"/>
      <c r="J6" s="90"/>
      <c r="K6" s="14" t="s">
        <v>4</v>
      </c>
      <c r="L6" s="7"/>
    </row>
    <row r="7" spans="1:12" ht="80.25" hidden="1" customHeight="1" x14ac:dyDescent="0.25">
      <c r="A7" s="8" t="s">
        <v>16</v>
      </c>
      <c r="B7" s="8" t="s">
        <v>19</v>
      </c>
      <c r="C7" s="8" t="s">
        <v>15</v>
      </c>
      <c r="D7" s="8" t="s">
        <v>1</v>
      </c>
      <c r="E7" s="8" t="s">
        <v>14</v>
      </c>
      <c r="F7" s="8" t="s">
        <v>10</v>
      </c>
      <c r="G7" s="8" t="s">
        <v>11</v>
      </c>
      <c r="H7" s="8" t="s">
        <v>12</v>
      </c>
      <c r="I7" s="8" t="s">
        <v>5</v>
      </c>
      <c r="J7" s="91" t="s">
        <v>9</v>
      </c>
      <c r="K7" s="8" t="s">
        <v>6</v>
      </c>
      <c r="L7" s="8" t="s">
        <v>13</v>
      </c>
    </row>
    <row r="8" spans="1:12" ht="80.25" customHeight="1" x14ac:dyDescent="0.25">
      <c r="A8" s="8" t="s">
        <v>21</v>
      </c>
      <c r="B8" s="8" t="s">
        <v>22</v>
      </c>
      <c r="C8" s="8" t="s">
        <v>20</v>
      </c>
      <c r="D8" s="8" t="s">
        <v>1</v>
      </c>
      <c r="E8" s="8" t="s">
        <v>14</v>
      </c>
      <c r="F8" s="8" t="s">
        <v>10</v>
      </c>
      <c r="G8" s="8" t="s">
        <v>11</v>
      </c>
      <c r="H8" s="8" t="s">
        <v>12</v>
      </c>
      <c r="I8" s="8" t="s">
        <v>5</v>
      </c>
      <c r="J8" s="13" t="s">
        <v>9</v>
      </c>
      <c r="K8" s="8" t="s">
        <v>6</v>
      </c>
      <c r="L8" s="8" t="s">
        <v>13</v>
      </c>
    </row>
    <row r="9" spans="1:12" s="17" customFormat="1" ht="96" customHeight="1" x14ac:dyDescent="0.25">
      <c r="A9" s="67" t="s">
        <v>114</v>
      </c>
      <c r="B9" s="68" t="s">
        <v>118</v>
      </c>
      <c r="C9" s="20"/>
      <c r="D9" s="20" t="s">
        <v>81</v>
      </c>
      <c r="E9" s="20" t="s">
        <v>82</v>
      </c>
      <c r="F9" s="20" t="s">
        <v>83</v>
      </c>
      <c r="G9" s="68">
        <f>'Memoria P1'!A34</f>
        <v>6007</v>
      </c>
      <c r="H9" s="67" t="str">
        <f>'Memoria P1'!B34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68" t="str">
        <f>'Memoria P1'!C34</f>
        <v>m3</v>
      </c>
      <c r="J9" s="92">
        <f>(((PI()*1^2)/4)*24)*4</f>
        <v>75.398223686155035</v>
      </c>
      <c r="K9" s="68"/>
      <c r="L9" s="20" t="s">
        <v>84</v>
      </c>
    </row>
    <row r="10" spans="1:12" s="17" customFormat="1" ht="126.75" customHeight="1" x14ac:dyDescent="0.25">
      <c r="A10" s="67" t="s">
        <v>114</v>
      </c>
      <c r="B10" s="68" t="s">
        <v>119</v>
      </c>
      <c r="C10" s="20"/>
      <c r="D10" s="20" t="s">
        <v>81</v>
      </c>
      <c r="E10" s="20" t="s">
        <v>82</v>
      </c>
      <c r="F10" s="20" t="s">
        <v>85</v>
      </c>
      <c r="G10" s="68">
        <f>'Memoria P1'!A35</f>
        <v>3708</v>
      </c>
      <c r="H10" s="67" t="str">
        <f>'Memoria P1'!B35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68" t="str">
        <f>'Memoria P1'!C35</f>
        <v>kg</v>
      </c>
      <c r="J10" s="96">
        <f>10027.72+4434.15+8107.6</f>
        <v>22569.47</v>
      </c>
      <c r="K10" s="68"/>
      <c r="L10" s="20" t="s">
        <v>84</v>
      </c>
    </row>
    <row r="11" spans="1:12" s="17" customFormat="1" ht="55.5" customHeight="1" x14ac:dyDescent="0.25">
      <c r="A11" s="67" t="s">
        <v>114</v>
      </c>
      <c r="B11" s="68" t="s">
        <v>119</v>
      </c>
      <c r="C11" s="20"/>
      <c r="D11" s="20" t="s">
        <v>81</v>
      </c>
      <c r="E11" s="20" t="s">
        <v>82</v>
      </c>
      <c r="F11" s="20" t="s">
        <v>86</v>
      </c>
      <c r="G11" s="68">
        <f>'Memoria P1'!A39</f>
        <v>3637</v>
      </c>
      <c r="H11" s="67" t="str">
        <f>'Memoria P1'!B39</f>
        <v>Concreto 4000 psi, premezclado, grava común (incluye suministro, formaleteo en madera, bombeo, colocación y curado. No incluye refuerzo), en:</v>
      </c>
      <c r="I11" s="68" t="str">
        <f>'Memoria P1'!C39</f>
        <v>m3</v>
      </c>
      <c r="J11" s="92">
        <f>59.7+31.75+15.3</f>
        <v>106.75</v>
      </c>
      <c r="K11" s="68"/>
      <c r="L11" s="20" t="s">
        <v>84</v>
      </c>
    </row>
    <row r="12" spans="1:12" s="17" customFormat="1" ht="55.5" customHeight="1" x14ac:dyDescent="0.25">
      <c r="A12" s="67" t="s">
        <v>114</v>
      </c>
      <c r="B12" s="68" t="s">
        <v>119</v>
      </c>
      <c r="C12" s="16"/>
      <c r="D12" s="20" t="s">
        <v>81</v>
      </c>
      <c r="E12" s="20" t="s">
        <v>82</v>
      </c>
      <c r="F12" s="20" t="s">
        <v>87</v>
      </c>
      <c r="G12" s="68">
        <f>'Memoria P1'!A42</f>
        <v>5055</v>
      </c>
      <c r="H12" s="67" t="str">
        <f>'Memoria P1'!B42</f>
        <v>Descabece de pilotes (incluye transporte y disposición final de escombros en sitio autorizado a 21 km.</v>
      </c>
      <c r="I12" s="68" t="str">
        <f>'Memoria P1'!C42</f>
        <v>m3</v>
      </c>
      <c r="J12" s="92">
        <f>((PI()*1^2)/4)*1.5*4</f>
        <v>4.7123889803846897</v>
      </c>
      <c r="K12" s="68"/>
      <c r="L12" s="20" t="s">
        <v>84</v>
      </c>
    </row>
    <row r="13" spans="1:12" ht="63" customHeight="1" x14ac:dyDescent="0.25">
      <c r="A13" s="67" t="s">
        <v>114</v>
      </c>
      <c r="B13" s="68" t="s">
        <v>119</v>
      </c>
      <c r="C13" s="21"/>
      <c r="D13" s="20" t="s">
        <v>81</v>
      </c>
      <c r="E13" s="20" t="s">
        <v>82</v>
      </c>
      <c r="F13" s="20" t="s">
        <v>91</v>
      </c>
      <c r="G13" s="69">
        <f>'Memoria P1'!A43</f>
        <v>6021</v>
      </c>
      <c r="H13" s="70" t="str">
        <f>'Memoria P1'!B43</f>
        <v>Concreto de nivelación 2000 psi grava común (140 kg/cm2) (premezclado. incluye suministro, fundida y nivelación y colocación. no incluye refuerzo, curado).</v>
      </c>
      <c r="I13" s="69" t="str">
        <f>'Memoria P1'!C43</f>
        <v>m3</v>
      </c>
      <c r="J13" s="94">
        <v>1.06</v>
      </c>
      <c r="K13" s="69"/>
      <c r="L13" s="20" t="s">
        <v>84</v>
      </c>
    </row>
    <row r="14" spans="1:12" ht="39" customHeight="1" x14ac:dyDescent="0.25">
      <c r="A14" s="67" t="s">
        <v>114</v>
      </c>
      <c r="B14" s="68" t="s">
        <v>119</v>
      </c>
      <c r="C14" s="15"/>
      <c r="D14" s="20" t="s">
        <v>81</v>
      </c>
      <c r="E14" s="20" t="s">
        <v>82</v>
      </c>
      <c r="F14" s="20" t="s">
        <v>92</v>
      </c>
      <c r="G14" s="68">
        <f>'Memoria P1'!A44</f>
        <v>5416</v>
      </c>
      <c r="H14" s="67" t="str">
        <f>'Memoria P1'!B44</f>
        <v>Excavación mecánica para dados (nivel de funcionamiento, incluye cargue)</v>
      </c>
      <c r="I14" s="69" t="str">
        <f>'Memoria P1'!C44</f>
        <v>m3</v>
      </c>
      <c r="J14" s="94">
        <v>102.4</v>
      </c>
      <c r="K14" s="68"/>
      <c r="L14" s="20" t="s">
        <v>84</v>
      </c>
    </row>
    <row r="15" spans="1:12" ht="69.75" customHeight="1" x14ac:dyDescent="0.25">
      <c r="A15" s="67" t="s">
        <v>114</v>
      </c>
      <c r="B15" s="68" t="s">
        <v>119</v>
      </c>
      <c r="C15" s="15"/>
      <c r="D15" s="20" t="s">
        <v>81</v>
      </c>
      <c r="E15" s="20" t="s">
        <v>82</v>
      </c>
      <c r="F15" s="20" t="s">
        <v>93</v>
      </c>
      <c r="G15" s="68">
        <f>'Memoria P1'!A45</f>
        <v>3017</v>
      </c>
      <c r="H15" s="67" t="str">
        <f>'Memoria P1'!B45</f>
        <v>Transporte y disposición final de escombros en sitio autorizado (distancia de transporte 21 km) a distancia mayor del acarreo libre (90m) en sitio autorizado por la entidad ambiental competente.</v>
      </c>
      <c r="I15" s="69" t="str">
        <f>'Memoria P1'!C45</f>
        <v>m3</v>
      </c>
      <c r="J15" s="94">
        <v>102.4</v>
      </c>
      <c r="K15" s="68"/>
      <c r="L15" s="20" t="s">
        <v>84</v>
      </c>
    </row>
    <row r="16" spans="1:12" ht="55.5" customHeight="1" x14ac:dyDescent="0.25">
      <c r="A16" s="67" t="s">
        <v>114</v>
      </c>
      <c r="B16" s="68" t="s">
        <v>119</v>
      </c>
      <c r="C16" s="15"/>
      <c r="D16" s="20" t="s">
        <v>81</v>
      </c>
      <c r="E16" s="20" t="s">
        <v>82</v>
      </c>
      <c r="F16" s="20" t="s">
        <v>94</v>
      </c>
      <c r="G16" s="68">
        <f>'Memoria P1'!A46</f>
        <v>4908</v>
      </c>
      <c r="H16" s="67" t="str">
        <f>'Memoria P1'!B46</f>
        <v>Relleno con material de banco, incluye acarreo, equipo, herramienta, mano de obra y todo lo necesario para su correcta ejecución, P.U.O.T.</v>
      </c>
      <c r="I16" s="69" t="str">
        <f>'Memoria P1'!C46</f>
        <v>m3</v>
      </c>
      <c r="J16" s="94">
        <v>70.650000000000006</v>
      </c>
      <c r="K16" s="68"/>
      <c r="L16" s="20" t="s">
        <v>84</v>
      </c>
    </row>
    <row r="17" spans="1:14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</row>
    <row r="18" spans="1:14" ht="100.5" customHeight="1" x14ac:dyDescent="0.25">
      <c r="A18" s="67" t="s">
        <v>115</v>
      </c>
      <c r="B18" s="68" t="s">
        <v>119</v>
      </c>
      <c r="C18" s="20"/>
      <c r="D18" s="20" t="s">
        <v>81</v>
      </c>
      <c r="E18" s="20" t="s">
        <v>82</v>
      </c>
      <c r="F18" s="20" t="s">
        <v>83</v>
      </c>
      <c r="G18" s="68">
        <f>'Memoria P2'!$A$34</f>
        <v>6007</v>
      </c>
      <c r="H18" s="67" t="str">
        <f>'Memoria P2'!$B$34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8" s="68" t="str">
        <f>'Memoria P2'!C34</f>
        <v>m3</v>
      </c>
      <c r="J18" s="92">
        <f>(((PI()*1.2^2)/4)*24)*5</f>
        <v>135.71680263507909</v>
      </c>
      <c r="K18" s="68"/>
      <c r="L18" s="20" t="s">
        <v>84</v>
      </c>
    </row>
    <row r="19" spans="1:14" ht="118.5" customHeight="1" x14ac:dyDescent="0.25">
      <c r="A19" s="67" t="s">
        <v>115</v>
      </c>
      <c r="B19" s="68" t="s">
        <v>119</v>
      </c>
      <c r="C19" s="20"/>
      <c r="D19" s="20" t="s">
        <v>81</v>
      </c>
      <c r="E19" s="20" t="s">
        <v>82</v>
      </c>
      <c r="F19" s="20" t="s">
        <v>85</v>
      </c>
      <c r="G19" s="68">
        <f>'Memoria P2'!$A$35</f>
        <v>3708</v>
      </c>
      <c r="H19" s="67" t="str">
        <f>'Memoria P2'!$B$35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9" s="68" t="str">
        <f>'Memoria P2'!$C$35</f>
        <v>kg</v>
      </c>
      <c r="J19" s="92">
        <f>16228.5+8882.05+16750</f>
        <v>41860.550000000003</v>
      </c>
      <c r="K19" s="68"/>
      <c r="L19" s="20" t="s">
        <v>84</v>
      </c>
    </row>
    <row r="20" spans="1:14" ht="47.25" x14ac:dyDescent="0.25">
      <c r="A20" s="67" t="s">
        <v>115</v>
      </c>
      <c r="B20" s="68" t="s">
        <v>119</v>
      </c>
      <c r="C20" s="20"/>
      <c r="D20" s="20" t="s">
        <v>81</v>
      </c>
      <c r="E20" s="20" t="s">
        <v>82</v>
      </c>
      <c r="F20" s="20" t="s">
        <v>86</v>
      </c>
      <c r="G20" s="68">
        <f>'Memoria P2'!$A$39</f>
        <v>3637</v>
      </c>
      <c r="H20" s="67" t="str">
        <f>'Memoria P2'!$B$39</f>
        <v>Concreto 4000 psi, premezclado, grava común (incluye suministro, formaleteo en madera, bombeo, colocación y curado. No incluye refuerzo), en:</v>
      </c>
      <c r="I20" s="68" t="str">
        <f>'Memoria P2'!$C$39</f>
        <v>m3</v>
      </c>
      <c r="J20" s="92">
        <f>98.2+45.4+37.5</f>
        <v>181.1</v>
      </c>
      <c r="K20" s="68"/>
      <c r="L20" s="20" t="s">
        <v>84</v>
      </c>
      <c r="N20" s="12"/>
    </row>
    <row r="21" spans="1:14" ht="51.75" customHeight="1" x14ac:dyDescent="0.25">
      <c r="A21" s="67" t="s">
        <v>115</v>
      </c>
      <c r="B21" s="68" t="s">
        <v>119</v>
      </c>
      <c r="C21" s="16"/>
      <c r="D21" s="20" t="s">
        <v>81</v>
      </c>
      <c r="E21" s="20" t="s">
        <v>82</v>
      </c>
      <c r="F21" s="20" t="s">
        <v>87</v>
      </c>
      <c r="G21" s="68">
        <f>'Memoria P2'!$A$42</f>
        <v>5055</v>
      </c>
      <c r="H21" s="67" t="str">
        <f>'Memoria P2'!$B$42</f>
        <v>Descabece de pilotes (incluye transporte y disposición final de escombros en sitio autorizado a 21 km.</v>
      </c>
      <c r="I21" s="68" t="str">
        <f>'Memoria P2'!$C$42</f>
        <v>m3</v>
      </c>
      <c r="J21" s="92">
        <f>((PI()*1.2^2)/4)*1.5*5</f>
        <v>8.4823001646924432</v>
      </c>
      <c r="K21" s="68"/>
      <c r="L21" s="20" t="s">
        <v>84</v>
      </c>
    </row>
    <row r="22" spans="1:14" ht="67.5" customHeight="1" x14ac:dyDescent="0.25">
      <c r="A22" s="67" t="s">
        <v>115</v>
      </c>
      <c r="B22" s="68" t="s">
        <v>119</v>
      </c>
      <c r="C22" s="21"/>
      <c r="D22" s="20" t="s">
        <v>81</v>
      </c>
      <c r="E22" s="20" t="s">
        <v>82</v>
      </c>
      <c r="F22" s="20" t="s">
        <v>91</v>
      </c>
      <c r="G22" s="68">
        <f>'Memoria P2'!$A$43</f>
        <v>6021</v>
      </c>
      <c r="H22" s="67" t="str">
        <f>'Memoria P2'!$B$43</f>
        <v>Concreto de nivelación 2000 psi grava común (140 kg/cm2) (premezclado. incluye suministro, fundida y nivelación y colocación. no incluye refuerzo, curado).</v>
      </c>
      <c r="I22" s="68" t="str">
        <f>'Memoria P2'!$C$43</f>
        <v>m3</v>
      </c>
      <c r="J22" s="93">
        <v>1.51</v>
      </c>
      <c r="K22" s="69"/>
      <c r="L22" s="20" t="s">
        <v>84</v>
      </c>
    </row>
    <row r="23" spans="1:14" ht="43.5" customHeight="1" x14ac:dyDescent="0.25">
      <c r="A23" s="67" t="s">
        <v>115</v>
      </c>
      <c r="B23" s="68" t="s">
        <v>119</v>
      </c>
      <c r="C23" s="15"/>
      <c r="D23" s="20" t="s">
        <v>81</v>
      </c>
      <c r="E23" s="20" t="s">
        <v>82</v>
      </c>
      <c r="F23" s="20" t="s">
        <v>92</v>
      </c>
      <c r="G23" s="68">
        <f>'Memoria P2'!$A$44</f>
        <v>5416</v>
      </c>
      <c r="H23" s="67" t="str">
        <f>'Memoria P2'!$B$44</f>
        <v>Excavación mecánica para dados (nivel de funcionamiento, incluye cargue)</v>
      </c>
      <c r="I23" s="68" t="str">
        <f>'Memoria P2'!$C$44</f>
        <v>m3</v>
      </c>
      <c r="J23" s="93">
        <v>108.9</v>
      </c>
      <c r="K23" s="68"/>
      <c r="L23" s="20" t="s">
        <v>84</v>
      </c>
    </row>
    <row r="24" spans="1:14" ht="73.5" customHeight="1" x14ac:dyDescent="0.25">
      <c r="A24" s="67" t="s">
        <v>115</v>
      </c>
      <c r="B24" s="68" t="s">
        <v>119</v>
      </c>
      <c r="C24" s="15"/>
      <c r="D24" s="20" t="s">
        <v>81</v>
      </c>
      <c r="E24" s="20" t="s">
        <v>82</v>
      </c>
      <c r="F24" s="20" t="s">
        <v>93</v>
      </c>
      <c r="G24" s="68">
        <f>'Memoria P2'!$A$45</f>
        <v>3017</v>
      </c>
      <c r="H24" s="67" t="str">
        <f>'Memoria P2'!$B$45</f>
        <v>Transporte y disposición final de escombros en sitio autorizado (distancia de transporte 21 km) a distancia mayor del acarreo libre (90m) en sitio autorizado por la entidad ambiental competente.</v>
      </c>
      <c r="I24" s="68" t="str">
        <f>'Memoria P2'!$C$45</f>
        <v>m3</v>
      </c>
      <c r="J24" s="93">
        <v>108.9</v>
      </c>
      <c r="K24" s="68"/>
      <c r="L24" s="20" t="s">
        <v>84</v>
      </c>
    </row>
    <row r="25" spans="1:14" ht="54.75" customHeight="1" x14ac:dyDescent="0.25">
      <c r="A25" s="67" t="s">
        <v>115</v>
      </c>
      <c r="B25" s="68" t="s">
        <v>119</v>
      </c>
      <c r="C25" s="15"/>
      <c r="D25" s="20" t="s">
        <v>81</v>
      </c>
      <c r="E25" s="20" t="s">
        <v>82</v>
      </c>
      <c r="F25" s="20" t="s">
        <v>94</v>
      </c>
      <c r="G25" s="68">
        <f>'Memoria P2'!$A$46</f>
        <v>4908</v>
      </c>
      <c r="H25" s="67" t="str">
        <f>'Memoria P2'!$B$46</f>
        <v>Relleno con material de banco, incluye acarreo, equipo, herramienta, mano de obra y todo lo necesario para su correcta ejecución, P.U.O.T.</v>
      </c>
      <c r="I25" s="68" t="str">
        <f>'Memoria P2'!$C$46</f>
        <v>m3</v>
      </c>
      <c r="J25" s="93">
        <v>63.5</v>
      </c>
      <c r="K25" s="68"/>
      <c r="L25" s="20" t="s">
        <v>84</v>
      </c>
    </row>
    <row r="26" spans="1:14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4" ht="78.75" x14ac:dyDescent="0.25">
      <c r="A27" s="67" t="s">
        <v>116</v>
      </c>
      <c r="B27" s="68" t="s">
        <v>119</v>
      </c>
      <c r="C27" s="20"/>
      <c r="D27" s="20" t="s">
        <v>81</v>
      </c>
      <c r="E27" s="20" t="s">
        <v>82</v>
      </c>
      <c r="F27" s="20" t="s">
        <v>83</v>
      </c>
      <c r="G27" s="68">
        <f>'Memoria P3'!$A$34</f>
        <v>6007</v>
      </c>
      <c r="H27" s="67" t="str">
        <f>'Memoria P3'!$B$34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7" s="68" t="str">
        <f>'Memoria P3'!$C$34</f>
        <v>m3</v>
      </c>
      <c r="J27" s="92">
        <f>(((PI()*1^2)/4)*24)*4</f>
        <v>75.398223686155035</v>
      </c>
      <c r="K27" s="68"/>
      <c r="L27" s="20" t="s">
        <v>84</v>
      </c>
    </row>
    <row r="28" spans="1:14" ht="94.5" x14ac:dyDescent="0.25">
      <c r="A28" s="67" t="s">
        <v>116</v>
      </c>
      <c r="B28" s="68" t="s">
        <v>119</v>
      </c>
      <c r="C28" s="20"/>
      <c r="D28" s="20" t="s">
        <v>81</v>
      </c>
      <c r="E28" s="20" t="s">
        <v>82</v>
      </c>
      <c r="F28" s="20" t="s">
        <v>85</v>
      </c>
      <c r="G28" s="68">
        <f>'Memoria P3'!$A$35</f>
        <v>3708</v>
      </c>
      <c r="H28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8" s="68" t="str">
        <f>'Memoria P3'!$C$35</f>
        <v>kg</v>
      </c>
      <c r="J28" s="96">
        <f>10027.72+4434.15+8107.6</f>
        <v>22569.47</v>
      </c>
      <c r="K28" s="68"/>
      <c r="L28" s="20" t="s">
        <v>84</v>
      </c>
    </row>
    <row r="29" spans="1:14" ht="47.25" x14ac:dyDescent="0.25">
      <c r="A29" s="67" t="s">
        <v>116</v>
      </c>
      <c r="B29" s="68" t="s">
        <v>119</v>
      </c>
      <c r="C29" s="20"/>
      <c r="D29" s="20" t="s">
        <v>81</v>
      </c>
      <c r="E29" s="20" t="s">
        <v>82</v>
      </c>
      <c r="F29" s="20" t="s">
        <v>86</v>
      </c>
      <c r="G29" s="68">
        <f>'Memoria P3'!$A$39</f>
        <v>3637</v>
      </c>
      <c r="H29" s="67" t="str">
        <f>'Memoria P3'!$B$39</f>
        <v>Concreto 4000 psi, premezclado, grava común (incluye suministro, formaleteo en madera, bombeo, colocación y curado. No incluye refuerzo), en:</v>
      </c>
      <c r="I29" s="68" t="str">
        <f>'Memoria P3'!$C$39</f>
        <v>m3</v>
      </c>
      <c r="J29" s="92">
        <f>59.7+31.75+15.3</f>
        <v>106.75</v>
      </c>
      <c r="K29" s="68"/>
      <c r="L29" s="20" t="s">
        <v>84</v>
      </c>
    </row>
    <row r="30" spans="1:14" ht="31.5" x14ac:dyDescent="0.25">
      <c r="A30" s="67" t="s">
        <v>116</v>
      </c>
      <c r="B30" s="68" t="s">
        <v>119</v>
      </c>
      <c r="C30" s="16"/>
      <c r="D30" s="20" t="s">
        <v>81</v>
      </c>
      <c r="E30" s="20" t="s">
        <v>82</v>
      </c>
      <c r="F30" s="20" t="s">
        <v>87</v>
      </c>
      <c r="G30" s="68">
        <f>'Memoria P3'!$A$42</f>
        <v>5055</v>
      </c>
      <c r="H30" s="67" t="str">
        <f>'Memoria P3'!$B$42</f>
        <v>Descabece de pilotes (incluye transporte y disposición final de escombros en sitio autorizado a 21 km.</v>
      </c>
      <c r="I30" s="68" t="str">
        <f>'Memoria P3'!$C$42</f>
        <v>m3</v>
      </c>
      <c r="J30" s="92">
        <f>((PI()*1^2)/4)*1.5*4</f>
        <v>4.7123889803846897</v>
      </c>
      <c r="K30" s="68"/>
      <c r="L30" s="20" t="s">
        <v>84</v>
      </c>
    </row>
    <row r="31" spans="1:14" ht="47.25" x14ac:dyDescent="0.25">
      <c r="A31" s="67" t="s">
        <v>116</v>
      </c>
      <c r="B31" s="68" t="s">
        <v>119</v>
      </c>
      <c r="C31" s="21"/>
      <c r="D31" s="20" t="s">
        <v>81</v>
      </c>
      <c r="E31" s="20" t="s">
        <v>82</v>
      </c>
      <c r="F31" s="20" t="s">
        <v>91</v>
      </c>
      <c r="G31" s="68">
        <f>'Memoria P3'!$A$43</f>
        <v>6021</v>
      </c>
      <c r="H31" s="67" t="str">
        <f>'Memoria P3'!$B$43</f>
        <v>Concreto de nivelación 2000 psi grava común (140 kg/cm2) (premezclado. incluye suministro, fundida y nivelación y colocación. no incluye refuerzo, curado).</v>
      </c>
      <c r="I31" s="68" t="str">
        <f>'Memoria P3'!$C$43</f>
        <v>m3</v>
      </c>
      <c r="J31" s="94">
        <v>1.06</v>
      </c>
      <c r="K31" s="69"/>
      <c r="L31" s="20" t="s">
        <v>84</v>
      </c>
    </row>
    <row r="32" spans="1:14" ht="31.5" x14ac:dyDescent="0.25">
      <c r="A32" s="67" t="s">
        <v>116</v>
      </c>
      <c r="B32" s="68" t="s">
        <v>119</v>
      </c>
      <c r="C32" s="15"/>
      <c r="D32" s="20" t="s">
        <v>81</v>
      </c>
      <c r="E32" s="20" t="s">
        <v>82</v>
      </c>
      <c r="F32" s="20" t="s">
        <v>92</v>
      </c>
      <c r="G32" s="68">
        <f>'Memoria P3'!$A$44</f>
        <v>5416</v>
      </c>
      <c r="H32" s="67" t="str">
        <f>'Memoria P3'!$B$44</f>
        <v>Excavación mecánica para dados (nivel de funcionamiento, incluye cargue)</v>
      </c>
      <c r="I32" s="68" t="str">
        <f>'Memoria P3'!$C$44</f>
        <v>m3</v>
      </c>
      <c r="J32" s="94">
        <v>102.4</v>
      </c>
      <c r="K32" s="68"/>
      <c r="L32" s="20" t="s">
        <v>84</v>
      </c>
    </row>
    <row r="33" spans="1:12" ht="63" x14ac:dyDescent="0.25">
      <c r="A33" s="67" t="s">
        <v>116</v>
      </c>
      <c r="B33" s="68" t="s">
        <v>119</v>
      </c>
      <c r="C33" s="15"/>
      <c r="D33" s="20" t="s">
        <v>81</v>
      </c>
      <c r="E33" s="20" t="s">
        <v>82</v>
      </c>
      <c r="F33" s="20" t="s">
        <v>93</v>
      </c>
      <c r="G33" s="68">
        <f>'Memoria P3'!$A$45</f>
        <v>3017</v>
      </c>
      <c r="H33" s="67" t="str">
        <f>'Memoria P3'!$B$45</f>
        <v>Transporte y disposición final de escombros en sitio autorizado (distancia de transporte 21 km) a distancia mayor del acarreo libre (90m) en sitio autorizado por la entidad ambiental competente.</v>
      </c>
      <c r="I33" s="68" t="str">
        <f>'Memoria P3'!$C$45</f>
        <v>m3</v>
      </c>
      <c r="J33" s="94">
        <v>102.4</v>
      </c>
      <c r="K33" s="68"/>
      <c r="L33" s="20" t="s">
        <v>84</v>
      </c>
    </row>
    <row r="34" spans="1:12" ht="47.25" x14ac:dyDescent="0.25">
      <c r="A34" s="67" t="s">
        <v>116</v>
      </c>
      <c r="B34" s="68" t="s">
        <v>119</v>
      </c>
      <c r="C34" s="15"/>
      <c r="D34" s="20" t="s">
        <v>81</v>
      </c>
      <c r="E34" s="20" t="s">
        <v>82</v>
      </c>
      <c r="F34" s="20" t="s">
        <v>94</v>
      </c>
      <c r="G34" s="68">
        <f>'Memoria P3'!$A$46</f>
        <v>4908</v>
      </c>
      <c r="H34" s="67" t="str">
        <f>'Memoria P3'!$B$46</f>
        <v>Relleno con material de banco, incluye acarreo, equipo, herramienta, mano de obra y todo lo necesario para su correcta ejecución, P.U.O.T.</v>
      </c>
      <c r="I34" s="68" t="str">
        <f>'Memoria P3'!$C$46</f>
        <v>m3</v>
      </c>
      <c r="J34" s="94">
        <v>70.650000000000006</v>
      </c>
      <c r="K34" s="68"/>
      <c r="L34" s="20" t="s">
        <v>84</v>
      </c>
    </row>
    <row r="35" spans="1:12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ht="94.5" x14ac:dyDescent="0.25">
      <c r="A36" s="67" t="s">
        <v>117</v>
      </c>
      <c r="B36" s="68" t="s">
        <v>119</v>
      </c>
      <c r="C36" s="20"/>
      <c r="D36" s="20" t="s">
        <v>81</v>
      </c>
      <c r="E36" s="20" t="s">
        <v>82</v>
      </c>
      <c r="F36" s="20" t="s">
        <v>85</v>
      </c>
      <c r="G36" s="68">
        <f>'Memoria P3'!$A$35</f>
        <v>3708</v>
      </c>
      <c r="H36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6" s="68" t="str">
        <f>'Memoria P3'!$C$35</f>
        <v>kg</v>
      </c>
      <c r="J36" s="96">
        <v>13746.8</v>
      </c>
      <c r="K36" s="68"/>
      <c r="L36" s="20" t="s">
        <v>84</v>
      </c>
    </row>
    <row r="37" spans="1:12" ht="47.25" x14ac:dyDescent="0.25">
      <c r="A37" s="67" t="s">
        <v>117</v>
      </c>
      <c r="B37" s="68" t="s">
        <v>119</v>
      </c>
      <c r="C37" s="20"/>
      <c r="D37" s="20" t="s">
        <v>81</v>
      </c>
      <c r="E37" s="20" t="s">
        <v>82</v>
      </c>
      <c r="F37" s="20" t="s">
        <v>86</v>
      </c>
      <c r="G37" s="68">
        <f>'Memoria P3'!$A$39</f>
        <v>3637</v>
      </c>
      <c r="H37" s="67" t="str">
        <f>'Memoria P3'!$B$39</f>
        <v>Concreto 4000 psi, premezclado, grava común (incluye suministro, formaleteo en madera, bombeo, colocación y curado. No incluye refuerzo), en:</v>
      </c>
      <c r="I37" s="68" t="str">
        <f>'Memoria P3'!$C$39</f>
        <v>m3</v>
      </c>
      <c r="J37" s="92">
        <v>33.1</v>
      </c>
      <c r="K37" s="68"/>
      <c r="L37" s="20" t="s">
        <v>84</v>
      </c>
    </row>
    <row r="38" spans="1:12" x14ac:dyDescent="0.25">
      <c r="A38" s="97"/>
      <c r="B38" s="98"/>
      <c r="C38" s="99"/>
      <c r="D38" s="98"/>
      <c r="E38" s="98"/>
      <c r="F38" s="98"/>
      <c r="G38" s="98"/>
      <c r="H38" s="100"/>
      <c r="I38" s="98"/>
      <c r="J38" s="101"/>
      <c r="K38" s="98"/>
      <c r="L38" s="102"/>
    </row>
  </sheetData>
  <mergeCells count="10">
    <mergeCell ref="A35:L35"/>
    <mergeCell ref="L1:L3"/>
    <mergeCell ref="A1:K1"/>
    <mergeCell ref="B2:J3"/>
    <mergeCell ref="A26:L26"/>
    <mergeCell ref="A17:L17"/>
    <mergeCell ref="A5:L5"/>
    <mergeCell ref="A6:C6"/>
    <mergeCell ref="D6:F6"/>
    <mergeCell ref="H6:I6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D1DF-1357-47E7-AD95-A4987685983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24.89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2.5099999999999998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110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80.110612666539723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19599.667329665448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8879.9158303576151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7050.928908907832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7.7283179278308909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141.1875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141.1875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83.977983177365388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E2B9-FCFB-493B-B4D7-17C4B017341A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14.4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13.86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111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45.238934211693021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12968.013418939234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5033.905370439662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7.5084064420796057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137.25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137.25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84.071460711186447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3AA4-2AB8-4B4C-A96F-FAC88D670206}">
  <sheetPr>
    <tabColor rgb="FFFFFF00"/>
  </sheetPr>
  <dimension ref="A2:M50"/>
  <sheetViews>
    <sheetView view="pageBreakPreview" zoomScale="85" zoomScaleNormal="85" zoomScaleSheetLayoutView="85" workbookViewId="0">
      <selection activeCell="E26" sqref="E26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20.85</v>
      </c>
      <c r="G14" s="29" t="s">
        <v>23</v>
      </c>
      <c r="H14" s="33" t="s">
        <v>45</v>
      </c>
      <c r="I14" s="36">
        <f>(C30+C17-0.3-0.15)+(2.4)</f>
        <v>8.15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122</v>
      </c>
      <c r="G16" s="29" t="s">
        <v>33</v>
      </c>
      <c r="H16" s="33" t="s">
        <v>49</v>
      </c>
      <c r="I16" s="35">
        <f>ROUNDUP((((C30+C17-0.3-0.15)/I15)+1),0)</f>
        <v>59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1.1000000000000001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2.65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4.7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67.858401317539531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14434.600491103683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7407.0301160731688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4570.0094918305149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68.446071049800054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23.071071049800047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8.1681408993334621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149.0625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149.0625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96.775387626642555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E8E4-DE4F-4B8E-AB3A-177A876D110E}">
  <sheetPr>
    <tabColor rgb="FFFFFF00"/>
  </sheetPr>
  <dimension ref="A2:M47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30" t="s">
        <v>29</v>
      </c>
      <c r="C10" s="31"/>
      <c r="D10" s="29"/>
      <c r="E10" s="30" t="s">
        <v>29</v>
      </c>
      <c r="F10" s="31"/>
      <c r="G10" s="29"/>
      <c r="H10" s="30" t="s">
        <v>30</v>
      </c>
      <c r="I10" s="32"/>
      <c r="J10" s="29"/>
      <c r="K10" s="30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10.5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44</v>
      </c>
      <c r="L13" s="34">
        <v>10</v>
      </c>
      <c r="M13" s="29" t="s">
        <v>36</v>
      </c>
    </row>
    <row r="14" spans="2:13" x14ac:dyDescent="0.2">
      <c r="B14" s="30" t="s">
        <v>31</v>
      </c>
      <c r="C14" s="34"/>
      <c r="D14" s="29"/>
      <c r="E14" s="33" t="s">
        <v>45</v>
      </c>
      <c r="F14" s="36">
        <f>(C13-C18-0.5-0.15)+(IF(C12=100,1,1.2))</f>
        <v>9.85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23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68</v>
      </c>
      <c r="G16" s="29" t="s">
        <v>33</v>
      </c>
      <c r="H16" s="33" t="s">
        <v>49</v>
      </c>
      <c r="I16" s="88">
        <v>47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7.1000000000000014</v>
      </c>
      <c r="M17" s="29" t="s">
        <v>23</v>
      </c>
    </row>
    <row r="18" spans="2:13" x14ac:dyDescent="0.2">
      <c r="B18" s="33" t="s">
        <v>52</v>
      </c>
      <c r="C18" s="32">
        <v>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30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2.5499999999999998</v>
      </c>
      <c r="D22" s="29" t="s">
        <v>23</v>
      </c>
      <c r="K22" s="40" t="s">
        <v>62</v>
      </c>
      <c r="L22" s="42">
        <f>C15-(L13/100)-(L13/100)</f>
        <v>5.3000000000000007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30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30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48" t="s">
        <v>71</v>
      </c>
      <c r="C33" s="49" t="s">
        <v>72</v>
      </c>
      <c r="D33" s="50" t="s">
        <v>73</v>
      </c>
      <c r="E33" s="51"/>
    </row>
    <row r="34" spans="1:11" ht="76.5" x14ac:dyDescent="0.2">
      <c r="A34" s="48">
        <v>6007</v>
      </c>
      <c r="B34" s="53" t="s">
        <v>74</v>
      </c>
      <c r="C34" s="56" t="s">
        <v>75</v>
      </c>
      <c r="D34" s="57">
        <f>((PI()*(C12*C12)/4/10000)*C13*C11)</f>
        <v>32.986722862692829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9992.5606780472517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3664.6018304670115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2556.6798432000005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3771.2790043802406</v>
      </c>
    </row>
    <row r="39" spans="1:11" ht="51" x14ac:dyDescent="0.2">
      <c r="A39" s="127">
        <v>3637</v>
      </c>
      <c r="B39" s="53" t="s">
        <v>78</v>
      </c>
      <c r="C39" s="56" t="s">
        <v>75</v>
      </c>
      <c r="D39" s="64">
        <f>D40+D41</f>
        <v>60.101215563702155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14.726215563702155</v>
      </c>
    </row>
    <row r="42" spans="1:11" ht="38.25" x14ac:dyDescent="0.2">
      <c r="A42" s="48">
        <v>5055</v>
      </c>
      <c r="B42" s="53" t="s">
        <v>79</v>
      </c>
      <c r="C42" s="56" t="s">
        <v>75</v>
      </c>
      <c r="D42" s="65">
        <f>((PI()*(C12*C12)/4/10000)*(C17+C18)*C11)</f>
        <v>7.8539816339744828</v>
      </c>
      <c r="H42" s="58"/>
      <c r="K42" s="58"/>
    </row>
    <row r="43" spans="1:11" ht="51" x14ac:dyDescent="0.2">
      <c r="A43" s="48">
        <v>6021</v>
      </c>
      <c r="B43" s="53" t="s">
        <v>88</v>
      </c>
      <c r="C43" s="56" t="s">
        <v>75</v>
      </c>
      <c r="D43" s="65">
        <f>(C25*C26*C27)-((PI()*C12*C12*0.1/4/10000)*C11)</f>
        <v>1.1983407346410209</v>
      </c>
      <c r="H43" s="58"/>
      <c r="K43" s="58"/>
    </row>
    <row r="44" spans="1:11" s="80" customFormat="1" ht="25.5" x14ac:dyDescent="0.2">
      <c r="A44" s="73">
        <v>5416</v>
      </c>
      <c r="B44" s="74" t="s">
        <v>89</v>
      </c>
      <c r="C44" s="75" t="s">
        <v>75</v>
      </c>
      <c r="D44" s="76">
        <f>C20*C21*C22</f>
        <v>143.4375</v>
      </c>
      <c r="E44" s="77"/>
      <c r="F44" s="78"/>
      <c r="G44" s="78"/>
      <c r="H44" s="79"/>
      <c r="I44" s="78"/>
      <c r="J44" s="78"/>
      <c r="K44" s="79"/>
    </row>
    <row r="45" spans="1:11" ht="51" x14ac:dyDescent="0.2">
      <c r="A45" s="71">
        <v>3017</v>
      </c>
      <c r="B45" s="72" t="s">
        <v>90</v>
      </c>
      <c r="C45" s="66" t="s">
        <v>75</v>
      </c>
      <c r="D45" s="65">
        <f>D44</f>
        <v>143.4375</v>
      </c>
      <c r="K45" s="58"/>
    </row>
    <row r="46" spans="1:11" ht="38.25" x14ac:dyDescent="0.2">
      <c r="A46" s="71">
        <v>4908</v>
      </c>
      <c r="B46" s="53" t="s">
        <v>80</v>
      </c>
      <c r="C46" s="56" t="s">
        <v>75</v>
      </c>
      <c r="D46" s="65">
        <f>D44-(C25*C26*C27)-D40-((PI()*C29*C29/4)*C18)</f>
        <v>91.641261478765955</v>
      </c>
    </row>
    <row r="47" spans="1:11" ht="89.25" x14ac:dyDescent="0.2">
      <c r="A47" s="71">
        <v>6226</v>
      </c>
      <c r="B47" s="72" t="s">
        <v>95</v>
      </c>
      <c r="C47" s="56" t="s">
        <v>96</v>
      </c>
      <c r="D47" s="65">
        <f>C20*C21*0.15</f>
        <v>8.4375</v>
      </c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D3DD-F5DB-4B83-B105-EA946ABD128A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12.5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10.879999999999999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73</v>
      </c>
      <c r="G16" s="29" t="s">
        <v>33</v>
      </c>
      <c r="H16" s="33" t="s">
        <v>49</v>
      </c>
      <c r="I16" s="88">
        <v>55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98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39.269908169872416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12158.553380961992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4014.1299698601742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5686.862527901817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10.901326507956581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197.99999999999997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197.99999999999997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137.18739056296323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C91-DD6F-4762-8A83-440500A5FC56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3.570312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27.5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26.900000000000002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20</v>
      </c>
      <c r="M14" s="23" t="s">
        <v>33</v>
      </c>
    </row>
    <row r="15" spans="2:13" x14ac:dyDescent="0.2">
      <c r="B15" s="33" t="s">
        <v>46</v>
      </c>
      <c r="C15" s="34">
        <v>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</v>
      </c>
      <c r="D16" s="29" t="s">
        <v>23</v>
      </c>
      <c r="E16" s="33" t="s">
        <v>49</v>
      </c>
      <c r="F16" s="38">
        <v>163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6.4600000000000009</v>
      </c>
      <c r="M17" s="29" t="s">
        <v>23</v>
      </c>
    </row>
    <row r="18" spans="2:13" x14ac:dyDescent="0.2">
      <c r="B18" s="33" t="s">
        <v>52</v>
      </c>
      <c r="C18" s="84">
        <v>0.95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100</v>
      </c>
      <c r="C20" s="35">
        <f>+C15+0.5+0.5</f>
        <v>6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101</v>
      </c>
      <c r="C21" s="35">
        <f>+C16+0.5+0.5</f>
        <v>6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</v>
      </c>
      <c r="D22" s="29" t="s">
        <v>23</v>
      </c>
      <c r="K22" s="40" t="s">
        <v>62</v>
      </c>
      <c r="L22" s="42">
        <f>C15-(L13/100)-(L13/100)</f>
        <v>4.66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86.393797973719316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19310.959661031022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9645.648075737101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2589.5187151999999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69.756302570733197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37.5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7.696902001294994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0.93584073464102069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90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90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41.035504185934485</v>
      </c>
      <c r="K46" s="58"/>
    </row>
    <row r="47" spans="1:11" ht="38.25" x14ac:dyDescent="0.2">
      <c r="A47" s="85">
        <v>5196</v>
      </c>
      <c r="B47" s="72" t="s">
        <v>99</v>
      </c>
      <c r="C47" s="82" t="s">
        <v>75</v>
      </c>
      <c r="D47" s="65">
        <f>C20*C21*0.15</f>
        <v>5.3999999999999995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BBF8-4330-42F0-84AC-902813F21A5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23.4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22.9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136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103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73.513268094001148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16101.392221433594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8167.2841729340225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7.3827427359360138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82.104204050009528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FCF2-4280-4073-B1C1-AC14132878BD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23.890000000000004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146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2.06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3.61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104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80.424771931898704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17190.645919329341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8586.1072805203494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5656.5245508089911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11.184069846779664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203.0625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203.0625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141.61371805061131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E0DF-A394-4551-8B01-5515E47BFCEA}">
  <sheetPr>
    <tabColor rgb="FFFFFF00"/>
  </sheetPr>
  <dimension ref="A2:M51"/>
  <sheetViews>
    <sheetView view="pageBreakPreview" topLeftCell="A4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30.4257812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105</v>
      </c>
      <c r="L10" s="32"/>
    </row>
    <row r="11" spans="2:13" x14ac:dyDescent="0.2">
      <c r="B11" s="33" t="s">
        <v>32</v>
      </c>
      <c r="C11" s="34">
        <v>6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26.8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25.990000000000002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8</v>
      </c>
      <c r="D16" s="29" t="s">
        <v>23</v>
      </c>
      <c r="E16" s="33" t="s">
        <v>49</v>
      </c>
      <c r="F16" s="38">
        <v>158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1.1599999999999999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10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2.71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8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(17*3)+(24*2)</f>
        <v>99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  <c r="K31" s="125" t="s">
        <v>28</v>
      </c>
      <c r="L31" s="126"/>
    </row>
    <row r="32" spans="2:13" x14ac:dyDescent="0.2">
      <c r="B32" s="44"/>
      <c r="C32" s="46"/>
      <c r="D32" s="29"/>
      <c r="E32" s="44"/>
      <c r="F32" s="46"/>
      <c r="G32" s="29"/>
      <c r="K32" s="83" t="s">
        <v>106</v>
      </c>
      <c r="L32" s="32"/>
    </row>
    <row r="33" spans="1:13" ht="25.5" x14ac:dyDescent="0.2">
      <c r="A33" s="47" t="s">
        <v>70</v>
      </c>
      <c r="B33" s="81" t="s">
        <v>71</v>
      </c>
      <c r="C33" s="49" t="s">
        <v>72</v>
      </c>
      <c r="D33" s="50" t="s">
        <v>107</v>
      </c>
      <c r="E33" s="51"/>
      <c r="K33" s="33" t="s">
        <v>35</v>
      </c>
      <c r="L33" s="34">
        <v>20</v>
      </c>
      <c r="M33" s="23" t="s">
        <v>36</v>
      </c>
    </row>
    <row r="34" spans="1:13" x14ac:dyDescent="0.2">
      <c r="A34" s="52"/>
      <c r="B34" s="53"/>
      <c r="C34" s="54"/>
      <c r="D34" s="55"/>
      <c r="E34" s="51"/>
      <c r="K34" s="33" t="s">
        <v>40</v>
      </c>
      <c r="L34" s="34">
        <v>1</v>
      </c>
      <c r="M34" s="29"/>
    </row>
    <row r="35" spans="1:13" ht="76.5" x14ac:dyDescent="0.2">
      <c r="A35" s="81">
        <v>6007</v>
      </c>
      <c r="B35" s="53" t="s">
        <v>74</v>
      </c>
      <c r="C35" s="82" t="s">
        <v>75</v>
      </c>
      <c r="D35" s="57">
        <f>((PI()*(C12*C12)/4/10000)*C13*C11)</f>
        <v>126.29202467430969</v>
      </c>
      <c r="E35" s="58"/>
      <c r="H35" s="59"/>
      <c r="K35" s="33" t="s">
        <v>97</v>
      </c>
      <c r="L35" s="34">
        <v>17</v>
      </c>
      <c r="M35" s="29" t="s">
        <v>36</v>
      </c>
    </row>
    <row r="36" spans="1:13" ht="102" x14ac:dyDescent="0.2">
      <c r="A36" s="127">
        <v>3708</v>
      </c>
      <c r="B36" s="53" t="s">
        <v>76</v>
      </c>
      <c r="C36" s="54" t="s">
        <v>77</v>
      </c>
      <c r="D36" s="60">
        <f>D37+D38+D39</f>
        <v>27362.77703935418</v>
      </c>
      <c r="H36" s="59"/>
      <c r="K36" s="33" t="s">
        <v>34</v>
      </c>
      <c r="L36" s="35">
        <f>IF(L34=1,(ROUNDUP(((C16-(2*L35/100))*(L34)/(L33/100))+1,0)),(ROUNDUP(((C16-(2*L35/100))*(L34)/(L33/100))+2,0)))</f>
        <v>40</v>
      </c>
      <c r="M36" s="23" t="s">
        <v>33</v>
      </c>
    </row>
    <row r="37" spans="1:13" x14ac:dyDescent="0.2">
      <c r="A37" s="127"/>
      <c r="B37" s="61" t="s">
        <v>29</v>
      </c>
      <c r="C37" s="128" t="s">
        <v>77</v>
      </c>
      <c r="D37" s="62">
        <f>((F14*F11*F13)+(F16*F18*F21))*C11*1.03</f>
        <v>13991.321933315912</v>
      </c>
      <c r="K37" s="33" t="s">
        <v>38</v>
      </c>
      <c r="L37" s="34">
        <v>8</v>
      </c>
      <c r="M37" s="23" t="s">
        <v>39</v>
      </c>
    </row>
    <row r="38" spans="1:13" x14ac:dyDescent="0.2">
      <c r="A38" s="127"/>
      <c r="B38" s="61" t="s">
        <v>31</v>
      </c>
      <c r="C38" s="128"/>
      <c r="D38" s="62">
        <f>(((L14*L16*L17*2)+(L36*L38*L39*2)+(L19*L21*L22*2)+(L41*L43*L44))+(L26*L28*L29))*1.03</f>
        <v>5331.3263912000002</v>
      </c>
      <c r="K38" s="33" t="s">
        <v>42</v>
      </c>
      <c r="L38" s="35">
        <f>LOOKUP(L37,[1]Hoja2!$B$6:$B$18,[1]Hoja2!$E$6:$E$18)</f>
        <v>3.9729999999999999</v>
      </c>
      <c r="M38" s="29" t="s">
        <v>43</v>
      </c>
    </row>
    <row r="39" spans="1:13" x14ac:dyDescent="0.2">
      <c r="A39" s="127"/>
      <c r="B39" s="61" t="s">
        <v>30</v>
      </c>
      <c r="C39" s="128"/>
      <c r="D39" s="63">
        <f>+(I11*I13*I14)+(I16*I18*I21)+(I25*I27*I29*I28)*1.03</f>
        <v>8040.1287148382689</v>
      </c>
      <c r="K39" s="33" t="s">
        <v>45</v>
      </c>
      <c r="L39" s="36">
        <f>(C16-(L35/100)-(L35/100))+0.9+0.9</f>
        <v>9.4600000000000009</v>
      </c>
      <c r="M39" s="29" t="s">
        <v>23</v>
      </c>
    </row>
    <row r="40" spans="1:13" ht="51" x14ac:dyDescent="0.2">
      <c r="A40" s="127">
        <v>3637</v>
      </c>
      <c r="B40" s="53" t="s">
        <v>78</v>
      </c>
      <c r="C40" s="82" t="s">
        <v>75</v>
      </c>
      <c r="D40" s="64">
        <f>D41+D42</f>
        <v>109.00840342764427</v>
      </c>
      <c r="H40" s="58"/>
      <c r="K40" s="33" t="s">
        <v>54</v>
      </c>
      <c r="L40" s="34">
        <v>20</v>
      </c>
      <c r="M40" s="23" t="s">
        <v>36</v>
      </c>
    </row>
    <row r="41" spans="1:13" x14ac:dyDescent="0.2">
      <c r="A41" s="127"/>
      <c r="B41" s="61" t="s">
        <v>31</v>
      </c>
      <c r="C41" s="128" t="s">
        <v>75</v>
      </c>
      <c r="D41" s="65">
        <f>C15*C16*C17</f>
        <v>66</v>
      </c>
      <c r="K41" s="33" t="s">
        <v>56</v>
      </c>
      <c r="L41" s="35">
        <f>ROUNDDOWN((C17-(25/100)-(25/100))/(L40/100)+1,0)</f>
        <v>6</v>
      </c>
      <c r="M41" s="23" t="s">
        <v>33</v>
      </c>
    </row>
    <row r="42" spans="1:13" x14ac:dyDescent="0.2">
      <c r="A42" s="127"/>
      <c r="B42" s="61" t="s">
        <v>30</v>
      </c>
      <c r="C42" s="128"/>
      <c r="D42" s="65">
        <f>(PI()*C29*C29/4)*C30</f>
        <v>43.008403427644268</v>
      </c>
      <c r="K42" s="33" t="s">
        <v>58</v>
      </c>
      <c r="L42" s="34">
        <v>6</v>
      </c>
      <c r="M42" s="23" t="s">
        <v>39</v>
      </c>
    </row>
    <row r="43" spans="1:13" ht="38.25" x14ac:dyDescent="0.2">
      <c r="A43" s="81">
        <v>5055</v>
      </c>
      <c r="B43" s="53" t="s">
        <v>79</v>
      </c>
      <c r="C43" s="82" t="s">
        <v>75</v>
      </c>
      <c r="D43" s="65">
        <f>((PI()*(C12*C12)/4/10000)*(C17+C18)*C11)</f>
        <v>12.534954687823276</v>
      </c>
      <c r="H43" s="58"/>
      <c r="K43" s="33" t="s">
        <v>61</v>
      </c>
      <c r="L43" s="35">
        <f>LOOKUP(L42,[1]Hoja2!$B$6:$B$18,[1]Hoja2!$E$6:$E$18)</f>
        <v>2.2349999999999999</v>
      </c>
      <c r="M43" s="29" t="s">
        <v>43</v>
      </c>
    </row>
    <row r="44" spans="1:13" ht="51.75" thickBot="1" x14ac:dyDescent="0.25">
      <c r="A44" s="81">
        <v>6021</v>
      </c>
      <c r="B44" s="53" t="s">
        <v>88</v>
      </c>
      <c r="C44" s="82" t="s">
        <v>75</v>
      </c>
      <c r="D44" s="65">
        <f>(C25*C26*C27)-((PI()*C12*C12*0.1/4/10000)*C11)</f>
        <v>1.7287611019615312</v>
      </c>
      <c r="H44" s="58"/>
      <c r="K44" s="40" t="s">
        <v>62</v>
      </c>
      <c r="L44" s="42">
        <f>C16-(L35/100)-(L35/100)</f>
        <v>7.66</v>
      </c>
      <c r="M44" s="29" t="s">
        <v>23</v>
      </c>
    </row>
    <row r="45" spans="1:13" ht="25.5" x14ac:dyDescent="0.2">
      <c r="A45" s="85">
        <v>5416</v>
      </c>
      <c r="B45" s="72" t="s">
        <v>89</v>
      </c>
      <c r="C45" s="66" t="s">
        <v>75</v>
      </c>
      <c r="D45" s="86">
        <f>C20*C21*C22</f>
        <v>203.25</v>
      </c>
      <c r="E45" s="87"/>
      <c r="H45" s="59"/>
      <c r="K45" s="59"/>
    </row>
    <row r="46" spans="1:13" ht="51" x14ac:dyDescent="0.2">
      <c r="A46" s="85">
        <v>3017</v>
      </c>
      <c r="B46" s="72" t="s">
        <v>90</v>
      </c>
      <c r="C46" s="66" t="s">
        <v>75</v>
      </c>
      <c r="D46" s="65">
        <f>D45</f>
        <v>203.25</v>
      </c>
      <c r="E46" s="87"/>
      <c r="H46" s="58"/>
      <c r="K46" s="58"/>
    </row>
    <row r="47" spans="1:13" ht="38.25" x14ac:dyDescent="0.2">
      <c r="A47" s="85">
        <v>4908</v>
      </c>
      <c r="B47" s="53" t="s">
        <v>80</v>
      </c>
      <c r="C47" s="82" t="s">
        <v>75</v>
      </c>
      <c r="D47" s="65">
        <f>D45-(C25*C26*C27)-D41-((PI()*C29*C29/4)*C18)</f>
        <v>122.57756300598318</v>
      </c>
      <c r="K47" s="58"/>
    </row>
    <row r="48" spans="1:13" ht="51" x14ac:dyDescent="0.2">
      <c r="A48" s="85">
        <v>5196</v>
      </c>
      <c r="B48" s="72" t="s">
        <v>99</v>
      </c>
      <c r="C48" s="82" t="s">
        <v>75</v>
      </c>
      <c r="D48" s="65">
        <f>C20*C21*0.15</f>
        <v>11.25</v>
      </c>
    </row>
    <row r="49" spans="1:1" x14ac:dyDescent="0.2">
      <c r="A49" s="85"/>
    </row>
    <row r="50" spans="1:1" x14ac:dyDescent="0.2">
      <c r="A50" s="85"/>
    </row>
    <row r="51" spans="1:1" x14ac:dyDescent="0.2">
      <c r="A51" s="85"/>
    </row>
  </sheetData>
  <mergeCells count="14">
    <mergeCell ref="H23:I23"/>
    <mergeCell ref="A40:A42"/>
    <mergeCell ref="C41:C42"/>
    <mergeCell ref="H24:I24"/>
    <mergeCell ref="K24:L24"/>
    <mergeCell ref="K25:L25"/>
    <mergeCell ref="K31:L31"/>
    <mergeCell ref="A36:A39"/>
    <mergeCell ref="C37:C39"/>
    <mergeCell ref="E7:I7"/>
    <mergeCell ref="B9:C9"/>
    <mergeCell ref="E9:F9"/>
    <mergeCell ref="H9:I9"/>
    <mergeCell ref="K9:L9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B35-F976-493C-861E-D0FFC7CF2A53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20.880000000000003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67.54424205218055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18175.456776285722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7430.8413157918021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7.7597338543667886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141.74999999999997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141.74999999999997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84.432962168796251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407A-4227-41B3-8FD7-7EB6167B0362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13.799999999999999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88">
        <v>54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1.55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3.0999999999999996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109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47.123889803846893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13152.502112910537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5018.1913608396626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5676.7498688708756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9.5818575934488681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174.37499999999997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174.37499999999997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116.53119562060559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Cantidades</vt:lpstr>
      <vt:lpstr>Memoria P1</vt:lpstr>
      <vt:lpstr>Memoria P2</vt:lpstr>
      <vt:lpstr>Memoria P3</vt:lpstr>
      <vt:lpstr>Memoria P4</vt:lpstr>
      <vt:lpstr>Memoria P5</vt:lpstr>
      <vt:lpstr>Memoria P6</vt:lpstr>
      <vt:lpstr>Memoria P7</vt:lpstr>
      <vt:lpstr>Memoria P8</vt:lpstr>
      <vt:lpstr>Memoria P9</vt:lpstr>
      <vt:lpstr>Memoria P10</vt:lpstr>
      <vt:lpstr>Memoria P11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Cuauhtemoc Rios Quiroz</cp:lastModifiedBy>
  <cp:lastPrinted>2018-06-29T21:20:17Z</cp:lastPrinted>
  <dcterms:created xsi:type="dcterms:W3CDTF">2018-06-18T21:48:50Z</dcterms:created>
  <dcterms:modified xsi:type="dcterms:W3CDTF">2021-12-23T17:48:50Z</dcterms:modified>
</cp:coreProperties>
</file>